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4bba91916fe6b6c7/Projects/XBOX/EAFC 24/PlayerCareer/Data/"/>
    </mc:Choice>
  </mc:AlternateContent>
  <xr:revisionPtr revIDLastSave="11619" documentId="8_{72EE805B-721B-4A67-BF68-3A355B070C27}" xr6:coauthVersionLast="47" xr6:coauthVersionMax="47" xr10:uidLastSave="{5922003C-5A3A-C446-89E3-BE29E5B80971}"/>
  <bookViews>
    <workbookView xWindow="0" yWindow="500" windowWidth="29040" windowHeight="15720" activeTab="3" xr2:uid="{3A8411D5-A4C9-BC4E-BB10-E81A90DB2F32}"/>
  </bookViews>
  <sheets>
    <sheet name="(1) Bio" sheetId="5" r:id="rId1"/>
    <sheet name="(2) Vitals" sheetId="1" r:id="rId2"/>
    <sheet name="(3) Fixtures" sheetId="8" r:id="rId3"/>
    <sheet name="(4) Stats" sheetId="16" r:id="rId4"/>
    <sheet name="(5) Seasons" sheetId="7" r:id="rId5"/>
    <sheet name="(6) Accomplishments" sheetId="17" r:id="rId6"/>
    <sheet name="(7) Teams" sheetId="14" r:id="rId7"/>
    <sheet name="(8) Competitions" sheetId="12" r:id="rId8"/>
    <sheet name="(9) Referees" sheetId="19" r:id="rId9"/>
    <sheet name="(10) Stadiums" sheetId="21" r:id="rId10"/>
    <sheet name="(11) Weather" sheetId="22" r:id="rId11"/>
  </sheets>
  <definedNames>
    <definedName name="age">'(1) Bio'!$B$11</definedName>
    <definedName name="asOfDate">'(1) Bio'!$B$2</definedName>
    <definedName name="attackRate">'(1) Bio'!$B$24</definedName>
    <definedName name="birthDate">'(1) Bio'!$B$9</definedName>
    <definedName name="club">'(1) Bio'!$B$15</definedName>
    <definedName name="defenseRate">'(1) Bio'!$B$25</definedName>
    <definedName name="ExternalData_1" localSheetId="3" hidden="1">'(4) Stats'!$A$1:$E$17</definedName>
    <definedName name="firstName">'(1) Bio'!$B$5</definedName>
    <definedName name="height">'(1) Bio'!$B$12</definedName>
    <definedName name="kitNumber">'(1) Bio'!$B$17</definedName>
    <definedName name="knownAs">'(1) Bio'!$B$7</definedName>
    <definedName name="lastName">'(1) Bio'!$B$6</definedName>
    <definedName name="nationality">'(1) Bio'!$B$8</definedName>
    <definedName name="playerValue">'(1) Bio'!$B$20</definedName>
    <definedName name="position">'(1) Bio'!$B$16</definedName>
    <definedName name="skillMoves">'(1) Bio'!$B$26</definedName>
    <definedName name="strongFoot">'(1) Bio'!$B$22</definedName>
    <definedName name="weakFoot">'(1) Bio'!$B$23</definedName>
    <definedName name="weeklyWage">'(1) Bio'!$B$19</definedName>
    <definedName name="weight">'(1) Bio'!$B$13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" i="16" l="1" a="1"/>
  <c r="B18" i="16" s="1"/>
  <c r="C18" i="16" a="1"/>
  <c r="C18" i="16" s="1"/>
  <c r="D18" i="16" a="1"/>
  <c r="D18" i="16" s="1"/>
  <c r="E18" i="16" a="1"/>
  <c r="E18" i="16" s="1"/>
  <c r="Q3" i="16" a="1"/>
  <c r="Q7" i="16" a="1"/>
  <c r="Q11" i="16" a="1"/>
  <c r="Q15" i="16" a="1"/>
  <c r="Q4" i="16" a="1"/>
  <c r="Q8" i="16" a="1"/>
  <c r="Q16" i="16" a="1"/>
  <c r="Q12" i="16" a="1"/>
  <c r="Q5" i="16" a="1"/>
  <c r="Q9" i="16" a="1"/>
  <c r="Q13" i="16" a="1"/>
  <c r="Q17" i="16" a="1"/>
  <c r="Q2" i="16" a="1"/>
  <c r="Q6" i="16" a="1"/>
  <c r="Q10" i="16" a="1"/>
  <c r="Q14" i="16" a="1"/>
  <c r="Q14" i="16" l="1"/>
  <c r="Q10" i="16"/>
  <c r="Q6" i="16"/>
  <c r="Q2" i="16"/>
  <c r="Q17" i="16"/>
  <c r="Q13" i="16"/>
  <c r="Q9" i="16"/>
  <c r="Q5" i="16"/>
  <c r="Q12" i="16"/>
  <c r="Q16" i="16"/>
  <c r="Q8" i="16"/>
  <c r="Q4" i="16"/>
  <c r="Q15" i="16"/>
  <c r="Q11" i="16"/>
  <c r="Q7" i="16"/>
  <c r="Q3" i="16"/>
  <c r="AM233" i="8" l="1"/>
  <c r="F2" i="12" l="1"/>
  <c r="F3" i="12"/>
  <c r="F4" i="12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D2" i="12" l="1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69" i="12"/>
  <c r="D70" i="12"/>
  <c r="D71" i="12"/>
  <c r="D72" i="12"/>
  <c r="D73" i="12"/>
  <c r="D74" i="12"/>
  <c r="D75" i="12"/>
  <c r="D76" i="12"/>
  <c r="U185" i="8" s="1" a="1"/>
  <c r="U185" i="8" s="1"/>
  <c r="D77" i="12"/>
  <c r="D78" i="12"/>
  <c r="D79" i="12"/>
  <c r="D563" i="14" l="1"/>
  <c r="Q18" i="16" l="1" a="1"/>
  <c r="Q18" i="16" s="1"/>
  <c r="C3" i="21"/>
  <c r="C4" i="21"/>
  <c r="C5" i="21"/>
  <c r="C6" i="21"/>
  <c r="C7" i="21"/>
  <c r="C8" i="21"/>
  <c r="C9" i="21"/>
  <c r="C11" i="21"/>
  <c r="C15" i="21"/>
  <c r="C16" i="21"/>
  <c r="C17" i="21"/>
  <c r="C19" i="21"/>
  <c r="C20" i="21"/>
  <c r="C26" i="21"/>
  <c r="C27" i="21"/>
  <c r="C29" i="21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47" i="21"/>
  <c r="C48" i="21"/>
  <c r="C49" i="21"/>
  <c r="C50" i="21"/>
  <c r="C51" i="21"/>
  <c r="C54" i="21"/>
  <c r="C56" i="21"/>
  <c r="C58" i="21"/>
  <c r="C59" i="21"/>
  <c r="C60" i="21"/>
  <c r="C61" i="21"/>
  <c r="C62" i="21"/>
  <c r="C63" i="21"/>
  <c r="C64" i="21"/>
  <c r="C66" i="21"/>
  <c r="C67" i="21"/>
  <c r="C68" i="21"/>
  <c r="C69" i="21"/>
  <c r="C73" i="21"/>
  <c r="C74" i="21"/>
  <c r="C75" i="21"/>
  <c r="C76" i="21"/>
  <c r="C77" i="21"/>
  <c r="C78" i="21"/>
  <c r="C82" i="21"/>
  <c r="C84" i="21"/>
  <c r="C85" i="21"/>
  <c r="C87" i="21"/>
  <c r="C89" i="21"/>
  <c r="C90" i="21"/>
  <c r="C96" i="21"/>
  <c r="C97" i="21"/>
  <c r="C98" i="21"/>
  <c r="C99" i="21"/>
  <c r="C103" i="21"/>
  <c r="C105" i="21"/>
  <c r="C106" i="21"/>
  <c r="C108" i="21"/>
  <c r="C111" i="21"/>
  <c r="C114" i="21"/>
  <c r="C118" i="21"/>
  <c r="C119" i="21"/>
  <c r="C122" i="21"/>
  <c r="C123" i="21"/>
  <c r="C125" i="21"/>
  <c r="C131" i="21"/>
  <c r="C132" i="21"/>
  <c r="C133" i="21"/>
  <c r="F2" i="19"/>
  <c r="F3" i="19"/>
  <c r="F4" i="19"/>
  <c r="F5" i="19"/>
  <c r="F6" i="19"/>
  <c r="F7" i="19"/>
  <c r="F8" i="19"/>
  <c r="F9" i="19"/>
  <c r="F10" i="19"/>
  <c r="F11" i="19"/>
  <c r="F12" i="19"/>
  <c r="F14" i="19"/>
  <c r="F15" i="19"/>
  <c r="F16" i="19"/>
  <c r="F17" i="19"/>
  <c r="F18" i="19"/>
  <c r="F19" i="19"/>
  <c r="F20" i="19"/>
  <c r="F21" i="19"/>
  <c r="F22" i="19"/>
  <c r="F23" i="19"/>
  <c r="F24" i="19"/>
  <c r="F25" i="19"/>
  <c r="F28" i="19"/>
  <c r="F30" i="19"/>
  <c r="F31" i="19"/>
  <c r="F32" i="19"/>
  <c r="F33" i="19"/>
  <c r="F34" i="19"/>
  <c r="F35" i="19"/>
  <c r="F38" i="19"/>
  <c r="F39" i="19"/>
  <c r="F42" i="19"/>
  <c r="F43" i="19"/>
  <c r="F44" i="19"/>
  <c r="F45" i="19"/>
  <c r="F46" i="19"/>
  <c r="F47" i="19"/>
  <c r="F48" i="19"/>
  <c r="F50" i="19"/>
  <c r="F51" i="19"/>
  <c r="F53" i="19"/>
  <c r="F54" i="19"/>
  <c r="F55" i="19"/>
  <c r="F56" i="19"/>
  <c r="F57" i="19"/>
  <c r="F58" i="19"/>
  <c r="F59" i="19"/>
  <c r="F60" i="19"/>
  <c r="F61" i="19"/>
  <c r="F62" i="19"/>
  <c r="F63" i="19"/>
  <c r="F64" i="19"/>
  <c r="F65" i="19"/>
  <c r="F66" i="19"/>
  <c r="F67" i="19"/>
  <c r="F68" i="19"/>
  <c r="F69" i="19"/>
  <c r="F70" i="19"/>
  <c r="F71" i="19"/>
  <c r="F72" i="19"/>
  <c r="F73" i="19"/>
  <c r="F74" i="19"/>
  <c r="F75" i="19"/>
  <c r="F76" i="19"/>
  <c r="F77" i="19"/>
  <c r="F78" i="19"/>
  <c r="F79" i="19"/>
  <c r="F80" i="19"/>
  <c r="F81" i="19"/>
  <c r="F82" i="19"/>
  <c r="F83" i="19"/>
  <c r="F84" i="19"/>
  <c r="F85" i="19"/>
  <c r="F86" i="19"/>
  <c r="F87" i="19"/>
  <c r="F88" i="19"/>
  <c r="F90" i="19"/>
  <c r="F92" i="19"/>
  <c r="F93" i="19"/>
  <c r="F94" i="19"/>
  <c r="F95" i="19"/>
  <c r="F97" i="19"/>
  <c r="F98" i="19"/>
  <c r="F99" i="19"/>
  <c r="F100" i="19"/>
  <c r="F101" i="19"/>
  <c r="F103" i="19"/>
  <c r="F104" i="19"/>
  <c r="F105" i="19"/>
  <c r="F106" i="19"/>
  <c r="F107" i="19"/>
  <c r="F108" i="19"/>
  <c r="F109" i="19"/>
  <c r="F110" i="19"/>
  <c r="F111" i="19"/>
  <c r="F112" i="19"/>
  <c r="F113" i="19"/>
  <c r="F114" i="19"/>
  <c r="F116" i="19"/>
  <c r="F117" i="19"/>
  <c r="F120" i="19"/>
  <c r="F121" i="19"/>
  <c r="F122" i="19"/>
  <c r="F123" i="19"/>
  <c r="F124" i="19"/>
  <c r="F127" i="19"/>
  <c r="F129" i="19"/>
  <c r="F130" i="19"/>
  <c r="F131" i="19"/>
  <c r="F132" i="19"/>
  <c r="F133" i="19"/>
  <c r="F134" i="19"/>
  <c r="F135" i="19"/>
  <c r="F137" i="19"/>
  <c r="F138" i="19"/>
  <c r="F139" i="19"/>
  <c r="F140" i="19"/>
  <c r="F141" i="19"/>
  <c r="F142" i="19"/>
  <c r="F144" i="19"/>
  <c r="F146" i="19"/>
  <c r="F147" i="19"/>
  <c r="F148" i="19"/>
  <c r="F149" i="19"/>
  <c r="F150" i="19"/>
  <c r="F151" i="19"/>
  <c r="F152" i="19"/>
  <c r="F153" i="19"/>
  <c r="F154" i="19"/>
  <c r="F155" i="19"/>
  <c r="F156" i="19"/>
  <c r="F157" i="19"/>
  <c r="F158" i="19"/>
  <c r="F159" i="19"/>
  <c r="F161" i="19"/>
  <c r="F162" i="19"/>
  <c r="F164" i="19"/>
  <c r="F165" i="19"/>
  <c r="F166" i="19"/>
  <c r="F167" i="19"/>
  <c r="F169" i="19"/>
  <c r="F171" i="19"/>
  <c r="F174" i="19"/>
  <c r="F175" i="19"/>
  <c r="F177" i="19"/>
  <c r="F179" i="19"/>
  <c r="F180" i="19"/>
  <c r="F181" i="19"/>
  <c r="F182" i="19"/>
  <c r="F183" i="19"/>
  <c r="F184" i="19"/>
  <c r="F185" i="19"/>
  <c r="F187" i="19"/>
  <c r="F188" i="19"/>
  <c r="F189" i="19"/>
  <c r="F190" i="19"/>
  <c r="F192" i="19"/>
  <c r="F193" i="19"/>
  <c r="F194" i="19"/>
  <c r="F195" i="19"/>
  <c r="F196" i="19"/>
  <c r="F198" i="19"/>
  <c r="F199" i="19"/>
  <c r="F200" i="19"/>
  <c r="F201" i="19"/>
  <c r="F203" i="19"/>
  <c r="F204" i="19"/>
  <c r="F205" i="19"/>
  <c r="F206" i="19"/>
  <c r="F207" i="19"/>
  <c r="F208" i="19"/>
  <c r="F209" i="19"/>
  <c r="F211" i="19"/>
  <c r="F212" i="19"/>
  <c r="F213" i="19"/>
  <c r="F214" i="19"/>
  <c r="F215" i="19"/>
  <c r="F217" i="19"/>
  <c r="F219" i="19"/>
  <c r="F222" i="19"/>
  <c r="F223" i="19"/>
  <c r="F224" i="19"/>
  <c r="F225" i="19"/>
  <c r="F226" i="19"/>
  <c r="F227" i="19"/>
  <c r="F228" i="19"/>
  <c r="F229" i="19"/>
  <c r="F230" i="19"/>
  <c r="F231" i="19"/>
  <c r="F232" i="19"/>
  <c r="F233" i="19"/>
  <c r="F234" i="19"/>
  <c r="F235" i="19"/>
  <c r="F236" i="19"/>
  <c r="F238" i="19"/>
  <c r="F239" i="19"/>
  <c r="F240" i="19"/>
  <c r="F241" i="19"/>
  <c r="F242" i="19"/>
  <c r="F243" i="19"/>
  <c r="F244" i="19"/>
  <c r="F245" i="19"/>
  <c r="F246" i="19"/>
  <c r="F247" i="19"/>
  <c r="F248" i="19"/>
  <c r="F250" i="19"/>
  <c r="F254" i="19"/>
  <c r="F255" i="19"/>
  <c r="F257" i="19"/>
  <c r="F258" i="19"/>
  <c r="F259" i="19"/>
  <c r="F260" i="19"/>
  <c r="F261" i="19"/>
  <c r="F262" i="19"/>
  <c r="F263" i="19"/>
  <c r="F265" i="19"/>
  <c r="F266" i="19"/>
  <c r="F267" i="19"/>
  <c r="F268" i="19"/>
  <c r="F269" i="19"/>
  <c r="F270" i="19"/>
  <c r="F271" i="19"/>
  <c r="F273" i="19"/>
  <c r="F274" i="19"/>
  <c r="F275" i="19"/>
  <c r="F277" i="19"/>
  <c r="F278" i="19"/>
  <c r="F279" i="19"/>
  <c r="F280" i="19"/>
  <c r="F281" i="19"/>
  <c r="F282" i="19"/>
  <c r="F284" i="19"/>
  <c r="F285" i="19"/>
  <c r="F286" i="19"/>
  <c r="F287" i="19"/>
  <c r="F289" i="19"/>
  <c r="F290" i="19"/>
  <c r="F291" i="19"/>
  <c r="F292" i="19"/>
  <c r="F293" i="19"/>
  <c r="F294" i="19"/>
  <c r="F295" i="19"/>
  <c r="F296" i="19"/>
  <c r="F297" i="19"/>
  <c r="F298" i="19"/>
  <c r="F299" i="19"/>
  <c r="F300" i="19"/>
  <c r="F301" i="19"/>
  <c r="F302" i="19"/>
  <c r="F304" i="19"/>
  <c r="F305" i="19"/>
  <c r="F306" i="19"/>
  <c r="F307" i="19"/>
  <c r="F308" i="19"/>
  <c r="F309" i="19"/>
  <c r="F311" i="19"/>
  <c r="F312" i="19"/>
  <c r="F313" i="19"/>
  <c r="F314" i="19"/>
  <c r="F315" i="19"/>
  <c r="F316" i="19"/>
  <c r="F317" i="19"/>
  <c r="F318" i="19"/>
  <c r="F319" i="19"/>
  <c r="F320" i="19"/>
  <c r="F321" i="19"/>
  <c r="F322" i="19"/>
  <c r="F323" i="19"/>
  <c r="F324" i="19"/>
  <c r="F325" i="19"/>
  <c r="F326" i="19"/>
  <c r="F327" i="19"/>
  <c r="F328" i="19"/>
  <c r="F329" i="19"/>
  <c r="F330" i="19"/>
  <c r="F331" i="19"/>
  <c r="F332" i="19"/>
  <c r="F333" i="19"/>
  <c r="F334" i="19"/>
  <c r="F335" i="19"/>
  <c r="F336" i="19"/>
  <c r="F337" i="19"/>
  <c r="F338" i="19"/>
  <c r="F339" i="19"/>
  <c r="F340" i="19"/>
  <c r="F341" i="19"/>
  <c r="F342" i="19"/>
  <c r="F344" i="19"/>
  <c r="F345" i="19"/>
  <c r="F347" i="19"/>
  <c r="F349" i="19"/>
  <c r="F350" i="19"/>
  <c r="F351" i="19"/>
  <c r="F352" i="19"/>
  <c r="F353" i="19"/>
  <c r="F354" i="19"/>
  <c r="F355" i="19"/>
  <c r="F356" i="19"/>
  <c r="F357" i="19"/>
  <c r="F358" i="19"/>
  <c r="F359" i="19"/>
  <c r="F360" i="19"/>
  <c r="F361" i="19"/>
  <c r="F362" i="19"/>
  <c r="F363" i="19"/>
  <c r="F364" i="19"/>
  <c r="F365" i="19"/>
  <c r="F366" i="19"/>
  <c r="F367" i="19"/>
  <c r="F368" i="19"/>
  <c r="F372" i="19"/>
  <c r="F373" i="19"/>
  <c r="F374" i="19"/>
  <c r="F375" i="19"/>
  <c r="F376" i="19"/>
  <c r="F377" i="19"/>
  <c r="F378" i="19"/>
  <c r="F379" i="19"/>
  <c r="F380" i="19"/>
  <c r="F381" i="19"/>
  <c r="F382" i="19"/>
  <c r="F383" i="19"/>
  <c r="F384" i="19"/>
  <c r="F385" i="19"/>
  <c r="D457" i="14"/>
  <c r="G457" i="14"/>
  <c r="N457" i="14" s="1"/>
  <c r="P457" i="14" l="1"/>
  <c r="O457" i="14"/>
  <c r="H457" i="14"/>
  <c r="M457" i="14"/>
  <c r="L457" i="14"/>
  <c r="K457" i="14"/>
  <c r="R457" i="14"/>
  <c r="J457" i="14"/>
  <c r="S457" i="14" a="1"/>
  <c r="S457" i="14" s="1"/>
  <c r="Q457" i="14"/>
  <c r="I457" i="14"/>
  <c r="AM243" i="8"/>
  <c r="AM244" i="8"/>
  <c r="AM245" i="8"/>
  <c r="AM246" i="8"/>
  <c r="AM247" i="8"/>
  <c r="AM248" i="8"/>
  <c r="AM249" i="8"/>
  <c r="AM250" i="8"/>
  <c r="AM251" i="8"/>
  <c r="AM252" i="8"/>
  <c r="AM253" i="8"/>
  <c r="AM254" i="8"/>
  <c r="AM255" i="8"/>
  <c r="AM256" i="8"/>
  <c r="AM257" i="8"/>
  <c r="AM258" i="8"/>
  <c r="AM259" i="8"/>
  <c r="AM260" i="8"/>
  <c r="AM261" i="8"/>
  <c r="AM262" i="8"/>
  <c r="AM263" i="8"/>
  <c r="AM264" i="8"/>
  <c r="AM265" i="8"/>
  <c r="AM266" i="8"/>
  <c r="AM267" i="8"/>
  <c r="AM268" i="8"/>
  <c r="AM269" i="8"/>
  <c r="AM270" i="8"/>
  <c r="AM271" i="8"/>
  <c r="AM272" i="8"/>
  <c r="AM273" i="8"/>
  <c r="AM274" i="8"/>
  <c r="AM275" i="8"/>
  <c r="AM276" i="8"/>
  <c r="AM277" i="8"/>
  <c r="AM278" i="8"/>
  <c r="AM279" i="8"/>
  <c r="AM280" i="8"/>
  <c r="AM281" i="8"/>
  <c r="AM282" i="8"/>
  <c r="AM283" i="8"/>
  <c r="AM284" i="8"/>
  <c r="AM285" i="8"/>
  <c r="AM286" i="8"/>
  <c r="AM287" i="8"/>
  <c r="AM288" i="8"/>
  <c r="AM289" i="8"/>
  <c r="AM290" i="8"/>
  <c r="AM291" i="8"/>
  <c r="AM292" i="8"/>
  <c r="AM293" i="8"/>
  <c r="AM294" i="8"/>
  <c r="AM295" i="8"/>
  <c r="AM296" i="8"/>
  <c r="AM297" i="8"/>
  <c r="AM298" i="8"/>
  <c r="AM299" i="8"/>
  <c r="AM300" i="8"/>
  <c r="AM301" i="8"/>
  <c r="AM302" i="8"/>
  <c r="AM303" i="8"/>
  <c r="AM304" i="8"/>
  <c r="AM305" i="8"/>
  <c r="AM306" i="8"/>
  <c r="AM307" i="8"/>
  <c r="AM308" i="8"/>
  <c r="AM309" i="8"/>
  <c r="AM310" i="8"/>
  <c r="AM311" i="8"/>
  <c r="AM312" i="8"/>
  <c r="AM313" i="8"/>
  <c r="AM314" i="8"/>
  <c r="AM315" i="8"/>
  <c r="AM316" i="8"/>
  <c r="AM317" i="8"/>
  <c r="AM318" i="8"/>
  <c r="AM319" i="8"/>
  <c r="AM320" i="8"/>
  <c r="AM321" i="8"/>
  <c r="AM322" i="8"/>
  <c r="AM323" i="8"/>
  <c r="AM324" i="8"/>
  <c r="AM325" i="8"/>
  <c r="AM326" i="8"/>
  <c r="AM327" i="8"/>
  <c r="AM328" i="8"/>
  <c r="AM329" i="8"/>
  <c r="AM330" i="8"/>
  <c r="AM331" i="8"/>
  <c r="AM332" i="8"/>
  <c r="AM333" i="8"/>
  <c r="AM334" i="8"/>
  <c r="AM335" i="8"/>
  <c r="AM336" i="8"/>
  <c r="AM337" i="8"/>
  <c r="AM338" i="8"/>
  <c r="AM339" i="8"/>
  <c r="AM340" i="8"/>
  <c r="AM341" i="8"/>
  <c r="AM342" i="8"/>
  <c r="AM343" i="8"/>
  <c r="AM344" i="8"/>
  <c r="AM345" i="8"/>
  <c r="AM346" i="8"/>
  <c r="AM347" i="8"/>
  <c r="AM348" i="8"/>
  <c r="AM349" i="8"/>
  <c r="AM350" i="8"/>
  <c r="AM351" i="8"/>
  <c r="AM352" i="8"/>
  <c r="AM353" i="8"/>
  <c r="AM354" i="8"/>
  <c r="AM355" i="8"/>
  <c r="AM356" i="8"/>
  <c r="AM357" i="8"/>
  <c r="AM358" i="8"/>
  <c r="AM359" i="8"/>
  <c r="AM360" i="8"/>
  <c r="AM361" i="8"/>
  <c r="AM362" i="8"/>
  <c r="AM363" i="8"/>
  <c r="AM364" i="8"/>
  <c r="AM365" i="8"/>
  <c r="AM366" i="8"/>
  <c r="AM367" i="8"/>
  <c r="AM368" i="8"/>
  <c r="AM369" i="8"/>
  <c r="AM370" i="8"/>
  <c r="AM371" i="8"/>
  <c r="AM372" i="8"/>
  <c r="AM373" i="8"/>
  <c r="AM374" i="8"/>
  <c r="AM375" i="8"/>
  <c r="AM376" i="8"/>
  <c r="AM377" i="8"/>
  <c r="AM378" i="8"/>
  <c r="AM379" i="8"/>
  <c r="AM380" i="8"/>
  <c r="AM381" i="8"/>
  <c r="AM382" i="8"/>
  <c r="AM383" i="8"/>
  <c r="AM384" i="8"/>
  <c r="AM385" i="8"/>
  <c r="AM386" i="8"/>
  <c r="AM387" i="8"/>
  <c r="AM388" i="8"/>
  <c r="AM389" i="8"/>
  <c r="AM390" i="8"/>
  <c r="AM391" i="8"/>
  <c r="AM392" i="8"/>
  <c r="AM393" i="8"/>
  <c r="AM394" i="8"/>
  <c r="AM395" i="8"/>
  <c r="AM396" i="8"/>
  <c r="AM397" i="8"/>
  <c r="AM398" i="8"/>
  <c r="AM399" i="8"/>
  <c r="AM400" i="8"/>
  <c r="AM401" i="8"/>
  <c r="AM402" i="8"/>
  <c r="AM403" i="8"/>
  <c r="AM404" i="8"/>
  <c r="AM405" i="8"/>
  <c r="AM406" i="8"/>
  <c r="AM407" i="8"/>
  <c r="AM408" i="8"/>
  <c r="AM409" i="8"/>
  <c r="AM410" i="8"/>
  <c r="AM411" i="8"/>
  <c r="AM412" i="8"/>
  <c r="AM413" i="8"/>
  <c r="AM414" i="8"/>
  <c r="AM415" i="8"/>
  <c r="AM416" i="8"/>
  <c r="AM417" i="8"/>
  <c r="AM418" i="8"/>
  <c r="AM419" i="8"/>
  <c r="AM420" i="8"/>
  <c r="AM421" i="8"/>
  <c r="AM422" i="8"/>
  <c r="AM423" i="8"/>
  <c r="AM424" i="8"/>
  <c r="AM425" i="8"/>
  <c r="AM426" i="8"/>
  <c r="AM427" i="8"/>
  <c r="AM428" i="8"/>
  <c r="AM429" i="8"/>
  <c r="AM430" i="8"/>
  <c r="AM431" i="8"/>
  <c r="AM432" i="8"/>
  <c r="AM433" i="8"/>
  <c r="AM434" i="8"/>
  <c r="AM435" i="8"/>
  <c r="AM436" i="8"/>
  <c r="AM437" i="8"/>
  <c r="AM438" i="8"/>
  <c r="AM439" i="8"/>
  <c r="AM440" i="8"/>
  <c r="AM441" i="8"/>
  <c r="AM442" i="8"/>
  <c r="AM443" i="8"/>
  <c r="AM444" i="8"/>
  <c r="AM445" i="8"/>
  <c r="AM446" i="8"/>
  <c r="AM447" i="8"/>
  <c r="AM448" i="8"/>
  <c r="AM449" i="8"/>
  <c r="AM450" i="8"/>
  <c r="AM451" i="8"/>
  <c r="AM452" i="8"/>
  <c r="AM453" i="8"/>
  <c r="AM454" i="8"/>
  <c r="AM455" i="8"/>
  <c r="AM456" i="8"/>
  <c r="AM457" i="8"/>
  <c r="AM458" i="8"/>
  <c r="AM459" i="8"/>
  <c r="AM460" i="8"/>
  <c r="AM461" i="8"/>
  <c r="AM462" i="8"/>
  <c r="AM463" i="8"/>
  <c r="AM464" i="8"/>
  <c r="AM465" i="8"/>
  <c r="AM466" i="8"/>
  <c r="AM467" i="8"/>
  <c r="AM468" i="8"/>
  <c r="AM469" i="8"/>
  <c r="AM470" i="8"/>
  <c r="AM471" i="8"/>
  <c r="AM472" i="8"/>
  <c r="AM473" i="8"/>
  <c r="AM474" i="8"/>
  <c r="AM475" i="8"/>
  <c r="AM476" i="8"/>
  <c r="AM477" i="8"/>
  <c r="AM478" i="8"/>
  <c r="AM479" i="8"/>
  <c r="AM480" i="8"/>
  <c r="AM481" i="8"/>
  <c r="AM482" i="8"/>
  <c r="AM483" i="8"/>
  <c r="AM484" i="8"/>
  <c r="AM485" i="8"/>
  <c r="AM486" i="8"/>
  <c r="AM487" i="8"/>
  <c r="AM488" i="8"/>
  <c r="AM489" i="8"/>
  <c r="AM490" i="8"/>
  <c r="AM491" i="8"/>
  <c r="AM492" i="8"/>
  <c r="AM493" i="8"/>
  <c r="AM494" i="8"/>
  <c r="AM495" i="8"/>
  <c r="AM496" i="8"/>
  <c r="AM497" i="8"/>
  <c r="AM498" i="8"/>
  <c r="AM499" i="8"/>
  <c r="AM500" i="8"/>
  <c r="AM501" i="8"/>
  <c r="AM502" i="8"/>
  <c r="AM503" i="8"/>
  <c r="AM504" i="8"/>
  <c r="AM505" i="8"/>
  <c r="AM506" i="8"/>
  <c r="AM507" i="8"/>
  <c r="AM508" i="8"/>
  <c r="AM509" i="8"/>
  <c r="AM510" i="8"/>
  <c r="AM511" i="8"/>
  <c r="AM512" i="8"/>
  <c r="AM513" i="8"/>
  <c r="AM514" i="8"/>
  <c r="AM515" i="8"/>
  <c r="AM516" i="8"/>
  <c r="AM517" i="8"/>
  <c r="AM518" i="8"/>
  <c r="AM519" i="8"/>
  <c r="AM520" i="8"/>
  <c r="AM521" i="8"/>
  <c r="AM522" i="8"/>
  <c r="AM523" i="8"/>
  <c r="AM524" i="8"/>
  <c r="AM525" i="8"/>
  <c r="AM526" i="8"/>
  <c r="AM527" i="8"/>
  <c r="AM528" i="8"/>
  <c r="AM529" i="8"/>
  <c r="AM530" i="8"/>
  <c r="AM531" i="8"/>
  <c r="AM532" i="8"/>
  <c r="AM533" i="8"/>
  <c r="AM534" i="8"/>
  <c r="AM535" i="8"/>
  <c r="AM536" i="8"/>
  <c r="AM537" i="8"/>
  <c r="AM538" i="8"/>
  <c r="AM539" i="8"/>
  <c r="AM540" i="8"/>
  <c r="AM541" i="8"/>
  <c r="AM542" i="8"/>
  <c r="AM543" i="8"/>
  <c r="AM544" i="8"/>
  <c r="AM545" i="8"/>
  <c r="AM546" i="8"/>
  <c r="AM547" i="8"/>
  <c r="AM548" i="8"/>
  <c r="AM549" i="8"/>
  <c r="AM550" i="8"/>
  <c r="AM551" i="8"/>
  <c r="AM552" i="8"/>
  <c r="AM553" i="8"/>
  <c r="AM554" i="8"/>
  <c r="AM555" i="8"/>
  <c r="AM556" i="8"/>
  <c r="AM557" i="8"/>
  <c r="AM558" i="8"/>
  <c r="AM559" i="8"/>
  <c r="AM560" i="8"/>
  <c r="AM561" i="8"/>
  <c r="AM562" i="8"/>
  <c r="AM563" i="8"/>
  <c r="AM564" i="8"/>
  <c r="AM565" i="8"/>
  <c r="AM566" i="8"/>
  <c r="AM567" i="8"/>
  <c r="AM568" i="8"/>
  <c r="AM569" i="8"/>
  <c r="AM570" i="8"/>
  <c r="AM571" i="8"/>
  <c r="AM572" i="8"/>
  <c r="AM573" i="8"/>
  <c r="AM574" i="8"/>
  <c r="AM575" i="8"/>
  <c r="AM576" i="8"/>
  <c r="AM577" i="8"/>
  <c r="AM578" i="8"/>
  <c r="AM579" i="8"/>
  <c r="AM580" i="8"/>
  <c r="AM581" i="8"/>
  <c r="AM582" i="8"/>
  <c r="AM583" i="8"/>
  <c r="AM584" i="8"/>
  <c r="AM585" i="8"/>
  <c r="AM586" i="8"/>
  <c r="AM587" i="8"/>
  <c r="AM588" i="8"/>
  <c r="AM589" i="8"/>
  <c r="AM590" i="8"/>
  <c r="AM591" i="8"/>
  <c r="AM592" i="8"/>
  <c r="AM593" i="8"/>
  <c r="AM594" i="8"/>
  <c r="AM595" i="8"/>
  <c r="AM596" i="8"/>
  <c r="AM597" i="8"/>
  <c r="AM598" i="8"/>
  <c r="AM599" i="8"/>
  <c r="AM600" i="8"/>
  <c r="AM601" i="8"/>
  <c r="AM602" i="8"/>
  <c r="AM603" i="8"/>
  <c r="AM604" i="8"/>
  <c r="AM605" i="8"/>
  <c r="AM606" i="8"/>
  <c r="AM607" i="8"/>
  <c r="AM608" i="8"/>
  <c r="AM609" i="8"/>
  <c r="AM610" i="8"/>
  <c r="AM611" i="8"/>
  <c r="AM612" i="8"/>
  <c r="AM613" i="8"/>
  <c r="AM614" i="8"/>
  <c r="AM615" i="8"/>
  <c r="AM616" i="8"/>
  <c r="AM617" i="8"/>
  <c r="AM618" i="8"/>
  <c r="AM619" i="8"/>
  <c r="AM620" i="8"/>
  <c r="AM621" i="8"/>
  <c r="AM622" i="8"/>
  <c r="AM623" i="8"/>
  <c r="AM624" i="8"/>
  <c r="AM625" i="8"/>
  <c r="AM626" i="8"/>
  <c r="AM627" i="8"/>
  <c r="AM628" i="8"/>
  <c r="AM629" i="8"/>
  <c r="AM630" i="8"/>
  <c r="AM631" i="8"/>
  <c r="AM632" i="8"/>
  <c r="AM633" i="8"/>
  <c r="AM634" i="8"/>
  <c r="AM635" i="8"/>
  <c r="AM636" i="8"/>
  <c r="AM637" i="8"/>
  <c r="AM638" i="8"/>
  <c r="AM639" i="8"/>
  <c r="AM640" i="8"/>
  <c r="AM641" i="8"/>
  <c r="AM642" i="8"/>
  <c r="AM643" i="8"/>
  <c r="AM644" i="8"/>
  <c r="AM645" i="8"/>
  <c r="AM646" i="8"/>
  <c r="AM647" i="8"/>
  <c r="AM648" i="8"/>
  <c r="AM649" i="8"/>
  <c r="AM650" i="8"/>
  <c r="AM651" i="8"/>
  <c r="AM652" i="8"/>
  <c r="AM653" i="8"/>
  <c r="AM654" i="8"/>
  <c r="AM655" i="8"/>
  <c r="AM656" i="8"/>
  <c r="AM657" i="8"/>
  <c r="AM658" i="8"/>
  <c r="AM659" i="8"/>
  <c r="AM660" i="8"/>
  <c r="AM661" i="8"/>
  <c r="AM662" i="8"/>
  <c r="AM663" i="8"/>
  <c r="AM664" i="8"/>
  <c r="AM665" i="8"/>
  <c r="AM666" i="8"/>
  <c r="AM667" i="8"/>
  <c r="AM668" i="8"/>
  <c r="AM669" i="8"/>
  <c r="AM670" i="8"/>
  <c r="AM671" i="8"/>
  <c r="AM672" i="8"/>
  <c r="AM673" i="8"/>
  <c r="AM674" i="8"/>
  <c r="AM675" i="8"/>
  <c r="AM676" i="8"/>
  <c r="AM677" i="8"/>
  <c r="AM678" i="8"/>
  <c r="AM679" i="8"/>
  <c r="AM680" i="8"/>
  <c r="AM681" i="8"/>
  <c r="AM682" i="8"/>
  <c r="AM683" i="8"/>
  <c r="AM684" i="8"/>
  <c r="AM685" i="8"/>
  <c r="AM686" i="8"/>
  <c r="AM687" i="8"/>
  <c r="AM688" i="8"/>
  <c r="AM689" i="8"/>
  <c r="AM690" i="8"/>
  <c r="AM691" i="8"/>
  <c r="AM692" i="8"/>
  <c r="AM693" i="8"/>
  <c r="AM694" i="8"/>
  <c r="AM695" i="8"/>
  <c r="AM696" i="8"/>
  <c r="AM697" i="8"/>
  <c r="AM698" i="8"/>
  <c r="AM699" i="8"/>
  <c r="AM700" i="8"/>
  <c r="AM701" i="8"/>
  <c r="AM702" i="8"/>
  <c r="AM703" i="8"/>
  <c r="AM704" i="8"/>
  <c r="AM705" i="8"/>
  <c r="AM706" i="8"/>
  <c r="AM707" i="8"/>
  <c r="AM708" i="8"/>
  <c r="AM709" i="8"/>
  <c r="AM710" i="8"/>
  <c r="AM711" i="8"/>
  <c r="AM712" i="8"/>
  <c r="AM713" i="8"/>
  <c r="AM714" i="8"/>
  <c r="AM715" i="8"/>
  <c r="AM716" i="8"/>
  <c r="AM717" i="8"/>
  <c r="AM718" i="8"/>
  <c r="AM719" i="8"/>
  <c r="AM720" i="8"/>
  <c r="AM721" i="8"/>
  <c r="AM722" i="8"/>
  <c r="AM723" i="8"/>
  <c r="AM724" i="8"/>
  <c r="AM725" i="8"/>
  <c r="AM726" i="8"/>
  <c r="AM727" i="8"/>
  <c r="AM728" i="8"/>
  <c r="AM729" i="8"/>
  <c r="AM730" i="8"/>
  <c r="AM731" i="8"/>
  <c r="AM732" i="8"/>
  <c r="AM733" i="8"/>
  <c r="AM734" i="8"/>
  <c r="AM735" i="8"/>
  <c r="AM736" i="8"/>
  <c r="AM737" i="8"/>
  <c r="AM738" i="8"/>
  <c r="AM739" i="8"/>
  <c r="AM740" i="8"/>
  <c r="AM741" i="8"/>
  <c r="AM742" i="8"/>
  <c r="AM743" i="8"/>
  <c r="AM744" i="8"/>
  <c r="AM745" i="8"/>
  <c r="AM746" i="8"/>
  <c r="AM747" i="8"/>
  <c r="AM748" i="8"/>
  <c r="AM749" i="8"/>
  <c r="AM750" i="8"/>
  <c r="AM751" i="8"/>
  <c r="AM752" i="8"/>
  <c r="AM753" i="8"/>
  <c r="AM754" i="8"/>
  <c r="AM755" i="8"/>
  <c r="AM756" i="8"/>
  <c r="AM757" i="8"/>
  <c r="AM758" i="8"/>
  <c r="AM759" i="8"/>
  <c r="AM760" i="8"/>
  <c r="AM761" i="8"/>
  <c r="AM762" i="8"/>
  <c r="AM763" i="8"/>
  <c r="AM764" i="8"/>
  <c r="AM765" i="8"/>
  <c r="AM766" i="8"/>
  <c r="AM767" i="8"/>
  <c r="AM768" i="8"/>
  <c r="AM769" i="8"/>
  <c r="AM770" i="8"/>
  <c r="AM771" i="8"/>
  <c r="AM772" i="8"/>
  <c r="AM773" i="8"/>
  <c r="AM774" i="8"/>
  <c r="AM775" i="8"/>
  <c r="AM776" i="8"/>
  <c r="AM777" i="8"/>
  <c r="AM778" i="8"/>
  <c r="AM779" i="8"/>
  <c r="AM780" i="8"/>
  <c r="AM781" i="8"/>
  <c r="AM782" i="8"/>
  <c r="AM783" i="8"/>
  <c r="AM784" i="8"/>
  <c r="AM785" i="8"/>
  <c r="AM786" i="8"/>
  <c r="AM787" i="8"/>
  <c r="AM788" i="8"/>
  <c r="AM789" i="8"/>
  <c r="AM790" i="8"/>
  <c r="AM791" i="8"/>
  <c r="AM792" i="8"/>
  <c r="AM793" i="8"/>
  <c r="AM794" i="8"/>
  <c r="AM795" i="8"/>
  <c r="AM796" i="8"/>
  <c r="AM797" i="8"/>
  <c r="AM798" i="8"/>
  <c r="AM799" i="8"/>
  <c r="AM800" i="8"/>
  <c r="AM801" i="8"/>
  <c r="AM802" i="8"/>
  <c r="AM803" i="8"/>
  <c r="AM804" i="8"/>
  <c r="AM805" i="8"/>
  <c r="AM806" i="8"/>
  <c r="AM807" i="8"/>
  <c r="AM808" i="8"/>
  <c r="AM809" i="8"/>
  <c r="AM810" i="8"/>
  <c r="AM811" i="8"/>
  <c r="AM812" i="8"/>
  <c r="AM813" i="8"/>
  <c r="AM814" i="8"/>
  <c r="AM815" i="8"/>
  <c r="AM816" i="8"/>
  <c r="AM817" i="8"/>
  <c r="AM818" i="8"/>
  <c r="AM819" i="8"/>
  <c r="AM820" i="8"/>
  <c r="AM821" i="8"/>
  <c r="AM822" i="8"/>
  <c r="AM823" i="8"/>
  <c r="AM824" i="8"/>
  <c r="AM825" i="8"/>
  <c r="AM826" i="8"/>
  <c r="AM827" i="8"/>
  <c r="AM828" i="8"/>
  <c r="AM829" i="8"/>
  <c r="AM830" i="8"/>
  <c r="AM831" i="8"/>
  <c r="AM832" i="8"/>
  <c r="AM833" i="8"/>
  <c r="AM834" i="8"/>
  <c r="AM835" i="8"/>
  <c r="AM836" i="8"/>
  <c r="AM837" i="8"/>
  <c r="AM838" i="8"/>
  <c r="AM839" i="8"/>
  <c r="AM840" i="8"/>
  <c r="AM841" i="8"/>
  <c r="AM842" i="8"/>
  <c r="AM843" i="8"/>
  <c r="AM844" i="8"/>
  <c r="AM845" i="8"/>
  <c r="AM846" i="8"/>
  <c r="AM847" i="8"/>
  <c r="AM848" i="8"/>
  <c r="AM849" i="8"/>
  <c r="AM850" i="8"/>
  <c r="AM851" i="8"/>
  <c r="AM852" i="8"/>
  <c r="AM853" i="8"/>
  <c r="AM854" i="8"/>
  <c r="AM855" i="8"/>
  <c r="AM856" i="8"/>
  <c r="AM857" i="8"/>
  <c r="AM858" i="8"/>
  <c r="AM859" i="8"/>
  <c r="AM860" i="8"/>
  <c r="AM861" i="8"/>
  <c r="AM862" i="8"/>
  <c r="AM863" i="8"/>
  <c r="AM864" i="8"/>
  <c r="AM865" i="8"/>
  <c r="AM866" i="8"/>
  <c r="AM867" i="8"/>
  <c r="AM868" i="8"/>
  <c r="AM869" i="8"/>
  <c r="AM870" i="8"/>
  <c r="AM871" i="8"/>
  <c r="AM872" i="8"/>
  <c r="AM873" i="8"/>
  <c r="AM874" i="8"/>
  <c r="AM875" i="8"/>
  <c r="AM876" i="8"/>
  <c r="AM877" i="8"/>
  <c r="AM878" i="8"/>
  <c r="AM879" i="8"/>
  <c r="AM880" i="8"/>
  <c r="AM881" i="8"/>
  <c r="AM882" i="8"/>
  <c r="AM883" i="8"/>
  <c r="AM884" i="8"/>
  <c r="AM885" i="8"/>
  <c r="AM886" i="8"/>
  <c r="AM887" i="8"/>
  <c r="AM888" i="8"/>
  <c r="AM889" i="8"/>
  <c r="AM890" i="8"/>
  <c r="AM891" i="8"/>
  <c r="AM892" i="8"/>
  <c r="AM893" i="8"/>
  <c r="AM894" i="8"/>
  <c r="AM895" i="8"/>
  <c r="AM896" i="8"/>
  <c r="AM897" i="8"/>
  <c r="AM898" i="8"/>
  <c r="AM899" i="8"/>
  <c r="AM900" i="8"/>
  <c r="AM901" i="8"/>
  <c r="AM902" i="8"/>
  <c r="AM903" i="8"/>
  <c r="AM904" i="8"/>
  <c r="AM905" i="8"/>
  <c r="AM906" i="8"/>
  <c r="AM907" i="8"/>
  <c r="AM908" i="8"/>
  <c r="AM909" i="8"/>
  <c r="AM910" i="8"/>
  <c r="AM911" i="8"/>
  <c r="AM912" i="8"/>
  <c r="AM913" i="8"/>
  <c r="AM914" i="8"/>
  <c r="AM915" i="8"/>
  <c r="AM916" i="8"/>
  <c r="AM917" i="8"/>
  <c r="AM918" i="8"/>
  <c r="AM919" i="8"/>
  <c r="AM920" i="8"/>
  <c r="AM921" i="8"/>
  <c r="AM922" i="8"/>
  <c r="AM923" i="8"/>
  <c r="AM924" i="8"/>
  <c r="AM925" i="8"/>
  <c r="AM926" i="8"/>
  <c r="AM927" i="8"/>
  <c r="AM928" i="8"/>
  <c r="AM929" i="8"/>
  <c r="AM930" i="8"/>
  <c r="AM931" i="8"/>
  <c r="AM932" i="8"/>
  <c r="AM933" i="8"/>
  <c r="AM934" i="8"/>
  <c r="AM935" i="8"/>
  <c r="AM936" i="8"/>
  <c r="AM937" i="8"/>
  <c r="AM938" i="8"/>
  <c r="AM939" i="8"/>
  <c r="AM940" i="8"/>
  <c r="AM941" i="8"/>
  <c r="AM942" i="8"/>
  <c r="AM943" i="8"/>
  <c r="AM944" i="8"/>
  <c r="AM945" i="8"/>
  <c r="AM946" i="8"/>
  <c r="AM947" i="8"/>
  <c r="AM948" i="8"/>
  <c r="AM949" i="8"/>
  <c r="AM950" i="8"/>
  <c r="AM951" i="8"/>
  <c r="AM952" i="8"/>
  <c r="AM953" i="8"/>
  <c r="AM954" i="8"/>
  <c r="AM955" i="8"/>
  <c r="AM956" i="8"/>
  <c r="AM957" i="8"/>
  <c r="AM958" i="8"/>
  <c r="AM959" i="8"/>
  <c r="AM960" i="8"/>
  <c r="AM961" i="8"/>
  <c r="AM962" i="8"/>
  <c r="AM963" i="8"/>
  <c r="AM964" i="8"/>
  <c r="AM965" i="8"/>
  <c r="AM966" i="8"/>
  <c r="AM967" i="8"/>
  <c r="AM968" i="8"/>
  <c r="AM969" i="8"/>
  <c r="AM970" i="8"/>
  <c r="AM971" i="8"/>
  <c r="AM972" i="8"/>
  <c r="AM973" i="8"/>
  <c r="AM974" i="8"/>
  <c r="AM975" i="8"/>
  <c r="AM976" i="8"/>
  <c r="AM977" i="8"/>
  <c r="AM978" i="8"/>
  <c r="AM979" i="8"/>
  <c r="AM980" i="8"/>
  <c r="AM981" i="8"/>
  <c r="AM982" i="8"/>
  <c r="AM983" i="8"/>
  <c r="AM984" i="8"/>
  <c r="AM985" i="8"/>
  <c r="AM986" i="8"/>
  <c r="AM987" i="8"/>
  <c r="AM988" i="8"/>
  <c r="AM989" i="8"/>
  <c r="AM990" i="8"/>
  <c r="AM991" i="8"/>
  <c r="AM992" i="8"/>
  <c r="AM993" i="8"/>
  <c r="AM994" i="8"/>
  <c r="AM995" i="8"/>
  <c r="AM996" i="8"/>
  <c r="AM997" i="8"/>
  <c r="AM998" i="8"/>
  <c r="AM999" i="8"/>
  <c r="AM1000" i="8"/>
  <c r="AM1001" i="8"/>
  <c r="AM1002" i="8"/>
  <c r="AM1003" i="8"/>
  <c r="AM1004" i="8"/>
  <c r="AM1005" i="8"/>
  <c r="AM1006" i="8"/>
  <c r="AM1007" i="8"/>
  <c r="AM1008" i="8"/>
  <c r="AM1009" i="8"/>
  <c r="AM1010" i="8"/>
  <c r="AM1011" i="8"/>
  <c r="AM1012" i="8"/>
  <c r="AM1013" i="8"/>
  <c r="AM1014" i="8"/>
  <c r="AM1015" i="8"/>
  <c r="AM1016" i="8"/>
  <c r="AM1017" i="8"/>
  <c r="AM1018" i="8"/>
  <c r="AM1019" i="8"/>
  <c r="AM1020" i="8"/>
  <c r="AM1021" i="8"/>
  <c r="AM1022" i="8"/>
  <c r="AM1023" i="8"/>
  <c r="AM1024" i="8"/>
  <c r="AM1025" i="8"/>
  <c r="AM1026" i="8"/>
  <c r="AM1027" i="8"/>
  <c r="AM1028" i="8"/>
  <c r="AM1029" i="8"/>
  <c r="AM1030" i="8"/>
  <c r="AM1031" i="8"/>
  <c r="AM1032" i="8"/>
  <c r="AM1033" i="8"/>
  <c r="AM1034" i="8"/>
  <c r="AM1035" i="8"/>
  <c r="AM1036" i="8"/>
  <c r="AM1037" i="8"/>
  <c r="AM1038" i="8"/>
  <c r="AM1039" i="8"/>
  <c r="AM1040" i="8"/>
  <c r="AM1041" i="8"/>
  <c r="AM1042" i="8"/>
  <c r="AM1043" i="8"/>
  <c r="AM1044" i="8"/>
  <c r="AM1045" i="8"/>
  <c r="AM1046" i="8"/>
  <c r="AM1047" i="8"/>
  <c r="AM1048" i="8"/>
  <c r="AM1049" i="8"/>
  <c r="AM1050" i="8"/>
  <c r="AM1051" i="8"/>
  <c r="AM1052" i="8"/>
  <c r="AM1053" i="8"/>
  <c r="AM1054" i="8"/>
  <c r="AM1055" i="8"/>
  <c r="AM1056" i="8"/>
  <c r="AM1057" i="8"/>
  <c r="AM1058" i="8"/>
  <c r="AM1059" i="8"/>
  <c r="AM1060" i="8"/>
  <c r="AM1061" i="8"/>
  <c r="AM1062" i="8"/>
  <c r="AM1063" i="8"/>
  <c r="AM1064" i="8"/>
  <c r="AM1065" i="8"/>
  <c r="AM1066" i="8"/>
  <c r="AM1067" i="8"/>
  <c r="AM1068" i="8"/>
  <c r="AM1069" i="8"/>
  <c r="AM1070" i="8"/>
  <c r="AM1071" i="8"/>
  <c r="AM1072" i="8"/>
  <c r="AM1073" i="8"/>
  <c r="AM1074" i="8"/>
  <c r="AM1075" i="8"/>
  <c r="AM1076" i="8"/>
  <c r="AM1077" i="8"/>
  <c r="AM1078" i="8"/>
  <c r="AM1079" i="8"/>
  <c r="AM1080" i="8"/>
  <c r="AM1081" i="8"/>
  <c r="AM1082" i="8"/>
  <c r="AM1083" i="8"/>
  <c r="AM1084" i="8"/>
  <c r="AM1085" i="8"/>
  <c r="AM1086" i="8"/>
  <c r="AM1087" i="8"/>
  <c r="AM1088" i="8"/>
  <c r="AM1089" i="8"/>
  <c r="AM1090" i="8"/>
  <c r="AM1091" i="8"/>
  <c r="AM1092" i="8"/>
  <c r="AM1093" i="8"/>
  <c r="AM1094" i="8"/>
  <c r="AM1095" i="8"/>
  <c r="AM1096" i="8"/>
  <c r="AM1097" i="8"/>
  <c r="AM1098" i="8"/>
  <c r="AM1099" i="8"/>
  <c r="AM1100" i="8"/>
  <c r="AM1101" i="8"/>
  <c r="AM1102" i="8"/>
  <c r="AM1103" i="8"/>
  <c r="AM1104" i="8"/>
  <c r="AM1105" i="8"/>
  <c r="AM1106" i="8"/>
  <c r="AM1107" i="8"/>
  <c r="AM1108" i="8"/>
  <c r="AM1109" i="8"/>
  <c r="AM1110" i="8"/>
  <c r="AM1111" i="8"/>
  <c r="AM1112" i="8"/>
  <c r="AM1113" i="8"/>
  <c r="AM1114" i="8"/>
  <c r="AM1115" i="8"/>
  <c r="AM1116" i="8"/>
  <c r="AM1117" i="8"/>
  <c r="AM1118" i="8"/>
  <c r="AM1119" i="8"/>
  <c r="AM1120" i="8"/>
  <c r="AM1121" i="8"/>
  <c r="AM1122" i="8"/>
  <c r="AM1123" i="8"/>
  <c r="AM1124" i="8"/>
  <c r="AM1125" i="8"/>
  <c r="AM1126" i="8"/>
  <c r="AM1127" i="8"/>
  <c r="AM1128" i="8"/>
  <c r="AM1129" i="8"/>
  <c r="AM1130" i="8"/>
  <c r="AM1131" i="8"/>
  <c r="AM1132" i="8"/>
  <c r="AM1133" i="8"/>
  <c r="AM1134" i="8"/>
  <c r="AM1135" i="8"/>
  <c r="AM1136" i="8"/>
  <c r="AM1137" i="8"/>
  <c r="AM1138" i="8"/>
  <c r="AM1139" i="8"/>
  <c r="AM1140" i="8"/>
  <c r="AM1141" i="8"/>
  <c r="AM1142" i="8"/>
  <c r="AM1143" i="8"/>
  <c r="AM1144" i="8"/>
  <c r="AM1145" i="8"/>
  <c r="AM1146" i="8"/>
  <c r="AM1147" i="8"/>
  <c r="AM1148" i="8"/>
  <c r="AM1149" i="8"/>
  <c r="AM1150" i="8"/>
  <c r="AM1151" i="8"/>
  <c r="AM1152" i="8"/>
  <c r="AM1153" i="8"/>
  <c r="AM1154" i="8"/>
  <c r="AM1155" i="8"/>
  <c r="AM1156" i="8"/>
  <c r="AM1157" i="8"/>
  <c r="AM1158" i="8"/>
  <c r="AM1159" i="8"/>
  <c r="AM1160" i="8"/>
  <c r="AM1161" i="8"/>
  <c r="AM1162" i="8"/>
  <c r="AM1163" i="8"/>
  <c r="AM1164" i="8"/>
  <c r="AM1165" i="8"/>
  <c r="AM1166" i="8"/>
  <c r="AM1167" i="8"/>
  <c r="AM1168" i="8"/>
  <c r="AM1169" i="8"/>
  <c r="AM1170" i="8"/>
  <c r="AM1171" i="8"/>
  <c r="AM1172" i="8"/>
  <c r="AM1173" i="8"/>
  <c r="AM1174" i="8"/>
  <c r="AM1175" i="8"/>
  <c r="AM1176" i="8"/>
  <c r="AM1177" i="8"/>
  <c r="AM1178" i="8"/>
  <c r="AM1179" i="8"/>
  <c r="AM1180" i="8"/>
  <c r="AM1181" i="8"/>
  <c r="AM1182" i="8"/>
  <c r="AM1183" i="8"/>
  <c r="AM1184" i="8"/>
  <c r="AM1185" i="8"/>
  <c r="AM1186" i="8"/>
  <c r="AM1187" i="8"/>
  <c r="AM1188" i="8"/>
  <c r="AM1189" i="8"/>
  <c r="AM1190" i="8"/>
  <c r="AM1191" i="8"/>
  <c r="AM1192" i="8"/>
  <c r="AM1193" i="8"/>
  <c r="AM1194" i="8"/>
  <c r="AM1195" i="8"/>
  <c r="AM1196" i="8"/>
  <c r="AM1197" i="8"/>
  <c r="AM1198" i="8"/>
  <c r="AM1199" i="8"/>
  <c r="AM1200" i="8"/>
  <c r="AM1201" i="8"/>
  <c r="AM1202" i="8"/>
  <c r="AM1203" i="8"/>
  <c r="AM1204" i="8"/>
  <c r="AM1205" i="8"/>
  <c r="AM1206" i="8"/>
  <c r="AM1207" i="8"/>
  <c r="AM1208" i="8"/>
  <c r="AM1209" i="8"/>
  <c r="AM1210" i="8"/>
  <c r="AM1211" i="8"/>
  <c r="AM1212" i="8"/>
  <c r="AM1213" i="8"/>
  <c r="AM1214" i="8"/>
  <c r="AM1215" i="8"/>
  <c r="AM1216" i="8"/>
  <c r="AM1217" i="8"/>
  <c r="AM1218" i="8"/>
  <c r="AM1219" i="8"/>
  <c r="AM1220" i="8"/>
  <c r="AM1221" i="8"/>
  <c r="AM1222" i="8"/>
  <c r="AM1223" i="8"/>
  <c r="AM1224" i="8"/>
  <c r="AM1225" i="8"/>
  <c r="AM1226" i="8"/>
  <c r="AM1227" i="8"/>
  <c r="AM1228" i="8"/>
  <c r="AM1229" i="8"/>
  <c r="AM1230" i="8"/>
  <c r="AM1231" i="8"/>
  <c r="AM1232" i="8"/>
  <c r="AM1233" i="8"/>
  <c r="AM1234" i="8"/>
  <c r="AM1235" i="8"/>
  <c r="AM1236" i="8"/>
  <c r="AM1237" i="8"/>
  <c r="AM1238" i="8"/>
  <c r="AM1239" i="8"/>
  <c r="AM1240" i="8"/>
  <c r="AM1241" i="8"/>
  <c r="AM1242" i="8"/>
  <c r="AM1243" i="8"/>
  <c r="AM1244" i="8"/>
  <c r="AM1245" i="8"/>
  <c r="AM1246" i="8"/>
  <c r="AM1247" i="8"/>
  <c r="AM1248" i="8"/>
  <c r="AM1249" i="8"/>
  <c r="AM1250" i="8"/>
  <c r="E9" i="5"/>
  <c r="E5" i="5"/>
  <c r="E6" i="5"/>
  <c r="E8" i="5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W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D2" i="14" l="1"/>
  <c r="D3" i="14"/>
  <c r="D4" i="14"/>
  <c r="D5" i="14"/>
  <c r="D6" i="14"/>
  <c r="D7" i="14"/>
  <c r="D8" i="14"/>
  <c r="D9" i="14"/>
  <c r="D10" i="14"/>
  <c r="D11" i="14"/>
  <c r="D12" i="14"/>
  <c r="D13" i="14"/>
  <c r="D14" i="14"/>
  <c r="D15" i="14"/>
  <c r="D16" i="14"/>
  <c r="D17" i="14"/>
  <c r="D18" i="14"/>
  <c r="D19" i="14"/>
  <c r="D20" i="14"/>
  <c r="D21" i="14"/>
  <c r="D22" i="14"/>
  <c r="D23" i="14"/>
  <c r="D24" i="14"/>
  <c r="D25" i="14"/>
  <c r="D26" i="14"/>
  <c r="D27" i="14"/>
  <c r="D28" i="14"/>
  <c r="D29" i="14"/>
  <c r="D30" i="14"/>
  <c r="D31" i="14"/>
  <c r="D32" i="14"/>
  <c r="D33" i="14"/>
  <c r="D34" i="14"/>
  <c r="D35" i="14"/>
  <c r="D36" i="14"/>
  <c r="D37" i="14"/>
  <c r="D38" i="14"/>
  <c r="D39" i="14"/>
  <c r="D40" i="14"/>
  <c r="D41" i="14"/>
  <c r="D42" i="14"/>
  <c r="D43" i="14"/>
  <c r="D44" i="14"/>
  <c r="D45" i="14"/>
  <c r="D46" i="14"/>
  <c r="D47" i="14"/>
  <c r="D48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D103" i="14"/>
  <c r="D104" i="14"/>
  <c r="D105" i="14"/>
  <c r="D106" i="14"/>
  <c r="D107" i="14"/>
  <c r="D108" i="14"/>
  <c r="D109" i="14"/>
  <c r="D110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D126" i="14"/>
  <c r="D127" i="14"/>
  <c r="D128" i="14"/>
  <c r="D129" i="14"/>
  <c r="D130" i="14"/>
  <c r="D131" i="14"/>
  <c r="D132" i="14"/>
  <c r="D133" i="14"/>
  <c r="D134" i="14"/>
  <c r="D135" i="14"/>
  <c r="D136" i="14"/>
  <c r="D137" i="14"/>
  <c r="D138" i="14"/>
  <c r="D139" i="14"/>
  <c r="D140" i="14"/>
  <c r="D141" i="14"/>
  <c r="D142" i="14"/>
  <c r="D143" i="14"/>
  <c r="D144" i="14"/>
  <c r="D145" i="14"/>
  <c r="D146" i="14"/>
  <c r="D147" i="14"/>
  <c r="D148" i="14"/>
  <c r="D149" i="14"/>
  <c r="D150" i="14"/>
  <c r="D151" i="14"/>
  <c r="D152" i="14"/>
  <c r="D153" i="14"/>
  <c r="D154" i="14"/>
  <c r="D155" i="14"/>
  <c r="D156" i="14"/>
  <c r="D157" i="14"/>
  <c r="D158" i="14"/>
  <c r="D159" i="14"/>
  <c r="D160" i="14"/>
  <c r="D161" i="14"/>
  <c r="D162" i="14"/>
  <c r="D163" i="14"/>
  <c r="D164" i="14"/>
  <c r="D165" i="14"/>
  <c r="D166" i="14"/>
  <c r="D167" i="14"/>
  <c r="D168" i="14"/>
  <c r="D169" i="14"/>
  <c r="D170" i="14"/>
  <c r="D171" i="14"/>
  <c r="D172" i="14"/>
  <c r="D173" i="14"/>
  <c r="D174" i="14"/>
  <c r="D175" i="14"/>
  <c r="D176" i="14"/>
  <c r="D177" i="14"/>
  <c r="D178" i="14"/>
  <c r="D179" i="14"/>
  <c r="D180" i="14"/>
  <c r="D181" i="14"/>
  <c r="D182" i="14"/>
  <c r="D183" i="14"/>
  <c r="D184" i="14"/>
  <c r="D185" i="14"/>
  <c r="D186" i="14"/>
  <c r="D187" i="14"/>
  <c r="D188" i="14"/>
  <c r="D189" i="14"/>
  <c r="D190" i="14"/>
  <c r="D191" i="14"/>
  <c r="D192" i="14"/>
  <c r="D193" i="14"/>
  <c r="D194" i="14"/>
  <c r="D195" i="14"/>
  <c r="D196" i="14"/>
  <c r="D197" i="14"/>
  <c r="D198" i="14"/>
  <c r="D199" i="14"/>
  <c r="D200" i="14"/>
  <c r="D201" i="14"/>
  <c r="D202" i="14"/>
  <c r="D203" i="14"/>
  <c r="D204" i="14"/>
  <c r="D205" i="14"/>
  <c r="D206" i="14"/>
  <c r="D207" i="14"/>
  <c r="D208" i="14"/>
  <c r="D209" i="14"/>
  <c r="D210" i="14"/>
  <c r="D211" i="14"/>
  <c r="D212" i="14"/>
  <c r="D213" i="14"/>
  <c r="D214" i="14"/>
  <c r="D215" i="14"/>
  <c r="D216" i="14"/>
  <c r="D217" i="14"/>
  <c r="D218" i="14"/>
  <c r="D219" i="14"/>
  <c r="D220" i="14"/>
  <c r="D221" i="14"/>
  <c r="D222" i="14"/>
  <c r="D223" i="14"/>
  <c r="D224" i="14"/>
  <c r="D225" i="14"/>
  <c r="D226" i="14"/>
  <c r="D227" i="14"/>
  <c r="D228" i="14"/>
  <c r="D229" i="14"/>
  <c r="D230" i="14"/>
  <c r="D231" i="14"/>
  <c r="D232" i="14"/>
  <c r="D233" i="14"/>
  <c r="D234" i="14"/>
  <c r="D235" i="14"/>
  <c r="D236" i="14"/>
  <c r="D237" i="14"/>
  <c r="D238" i="14"/>
  <c r="D239" i="14"/>
  <c r="D240" i="14"/>
  <c r="D241" i="14"/>
  <c r="D242" i="14"/>
  <c r="D243" i="14"/>
  <c r="D244" i="14"/>
  <c r="D245" i="14"/>
  <c r="D246" i="14"/>
  <c r="D247" i="14"/>
  <c r="D248" i="14"/>
  <c r="D249" i="14"/>
  <c r="D250" i="14"/>
  <c r="D251" i="14"/>
  <c r="D252" i="14"/>
  <c r="D253" i="14"/>
  <c r="D254" i="14"/>
  <c r="D255" i="14"/>
  <c r="D256" i="14"/>
  <c r="D257" i="14"/>
  <c r="D258" i="14"/>
  <c r="D259" i="14"/>
  <c r="D260" i="14"/>
  <c r="D261" i="14"/>
  <c r="D262" i="14"/>
  <c r="D263" i="14"/>
  <c r="D264" i="14"/>
  <c r="D265" i="14"/>
  <c r="D266" i="14"/>
  <c r="D267" i="14"/>
  <c r="D268" i="14"/>
  <c r="D269" i="14"/>
  <c r="D270" i="14"/>
  <c r="D271" i="14"/>
  <c r="D272" i="14"/>
  <c r="D273" i="14"/>
  <c r="D274" i="14"/>
  <c r="D275" i="14"/>
  <c r="D276" i="14"/>
  <c r="D277" i="14"/>
  <c r="D278" i="14"/>
  <c r="D279" i="14"/>
  <c r="D280" i="14"/>
  <c r="D281" i="14"/>
  <c r="D282" i="14"/>
  <c r="D283" i="14"/>
  <c r="D284" i="14"/>
  <c r="D285" i="14"/>
  <c r="D286" i="14"/>
  <c r="D287" i="14"/>
  <c r="D288" i="14"/>
  <c r="D289" i="14"/>
  <c r="D290" i="14"/>
  <c r="D291" i="14"/>
  <c r="D292" i="14"/>
  <c r="D293" i="14"/>
  <c r="D294" i="14"/>
  <c r="D295" i="14"/>
  <c r="D296" i="14"/>
  <c r="D297" i="14"/>
  <c r="D298" i="14"/>
  <c r="D299" i="14"/>
  <c r="D300" i="14"/>
  <c r="D301" i="14"/>
  <c r="D302" i="14"/>
  <c r="D303" i="14"/>
  <c r="D304" i="14"/>
  <c r="D305" i="14"/>
  <c r="D306" i="14"/>
  <c r="D307" i="14"/>
  <c r="D308" i="14"/>
  <c r="D309" i="14"/>
  <c r="D310" i="14"/>
  <c r="D311" i="14"/>
  <c r="D312" i="14"/>
  <c r="D313" i="14"/>
  <c r="D314" i="14"/>
  <c r="D315" i="14"/>
  <c r="D316" i="14"/>
  <c r="D317" i="14"/>
  <c r="D318" i="14"/>
  <c r="D319" i="14"/>
  <c r="D320" i="14"/>
  <c r="D321" i="14"/>
  <c r="D322" i="14"/>
  <c r="D323" i="14"/>
  <c r="D324" i="14"/>
  <c r="D325" i="14"/>
  <c r="D326" i="14"/>
  <c r="D327" i="14"/>
  <c r="D328" i="14"/>
  <c r="D329" i="14"/>
  <c r="D330" i="14"/>
  <c r="D331" i="14"/>
  <c r="D332" i="14"/>
  <c r="D333" i="14"/>
  <c r="D334" i="14"/>
  <c r="D335" i="14"/>
  <c r="D336" i="14"/>
  <c r="D337" i="14"/>
  <c r="D338" i="14"/>
  <c r="D339" i="14"/>
  <c r="D340" i="14"/>
  <c r="D341" i="14"/>
  <c r="D342" i="14"/>
  <c r="D343" i="14"/>
  <c r="D344" i="14"/>
  <c r="D345" i="14"/>
  <c r="D346" i="14"/>
  <c r="D347" i="14"/>
  <c r="D348" i="14"/>
  <c r="D349" i="14"/>
  <c r="D350" i="14"/>
  <c r="D351" i="14"/>
  <c r="D352" i="14"/>
  <c r="D353" i="14"/>
  <c r="D354" i="14"/>
  <c r="D355" i="14"/>
  <c r="D356" i="14"/>
  <c r="D357" i="14"/>
  <c r="D358" i="14"/>
  <c r="D359" i="14"/>
  <c r="D360" i="14"/>
  <c r="D361" i="14"/>
  <c r="D362" i="14"/>
  <c r="D363" i="14"/>
  <c r="D364" i="14"/>
  <c r="D365" i="14"/>
  <c r="D366" i="14"/>
  <c r="D367" i="14"/>
  <c r="D368" i="14"/>
  <c r="D369" i="14"/>
  <c r="D370" i="14"/>
  <c r="D371" i="14"/>
  <c r="D372" i="14"/>
  <c r="D373" i="14"/>
  <c r="D374" i="14"/>
  <c r="D375" i="14"/>
  <c r="D376" i="14"/>
  <c r="D377" i="14"/>
  <c r="D378" i="14"/>
  <c r="D379" i="14"/>
  <c r="D380" i="14"/>
  <c r="D381" i="14"/>
  <c r="D382" i="14"/>
  <c r="D383" i="14"/>
  <c r="D384" i="14"/>
  <c r="D385" i="14"/>
  <c r="D386" i="14"/>
  <c r="D387" i="14"/>
  <c r="D388" i="14"/>
  <c r="D389" i="14"/>
  <c r="D390" i="14"/>
  <c r="D391" i="14"/>
  <c r="D392" i="14"/>
  <c r="D393" i="14"/>
  <c r="D394" i="14"/>
  <c r="D395" i="14"/>
  <c r="D396" i="14"/>
  <c r="D397" i="14"/>
  <c r="D398" i="14"/>
  <c r="D399" i="14"/>
  <c r="D400" i="14"/>
  <c r="D401" i="14"/>
  <c r="D402" i="14"/>
  <c r="D403" i="14"/>
  <c r="D404" i="14"/>
  <c r="D405" i="14"/>
  <c r="D406" i="14"/>
  <c r="D407" i="14"/>
  <c r="D408" i="14"/>
  <c r="D409" i="14"/>
  <c r="D410" i="14"/>
  <c r="D411" i="14"/>
  <c r="D412" i="14"/>
  <c r="D413" i="14"/>
  <c r="D414" i="14"/>
  <c r="D415" i="14"/>
  <c r="D416" i="14"/>
  <c r="D417" i="14"/>
  <c r="D418" i="14"/>
  <c r="D419" i="14"/>
  <c r="D420" i="14"/>
  <c r="D421" i="14"/>
  <c r="D422" i="14"/>
  <c r="D423" i="14"/>
  <c r="D424" i="14"/>
  <c r="D425" i="14"/>
  <c r="D426" i="14"/>
  <c r="D427" i="14"/>
  <c r="D428" i="14"/>
  <c r="D429" i="14"/>
  <c r="D430" i="14"/>
  <c r="D431" i="14"/>
  <c r="D432" i="14"/>
  <c r="D433" i="14"/>
  <c r="D434" i="14"/>
  <c r="D435" i="14"/>
  <c r="D436" i="14"/>
  <c r="D437" i="14"/>
  <c r="D438" i="14"/>
  <c r="D439" i="14"/>
  <c r="D440" i="14"/>
  <c r="D441" i="14"/>
  <c r="D442" i="14"/>
  <c r="D443" i="14"/>
  <c r="D444" i="14"/>
  <c r="D445" i="14"/>
  <c r="D446" i="14"/>
  <c r="D447" i="14"/>
  <c r="D448" i="14"/>
  <c r="D449" i="14"/>
  <c r="D450" i="14"/>
  <c r="D451" i="14"/>
  <c r="D452" i="14"/>
  <c r="D453" i="14"/>
  <c r="D454" i="14"/>
  <c r="D455" i="14"/>
  <c r="D456" i="14"/>
  <c r="D458" i="14"/>
  <c r="D459" i="14"/>
  <c r="D460" i="14"/>
  <c r="D461" i="14"/>
  <c r="D462" i="14"/>
  <c r="D463" i="14"/>
  <c r="D464" i="14"/>
  <c r="D465" i="14"/>
  <c r="D466" i="14"/>
  <c r="D467" i="14"/>
  <c r="D468" i="14"/>
  <c r="D469" i="14"/>
  <c r="D470" i="14"/>
  <c r="D471" i="14"/>
  <c r="D472" i="14"/>
  <c r="D473" i="14"/>
  <c r="D474" i="14"/>
  <c r="D475" i="14"/>
  <c r="D476" i="14"/>
  <c r="D477" i="14"/>
  <c r="D478" i="14"/>
  <c r="D479" i="14"/>
  <c r="D480" i="14"/>
  <c r="D481" i="14"/>
  <c r="D482" i="14"/>
  <c r="D483" i="14"/>
  <c r="D484" i="14"/>
  <c r="D485" i="14"/>
  <c r="D486" i="14"/>
  <c r="D487" i="14"/>
  <c r="D488" i="14"/>
  <c r="D489" i="14"/>
  <c r="D490" i="14"/>
  <c r="D491" i="14"/>
  <c r="D492" i="14"/>
  <c r="D493" i="14"/>
  <c r="D494" i="14"/>
  <c r="D495" i="14"/>
  <c r="D496" i="14"/>
  <c r="D497" i="14"/>
  <c r="D498" i="14"/>
  <c r="D499" i="14"/>
  <c r="D500" i="14"/>
  <c r="D501" i="14"/>
  <c r="D502" i="14"/>
  <c r="D503" i="14"/>
  <c r="D504" i="14"/>
  <c r="D505" i="14"/>
  <c r="D506" i="14"/>
  <c r="D507" i="14"/>
  <c r="D508" i="14"/>
  <c r="D509" i="14"/>
  <c r="D510" i="14"/>
  <c r="D511" i="14"/>
  <c r="D512" i="14"/>
  <c r="D513" i="14"/>
  <c r="D514" i="14"/>
  <c r="D515" i="14"/>
  <c r="D516" i="14"/>
  <c r="D517" i="14"/>
  <c r="D518" i="14"/>
  <c r="D519" i="14"/>
  <c r="D520" i="14"/>
  <c r="D521" i="14"/>
  <c r="D522" i="14"/>
  <c r="D523" i="14"/>
  <c r="D524" i="14"/>
  <c r="D525" i="14"/>
  <c r="D526" i="14"/>
  <c r="D527" i="14"/>
  <c r="D528" i="14"/>
  <c r="D529" i="14"/>
  <c r="D530" i="14"/>
  <c r="D531" i="14"/>
  <c r="D532" i="14"/>
  <c r="D533" i="14"/>
  <c r="D534" i="14"/>
  <c r="D535" i="14"/>
  <c r="D536" i="14"/>
  <c r="D537" i="14"/>
  <c r="D538" i="14"/>
  <c r="D539" i="14"/>
  <c r="D540" i="14"/>
  <c r="D541" i="14"/>
  <c r="D542" i="14"/>
  <c r="D543" i="14"/>
  <c r="D544" i="14"/>
  <c r="D545" i="14"/>
  <c r="D546" i="14"/>
  <c r="D547" i="14"/>
  <c r="D548" i="14"/>
  <c r="D549" i="14"/>
  <c r="D550" i="14"/>
  <c r="D551" i="14"/>
  <c r="D552" i="14"/>
  <c r="D553" i="14"/>
  <c r="D554" i="14"/>
  <c r="D555" i="14"/>
  <c r="D556" i="14"/>
  <c r="D557" i="14"/>
  <c r="D558" i="14"/>
  <c r="D559" i="14"/>
  <c r="D560" i="14"/>
  <c r="D561" i="14"/>
  <c r="D562" i="14"/>
  <c r="D564" i="14"/>
  <c r="D565" i="14"/>
  <c r="D566" i="14"/>
  <c r="D567" i="14"/>
  <c r="D568" i="14"/>
  <c r="D569" i="14"/>
  <c r="D570" i="14"/>
  <c r="D571" i="14"/>
  <c r="D572" i="14"/>
  <c r="D573" i="14"/>
  <c r="D574" i="14"/>
  <c r="D575" i="14"/>
  <c r="D576" i="14"/>
  <c r="D577" i="14"/>
  <c r="D578" i="14"/>
  <c r="D579" i="14"/>
  <c r="D580" i="14"/>
  <c r="D581" i="14"/>
  <c r="D582" i="14"/>
  <c r="D583" i="14"/>
  <c r="D584" i="14"/>
  <c r="D585" i="14"/>
  <c r="D586" i="14"/>
  <c r="D587" i="14"/>
  <c r="D588" i="14"/>
  <c r="D589" i="14"/>
  <c r="D590" i="14"/>
  <c r="D591" i="14"/>
  <c r="D592" i="14"/>
  <c r="D593" i="14"/>
  <c r="D594" i="14"/>
  <c r="D595" i="14"/>
  <c r="D596" i="14"/>
  <c r="D597" i="14"/>
  <c r="D598" i="14"/>
  <c r="D599" i="14"/>
  <c r="D600" i="14"/>
  <c r="D601" i="14"/>
  <c r="D602" i="14"/>
  <c r="D603" i="14"/>
  <c r="D604" i="14"/>
  <c r="D605" i="14"/>
  <c r="D606" i="14"/>
  <c r="D607" i="14"/>
  <c r="D608" i="14"/>
  <c r="D609" i="14"/>
  <c r="D610" i="14"/>
  <c r="D611" i="14"/>
  <c r="D612" i="14"/>
  <c r="D613" i="14"/>
  <c r="D614" i="14"/>
  <c r="D615" i="14"/>
  <c r="D616" i="14"/>
  <c r="D617" i="14"/>
  <c r="D618" i="14"/>
  <c r="D619" i="14"/>
  <c r="D620" i="14"/>
  <c r="D621" i="14"/>
  <c r="D622" i="14"/>
  <c r="D623" i="14"/>
  <c r="D624" i="14"/>
  <c r="D625" i="14"/>
  <c r="D626" i="14"/>
  <c r="D627" i="14"/>
  <c r="D628" i="14"/>
  <c r="D629" i="14"/>
  <c r="D630" i="14"/>
  <c r="D631" i="14"/>
  <c r="D632" i="14"/>
  <c r="D633" i="14"/>
  <c r="D634" i="14"/>
  <c r="D635" i="14"/>
  <c r="D636" i="14"/>
  <c r="D637" i="14"/>
  <c r="D638" i="14"/>
  <c r="D639" i="14"/>
  <c r="D640" i="14"/>
  <c r="D641" i="14"/>
  <c r="D642" i="14"/>
  <c r="D643" i="14"/>
  <c r="D644" i="14"/>
  <c r="D645" i="14"/>
  <c r="D646" i="14"/>
  <c r="D647" i="14"/>
  <c r="D648" i="14"/>
  <c r="D649" i="14"/>
  <c r="D650" i="14"/>
  <c r="D651" i="14"/>
  <c r="D652" i="14"/>
  <c r="D653" i="14"/>
  <c r="D654" i="14"/>
  <c r="D655" i="14"/>
  <c r="D656" i="14"/>
  <c r="D657" i="14"/>
  <c r="D658" i="14"/>
  <c r="D659" i="14"/>
  <c r="D660" i="14"/>
  <c r="D661" i="14"/>
  <c r="D662" i="14"/>
  <c r="D663" i="14"/>
  <c r="D664" i="14"/>
  <c r="D665" i="14"/>
  <c r="D666" i="14"/>
  <c r="D667" i="14"/>
  <c r="D668" i="14"/>
  <c r="D669" i="14"/>
  <c r="D670" i="14"/>
  <c r="D671" i="14"/>
  <c r="D672" i="14"/>
  <c r="D673" i="14"/>
  <c r="D674" i="14"/>
  <c r="D675" i="14"/>
  <c r="D676" i="14"/>
  <c r="D677" i="14"/>
  <c r="D678" i="14"/>
  <c r="D679" i="14"/>
  <c r="D680" i="14"/>
  <c r="D681" i="14"/>
  <c r="D682" i="14"/>
  <c r="D683" i="14"/>
  <c r="D684" i="14"/>
  <c r="D685" i="14"/>
  <c r="D686" i="14"/>
  <c r="D687" i="14"/>
  <c r="D688" i="14"/>
  <c r="D689" i="14"/>
  <c r="D690" i="14"/>
  <c r="D691" i="14"/>
  <c r="D692" i="14"/>
  <c r="D693" i="14"/>
  <c r="D694" i="14"/>
  <c r="D695" i="14"/>
  <c r="D696" i="14"/>
  <c r="D697" i="14"/>
  <c r="D698" i="14"/>
  <c r="D699" i="14"/>
  <c r="D700" i="14"/>
  <c r="D701" i="14"/>
  <c r="D702" i="14"/>
  <c r="D703" i="14"/>
  <c r="D704" i="14"/>
  <c r="D705" i="14"/>
  <c r="D706" i="14"/>
  <c r="D707" i="14"/>
  <c r="D708" i="14"/>
  <c r="D709" i="14"/>
  <c r="D710" i="14"/>
  <c r="D711" i="14"/>
  <c r="D712" i="14"/>
  <c r="D713" i="14"/>
  <c r="D714" i="14"/>
  <c r="D715" i="14"/>
  <c r="D716" i="14"/>
  <c r="D717" i="14"/>
  <c r="D718" i="14"/>
  <c r="D9" i="17"/>
  <c r="D10" i="17"/>
  <c r="D8" i="17"/>
  <c r="F8" i="17"/>
  <c r="F9" i="17"/>
  <c r="H10" i="5" l="1"/>
  <c r="H27" i="5"/>
  <c r="H9" i="5"/>
  <c r="H28" i="5"/>
  <c r="H8" i="5"/>
  <c r="G546" i="14"/>
  <c r="G18" i="14"/>
  <c r="B2" i="5"/>
  <c r="E8" i="17"/>
  <c r="E9" i="17"/>
  <c r="B11" i="5" l="1"/>
  <c r="H19" i="5"/>
  <c r="H38" i="5" a="1"/>
  <c r="H38" i="5" s="1"/>
  <c r="S18" i="14" a="1"/>
  <c r="S18" i="14" s="1"/>
  <c r="R18" i="14"/>
  <c r="Q18" i="14"/>
  <c r="P18" i="14"/>
  <c r="O18" i="14"/>
  <c r="N18" i="14"/>
  <c r="M18" i="14"/>
  <c r="L18" i="14"/>
  <c r="K18" i="14"/>
  <c r="J18" i="14"/>
  <c r="I18" i="14"/>
  <c r="H18" i="14"/>
  <c r="AE910" i="8"/>
  <c r="AE911" i="8"/>
  <c r="AE912" i="8"/>
  <c r="AE913" i="8"/>
  <c r="AE914" i="8"/>
  <c r="AE915" i="8"/>
  <c r="AE916" i="8"/>
  <c r="AE917" i="8"/>
  <c r="AE918" i="8"/>
  <c r="AE919" i="8"/>
  <c r="AE920" i="8"/>
  <c r="AE921" i="8"/>
  <c r="AE922" i="8"/>
  <c r="AE923" i="8"/>
  <c r="AE924" i="8"/>
  <c r="AE925" i="8"/>
  <c r="AE926" i="8"/>
  <c r="AE927" i="8"/>
  <c r="AE928" i="8"/>
  <c r="AE929" i="8"/>
  <c r="AE930" i="8"/>
  <c r="AE931" i="8"/>
  <c r="AE932" i="8"/>
  <c r="AE933" i="8"/>
  <c r="AE934" i="8"/>
  <c r="AE935" i="8"/>
  <c r="AE936" i="8"/>
  <c r="AE937" i="8"/>
  <c r="AE938" i="8"/>
  <c r="AE939" i="8"/>
  <c r="AE940" i="8"/>
  <c r="AE941" i="8"/>
  <c r="AE942" i="8"/>
  <c r="AE943" i="8"/>
  <c r="AE944" i="8"/>
  <c r="AE945" i="8"/>
  <c r="AE946" i="8"/>
  <c r="AE947" i="8"/>
  <c r="AE948" i="8"/>
  <c r="AE949" i="8"/>
  <c r="AE950" i="8"/>
  <c r="AE951" i="8"/>
  <c r="AE952" i="8"/>
  <c r="AE953" i="8"/>
  <c r="AE954" i="8"/>
  <c r="AE955" i="8"/>
  <c r="AE956" i="8"/>
  <c r="AE957" i="8"/>
  <c r="AE958" i="8"/>
  <c r="AE959" i="8"/>
  <c r="AE960" i="8"/>
  <c r="AE961" i="8"/>
  <c r="AE962" i="8"/>
  <c r="AE963" i="8"/>
  <c r="AE964" i="8"/>
  <c r="AE965" i="8"/>
  <c r="AE966" i="8"/>
  <c r="AE967" i="8"/>
  <c r="AE968" i="8"/>
  <c r="AE969" i="8"/>
  <c r="AE970" i="8"/>
  <c r="AE971" i="8"/>
  <c r="AE972" i="8"/>
  <c r="AE973" i="8"/>
  <c r="AE974" i="8"/>
  <c r="AE975" i="8"/>
  <c r="AE976" i="8"/>
  <c r="AE977" i="8"/>
  <c r="AE978" i="8"/>
  <c r="AE979" i="8"/>
  <c r="AE980" i="8"/>
  <c r="AE981" i="8"/>
  <c r="AE982" i="8"/>
  <c r="AE983" i="8"/>
  <c r="AE984" i="8"/>
  <c r="AE985" i="8"/>
  <c r="AE986" i="8"/>
  <c r="AE987" i="8"/>
  <c r="AE988" i="8"/>
  <c r="AE989" i="8"/>
  <c r="AE990" i="8"/>
  <c r="AE991" i="8"/>
  <c r="AE992" i="8"/>
  <c r="AE993" i="8"/>
  <c r="AE994" i="8"/>
  <c r="AE995" i="8"/>
  <c r="AE996" i="8"/>
  <c r="AE997" i="8"/>
  <c r="AE998" i="8"/>
  <c r="AE999" i="8"/>
  <c r="AE1000" i="8"/>
  <c r="AE1001" i="8"/>
  <c r="AE1002" i="8"/>
  <c r="AE1003" i="8"/>
  <c r="AE1004" i="8"/>
  <c r="AE1005" i="8"/>
  <c r="AE1006" i="8"/>
  <c r="AE1007" i="8"/>
  <c r="AE1008" i="8"/>
  <c r="AE1009" i="8"/>
  <c r="AE1010" i="8"/>
  <c r="AE1011" i="8"/>
  <c r="AE1012" i="8"/>
  <c r="AE1013" i="8"/>
  <c r="AE1014" i="8"/>
  <c r="AE1015" i="8"/>
  <c r="AE1016" i="8"/>
  <c r="AE1017" i="8"/>
  <c r="AE1018" i="8"/>
  <c r="AE1019" i="8"/>
  <c r="AE1020" i="8"/>
  <c r="AE1021" i="8"/>
  <c r="AE1022" i="8"/>
  <c r="AE1023" i="8"/>
  <c r="AE1024" i="8"/>
  <c r="AE1025" i="8"/>
  <c r="AE1026" i="8"/>
  <c r="AE1027" i="8"/>
  <c r="AE1028" i="8"/>
  <c r="AE1029" i="8"/>
  <c r="AE1030" i="8"/>
  <c r="AE1031" i="8"/>
  <c r="AE1032" i="8"/>
  <c r="AE1033" i="8"/>
  <c r="AE1034" i="8"/>
  <c r="AE1035" i="8"/>
  <c r="AE1036" i="8"/>
  <c r="AE1037" i="8"/>
  <c r="AE1038" i="8"/>
  <c r="AE1039" i="8"/>
  <c r="AE1040" i="8"/>
  <c r="AE1041" i="8"/>
  <c r="AE1042" i="8"/>
  <c r="AE1043" i="8"/>
  <c r="AE1044" i="8"/>
  <c r="AE1045" i="8"/>
  <c r="AE1046" i="8"/>
  <c r="AE1047" i="8"/>
  <c r="AE1048" i="8"/>
  <c r="AE1049" i="8"/>
  <c r="AE1050" i="8"/>
  <c r="AE1051" i="8"/>
  <c r="AE1052" i="8"/>
  <c r="AE1053" i="8"/>
  <c r="AE1054" i="8"/>
  <c r="AE1055" i="8"/>
  <c r="AE1056" i="8"/>
  <c r="AE1057" i="8"/>
  <c r="AE1058" i="8"/>
  <c r="AE1059" i="8"/>
  <c r="AE1060" i="8"/>
  <c r="AE1061" i="8"/>
  <c r="AE1062" i="8"/>
  <c r="AE1063" i="8"/>
  <c r="AE1064" i="8"/>
  <c r="AE1065" i="8"/>
  <c r="AE1066" i="8"/>
  <c r="AE1067" i="8"/>
  <c r="AE1068" i="8"/>
  <c r="AE1069" i="8"/>
  <c r="AE1070" i="8"/>
  <c r="AE1071" i="8"/>
  <c r="AE1072" i="8"/>
  <c r="AE1073" i="8"/>
  <c r="AE1074" i="8"/>
  <c r="AE1075" i="8"/>
  <c r="AE1076" i="8"/>
  <c r="AE1077" i="8"/>
  <c r="AE1078" i="8"/>
  <c r="AE1079" i="8"/>
  <c r="AE1080" i="8"/>
  <c r="AE1081" i="8"/>
  <c r="AE1082" i="8"/>
  <c r="AE1083" i="8"/>
  <c r="AE1084" i="8"/>
  <c r="AE1085" i="8"/>
  <c r="AE1086" i="8"/>
  <c r="AE1087" i="8"/>
  <c r="AE1088" i="8"/>
  <c r="AE1089" i="8"/>
  <c r="AE1090" i="8"/>
  <c r="AE1091" i="8"/>
  <c r="AE1092" i="8"/>
  <c r="AE1093" i="8"/>
  <c r="AE1094" i="8"/>
  <c r="AE1095" i="8"/>
  <c r="AE1096" i="8"/>
  <c r="AE1097" i="8"/>
  <c r="AE1098" i="8"/>
  <c r="AE1099" i="8"/>
  <c r="AE1100" i="8"/>
  <c r="AE1101" i="8"/>
  <c r="AE1102" i="8"/>
  <c r="AE1103" i="8"/>
  <c r="AE1104" i="8"/>
  <c r="AE1105" i="8"/>
  <c r="AE1106" i="8"/>
  <c r="AE1107" i="8"/>
  <c r="AE1108" i="8"/>
  <c r="AE1109" i="8"/>
  <c r="AE1110" i="8"/>
  <c r="AE1111" i="8"/>
  <c r="AE1112" i="8"/>
  <c r="AE1113" i="8"/>
  <c r="AE1114" i="8"/>
  <c r="AE1115" i="8"/>
  <c r="AE1116" i="8"/>
  <c r="AE1117" i="8"/>
  <c r="AE1118" i="8"/>
  <c r="AE1119" i="8"/>
  <c r="AE1120" i="8"/>
  <c r="AE1121" i="8"/>
  <c r="AE1122" i="8"/>
  <c r="AE1123" i="8"/>
  <c r="AE1124" i="8"/>
  <c r="AE1125" i="8"/>
  <c r="AE1126" i="8"/>
  <c r="AE1127" i="8"/>
  <c r="AE1128" i="8"/>
  <c r="AE1129" i="8"/>
  <c r="AE1130" i="8"/>
  <c r="AE1131" i="8"/>
  <c r="AE1132" i="8"/>
  <c r="AE1133" i="8"/>
  <c r="AE1134" i="8"/>
  <c r="AE1135" i="8"/>
  <c r="AE1136" i="8"/>
  <c r="AE1137" i="8"/>
  <c r="AE1138" i="8"/>
  <c r="AE1139" i="8"/>
  <c r="AE1140" i="8"/>
  <c r="AE1141" i="8"/>
  <c r="AE1142" i="8"/>
  <c r="AE1143" i="8"/>
  <c r="AE1144" i="8"/>
  <c r="AE1145" i="8"/>
  <c r="AE1146" i="8"/>
  <c r="AE1147" i="8"/>
  <c r="AE1148" i="8"/>
  <c r="AE1149" i="8"/>
  <c r="AE1150" i="8"/>
  <c r="AE1151" i="8"/>
  <c r="AE1152" i="8"/>
  <c r="AE1153" i="8"/>
  <c r="AE1154" i="8"/>
  <c r="AE1155" i="8"/>
  <c r="AE1156" i="8"/>
  <c r="AE1157" i="8"/>
  <c r="AE1158" i="8"/>
  <c r="AE1159" i="8"/>
  <c r="AE1160" i="8"/>
  <c r="AE1161" i="8"/>
  <c r="AE1162" i="8"/>
  <c r="AE1163" i="8"/>
  <c r="AE1164" i="8"/>
  <c r="AE1165" i="8"/>
  <c r="AE1166" i="8"/>
  <c r="AE1167" i="8"/>
  <c r="AE1168" i="8"/>
  <c r="AE1169" i="8"/>
  <c r="AE1170" i="8"/>
  <c r="AE1171" i="8"/>
  <c r="AE1172" i="8"/>
  <c r="AE1173" i="8"/>
  <c r="AE1174" i="8"/>
  <c r="AE1175" i="8"/>
  <c r="AE1176" i="8"/>
  <c r="AE1177" i="8"/>
  <c r="AE1178" i="8"/>
  <c r="AE1179" i="8"/>
  <c r="AE1180" i="8"/>
  <c r="AE1181" i="8"/>
  <c r="AE1182" i="8"/>
  <c r="AE1183" i="8"/>
  <c r="AE1184" i="8"/>
  <c r="AE1185" i="8"/>
  <c r="AE1186" i="8"/>
  <c r="AE1187" i="8"/>
  <c r="AE1188" i="8"/>
  <c r="AE1189" i="8"/>
  <c r="AE1190" i="8"/>
  <c r="AE1191" i="8"/>
  <c r="AE1192" i="8"/>
  <c r="AE1193" i="8"/>
  <c r="AE1194" i="8"/>
  <c r="AE1195" i="8"/>
  <c r="AE1196" i="8"/>
  <c r="AE1197" i="8"/>
  <c r="AE1198" i="8"/>
  <c r="AE1199" i="8"/>
  <c r="AE1200" i="8"/>
  <c r="AE1201" i="8"/>
  <c r="AE1202" i="8"/>
  <c r="AE1203" i="8"/>
  <c r="AE1204" i="8"/>
  <c r="AE1205" i="8"/>
  <c r="AE1206" i="8"/>
  <c r="AE1207" i="8"/>
  <c r="AE1208" i="8"/>
  <c r="AE1209" i="8"/>
  <c r="AE1210" i="8"/>
  <c r="AE1211" i="8"/>
  <c r="AE1212" i="8"/>
  <c r="AE1213" i="8"/>
  <c r="AE1214" i="8"/>
  <c r="AE1215" i="8"/>
  <c r="AE1216" i="8"/>
  <c r="AE1217" i="8"/>
  <c r="AE1218" i="8"/>
  <c r="AE1219" i="8"/>
  <c r="AE1220" i="8"/>
  <c r="AE1221" i="8"/>
  <c r="AE1222" i="8"/>
  <c r="AE1223" i="8"/>
  <c r="AE1224" i="8"/>
  <c r="AE1225" i="8"/>
  <c r="AE1226" i="8"/>
  <c r="AE1227" i="8"/>
  <c r="AE1228" i="8"/>
  <c r="AE1229" i="8"/>
  <c r="AE1230" i="8"/>
  <c r="AE1231" i="8"/>
  <c r="AE1232" i="8"/>
  <c r="AE1233" i="8"/>
  <c r="AE1234" i="8"/>
  <c r="AE1235" i="8"/>
  <c r="AE1236" i="8"/>
  <c r="AE1237" i="8"/>
  <c r="AE1238" i="8"/>
  <c r="AE1239" i="8"/>
  <c r="AE1240" i="8"/>
  <c r="AE1241" i="8"/>
  <c r="AE1242" i="8"/>
  <c r="AE1243" i="8"/>
  <c r="AE1244" i="8"/>
  <c r="AE1245" i="8"/>
  <c r="AE1246" i="8"/>
  <c r="AE1247" i="8"/>
  <c r="AE1248" i="8"/>
  <c r="AE1249" i="8"/>
  <c r="AE1250" i="8"/>
  <c r="AD910" i="8"/>
  <c r="AD911" i="8"/>
  <c r="AD912" i="8"/>
  <c r="AD913" i="8"/>
  <c r="AD914" i="8"/>
  <c r="AD915" i="8"/>
  <c r="AD916" i="8"/>
  <c r="AD917" i="8"/>
  <c r="AD918" i="8"/>
  <c r="AD919" i="8"/>
  <c r="AD920" i="8"/>
  <c r="AD921" i="8"/>
  <c r="AD922" i="8"/>
  <c r="AD923" i="8"/>
  <c r="AD924" i="8"/>
  <c r="AD925" i="8"/>
  <c r="AD926" i="8"/>
  <c r="AD927" i="8"/>
  <c r="AD928" i="8"/>
  <c r="AD929" i="8"/>
  <c r="AD930" i="8"/>
  <c r="AD931" i="8"/>
  <c r="AD932" i="8"/>
  <c r="AD933" i="8"/>
  <c r="AD934" i="8"/>
  <c r="AD935" i="8"/>
  <c r="AD936" i="8"/>
  <c r="AD937" i="8"/>
  <c r="AD938" i="8"/>
  <c r="AD939" i="8"/>
  <c r="AD940" i="8"/>
  <c r="AD941" i="8"/>
  <c r="AD942" i="8"/>
  <c r="AD943" i="8"/>
  <c r="AD944" i="8"/>
  <c r="AD945" i="8"/>
  <c r="AD946" i="8"/>
  <c r="AD947" i="8"/>
  <c r="AD948" i="8"/>
  <c r="AD949" i="8"/>
  <c r="AD950" i="8"/>
  <c r="AD951" i="8"/>
  <c r="AD952" i="8"/>
  <c r="AD953" i="8"/>
  <c r="AD954" i="8"/>
  <c r="AD955" i="8"/>
  <c r="AD956" i="8"/>
  <c r="AD957" i="8"/>
  <c r="AD958" i="8"/>
  <c r="AD959" i="8"/>
  <c r="AD960" i="8"/>
  <c r="AD961" i="8"/>
  <c r="AD962" i="8"/>
  <c r="AD963" i="8"/>
  <c r="AD964" i="8"/>
  <c r="AD965" i="8"/>
  <c r="AD966" i="8"/>
  <c r="AD967" i="8"/>
  <c r="AD968" i="8"/>
  <c r="AD969" i="8"/>
  <c r="AD970" i="8"/>
  <c r="AD971" i="8"/>
  <c r="AD972" i="8"/>
  <c r="AD973" i="8"/>
  <c r="AD974" i="8"/>
  <c r="AD975" i="8"/>
  <c r="AD976" i="8"/>
  <c r="AD977" i="8"/>
  <c r="AD978" i="8"/>
  <c r="AD979" i="8"/>
  <c r="AD980" i="8"/>
  <c r="AD981" i="8"/>
  <c r="AD982" i="8"/>
  <c r="AD983" i="8"/>
  <c r="AD984" i="8"/>
  <c r="AD985" i="8"/>
  <c r="AD986" i="8"/>
  <c r="AD987" i="8"/>
  <c r="AD988" i="8"/>
  <c r="AD989" i="8"/>
  <c r="AD990" i="8"/>
  <c r="AD991" i="8"/>
  <c r="AD992" i="8"/>
  <c r="AD993" i="8"/>
  <c r="AD994" i="8"/>
  <c r="AD995" i="8"/>
  <c r="AD996" i="8"/>
  <c r="AD997" i="8"/>
  <c r="AD998" i="8"/>
  <c r="AD999" i="8"/>
  <c r="AD1000" i="8"/>
  <c r="AD1001" i="8"/>
  <c r="AD1002" i="8"/>
  <c r="AD1003" i="8"/>
  <c r="AD1004" i="8"/>
  <c r="AD1005" i="8"/>
  <c r="AD1006" i="8"/>
  <c r="AD1007" i="8"/>
  <c r="AD1008" i="8"/>
  <c r="AD1009" i="8"/>
  <c r="AD1010" i="8"/>
  <c r="AD1011" i="8"/>
  <c r="AD1012" i="8"/>
  <c r="AD1013" i="8"/>
  <c r="AD1014" i="8"/>
  <c r="AD1015" i="8"/>
  <c r="AD1016" i="8"/>
  <c r="AD1017" i="8"/>
  <c r="AD1018" i="8"/>
  <c r="AD1019" i="8"/>
  <c r="AD1020" i="8"/>
  <c r="AD1021" i="8"/>
  <c r="AD1022" i="8"/>
  <c r="AD1023" i="8"/>
  <c r="AD1024" i="8"/>
  <c r="AD1025" i="8"/>
  <c r="AD1026" i="8"/>
  <c r="AD1027" i="8"/>
  <c r="AD1028" i="8"/>
  <c r="AD1029" i="8"/>
  <c r="AD1030" i="8"/>
  <c r="AD1031" i="8"/>
  <c r="AD1032" i="8"/>
  <c r="AD1033" i="8"/>
  <c r="AD1034" i="8"/>
  <c r="AD1035" i="8"/>
  <c r="AD1036" i="8"/>
  <c r="AD1037" i="8"/>
  <c r="AD1038" i="8"/>
  <c r="AD1039" i="8"/>
  <c r="AD1040" i="8"/>
  <c r="AD1041" i="8"/>
  <c r="AD1042" i="8"/>
  <c r="AD1043" i="8"/>
  <c r="AD1044" i="8"/>
  <c r="AD1045" i="8"/>
  <c r="AD1046" i="8"/>
  <c r="AD1047" i="8"/>
  <c r="AD1048" i="8"/>
  <c r="AD1049" i="8"/>
  <c r="AD1050" i="8"/>
  <c r="AD1051" i="8"/>
  <c r="AD1052" i="8"/>
  <c r="AD1053" i="8"/>
  <c r="AD1054" i="8"/>
  <c r="AD1055" i="8"/>
  <c r="AD1056" i="8"/>
  <c r="AD1057" i="8"/>
  <c r="AD1058" i="8"/>
  <c r="AD1059" i="8"/>
  <c r="AD1060" i="8"/>
  <c r="AD1061" i="8"/>
  <c r="AD1062" i="8"/>
  <c r="AD1063" i="8"/>
  <c r="AD1064" i="8"/>
  <c r="AD1065" i="8"/>
  <c r="AD1066" i="8"/>
  <c r="AD1067" i="8"/>
  <c r="AD1068" i="8"/>
  <c r="AD1069" i="8"/>
  <c r="AD1070" i="8"/>
  <c r="AD1071" i="8"/>
  <c r="AD1072" i="8"/>
  <c r="AD1073" i="8"/>
  <c r="AD1074" i="8"/>
  <c r="AD1075" i="8"/>
  <c r="AD1076" i="8"/>
  <c r="AD1077" i="8"/>
  <c r="AD1078" i="8"/>
  <c r="AD1079" i="8"/>
  <c r="AD1080" i="8"/>
  <c r="AD1081" i="8"/>
  <c r="AD1082" i="8"/>
  <c r="AD1083" i="8"/>
  <c r="AD1084" i="8"/>
  <c r="AD1085" i="8"/>
  <c r="AD1086" i="8"/>
  <c r="AD1087" i="8"/>
  <c r="AD1088" i="8"/>
  <c r="AD1089" i="8"/>
  <c r="AD1090" i="8"/>
  <c r="AD1091" i="8"/>
  <c r="AD1092" i="8"/>
  <c r="AD1093" i="8"/>
  <c r="AD1094" i="8"/>
  <c r="AD1095" i="8"/>
  <c r="AD1096" i="8"/>
  <c r="AD1097" i="8"/>
  <c r="AD1098" i="8"/>
  <c r="AD1099" i="8"/>
  <c r="AD1100" i="8"/>
  <c r="AD1101" i="8"/>
  <c r="AD1102" i="8"/>
  <c r="AD1103" i="8"/>
  <c r="AD1104" i="8"/>
  <c r="AD1105" i="8"/>
  <c r="AD1106" i="8"/>
  <c r="AD1107" i="8"/>
  <c r="AD1108" i="8"/>
  <c r="AD1109" i="8"/>
  <c r="AD1110" i="8"/>
  <c r="AD1111" i="8"/>
  <c r="AD1112" i="8"/>
  <c r="AD1113" i="8"/>
  <c r="AD1114" i="8"/>
  <c r="AD1115" i="8"/>
  <c r="AD1116" i="8"/>
  <c r="AD1117" i="8"/>
  <c r="AD1118" i="8"/>
  <c r="AD1119" i="8"/>
  <c r="AD1120" i="8"/>
  <c r="AD1121" i="8"/>
  <c r="AD1122" i="8"/>
  <c r="AD1123" i="8"/>
  <c r="AD1124" i="8"/>
  <c r="AD1125" i="8"/>
  <c r="AD1126" i="8"/>
  <c r="AD1127" i="8"/>
  <c r="AD1128" i="8"/>
  <c r="AD1129" i="8"/>
  <c r="AD1130" i="8"/>
  <c r="AD1131" i="8"/>
  <c r="AD1132" i="8"/>
  <c r="AD1133" i="8"/>
  <c r="AD1134" i="8"/>
  <c r="AD1135" i="8"/>
  <c r="AD1136" i="8"/>
  <c r="AD1137" i="8"/>
  <c r="AD1138" i="8"/>
  <c r="AD1139" i="8"/>
  <c r="AD1140" i="8"/>
  <c r="AD1141" i="8"/>
  <c r="AD1142" i="8"/>
  <c r="AD1143" i="8"/>
  <c r="AD1144" i="8"/>
  <c r="AD1145" i="8"/>
  <c r="AD1146" i="8"/>
  <c r="AD1147" i="8"/>
  <c r="AD1148" i="8"/>
  <c r="AD1149" i="8"/>
  <c r="AD1150" i="8"/>
  <c r="AD1151" i="8"/>
  <c r="AD1152" i="8"/>
  <c r="AD1153" i="8"/>
  <c r="AD1154" i="8"/>
  <c r="AD1155" i="8"/>
  <c r="AD1156" i="8"/>
  <c r="AD1157" i="8"/>
  <c r="AD1158" i="8"/>
  <c r="AD1159" i="8"/>
  <c r="AD1160" i="8"/>
  <c r="AD1161" i="8"/>
  <c r="AD1162" i="8"/>
  <c r="AD1163" i="8"/>
  <c r="AD1164" i="8"/>
  <c r="AD1165" i="8"/>
  <c r="AD1166" i="8"/>
  <c r="AD1167" i="8"/>
  <c r="AD1168" i="8"/>
  <c r="AD1169" i="8"/>
  <c r="AD1170" i="8"/>
  <c r="AD1171" i="8"/>
  <c r="AD1172" i="8"/>
  <c r="AD1173" i="8"/>
  <c r="AD1174" i="8"/>
  <c r="AD1175" i="8"/>
  <c r="AD1176" i="8"/>
  <c r="AD1177" i="8"/>
  <c r="AD1178" i="8"/>
  <c r="AD1179" i="8"/>
  <c r="AD1180" i="8"/>
  <c r="AD1181" i="8"/>
  <c r="AD1182" i="8"/>
  <c r="AD1183" i="8"/>
  <c r="AD1184" i="8"/>
  <c r="AD1185" i="8"/>
  <c r="AD1186" i="8"/>
  <c r="AD1187" i="8"/>
  <c r="AD1188" i="8"/>
  <c r="AD1189" i="8"/>
  <c r="AD1190" i="8"/>
  <c r="AD1191" i="8"/>
  <c r="AD1192" i="8"/>
  <c r="AD1193" i="8"/>
  <c r="AD1194" i="8"/>
  <c r="AD1195" i="8"/>
  <c r="AD1196" i="8"/>
  <c r="AD1197" i="8"/>
  <c r="AD1198" i="8"/>
  <c r="AD1199" i="8"/>
  <c r="AD1200" i="8"/>
  <c r="AD1201" i="8"/>
  <c r="AD1202" i="8"/>
  <c r="AD1203" i="8"/>
  <c r="AD1204" i="8"/>
  <c r="AD1205" i="8"/>
  <c r="AD1206" i="8"/>
  <c r="AD1207" i="8"/>
  <c r="AD1208" i="8"/>
  <c r="AD1209" i="8"/>
  <c r="AD1210" i="8"/>
  <c r="AD1211" i="8"/>
  <c r="AD1212" i="8"/>
  <c r="AD1213" i="8"/>
  <c r="AD1214" i="8"/>
  <c r="AD1215" i="8"/>
  <c r="AD1216" i="8"/>
  <c r="AD1217" i="8"/>
  <c r="AD1218" i="8"/>
  <c r="AD1219" i="8"/>
  <c r="AD1220" i="8"/>
  <c r="AD1221" i="8"/>
  <c r="AD1222" i="8"/>
  <c r="AD1223" i="8"/>
  <c r="AD1224" i="8"/>
  <c r="AD1225" i="8"/>
  <c r="AD1226" i="8"/>
  <c r="AD1227" i="8"/>
  <c r="AD1228" i="8"/>
  <c r="AD1229" i="8"/>
  <c r="AD1230" i="8"/>
  <c r="AD1231" i="8"/>
  <c r="AD1232" i="8"/>
  <c r="AD1233" i="8"/>
  <c r="AD1234" i="8"/>
  <c r="AD1235" i="8"/>
  <c r="AD1236" i="8"/>
  <c r="AD1237" i="8"/>
  <c r="AD1238" i="8"/>
  <c r="AD1239" i="8"/>
  <c r="AD1240" i="8"/>
  <c r="AD1241" i="8"/>
  <c r="AD1242" i="8"/>
  <c r="AD1243" i="8"/>
  <c r="AD1244" i="8"/>
  <c r="AD1245" i="8"/>
  <c r="AD1246" i="8"/>
  <c r="AD1247" i="8"/>
  <c r="AD1248" i="8"/>
  <c r="AD1249" i="8"/>
  <c r="AD1250" i="8"/>
  <c r="S911" i="8" a="1"/>
  <c r="S911" i="8" s="1"/>
  <c r="S912" i="8" a="1"/>
  <c r="S912" i="8" s="1"/>
  <c r="S913" i="8" a="1"/>
  <c r="S913" i="8" s="1"/>
  <c r="S914" i="8" a="1"/>
  <c r="S914" i="8" s="1"/>
  <c r="S915" i="8" a="1"/>
  <c r="S915" i="8" s="1"/>
  <c r="S916" i="8" a="1"/>
  <c r="S916" i="8" s="1"/>
  <c r="S917" i="8" a="1"/>
  <c r="S917" i="8" s="1"/>
  <c r="S918" i="8" a="1"/>
  <c r="S918" i="8" s="1"/>
  <c r="S919" i="8" a="1"/>
  <c r="S919" i="8" s="1"/>
  <c r="S920" i="8" a="1"/>
  <c r="S920" i="8" s="1"/>
  <c r="S921" i="8" a="1"/>
  <c r="S921" i="8" s="1"/>
  <c r="S922" i="8" a="1"/>
  <c r="S922" i="8" s="1"/>
  <c r="S923" i="8" a="1"/>
  <c r="S923" i="8" s="1"/>
  <c r="S924" i="8" a="1"/>
  <c r="S924" i="8" s="1"/>
  <c r="S925" i="8" a="1"/>
  <c r="S925" i="8" s="1"/>
  <c r="S926" i="8" a="1"/>
  <c r="S926" i="8" s="1"/>
  <c r="S927" i="8" a="1"/>
  <c r="S927" i="8" s="1"/>
  <c r="S928" i="8" a="1"/>
  <c r="S928" i="8" s="1"/>
  <c r="S929" i="8" a="1"/>
  <c r="S929" i="8" s="1"/>
  <c r="S930" i="8" a="1"/>
  <c r="S930" i="8" s="1"/>
  <c r="S931" i="8" a="1"/>
  <c r="S931" i="8" s="1"/>
  <c r="S932" i="8" a="1"/>
  <c r="S932" i="8" s="1"/>
  <c r="S933" i="8" a="1"/>
  <c r="S933" i="8" s="1"/>
  <c r="S934" i="8" a="1"/>
  <c r="S934" i="8" s="1"/>
  <c r="S935" i="8" a="1"/>
  <c r="S935" i="8" s="1"/>
  <c r="S936" i="8" a="1"/>
  <c r="S936" i="8" s="1"/>
  <c r="S937" i="8" a="1"/>
  <c r="S937" i="8" s="1"/>
  <c r="S938" i="8" a="1"/>
  <c r="S938" i="8" s="1"/>
  <c r="S939" i="8" a="1"/>
  <c r="S939" i="8" s="1"/>
  <c r="S940" i="8" a="1"/>
  <c r="S940" i="8" s="1"/>
  <c r="S941" i="8" a="1"/>
  <c r="S941" i="8" s="1"/>
  <c r="S942" i="8" a="1"/>
  <c r="S942" i="8" s="1"/>
  <c r="S943" i="8" a="1"/>
  <c r="S943" i="8" s="1"/>
  <c r="S944" i="8" a="1"/>
  <c r="S944" i="8" s="1"/>
  <c r="S945" i="8" a="1"/>
  <c r="S945" i="8" s="1"/>
  <c r="S946" i="8" a="1"/>
  <c r="S946" i="8" s="1"/>
  <c r="S947" i="8" a="1"/>
  <c r="S947" i="8" s="1"/>
  <c r="S948" i="8" a="1"/>
  <c r="S948" i="8" s="1"/>
  <c r="S949" i="8" a="1"/>
  <c r="S949" i="8" s="1"/>
  <c r="S950" i="8" a="1"/>
  <c r="S950" i="8" s="1"/>
  <c r="S951" i="8" a="1"/>
  <c r="S951" i="8" s="1"/>
  <c r="S952" i="8" a="1"/>
  <c r="S952" i="8" s="1"/>
  <c r="S953" i="8" a="1"/>
  <c r="S953" i="8" s="1"/>
  <c r="S954" i="8" a="1"/>
  <c r="S954" i="8" s="1"/>
  <c r="S955" i="8" a="1"/>
  <c r="S955" i="8" s="1"/>
  <c r="S956" i="8" a="1"/>
  <c r="S956" i="8" s="1"/>
  <c r="S957" i="8" a="1"/>
  <c r="S957" i="8" s="1"/>
  <c r="S958" i="8" a="1"/>
  <c r="S958" i="8" s="1"/>
  <c r="S959" i="8" a="1"/>
  <c r="S959" i="8" s="1"/>
  <c r="S960" i="8" a="1"/>
  <c r="S960" i="8" s="1"/>
  <c r="S961" i="8" a="1"/>
  <c r="S961" i="8" s="1"/>
  <c r="S962" i="8" a="1"/>
  <c r="S962" i="8" s="1"/>
  <c r="S963" i="8" a="1"/>
  <c r="S963" i="8" s="1"/>
  <c r="S964" i="8" a="1"/>
  <c r="S964" i="8" s="1"/>
  <c r="S965" i="8" a="1"/>
  <c r="S965" i="8" s="1"/>
  <c r="S966" i="8" a="1"/>
  <c r="S966" i="8" s="1"/>
  <c r="S967" i="8" a="1"/>
  <c r="S967" i="8" s="1"/>
  <c r="S968" i="8" a="1"/>
  <c r="S968" i="8" s="1"/>
  <c r="S969" i="8" a="1"/>
  <c r="S969" i="8" s="1"/>
  <c r="S970" i="8" a="1"/>
  <c r="S970" i="8" s="1"/>
  <c r="S971" i="8" a="1"/>
  <c r="S971" i="8" s="1"/>
  <c r="S972" i="8" a="1"/>
  <c r="S972" i="8" s="1"/>
  <c r="S973" i="8" a="1"/>
  <c r="S973" i="8" s="1"/>
  <c r="S974" i="8" a="1"/>
  <c r="S974" i="8" s="1"/>
  <c r="S975" i="8" a="1"/>
  <c r="S975" i="8" s="1"/>
  <c r="S976" i="8" a="1"/>
  <c r="S976" i="8" s="1"/>
  <c r="S977" i="8" a="1"/>
  <c r="S977" i="8" s="1"/>
  <c r="S978" i="8" a="1"/>
  <c r="S978" i="8" s="1"/>
  <c r="S979" i="8" a="1"/>
  <c r="S979" i="8" s="1"/>
  <c r="S980" i="8" a="1"/>
  <c r="S980" i="8" s="1"/>
  <c r="S981" i="8" a="1"/>
  <c r="S981" i="8" s="1"/>
  <c r="S982" i="8" a="1"/>
  <c r="S982" i="8" s="1"/>
  <c r="S983" i="8" a="1"/>
  <c r="S983" i="8" s="1"/>
  <c r="S984" i="8" a="1"/>
  <c r="S984" i="8" s="1"/>
  <c r="S985" i="8" a="1"/>
  <c r="S985" i="8" s="1"/>
  <c r="S986" i="8" a="1"/>
  <c r="S986" i="8" s="1"/>
  <c r="S987" i="8" a="1"/>
  <c r="S987" i="8" s="1"/>
  <c r="S988" i="8" a="1"/>
  <c r="S988" i="8" s="1"/>
  <c r="S989" i="8" a="1"/>
  <c r="S989" i="8" s="1"/>
  <c r="S990" i="8" a="1"/>
  <c r="S990" i="8" s="1"/>
  <c r="S991" i="8" a="1"/>
  <c r="S991" i="8" s="1"/>
  <c r="S992" i="8" a="1"/>
  <c r="S992" i="8" s="1"/>
  <c r="S993" i="8" a="1"/>
  <c r="S993" i="8" s="1"/>
  <c r="S994" i="8" a="1"/>
  <c r="S994" i="8" s="1"/>
  <c r="S995" i="8" a="1"/>
  <c r="S995" i="8" s="1"/>
  <c r="S996" i="8" a="1"/>
  <c r="S996" i="8" s="1"/>
  <c r="S997" i="8" a="1"/>
  <c r="S997" i="8" s="1"/>
  <c r="S998" i="8" a="1"/>
  <c r="S998" i="8" s="1"/>
  <c r="S999" i="8" a="1"/>
  <c r="S999" i="8" s="1"/>
  <c r="S1000" i="8" a="1"/>
  <c r="S1000" i="8" s="1"/>
  <c r="S1001" i="8" a="1"/>
  <c r="S1001" i="8" s="1"/>
  <c r="S1002" i="8" a="1"/>
  <c r="S1002" i="8" s="1"/>
  <c r="S1003" i="8" a="1"/>
  <c r="S1003" i="8" s="1"/>
  <c r="S1004" i="8" a="1"/>
  <c r="S1004" i="8" s="1"/>
  <c r="S1005" i="8" a="1"/>
  <c r="S1005" i="8" s="1"/>
  <c r="S1006" i="8" a="1"/>
  <c r="S1006" i="8" s="1"/>
  <c r="S1007" i="8" a="1"/>
  <c r="S1007" i="8" s="1"/>
  <c r="S1008" i="8" a="1"/>
  <c r="S1008" i="8" s="1"/>
  <c r="S1009" i="8" a="1"/>
  <c r="S1009" i="8" s="1"/>
  <c r="S1010" i="8" a="1"/>
  <c r="S1010" i="8" s="1"/>
  <c r="S1011" i="8" a="1"/>
  <c r="S1011" i="8" s="1"/>
  <c r="S1012" i="8" a="1"/>
  <c r="S1012" i="8" s="1"/>
  <c r="S1013" i="8" a="1"/>
  <c r="S1013" i="8" s="1"/>
  <c r="S1014" i="8" a="1"/>
  <c r="S1014" i="8" s="1"/>
  <c r="S1015" i="8" a="1"/>
  <c r="S1015" i="8" s="1"/>
  <c r="S1016" i="8" a="1"/>
  <c r="S1016" i="8" s="1"/>
  <c r="S1017" i="8" a="1"/>
  <c r="S1017" i="8" s="1"/>
  <c r="S1018" i="8" a="1"/>
  <c r="S1018" i="8" s="1"/>
  <c r="S1019" i="8" a="1"/>
  <c r="S1019" i="8" s="1"/>
  <c r="S1020" i="8" a="1"/>
  <c r="S1020" i="8" s="1"/>
  <c r="S1021" i="8" a="1"/>
  <c r="S1021" i="8" s="1"/>
  <c r="S1022" i="8" a="1"/>
  <c r="S1022" i="8" s="1"/>
  <c r="S1023" i="8" a="1"/>
  <c r="S1023" i="8" s="1"/>
  <c r="S1024" i="8" a="1"/>
  <c r="S1024" i="8" s="1"/>
  <c r="S1025" i="8" a="1"/>
  <c r="S1025" i="8" s="1"/>
  <c r="S1026" i="8" a="1"/>
  <c r="S1026" i="8" s="1"/>
  <c r="S1027" i="8" a="1"/>
  <c r="S1027" i="8" s="1"/>
  <c r="S1028" i="8" a="1"/>
  <c r="S1028" i="8" s="1"/>
  <c r="S1029" i="8" a="1"/>
  <c r="S1029" i="8" s="1"/>
  <c r="S1030" i="8" a="1"/>
  <c r="S1030" i="8" s="1"/>
  <c r="S1031" i="8" a="1"/>
  <c r="S1031" i="8" s="1"/>
  <c r="S1032" i="8" a="1"/>
  <c r="S1032" i="8" s="1"/>
  <c r="S1033" i="8" a="1"/>
  <c r="S1033" i="8" s="1"/>
  <c r="S1034" i="8" a="1"/>
  <c r="S1034" i="8" s="1"/>
  <c r="S1035" i="8" a="1"/>
  <c r="S1035" i="8" s="1"/>
  <c r="S1036" i="8" a="1"/>
  <c r="S1036" i="8" s="1"/>
  <c r="S1037" i="8" a="1"/>
  <c r="S1037" i="8" s="1"/>
  <c r="S1038" i="8" a="1"/>
  <c r="S1038" i="8" s="1"/>
  <c r="S1039" i="8" a="1"/>
  <c r="S1039" i="8" s="1"/>
  <c r="S1040" i="8" a="1"/>
  <c r="S1040" i="8" s="1"/>
  <c r="S1041" i="8" a="1"/>
  <c r="S1041" i="8" s="1"/>
  <c r="S1042" i="8" a="1"/>
  <c r="S1042" i="8" s="1"/>
  <c r="S1043" i="8" a="1"/>
  <c r="S1043" i="8" s="1"/>
  <c r="S1044" i="8" a="1"/>
  <c r="S1044" i="8" s="1"/>
  <c r="S1045" i="8" a="1"/>
  <c r="S1045" i="8" s="1"/>
  <c r="S1046" i="8" a="1"/>
  <c r="S1046" i="8" s="1"/>
  <c r="S1047" i="8" a="1"/>
  <c r="S1047" i="8" s="1"/>
  <c r="S1048" i="8" a="1"/>
  <c r="S1048" i="8" s="1"/>
  <c r="S1049" i="8" a="1"/>
  <c r="S1049" i="8" s="1"/>
  <c r="S1050" i="8" a="1"/>
  <c r="S1050" i="8" s="1"/>
  <c r="S1051" i="8" a="1"/>
  <c r="S1051" i="8" s="1"/>
  <c r="S1052" i="8" a="1"/>
  <c r="S1052" i="8" s="1"/>
  <c r="S1053" i="8" a="1"/>
  <c r="S1053" i="8" s="1"/>
  <c r="S1054" i="8" a="1"/>
  <c r="S1054" i="8" s="1"/>
  <c r="S1055" i="8" a="1"/>
  <c r="S1055" i="8" s="1"/>
  <c r="S1056" i="8" a="1"/>
  <c r="S1056" i="8" s="1"/>
  <c r="S1057" i="8" a="1"/>
  <c r="S1057" i="8" s="1"/>
  <c r="S1058" i="8" a="1"/>
  <c r="S1058" i="8" s="1"/>
  <c r="S1059" i="8" a="1"/>
  <c r="S1059" i="8" s="1"/>
  <c r="S1060" i="8" a="1"/>
  <c r="S1060" i="8" s="1"/>
  <c r="S1061" i="8" a="1"/>
  <c r="S1061" i="8" s="1"/>
  <c r="S1062" i="8" a="1"/>
  <c r="S1062" i="8" s="1"/>
  <c r="S1063" i="8" a="1"/>
  <c r="S1063" i="8" s="1"/>
  <c r="S1064" i="8" a="1"/>
  <c r="S1064" i="8" s="1"/>
  <c r="S1065" i="8" a="1"/>
  <c r="S1065" i="8" s="1"/>
  <c r="S1066" i="8" a="1"/>
  <c r="S1066" i="8" s="1"/>
  <c r="S1067" i="8" a="1"/>
  <c r="S1067" i="8" s="1"/>
  <c r="S1068" i="8" a="1"/>
  <c r="S1068" i="8" s="1"/>
  <c r="S1069" i="8" a="1"/>
  <c r="S1069" i="8" s="1"/>
  <c r="S1070" i="8" a="1"/>
  <c r="S1070" i="8" s="1"/>
  <c r="S1071" i="8" a="1"/>
  <c r="S1071" i="8" s="1"/>
  <c r="S1072" i="8" a="1"/>
  <c r="S1072" i="8" s="1"/>
  <c r="S1073" i="8" a="1"/>
  <c r="S1073" i="8" s="1"/>
  <c r="S1074" i="8" a="1"/>
  <c r="S1074" i="8" s="1"/>
  <c r="S1075" i="8" a="1"/>
  <c r="S1075" i="8" s="1"/>
  <c r="S1076" i="8" a="1"/>
  <c r="S1076" i="8" s="1"/>
  <c r="S1077" i="8" a="1"/>
  <c r="S1077" i="8" s="1"/>
  <c r="S1078" i="8" a="1"/>
  <c r="S1078" i="8" s="1"/>
  <c r="S1079" i="8" a="1"/>
  <c r="S1079" i="8" s="1"/>
  <c r="S1080" i="8" a="1"/>
  <c r="S1080" i="8" s="1"/>
  <c r="S1081" i="8" a="1"/>
  <c r="S1081" i="8" s="1"/>
  <c r="S1082" i="8" a="1"/>
  <c r="S1082" i="8" s="1"/>
  <c r="S1083" i="8" a="1"/>
  <c r="S1083" i="8" s="1"/>
  <c r="S1084" i="8" a="1"/>
  <c r="S1084" i="8" s="1"/>
  <c r="S1085" i="8" a="1"/>
  <c r="S1085" i="8" s="1"/>
  <c r="S1086" i="8" a="1"/>
  <c r="S1086" i="8" s="1"/>
  <c r="S1087" i="8" a="1"/>
  <c r="S1087" i="8" s="1"/>
  <c r="S1088" i="8" a="1"/>
  <c r="S1088" i="8" s="1"/>
  <c r="S1089" i="8" a="1"/>
  <c r="S1089" i="8" s="1"/>
  <c r="S1090" i="8" a="1"/>
  <c r="S1090" i="8" s="1"/>
  <c r="S1091" i="8" a="1"/>
  <c r="S1091" i="8" s="1"/>
  <c r="S1092" i="8" a="1"/>
  <c r="S1092" i="8" s="1"/>
  <c r="S1093" i="8" a="1"/>
  <c r="S1093" i="8" s="1"/>
  <c r="S1094" i="8" a="1"/>
  <c r="S1094" i="8" s="1"/>
  <c r="S1095" i="8" a="1"/>
  <c r="S1095" i="8" s="1"/>
  <c r="S1096" i="8" a="1"/>
  <c r="S1096" i="8" s="1"/>
  <c r="S1097" i="8" a="1"/>
  <c r="S1097" i="8" s="1"/>
  <c r="S1098" i="8" a="1"/>
  <c r="S1098" i="8" s="1"/>
  <c r="S1099" i="8" a="1"/>
  <c r="S1099" i="8" s="1"/>
  <c r="S1100" i="8" a="1"/>
  <c r="S1100" i="8" s="1"/>
  <c r="S1101" i="8" a="1"/>
  <c r="S1101" i="8" s="1"/>
  <c r="S1102" i="8" a="1"/>
  <c r="S1102" i="8" s="1"/>
  <c r="S1103" i="8" a="1"/>
  <c r="S1103" i="8" s="1"/>
  <c r="S1104" i="8" a="1"/>
  <c r="S1104" i="8" s="1"/>
  <c r="S1105" i="8" a="1"/>
  <c r="S1105" i="8" s="1"/>
  <c r="S1106" i="8" a="1"/>
  <c r="S1106" i="8" s="1"/>
  <c r="S1107" i="8" a="1"/>
  <c r="S1107" i="8" s="1"/>
  <c r="S1108" i="8" a="1"/>
  <c r="S1108" i="8" s="1"/>
  <c r="S1109" i="8" a="1"/>
  <c r="S1109" i="8" s="1"/>
  <c r="S1110" i="8" a="1"/>
  <c r="S1110" i="8" s="1"/>
  <c r="S1111" i="8" a="1"/>
  <c r="S1111" i="8" s="1"/>
  <c r="S1112" i="8" a="1"/>
  <c r="S1112" i="8" s="1"/>
  <c r="S1113" i="8" a="1"/>
  <c r="S1113" i="8" s="1"/>
  <c r="S1114" i="8" a="1"/>
  <c r="S1114" i="8" s="1"/>
  <c r="S1115" i="8" a="1"/>
  <c r="S1115" i="8" s="1"/>
  <c r="S1116" i="8" a="1"/>
  <c r="S1116" i="8" s="1"/>
  <c r="S1117" i="8" a="1"/>
  <c r="S1117" i="8" s="1"/>
  <c r="S1118" i="8" a="1"/>
  <c r="S1118" i="8" s="1"/>
  <c r="S1119" i="8" a="1"/>
  <c r="S1119" i="8" s="1"/>
  <c r="S1120" i="8" a="1"/>
  <c r="S1120" i="8" s="1"/>
  <c r="S1121" i="8" a="1"/>
  <c r="S1121" i="8" s="1"/>
  <c r="S1122" i="8" a="1"/>
  <c r="S1122" i="8" s="1"/>
  <c r="S1123" i="8" a="1"/>
  <c r="S1123" i="8" s="1"/>
  <c r="S1124" i="8" a="1"/>
  <c r="S1124" i="8" s="1"/>
  <c r="S1125" i="8" a="1"/>
  <c r="S1125" i="8" s="1"/>
  <c r="S1126" i="8" a="1"/>
  <c r="S1126" i="8" s="1"/>
  <c r="S1127" i="8" a="1"/>
  <c r="S1127" i="8" s="1"/>
  <c r="S1128" i="8" a="1"/>
  <c r="S1128" i="8" s="1"/>
  <c r="S1129" i="8" a="1"/>
  <c r="S1129" i="8" s="1"/>
  <c r="S1130" i="8" a="1"/>
  <c r="S1130" i="8" s="1"/>
  <c r="S1131" i="8" a="1"/>
  <c r="S1131" i="8" s="1"/>
  <c r="S1132" i="8" a="1"/>
  <c r="S1132" i="8" s="1"/>
  <c r="S1133" i="8" a="1"/>
  <c r="S1133" i="8" s="1"/>
  <c r="S1134" i="8" a="1"/>
  <c r="S1134" i="8" s="1"/>
  <c r="S1135" i="8" a="1"/>
  <c r="S1135" i="8" s="1"/>
  <c r="S1136" i="8" a="1"/>
  <c r="S1136" i="8" s="1"/>
  <c r="S1137" i="8" a="1"/>
  <c r="S1137" i="8" s="1"/>
  <c r="S1138" i="8" a="1"/>
  <c r="S1138" i="8" s="1"/>
  <c r="S1139" i="8" a="1"/>
  <c r="S1139" i="8" s="1"/>
  <c r="S1140" i="8" a="1"/>
  <c r="S1140" i="8" s="1"/>
  <c r="S1141" i="8" a="1"/>
  <c r="S1141" i="8" s="1"/>
  <c r="S1142" i="8" a="1"/>
  <c r="S1142" i="8" s="1"/>
  <c r="S1143" i="8" a="1"/>
  <c r="S1143" i="8" s="1"/>
  <c r="S1144" i="8" a="1"/>
  <c r="S1144" i="8" s="1"/>
  <c r="S1145" i="8" a="1"/>
  <c r="S1145" i="8" s="1"/>
  <c r="S1146" i="8" a="1"/>
  <c r="S1146" i="8" s="1"/>
  <c r="S1147" i="8" a="1"/>
  <c r="S1147" i="8" s="1"/>
  <c r="S1148" i="8" a="1"/>
  <c r="S1148" i="8" s="1"/>
  <c r="S1149" i="8" a="1"/>
  <c r="S1149" i="8" s="1"/>
  <c r="S1150" i="8" a="1"/>
  <c r="S1150" i="8" s="1"/>
  <c r="S1151" i="8" a="1"/>
  <c r="S1151" i="8" s="1"/>
  <c r="S1152" i="8" a="1"/>
  <c r="S1152" i="8" s="1"/>
  <c r="S1153" i="8" a="1"/>
  <c r="S1153" i="8" s="1"/>
  <c r="S1154" i="8" a="1"/>
  <c r="S1154" i="8" s="1"/>
  <c r="S1155" i="8" a="1"/>
  <c r="S1155" i="8" s="1"/>
  <c r="S1156" i="8" a="1"/>
  <c r="S1156" i="8" s="1"/>
  <c r="S1157" i="8" a="1"/>
  <c r="S1157" i="8" s="1"/>
  <c r="S1158" i="8" a="1"/>
  <c r="S1158" i="8" s="1"/>
  <c r="S1159" i="8" a="1"/>
  <c r="S1159" i="8" s="1"/>
  <c r="S1160" i="8" a="1"/>
  <c r="S1160" i="8" s="1"/>
  <c r="S1161" i="8" a="1"/>
  <c r="S1161" i="8" s="1"/>
  <c r="S1162" i="8" a="1"/>
  <c r="S1162" i="8" s="1"/>
  <c r="S1163" i="8" a="1"/>
  <c r="S1163" i="8" s="1"/>
  <c r="S1164" i="8" a="1"/>
  <c r="S1164" i="8" s="1"/>
  <c r="S1165" i="8" a="1"/>
  <c r="S1165" i="8" s="1"/>
  <c r="S1166" i="8" a="1"/>
  <c r="S1166" i="8" s="1"/>
  <c r="S1167" i="8" a="1"/>
  <c r="S1167" i="8" s="1"/>
  <c r="S1168" i="8" a="1"/>
  <c r="S1168" i="8" s="1"/>
  <c r="S1169" i="8" a="1"/>
  <c r="S1169" i="8" s="1"/>
  <c r="S1170" i="8" a="1"/>
  <c r="S1170" i="8" s="1"/>
  <c r="S1171" i="8" a="1"/>
  <c r="S1171" i="8" s="1"/>
  <c r="S1172" i="8" a="1"/>
  <c r="S1172" i="8" s="1"/>
  <c r="S1173" i="8" a="1"/>
  <c r="S1173" i="8" s="1"/>
  <c r="S1174" i="8" a="1"/>
  <c r="S1174" i="8" s="1"/>
  <c r="S1175" i="8" a="1"/>
  <c r="S1175" i="8" s="1"/>
  <c r="S1176" i="8" a="1"/>
  <c r="S1176" i="8" s="1"/>
  <c r="S1177" i="8" a="1"/>
  <c r="S1177" i="8" s="1"/>
  <c r="S1178" i="8" a="1"/>
  <c r="S1178" i="8" s="1"/>
  <c r="S1179" i="8" a="1"/>
  <c r="S1179" i="8" s="1"/>
  <c r="S1180" i="8" a="1"/>
  <c r="S1180" i="8" s="1"/>
  <c r="S1181" i="8" a="1"/>
  <c r="S1181" i="8" s="1"/>
  <c r="S1182" i="8" a="1"/>
  <c r="S1182" i="8" s="1"/>
  <c r="S1183" i="8" a="1"/>
  <c r="S1183" i="8" s="1"/>
  <c r="S1184" i="8" a="1"/>
  <c r="S1184" i="8" s="1"/>
  <c r="S1185" i="8" a="1"/>
  <c r="S1185" i="8" s="1"/>
  <c r="S1186" i="8" a="1"/>
  <c r="S1186" i="8" s="1"/>
  <c r="S1187" i="8" a="1"/>
  <c r="S1187" i="8" s="1"/>
  <c r="S1188" i="8" a="1"/>
  <c r="S1188" i="8" s="1"/>
  <c r="S1189" i="8" a="1"/>
  <c r="S1189" i="8" s="1"/>
  <c r="S1190" i="8" a="1"/>
  <c r="S1190" i="8" s="1"/>
  <c r="S1191" i="8" a="1"/>
  <c r="S1191" i="8" s="1"/>
  <c r="S1192" i="8" a="1"/>
  <c r="S1192" i="8" s="1"/>
  <c r="S1193" i="8" a="1"/>
  <c r="S1193" i="8" s="1"/>
  <c r="S1194" i="8" a="1"/>
  <c r="S1194" i="8" s="1"/>
  <c r="S1195" i="8" a="1"/>
  <c r="S1195" i="8" s="1"/>
  <c r="S1196" i="8" a="1"/>
  <c r="S1196" i="8" s="1"/>
  <c r="S1197" i="8" a="1"/>
  <c r="S1197" i="8" s="1"/>
  <c r="S1198" i="8" a="1"/>
  <c r="S1198" i="8" s="1"/>
  <c r="S1199" i="8" a="1"/>
  <c r="S1199" i="8" s="1"/>
  <c r="S1200" i="8" a="1"/>
  <c r="S1200" i="8" s="1"/>
  <c r="S1201" i="8" a="1"/>
  <c r="S1201" i="8" s="1"/>
  <c r="S1202" i="8" a="1"/>
  <c r="S1202" i="8" s="1"/>
  <c r="S1203" i="8" a="1"/>
  <c r="S1203" i="8" s="1"/>
  <c r="S1204" i="8" a="1"/>
  <c r="S1204" i="8" s="1"/>
  <c r="S1205" i="8" a="1"/>
  <c r="S1205" i="8" s="1"/>
  <c r="S1206" i="8" a="1"/>
  <c r="S1206" i="8" s="1"/>
  <c r="S1207" i="8" a="1"/>
  <c r="S1207" i="8" s="1"/>
  <c r="S1208" i="8" a="1"/>
  <c r="S1208" i="8" s="1"/>
  <c r="S1209" i="8" a="1"/>
  <c r="S1209" i="8" s="1"/>
  <c r="S1210" i="8" a="1"/>
  <c r="S1210" i="8" s="1"/>
  <c r="S1211" i="8" a="1"/>
  <c r="S1211" i="8" s="1"/>
  <c r="S1212" i="8" a="1"/>
  <c r="S1212" i="8" s="1"/>
  <c r="S1213" i="8" a="1"/>
  <c r="S1213" i="8" s="1"/>
  <c r="S1214" i="8" a="1"/>
  <c r="S1214" i="8" s="1"/>
  <c r="S1215" i="8" a="1"/>
  <c r="S1215" i="8" s="1"/>
  <c r="S1216" i="8" a="1"/>
  <c r="S1216" i="8" s="1"/>
  <c r="S1217" i="8" a="1"/>
  <c r="S1217" i="8" s="1"/>
  <c r="S1218" i="8" a="1"/>
  <c r="S1218" i="8" s="1"/>
  <c r="S1219" i="8" a="1"/>
  <c r="S1219" i="8" s="1"/>
  <c r="S1220" i="8" a="1"/>
  <c r="S1220" i="8" s="1"/>
  <c r="S1221" i="8" a="1"/>
  <c r="S1221" i="8" s="1"/>
  <c r="S1222" i="8" a="1"/>
  <c r="S1222" i="8" s="1"/>
  <c r="S1223" i="8" a="1"/>
  <c r="S1223" i="8" s="1"/>
  <c r="S1224" i="8" a="1"/>
  <c r="S1224" i="8" s="1"/>
  <c r="S1225" i="8" a="1"/>
  <c r="S1225" i="8" s="1"/>
  <c r="S1226" i="8" a="1"/>
  <c r="S1226" i="8" s="1"/>
  <c r="S1227" i="8" a="1"/>
  <c r="S1227" i="8" s="1"/>
  <c r="S1228" i="8" a="1"/>
  <c r="S1228" i="8" s="1"/>
  <c r="S1229" i="8" a="1"/>
  <c r="S1229" i="8" s="1"/>
  <c r="S1230" i="8" a="1"/>
  <c r="S1230" i="8" s="1"/>
  <c r="S1231" i="8" a="1"/>
  <c r="S1231" i="8" s="1"/>
  <c r="S1232" i="8" a="1"/>
  <c r="S1232" i="8" s="1"/>
  <c r="S1233" i="8" a="1"/>
  <c r="S1233" i="8" s="1"/>
  <c r="S1234" i="8" a="1"/>
  <c r="S1234" i="8" s="1"/>
  <c r="S1235" i="8" a="1"/>
  <c r="S1235" i="8" s="1"/>
  <c r="S1236" i="8" a="1"/>
  <c r="S1236" i="8" s="1"/>
  <c r="S1237" i="8" a="1"/>
  <c r="S1237" i="8" s="1"/>
  <c r="S1238" i="8" a="1"/>
  <c r="S1238" i="8" s="1"/>
  <c r="S1239" i="8" a="1"/>
  <c r="S1239" i="8" s="1"/>
  <c r="S1240" i="8" a="1"/>
  <c r="S1240" i="8" s="1"/>
  <c r="S1241" i="8" a="1"/>
  <c r="S1241" i="8" s="1"/>
  <c r="S1242" i="8" a="1"/>
  <c r="S1242" i="8" s="1"/>
  <c r="S1243" i="8" a="1"/>
  <c r="S1243" i="8" s="1"/>
  <c r="S1244" i="8" a="1"/>
  <c r="S1244" i="8" s="1"/>
  <c r="S1245" i="8" a="1"/>
  <c r="S1245" i="8" s="1"/>
  <c r="S1246" i="8" a="1"/>
  <c r="S1246" i="8" s="1"/>
  <c r="S1247" i="8" a="1"/>
  <c r="S1247" i="8" s="1"/>
  <c r="S1248" i="8" a="1"/>
  <c r="S1248" i="8" s="1"/>
  <c r="S1249" i="8" a="1"/>
  <c r="S1249" i="8" s="1"/>
  <c r="S1250" i="8" a="1"/>
  <c r="S1250" i="8" s="1"/>
  <c r="T911" i="8" a="1"/>
  <c r="T911" i="8" s="1"/>
  <c r="T912" i="8" a="1"/>
  <c r="T912" i="8" s="1"/>
  <c r="T913" i="8" a="1"/>
  <c r="T913" i="8" s="1"/>
  <c r="T914" i="8" a="1"/>
  <c r="T914" i="8" s="1"/>
  <c r="T915" i="8" a="1"/>
  <c r="T915" i="8" s="1"/>
  <c r="T916" i="8" a="1"/>
  <c r="T916" i="8" s="1"/>
  <c r="T917" i="8" a="1"/>
  <c r="T917" i="8" s="1"/>
  <c r="T918" i="8" a="1"/>
  <c r="T918" i="8" s="1"/>
  <c r="T919" i="8" a="1"/>
  <c r="T919" i="8" s="1"/>
  <c r="T920" i="8" a="1"/>
  <c r="T920" i="8" s="1"/>
  <c r="T921" i="8" a="1"/>
  <c r="T921" i="8" s="1"/>
  <c r="T922" i="8" a="1"/>
  <c r="T922" i="8" s="1"/>
  <c r="T923" i="8" a="1"/>
  <c r="T923" i="8" s="1"/>
  <c r="T924" i="8" a="1"/>
  <c r="T924" i="8" s="1"/>
  <c r="T925" i="8" a="1"/>
  <c r="T925" i="8" s="1"/>
  <c r="T926" i="8" a="1"/>
  <c r="T926" i="8" s="1"/>
  <c r="T927" i="8" a="1"/>
  <c r="T927" i="8" s="1"/>
  <c r="T928" i="8" a="1"/>
  <c r="T928" i="8" s="1"/>
  <c r="T929" i="8" a="1"/>
  <c r="T929" i="8" s="1"/>
  <c r="T930" i="8" a="1"/>
  <c r="T930" i="8" s="1"/>
  <c r="T931" i="8" a="1"/>
  <c r="T931" i="8" s="1"/>
  <c r="T932" i="8" a="1"/>
  <c r="T932" i="8" s="1"/>
  <c r="T933" i="8" a="1"/>
  <c r="T933" i="8" s="1"/>
  <c r="T934" i="8" a="1"/>
  <c r="T934" i="8" s="1"/>
  <c r="T935" i="8" a="1"/>
  <c r="T935" i="8" s="1"/>
  <c r="T936" i="8" a="1"/>
  <c r="T936" i="8" s="1"/>
  <c r="T937" i="8" a="1"/>
  <c r="T937" i="8" s="1"/>
  <c r="T938" i="8" a="1"/>
  <c r="T938" i="8" s="1"/>
  <c r="T939" i="8" a="1"/>
  <c r="T939" i="8" s="1"/>
  <c r="T940" i="8" a="1"/>
  <c r="T940" i="8" s="1"/>
  <c r="T941" i="8" a="1"/>
  <c r="T941" i="8" s="1"/>
  <c r="T942" i="8" a="1"/>
  <c r="T942" i="8" s="1"/>
  <c r="T943" i="8" a="1"/>
  <c r="T943" i="8" s="1"/>
  <c r="T944" i="8" a="1"/>
  <c r="T944" i="8" s="1"/>
  <c r="T945" i="8" a="1"/>
  <c r="T945" i="8" s="1"/>
  <c r="T946" i="8" a="1"/>
  <c r="T946" i="8" s="1"/>
  <c r="T947" i="8" a="1"/>
  <c r="T947" i="8" s="1"/>
  <c r="T948" i="8" a="1"/>
  <c r="T948" i="8" s="1"/>
  <c r="T949" i="8" a="1"/>
  <c r="T949" i="8" s="1"/>
  <c r="T950" i="8" a="1"/>
  <c r="T950" i="8" s="1"/>
  <c r="T951" i="8" a="1"/>
  <c r="T951" i="8" s="1"/>
  <c r="T952" i="8" a="1"/>
  <c r="T952" i="8" s="1"/>
  <c r="T953" i="8" a="1"/>
  <c r="T953" i="8" s="1"/>
  <c r="T954" i="8" a="1"/>
  <c r="T954" i="8" s="1"/>
  <c r="T955" i="8" a="1"/>
  <c r="T955" i="8" s="1"/>
  <c r="T956" i="8" a="1"/>
  <c r="T956" i="8" s="1"/>
  <c r="T957" i="8" a="1"/>
  <c r="T957" i="8" s="1"/>
  <c r="T958" i="8" a="1"/>
  <c r="T958" i="8" s="1"/>
  <c r="T959" i="8" a="1"/>
  <c r="T959" i="8" s="1"/>
  <c r="T960" i="8" a="1"/>
  <c r="T960" i="8" s="1"/>
  <c r="T961" i="8" a="1"/>
  <c r="T961" i="8" s="1"/>
  <c r="T962" i="8" a="1"/>
  <c r="T962" i="8" s="1"/>
  <c r="T963" i="8" a="1"/>
  <c r="T963" i="8" s="1"/>
  <c r="T964" i="8" a="1"/>
  <c r="T964" i="8" s="1"/>
  <c r="T965" i="8" a="1"/>
  <c r="T965" i="8" s="1"/>
  <c r="T966" i="8" a="1"/>
  <c r="T966" i="8" s="1"/>
  <c r="T967" i="8" a="1"/>
  <c r="T967" i="8" s="1"/>
  <c r="T968" i="8" a="1"/>
  <c r="T968" i="8" s="1"/>
  <c r="T969" i="8" a="1"/>
  <c r="T969" i="8" s="1"/>
  <c r="T970" i="8" a="1"/>
  <c r="T970" i="8" s="1"/>
  <c r="T971" i="8" a="1"/>
  <c r="T971" i="8" s="1"/>
  <c r="T972" i="8" a="1"/>
  <c r="T972" i="8" s="1"/>
  <c r="T973" i="8" a="1"/>
  <c r="T973" i="8" s="1"/>
  <c r="T974" i="8" a="1"/>
  <c r="T974" i="8" s="1"/>
  <c r="T975" i="8" a="1"/>
  <c r="T975" i="8" s="1"/>
  <c r="T976" i="8" a="1"/>
  <c r="T976" i="8" s="1"/>
  <c r="T977" i="8" a="1"/>
  <c r="T977" i="8" s="1"/>
  <c r="T978" i="8" a="1"/>
  <c r="T978" i="8" s="1"/>
  <c r="T979" i="8" a="1"/>
  <c r="T979" i="8" s="1"/>
  <c r="T980" i="8" a="1"/>
  <c r="T980" i="8" s="1"/>
  <c r="T981" i="8" a="1"/>
  <c r="T981" i="8" s="1"/>
  <c r="T982" i="8" a="1"/>
  <c r="T982" i="8" s="1"/>
  <c r="T983" i="8" a="1"/>
  <c r="T983" i="8" s="1"/>
  <c r="T984" i="8" a="1"/>
  <c r="T984" i="8" s="1"/>
  <c r="T985" i="8" a="1"/>
  <c r="T985" i="8" s="1"/>
  <c r="T986" i="8" a="1"/>
  <c r="T986" i="8" s="1"/>
  <c r="T987" i="8" a="1"/>
  <c r="T987" i="8" s="1"/>
  <c r="T988" i="8" a="1"/>
  <c r="T988" i="8" s="1"/>
  <c r="T989" i="8" a="1"/>
  <c r="T989" i="8" s="1"/>
  <c r="T990" i="8" a="1"/>
  <c r="T990" i="8" s="1"/>
  <c r="T991" i="8" a="1"/>
  <c r="T991" i="8" s="1"/>
  <c r="T992" i="8" a="1"/>
  <c r="T992" i="8" s="1"/>
  <c r="T993" i="8" a="1"/>
  <c r="T993" i="8" s="1"/>
  <c r="T994" i="8" a="1"/>
  <c r="T994" i="8" s="1"/>
  <c r="T995" i="8" a="1"/>
  <c r="T995" i="8" s="1"/>
  <c r="T996" i="8" a="1"/>
  <c r="T996" i="8" s="1"/>
  <c r="T997" i="8" a="1"/>
  <c r="T997" i="8" s="1"/>
  <c r="T998" i="8" a="1"/>
  <c r="T998" i="8" s="1"/>
  <c r="T999" i="8" a="1"/>
  <c r="T999" i="8" s="1"/>
  <c r="T1000" i="8" a="1"/>
  <c r="T1000" i="8" s="1"/>
  <c r="T1001" i="8" a="1"/>
  <c r="T1001" i="8" s="1"/>
  <c r="T1002" i="8" a="1"/>
  <c r="T1002" i="8" s="1"/>
  <c r="T1003" i="8" a="1"/>
  <c r="T1003" i="8" s="1"/>
  <c r="T1004" i="8" a="1"/>
  <c r="T1004" i="8" s="1"/>
  <c r="T1005" i="8" a="1"/>
  <c r="T1005" i="8" s="1"/>
  <c r="T1006" i="8" a="1"/>
  <c r="T1006" i="8" s="1"/>
  <c r="T1007" i="8" a="1"/>
  <c r="T1007" i="8" s="1"/>
  <c r="T1008" i="8" a="1"/>
  <c r="T1008" i="8" s="1"/>
  <c r="T1009" i="8" a="1"/>
  <c r="T1009" i="8" s="1"/>
  <c r="T1010" i="8" a="1"/>
  <c r="T1010" i="8" s="1"/>
  <c r="T1011" i="8" a="1"/>
  <c r="T1011" i="8" s="1"/>
  <c r="T1012" i="8" a="1"/>
  <c r="T1012" i="8" s="1"/>
  <c r="T1013" i="8" a="1"/>
  <c r="T1013" i="8" s="1"/>
  <c r="T1014" i="8" a="1"/>
  <c r="T1014" i="8" s="1"/>
  <c r="T1015" i="8" a="1"/>
  <c r="T1015" i="8" s="1"/>
  <c r="T1016" i="8" a="1"/>
  <c r="T1016" i="8" s="1"/>
  <c r="T1017" i="8" a="1"/>
  <c r="T1017" i="8" s="1"/>
  <c r="T1018" i="8" a="1"/>
  <c r="T1018" i="8" s="1"/>
  <c r="T1019" i="8" a="1"/>
  <c r="T1019" i="8" s="1"/>
  <c r="T1020" i="8" a="1"/>
  <c r="T1020" i="8" s="1"/>
  <c r="T1021" i="8" a="1"/>
  <c r="T1021" i="8" s="1"/>
  <c r="T1022" i="8" a="1"/>
  <c r="T1022" i="8" s="1"/>
  <c r="T1023" i="8" a="1"/>
  <c r="T1023" i="8" s="1"/>
  <c r="T1024" i="8" a="1"/>
  <c r="T1024" i="8" s="1"/>
  <c r="T1025" i="8" a="1"/>
  <c r="T1025" i="8" s="1"/>
  <c r="T1026" i="8" a="1"/>
  <c r="T1026" i="8" s="1"/>
  <c r="T1027" i="8" a="1"/>
  <c r="T1027" i="8" s="1"/>
  <c r="T1028" i="8" a="1"/>
  <c r="T1028" i="8" s="1"/>
  <c r="T1029" i="8" a="1"/>
  <c r="T1029" i="8" s="1"/>
  <c r="T1030" i="8" a="1"/>
  <c r="T1030" i="8" s="1"/>
  <c r="T1031" i="8" a="1"/>
  <c r="T1031" i="8" s="1"/>
  <c r="T1032" i="8" a="1"/>
  <c r="T1032" i="8" s="1"/>
  <c r="T1033" i="8" a="1"/>
  <c r="T1033" i="8" s="1"/>
  <c r="T1034" i="8" a="1"/>
  <c r="T1034" i="8" s="1"/>
  <c r="T1035" i="8" a="1"/>
  <c r="T1035" i="8" s="1"/>
  <c r="T1036" i="8" a="1"/>
  <c r="T1036" i="8" s="1"/>
  <c r="T1037" i="8" a="1"/>
  <c r="T1037" i="8" s="1"/>
  <c r="T1038" i="8" a="1"/>
  <c r="T1038" i="8" s="1"/>
  <c r="T1039" i="8" a="1"/>
  <c r="T1039" i="8" s="1"/>
  <c r="T1040" i="8" a="1"/>
  <c r="T1040" i="8" s="1"/>
  <c r="T1041" i="8" a="1"/>
  <c r="T1041" i="8" s="1"/>
  <c r="T1042" i="8" a="1"/>
  <c r="T1042" i="8" s="1"/>
  <c r="T1043" i="8" a="1"/>
  <c r="T1043" i="8" s="1"/>
  <c r="T1044" i="8" a="1"/>
  <c r="T1044" i="8" s="1"/>
  <c r="T1045" i="8" a="1"/>
  <c r="T1045" i="8" s="1"/>
  <c r="T1046" i="8" a="1"/>
  <c r="T1046" i="8" s="1"/>
  <c r="T1047" i="8" a="1"/>
  <c r="T1047" i="8" s="1"/>
  <c r="T1048" i="8" a="1"/>
  <c r="T1048" i="8" s="1"/>
  <c r="T1049" i="8" a="1"/>
  <c r="T1049" i="8" s="1"/>
  <c r="T1050" i="8" a="1"/>
  <c r="T1050" i="8" s="1"/>
  <c r="T1051" i="8" a="1"/>
  <c r="T1051" i="8" s="1"/>
  <c r="T1052" i="8" a="1"/>
  <c r="T1052" i="8" s="1"/>
  <c r="T1053" i="8" a="1"/>
  <c r="T1053" i="8" s="1"/>
  <c r="T1054" i="8" a="1"/>
  <c r="T1054" i="8" s="1"/>
  <c r="T1055" i="8" a="1"/>
  <c r="T1055" i="8" s="1"/>
  <c r="T1056" i="8" a="1"/>
  <c r="T1056" i="8" s="1"/>
  <c r="T1057" i="8" a="1"/>
  <c r="T1057" i="8" s="1"/>
  <c r="T1058" i="8" a="1"/>
  <c r="T1058" i="8" s="1"/>
  <c r="T1059" i="8" a="1"/>
  <c r="T1059" i="8" s="1"/>
  <c r="T1060" i="8" a="1"/>
  <c r="T1060" i="8" s="1"/>
  <c r="T1061" i="8" a="1"/>
  <c r="T1061" i="8" s="1"/>
  <c r="T1062" i="8" a="1"/>
  <c r="T1062" i="8" s="1"/>
  <c r="T1063" i="8" a="1"/>
  <c r="T1063" i="8" s="1"/>
  <c r="T1064" i="8" a="1"/>
  <c r="T1064" i="8" s="1"/>
  <c r="T1065" i="8" a="1"/>
  <c r="T1065" i="8" s="1"/>
  <c r="T1066" i="8" a="1"/>
  <c r="T1066" i="8" s="1"/>
  <c r="T1067" i="8" a="1"/>
  <c r="T1067" i="8" s="1"/>
  <c r="T1068" i="8" a="1"/>
  <c r="T1068" i="8" s="1"/>
  <c r="T1069" i="8" a="1"/>
  <c r="T1069" i="8" s="1"/>
  <c r="T1070" i="8" a="1"/>
  <c r="T1070" i="8" s="1"/>
  <c r="T1071" i="8" a="1"/>
  <c r="T1071" i="8" s="1"/>
  <c r="T1072" i="8" a="1"/>
  <c r="T1072" i="8" s="1"/>
  <c r="T1073" i="8" a="1"/>
  <c r="T1073" i="8" s="1"/>
  <c r="T1074" i="8" a="1"/>
  <c r="T1074" i="8" s="1"/>
  <c r="T1075" i="8" a="1"/>
  <c r="T1075" i="8" s="1"/>
  <c r="T1076" i="8" a="1"/>
  <c r="T1076" i="8" s="1"/>
  <c r="T1077" i="8" a="1"/>
  <c r="T1077" i="8" s="1"/>
  <c r="T1078" i="8" a="1"/>
  <c r="T1078" i="8" s="1"/>
  <c r="T1079" i="8" a="1"/>
  <c r="T1079" i="8" s="1"/>
  <c r="T1080" i="8" a="1"/>
  <c r="T1080" i="8" s="1"/>
  <c r="T1081" i="8" a="1"/>
  <c r="T1081" i="8" s="1"/>
  <c r="T1082" i="8" a="1"/>
  <c r="T1082" i="8" s="1"/>
  <c r="T1083" i="8" a="1"/>
  <c r="T1083" i="8" s="1"/>
  <c r="T1084" i="8" a="1"/>
  <c r="T1084" i="8" s="1"/>
  <c r="T1085" i="8" a="1"/>
  <c r="T1085" i="8" s="1"/>
  <c r="T1086" i="8" a="1"/>
  <c r="T1086" i="8" s="1"/>
  <c r="T1087" i="8" a="1"/>
  <c r="T1087" i="8" s="1"/>
  <c r="T1088" i="8" a="1"/>
  <c r="T1088" i="8" s="1"/>
  <c r="T1089" i="8" a="1"/>
  <c r="T1089" i="8" s="1"/>
  <c r="T1090" i="8" a="1"/>
  <c r="T1090" i="8" s="1"/>
  <c r="T1091" i="8" a="1"/>
  <c r="T1091" i="8" s="1"/>
  <c r="T1092" i="8" a="1"/>
  <c r="T1092" i="8" s="1"/>
  <c r="T1093" i="8" a="1"/>
  <c r="T1093" i="8" s="1"/>
  <c r="T1094" i="8" a="1"/>
  <c r="T1094" i="8" s="1"/>
  <c r="T1095" i="8" a="1"/>
  <c r="T1095" i="8" s="1"/>
  <c r="T1096" i="8" a="1"/>
  <c r="T1096" i="8" s="1"/>
  <c r="T1097" i="8" a="1"/>
  <c r="T1097" i="8" s="1"/>
  <c r="T1098" i="8" a="1"/>
  <c r="T1098" i="8" s="1"/>
  <c r="T1099" i="8" a="1"/>
  <c r="T1099" i="8" s="1"/>
  <c r="T1100" i="8" a="1"/>
  <c r="T1100" i="8" s="1"/>
  <c r="T1101" i="8" a="1"/>
  <c r="T1101" i="8" s="1"/>
  <c r="T1102" i="8" a="1"/>
  <c r="T1102" i="8" s="1"/>
  <c r="T1103" i="8" a="1"/>
  <c r="T1103" i="8" s="1"/>
  <c r="T1104" i="8" a="1"/>
  <c r="T1104" i="8" s="1"/>
  <c r="T1105" i="8" a="1"/>
  <c r="T1105" i="8" s="1"/>
  <c r="T1106" i="8" a="1"/>
  <c r="T1106" i="8" s="1"/>
  <c r="T1107" i="8" a="1"/>
  <c r="T1107" i="8" s="1"/>
  <c r="T1108" i="8" a="1"/>
  <c r="T1108" i="8" s="1"/>
  <c r="T1109" i="8" a="1"/>
  <c r="T1109" i="8" s="1"/>
  <c r="T1110" i="8" a="1"/>
  <c r="T1110" i="8" s="1"/>
  <c r="T1111" i="8" a="1"/>
  <c r="T1111" i="8" s="1"/>
  <c r="T1112" i="8" a="1"/>
  <c r="T1112" i="8" s="1"/>
  <c r="T1113" i="8" a="1"/>
  <c r="T1113" i="8" s="1"/>
  <c r="T1114" i="8" a="1"/>
  <c r="T1114" i="8" s="1"/>
  <c r="T1115" i="8" a="1"/>
  <c r="T1115" i="8" s="1"/>
  <c r="T1116" i="8" a="1"/>
  <c r="T1116" i="8" s="1"/>
  <c r="T1117" i="8" a="1"/>
  <c r="T1117" i="8" s="1"/>
  <c r="T1118" i="8" a="1"/>
  <c r="T1118" i="8" s="1"/>
  <c r="T1119" i="8" a="1"/>
  <c r="T1119" i="8" s="1"/>
  <c r="T1120" i="8" a="1"/>
  <c r="T1120" i="8" s="1"/>
  <c r="T1121" i="8" a="1"/>
  <c r="T1121" i="8" s="1"/>
  <c r="T1122" i="8" a="1"/>
  <c r="T1122" i="8" s="1"/>
  <c r="T1123" i="8" a="1"/>
  <c r="T1123" i="8" s="1"/>
  <c r="T1124" i="8" a="1"/>
  <c r="T1124" i="8" s="1"/>
  <c r="T1125" i="8" a="1"/>
  <c r="T1125" i="8" s="1"/>
  <c r="T1126" i="8" a="1"/>
  <c r="T1126" i="8" s="1"/>
  <c r="T1127" i="8" a="1"/>
  <c r="T1127" i="8" s="1"/>
  <c r="T1128" i="8" a="1"/>
  <c r="T1128" i="8" s="1"/>
  <c r="T1129" i="8" a="1"/>
  <c r="T1129" i="8" s="1"/>
  <c r="T1130" i="8" a="1"/>
  <c r="T1130" i="8" s="1"/>
  <c r="T1131" i="8" a="1"/>
  <c r="T1131" i="8" s="1"/>
  <c r="T1132" i="8" a="1"/>
  <c r="T1132" i="8" s="1"/>
  <c r="T1133" i="8" a="1"/>
  <c r="T1133" i="8" s="1"/>
  <c r="T1134" i="8" a="1"/>
  <c r="T1134" i="8" s="1"/>
  <c r="T1135" i="8" a="1"/>
  <c r="T1135" i="8" s="1"/>
  <c r="T1136" i="8" a="1"/>
  <c r="T1136" i="8" s="1"/>
  <c r="T1137" i="8" a="1"/>
  <c r="T1137" i="8" s="1"/>
  <c r="T1138" i="8" a="1"/>
  <c r="T1138" i="8" s="1"/>
  <c r="T1139" i="8" a="1"/>
  <c r="T1139" i="8" s="1"/>
  <c r="T1140" i="8" a="1"/>
  <c r="T1140" i="8" s="1"/>
  <c r="T1141" i="8" a="1"/>
  <c r="T1141" i="8" s="1"/>
  <c r="T1142" i="8" a="1"/>
  <c r="T1142" i="8" s="1"/>
  <c r="T1143" i="8" a="1"/>
  <c r="T1143" i="8" s="1"/>
  <c r="T1144" i="8" a="1"/>
  <c r="T1144" i="8" s="1"/>
  <c r="T1145" i="8" a="1"/>
  <c r="T1145" i="8" s="1"/>
  <c r="T1146" i="8" a="1"/>
  <c r="T1146" i="8" s="1"/>
  <c r="T1147" i="8" a="1"/>
  <c r="T1147" i="8" s="1"/>
  <c r="T1148" i="8" a="1"/>
  <c r="T1148" i="8" s="1"/>
  <c r="T1149" i="8" a="1"/>
  <c r="T1149" i="8" s="1"/>
  <c r="T1150" i="8" a="1"/>
  <c r="T1150" i="8" s="1"/>
  <c r="T1151" i="8" a="1"/>
  <c r="T1151" i="8" s="1"/>
  <c r="T1152" i="8" a="1"/>
  <c r="T1152" i="8" s="1"/>
  <c r="T1153" i="8" a="1"/>
  <c r="T1153" i="8" s="1"/>
  <c r="T1154" i="8" a="1"/>
  <c r="T1154" i="8" s="1"/>
  <c r="T1155" i="8" a="1"/>
  <c r="T1155" i="8" s="1"/>
  <c r="T1156" i="8" a="1"/>
  <c r="T1156" i="8" s="1"/>
  <c r="T1157" i="8" a="1"/>
  <c r="T1157" i="8" s="1"/>
  <c r="T1158" i="8" a="1"/>
  <c r="T1158" i="8" s="1"/>
  <c r="T1159" i="8" a="1"/>
  <c r="T1159" i="8" s="1"/>
  <c r="T1160" i="8" a="1"/>
  <c r="T1160" i="8" s="1"/>
  <c r="T1161" i="8" a="1"/>
  <c r="T1161" i="8" s="1"/>
  <c r="T1162" i="8" a="1"/>
  <c r="T1162" i="8" s="1"/>
  <c r="T1163" i="8" a="1"/>
  <c r="T1163" i="8" s="1"/>
  <c r="T1164" i="8" a="1"/>
  <c r="T1164" i="8" s="1"/>
  <c r="T1165" i="8" a="1"/>
  <c r="T1165" i="8" s="1"/>
  <c r="T1166" i="8" a="1"/>
  <c r="T1166" i="8" s="1"/>
  <c r="T1167" i="8" a="1"/>
  <c r="T1167" i="8" s="1"/>
  <c r="T1168" i="8" a="1"/>
  <c r="T1168" i="8" s="1"/>
  <c r="T1169" i="8" a="1"/>
  <c r="T1169" i="8" s="1"/>
  <c r="T1170" i="8" a="1"/>
  <c r="T1170" i="8" s="1"/>
  <c r="T1171" i="8" a="1"/>
  <c r="T1171" i="8" s="1"/>
  <c r="T1172" i="8" a="1"/>
  <c r="T1172" i="8" s="1"/>
  <c r="T1173" i="8" a="1"/>
  <c r="T1173" i="8" s="1"/>
  <c r="T1174" i="8" a="1"/>
  <c r="T1174" i="8" s="1"/>
  <c r="T1175" i="8" a="1"/>
  <c r="T1175" i="8" s="1"/>
  <c r="T1176" i="8" a="1"/>
  <c r="T1176" i="8" s="1"/>
  <c r="T1177" i="8" a="1"/>
  <c r="T1177" i="8" s="1"/>
  <c r="T1178" i="8" a="1"/>
  <c r="T1178" i="8" s="1"/>
  <c r="T1179" i="8" a="1"/>
  <c r="T1179" i="8" s="1"/>
  <c r="T1180" i="8" a="1"/>
  <c r="T1180" i="8" s="1"/>
  <c r="T1181" i="8" a="1"/>
  <c r="T1181" i="8" s="1"/>
  <c r="T1182" i="8" a="1"/>
  <c r="T1182" i="8" s="1"/>
  <c r="T1183" i="8" a="1"/>
  <c r="T1183" i="8" s="1"/>
  <c r="T1184" i="8" a="1"/>
  <c r="T1184" i="8" s="1"/>
  <c r="T1185" i="8" a="1"/>
  <c r="T1185" i="8" s="1"/>
  <c r="T1186" i="8" a="1"/>
  <c r="T1186" i="8" s="1"/>
  <c r="T1187" i="8" a="1"/>
  <c r="T1187" i="8" s="1"/>
  <c r="T1188" i="8" a="1"/>
  <c r="T1188" i="8" s="1"/>
  <c r="T1189" i="8" a="1"/>
  <c r="T1189" i="8" s="1"/>
  <c r="T1190" i="8" a="1"/>
  <c r="T1190" i="8" s="1"/>
  <c r="T1191" i="8" a="1"/>
  <c r="T1191" i="8" s="1"/>
  <c r="T1192" i="8" a="1"/>
  <c r="T1192" i="8" s="1"/>
  <c r="T1193" i="8" a="1"/>
  <c r="T1193" i="8" s="1"/>
  <c r="T1194" i="8" a="1"/>
  <c r="T1194" i="8" s="1"/>
  <c r="T1195" i="8" a="1"/>
  <c r="T1195" i="8" s="1"/>
  <c r="T1196" i="8" a="1"/>
  <c r="T1196" i="8" s="1"/>
  <c r="T1197" i="8" a="1"/>
  <c r="T1197" i="8" s="1"/>
  <c r="T1198" i="8" a="1"/>
  <c r="T1198" i="8" s="1"/>
  <c r="T1199" i="8" a="1"/>
  <c r="T1199" i="8" s="1"/>
  <c r="T1200" i="8" a="1"/>
  <c r="T1200" i="8" s="1"/>
  <c r="T1201" i="8" a="1"/>
  <c r="T1201" i="8" s="1"/>
  <c r="T1202" i="8" a="1"/>
  <c r="T1202" i="8" s="1"/>
  <c r="T1203" i="8" a="1"/>
  <c r="T1203" i="8" s="1"/>
  <c r="T1204" i="8" a="1"/>
  <c r="T1204" i="8" s="1"/>
  <c r="T1205" i="8" a="1"/>
  <c r="T1205" i="8" s="1"/>
  <c r="T1206" i="8" a="1"/>
  <c r="T1206" i="8" s="1"/>
  <c r="T1207" i="8" a="1"/>
  <c r="T1207" i="8" s="1"/>
  <c r="T1208" i="8" a="1"/>
  <c r="T1208" i="8" s="1"/>
  <c r="T1209" i="8" a="1"/>
  <c r="T1209" i="8" s="1"/>
  <c r="T1210" i="8" a="1"/>
  <c r="T1210" i="8" s="1"/>
  <c r="T1211" i="8" a="1"/>
  <c r="T1211" i="8" s="1"/>
  <c r="T1212" i="8" a="1"/>
  <c r="T1212" i="8" s="1"/>
  <c r="T1213" i="8" a="1"/>
  <c r="T1213" i="8" s="1"/>
  <c r="T1214" i="8" a="1"/>
  <c r="T1214" i="8" s="1"/>
  <c r="T1215" i="8" a="1"/>
  <c r="T1215" i="8" s="1"/>
  <c r="T1216" i="8" a="1"/>
  <c r="T1216" i="8" s="1"/>
  <c r="T1217" i="8" a="1"/>
  <c r="T1217" i="8" s="1"/>
  <c r="T1218" i="8" a="1"/>
  <c r="T1218" i="8" s="1"/>
  <c r="T1219" i="8" a="1"/>
  <c r="T1219" i="8" s="1"/>
  <c r="T1220" i="8" a="1"/>
  <c r="T1220" i="8" s="1"/>
  <c r="T1221" i="8" a="1"/>
  <c r="T1221" i="8" s="1"/>
  <c r="T1222" i="8" a="1"/>
  <c r="T1222" i="8" s="1"/>
  <c r="T1223" i="8" a="1"/>
  <c r="T1223" i="8" s="1"/>
  <c r="T1224" i="8" a="1"/>
  <c r="T1224" i="8" s="1"/>
  <c r="T1225" i="8" a="1"/>
  <c r="T1225" i="8" s="1"/>
  <c r="T1226" i="8" a="1"/>
  <c r="T1226" i="8" s="1"/>
  <c r="T1227" i="8" a="1"/>
  <c r="T1227" i="8" s="1"/>
  <c r="T1228" i="8" a="1"/>
  <c r="T1228" i="8" s="1"/>
  <c r="T1229" i="8" a="1"/>
  <c r="T1229" i="8" s="1"/>
  <c r="T1230" i="8" a="1"/>
  <c r="T1230" i="8" s="1"/>
  <c r="T1231" i="8" a="1"/>
  <c r="T1231" i="8" s="1"/>
  <c r="T1232" i="8" a="1"/>
  <c r="T1232" i="8" s="1"/>
  <c r="T1233" i="8" a="1"/>
  <c r="T1233" i="8" s="1"/>
  <c r="T1234" i="8" a="1"/>
  <c r="T1234" i="8" s="1"/>
  <c r="T1235" i="8" a="1"/>
  <c r="T1235" i="8" s="1"/>
  <c r="T1236" i="8" a="1"/>
  <c r="T1236" i="8" s="1"/>
  <c r="T1237" i="8" a="1"/>
  <c r="T1237" i="8" s="1"/>
  <c r="T1238" i="8" a="1"/>
  <c r="T1238" i="8" s="1"/>
  <c r="T1239" i="8" a="1"/>
  <c r="T1239" i="8" s="1"/>
  <c r="T1240" i="8" a="1"/>
  <c r="T1240" i="8" s="1"/>
  <c r="T1241" i="8" a="1"/>
  <c r="T1241" i="8" s="1"/>
  <c r="T1242" i="8" a="1"/>
  <c r="T1242" i="8" s="1"/>
  <c r="T1243" i="8" a="1"/>
  <c r="T1243" i="8" s="1"/>
  <c r="T1244" i="8" a="1"/>
  <c r="T1244" i="8" s="1"/>
  <c r="T1245" i="8" a="1"/>
  <c r="T1245" i="8" s="1"/>
  <c r="T1246" i="8" a="1"/>
  <c r="T1246" i="8" s="1"/>
  <c r="T1247" i="8" a="1"/>
  <c r="T1247" i="8" s="1"/>
  <c r="T1248" i="8" a="1"/>
  <c r="T1248" i="8" s="1"/>
  <c r="T1249" i="8" a="1"/>
  <c r="T1249" i="8" s="1"/>
  <c r="T1250" i="8" a="1"/>
  <c r="T1250" i="8" s="1"/>
  <c r="U911" i="8" a="1"/>
  <c r="U911" i="8" s="1"/>
  <c r="U912" i="8" a="1"/>
  <c r="U912" i="8" s="1"/>
  <c r="U913" i="8" a="1"/>
  <c r="U913" i="8" s="1"/>
  <c r="U914" i="8" a="1"/>
  <c r="U914" i="8" s="1"/>
  <c r="U915" i="8" a="1"/>
  <c r="U915" i="8" s="1"/>
  <c r="U916" i="8" a="1"/>
  <c r="U916" i="8" s="1"/>
  <c r="U917" i="8" a="1"/>
  <c r="U917" i="8" s="1"/>
  <c r="U918" i="8" a="1"/>
  <c r="U918" i="8" s="1"/>
  <c r="U919" i="8" a="1"/>
  <c r="U919" i="8" s="1"/>
  <c r="U920" i="8" a="1"/>
  <c r="U920" i="8" s="1"/>
  <c r="U921" i="8" a="1"/>
  <c r="U921" i="8" s="1"/>
  <c r="U922" i="8" a="1"/>
  <c r="U922" i="8" s="1"/>
  <c r="U923" i="8" a="1"/>
  <c r="U923" i="8" s="1"/>
  <c r="U924" i="8" a="1"/>
  <c r="U924" i="8" s="1"/>
  <c r="U925" i="8" a="1"/>
  <c r="U925" i="8" s="1"/>
  <c r="U926" i="8" a="1"/>
  <c r="U926" i="8" s="1"/>
  <c r="U927" i="8" a="1"/>
  <c r="U927" i="8" s="1"/>
  <c r="U928" i="8" a="1"/>
  <c r="U928" i="8" s="1"/>
  <c r="U929" i="8" a="1"/>
  <c r="U929" i="8" s="1"/>
  <c r="U930" i="8" a="1"/>
  <c r="U930" i="8" s="1"/>
  <c r="U931" i="8" a="1"/>
  <c r="U931" i="8" s="1"/>
  <c r="U932" i="8" a="1"/>
  <c r="U932" i="8" s="1"/>
  <c r="U933" i="8" a="1"/>
  <c r="U933" i="8" s="1"/>
  <c r="U934" i="8" a="1"/>
  <c r="U934" i="8" s="1"/>
  <c r="U935" i="8" a="1"/>
  <c r="U935" i="8" s="1"/>
  <c r="U936" i="8" a="1"/>
  <c r="U936" i="8" s="1"/>
  <c r="U937" i="8" a="1"/>
  <c r="U937" i="8" s="1"/>
  <c r="U938" i="8" a="1"/>
  <c r="U938" i="8" s="1"/>
  <c r="U939" i="8" a="1"/>
  <c r="U939" i="8" s="1"/>
  <c r="U940" i="8" a="1"/>
  <c r="U940" i="8" s="1"/>
  <c r="U941" i="8" a="1"/>
  <c r="U941" i="8" s="1"/>
  <c r="U942" i="8" a="1"/>
  <c r="U942" i="8" s="1"/>
  <c r="U943" i="8" a="1"/>
  <c r="U943" i="8" s="1"/>
  <c r="U944" i="8" a="1"/>
  <c r="U944" i="8" s="1"/>
  <c r="U945" i="8" a="1"/>
  <c r="U945" i="8" s="1"/>
  <c r="U946" i="8" a="1"/>
  <c r="U946" i="8" s="1"/>
  <c r="U947" i="8" a="1"/>
  <c r="U947" i="8" s="1"/>
  <c r="U948" i="8" a="1"/>
  <c r="U948" i="8" s="1"/>
  <c r="U949" i="8" a="1"/>
  <c r="U949" i="8" s="1"/>
  <c r="U950" i="8" a="1"/>
  <c r="U950" i="8" s="1"/>
  <c r="U951" i="8" a="1"/>
  <c r="U951" i="8" s="1"/>
  <c r="U952" i="8" a="1"/>
  <c r="U952" i="8" s="1"/>
  <c r="U953" i="8" a="1"/>
  <c r="U953" i="8" s="1"/>
  <c r="U954" i="8" a="1"/>
  <c r="U954" i="8" s="1"/>
  <c r="U955" i="8" a="1"/>
  <c r="U955" i="8" s="1"/>
  <c r="U956" i="8" a="1"/>
  <c r="U956" i="8" s="1"/>
  <c r="U957" i="8" a="1"/>
  <c r="U957" i="8" s="1"/>
  <c r="U958" i="8" a="1"/>
  <c r="U958" i="8" s="1"/>
  <c r="U959" i="8" a="1"/>
  <c r="U959" i="8" s="1"/>
  <c r="U960" i="8" a="1"/>
  <c r="U960" i="8" s="1"/>
  <c r="U961" i="8" a="1"/>
  <c r="U961" i="8" s="1"/>
  <c r="U962" i="8" a="1"/>
  <c r="U962" i="8" s="1"/>
  <c r="U963" i="8" a="1"/>
  <c r="U963" i="8" s="1"/>
  <c r="U964" i="8" a="1"/>
  <c r="U964" i="8" s="1"/>
  <c r="U965" i="8" a="1"/>
  <c r="U965" i="8" s="1"/>
  <c r="U966" i="8" a="1"/>
  <c r="U966" i="8" s="1"/>
  <c r="U967" i="8" a="1"/>
  <c r="U967" i="8" s="1"/>
  <c r="U968" i="8" a="1"/>
  <c r="U968" i="8" s="1"/>
  <c r="U969" i="8" a="1"/>
  <c r="U969" i="8" s="1"/>
  <c r="U970" i="8" a="1"/>
  <c r="U970" i="8" s="1"/>
  <c r="U971" i="8" a="1"/>
  <c r="U971" i="8" s="1"/>
  <c r="U972" i="8" a="1"/>
  <c r="U972" i="8" s="1"/>
  <c r="U973" i="8" a="1"/>
  <c r="U973" i="8" s="1"/>
  <c r="U974" i="8" a="1"/>
  <c r="U974" i="8" s="1"/>
  <c r="U975" i="8" a="1"/>
  <c r="U975" i="8" s="1"/>
  <c r="U976" i="8" a="1"/>
  <c r="U976" i="8" s="1"/>
  <c r="U977" i="8" a="1"/>
  <c r="U977" i="8" s="1"/>
  <c r="U978" i="8" a="1"/>
  <c r="U978" i="8" s="1"/>
  <c r="U979" i="8" a="1"/>
  <c r="U979" i="8" s="1"/>
  <c r="U980" i="8" a="1"/>
  <c r="U980" i="8" s="1"/>
  <c r="U981" i="8" a="1"/>
  <c r="U981" i="8" s="1"/>
  <c r="U982" i="8" a="1"/>
  <c r="U982" i="8" s="1"/>
  <c r="U983" i="8" a="1"/>
  <c r="U983" i="8" s="1"/>
  <c r="U984" i="8" a="1"/>
  <c r="U984" i="8" s="1"/>
  <c r="U985" i="8" a="1"/>
  <c r="U985" i="8" s="1"/>
  <c r="U986" i="8" a="1"/>
  <c r="U986" i="8" s="1"/>
  <c r="U987" i="8" a="1"/>
  <c r="U987" i="8" s="1"/>
  <c r="U988" i="8" a="1"/>
  <c r="U988" i="8" s="1"/>
  <c r="U989" i="8" a="1"/>
  <c r="U989" i="8" s="1"/>
  <c r="U990" i="8" a="1"/>
  <c r="U990" i="8" s="1"/>
  <c r="U991" i="8" a="1"/>
  <c r="U991" i="8" s="1"/>
  <c r="U992" i="8" a="1"/>
  <c r="U992" i="8" s="1"/>
  <c r="U993" i="8" a="1"/>
  <c r="U993" i="8" s="1"/>
  <c r="U994" i="8" a="1"/>
  <c r="U994" i="8" s="1"/>
  <c r="U995" i="8" a="1"/>
  <c r="U995" i="8" s="1"/>
  <c r="U996" i="8" a="1"/>
  <c r="U996" i="8" s="1"/>
  <c r="U997" i="8" a="1"/>
  <c r="U997" i="8" s="1"/>
  <c r="U998" i="8" a="1"/>
  <c r="U998" i="8" s="1"/>
  <c r="U999" i="8" a="1"/>
  <c r="U999" i="8" s="1"/>
  <c r="U1000" i="8" a="1"/>
  <c r="U1000" i="8" s="1"/>
  <c r="U1001" i="8" a="1"/>
  <c r="U1001" i="8" s="1"/>
  <c r="U1002" i="8" a="1"/>
  <c r="U1002" i="8" s="1"/>
  <c r="U1003" i="8" a="1"/>
  <c r="U1003" i="8" s="1"/>
  <c r="U1004" i="8" a="1"/>
  <c r="U1004" i="8" s="1"/>
  <c r="U1005" i="8" a="1"/>
  <c r="U1005" i="8" s="1"/>
  <c r="U1006" i="8" a="1"/>
  <c r="U1006" i="8" s="1"/>
  <c r="U1007" i="8" a="1"/>
  <c r="U1007" i="8" s="1"/>
  <c r="U1008" i="8" a="1"/>
  <c r="U1008" i="8" s="1"/>
  <c r="U1009" i="8" a="1"/>
  <c r="U1009" i="8" s="1"/>
  <c r="U1010" i="8" a="1"/>
  <c r="U1010" i="8" s="1"/>
  <c r="U1011" i="8" a="1"/>
  <c r="U1011" i="8" s="1"/>
  <c r="U1012" i="8" a="1"/>
  <c r="U1012" i="8" s="1"/>
  <c r="U1013" i="8" a="1"/>
  <c r="U1013" i="8" s="1"/>
  <c r="U1014" i="8" a="1"/>
  <c r="U1014" i="8" s="1"/>
  <c r="U1015" i="8" a="1"/>
  <c r="U1015" i="8" s="1"/>
  <c r="U1016" i="8" a="1"/>
  <c r="U1016" i="8" s="1"/>
  <c r="U1017" i="8" a="1"/>
  <c r="U1017" i="8" s="1"/>
  <c r="U1018" i="8" a="1"/>
  <c r="U1018" i="8" s="1"/>
  <c r="U1019" i="8" a="1"/>
  <c r="U1019" i="8" s="1"/>
  <c r="U1020" i="8" a="1"/>
  <c r="U1020" i="8" s="1"/>
  <c r="U1021" i="8" a="1"/>
  <c r="U1021" i="8" s="1"/>
  <c r="U1022" i="8" a="1"/>
  <c r="U1022" i="8" s="1"/>
  <c r="U1023" i="8" a="1"/>
  <c r="U1023" i="8" s="1"/>
  <c r="U1024" i="8" a="1"/>
  <c r="U1024" i="8" s="1"/>
  <c r="U1025" i="8" a="1"/>
  <c r="U1025" i="8" s="1"/>
  <c r="U1026" i="8" a="1"/>
  <c r="U1026" i="8" s="1"/>
  <c r="U1027" i="8" a="1"/>
  <c r="U1027" i="8" s="1"/>
  <c r="U1028" i="8" a="1"/>
  <c r="U1028" i="8" s="1"/>
  <c r="U1029" i="8" a="1"/>
  <c r="U1029" i="8" s="1"/>
  <c r="U1030" i="8" a="1"/>
  <c r="U1030" i="8" s="1"/>
  <c r="U1031" i="8" a="1"/>
  <c r="U1031" i="8" s="1"/>
  <c r="U1032" i="8" a="1"/>
  <c r="U1032" i="8" s="1"/>
  <c r="U1033" i="8" a="1"/>
  <c r="U1033" i="8" s="1"/>
  <c r="U1034" i="8" a="1"/>
  <c r="U1034" i="8" s="1"/>
  <c r="U1035" i="8" a="1"/>
  <c r="U1035" i="8" s="1"/>
  <c r="U1036" i="8" a="1"/>
  <c r="U1036" i="8" s="1"/>
  <c r="U1037" i="8" a="1"/>
  <c r="U1037" i="8" s="1"/>
  <c r="U1038" i="8" a="1"/>
  <c r="U1038" i="8" s="1"/>
  <c r="U1039" i="8" a="1"/>
  <c r="U1039" i="8" s="1"/>
  <c r="U1040" i="8" a="1"/>
  <c r="U1040" i="8" s="1"/>
  <c r="U1041" i="8" a="1"/>
  <c r="U1041" i="8" s="1"/>
  <c r="U1042" i="8" a="1"/>
  <c r="U1042" i="8" s="1"/>
  <c r="U1043" i="8" a="1"/>
  <c r="U1043" i="8" s="1"/>
  <c r="U1044" i="8" a="1"/>
  <c r="U1044" i="8" s="1"/>
  <c r="U1045" i="8" a="1"/>
  <c r="U1045" i="8" s="1"/>
  <c r="U1046" i="8" a="1"/>
  <c r="U1046" i="8" s="1"/>
  <c r="U1047" i="8" a="1"/>
  <c r="U1047" i="8" s="1"/>
  <c r="U1048" i="8" a="1"/>
  <c r="U1048" i="8" s="1"/>
  <c r="U1049" i="8" a="1"/>
  <c r="U1049" i="8" s="1"/>
  <c r="U1050" i="8" a="1"/>
  <c r="U1050" i="8" s="1"/>
  <c r="U1051" i="8" a="1"/>
  <c r="U1051" i="8" s="1"/>
  <c r="U1052" i="8" a="1"/>
  <c r="U1052" i="8" s="1"/>
  <c r="U1053" i="8" a="1"/>
  <c r="U1053" i="8" s="1"/>
  <c r="U1054" i="8" a="1"/>
  <c r="U1054" i="8" s="1"/>
  <c r="U1055" i="8" a="1"/>
  <c r="U1055" i="8" s="1"/>
  <c r="U1056" i="8" a="1"/>
  <c r="U1056" i="8" s="1"/>
  <c r="U1057" i="8" a="1"/>
  <c r="U1057" i="8" s="1"/>
  <c r="U1058" i="8" a="1"/>
  <c r="U1058" i="8" s="1"/>
  <c r="U1059" i="8" a="1"/>
  <c r="U1059" i="8" s="1"/>
  <c r="U1060" i="8" a="1"/>
  <c r="U1060" i="8" s="1"/>
  <c r="U1061" i="8" a="1"/>
  <c r="U1061" i="8" s="1"/>
  <c r="U1062" i="8" a="1"/>
  <c r="U1062" i="8" s="1"/>
  <c r="U1063" i="8" a="1"/>
  <c r="U1063" i="8" s="1"/>
  <c r="U1064" i="8" a="1"/>
  <c r="U1064" i="8" s="1"/>
  <c r="U1065" i="8" a="1"/>
  <c r="U1065" i="8" s="1"/>
  <c r="U1066" i="8" a="1"/>
  <c r="U1066" i="8" s="1"/>
  <c r="U1067" i="8" a="1"/>
  <c r="U1067" i="8" s="1"/>
  <c r="U1068" i="8" a="1"/>
  <c r="U1068" i="8" s="1"/>
  <c r="U1069" i="8" a="1"/>
  <c r="U1069" i="8" s="1"/>
  <c r="U1070" i="8" a="1"/>
  <c r="U1070" i="8" s="1"/>
  <c r="U1071" i="8" a="1"/>
  <c r="U1071" i="8" s="1"/>
  <c r="U1072" i="8" a="1"/>
  <c r="U1072" i="8" s="1"/>
  <c r="U1073" i="8" a="1"/>
  <c r="U1073" i="8" s="1"/>
  <c r="U1074" i="8" a="1"/>
  <c r="U1074" i="8" s="1"/>
  <c r="U1075" i="8" a="1"/>
  <c r="U1075" i="8" s="1"/>
  <c r="U1076" i="8" a="1"/>
  <c r="U1076" i="8" s="1"/>
  <c r="U1077" i="8" a="1"/>
  <c r="U1077" i="8" s="1"/>
  <c r="U1078" i="8" a="1"/>
  <c r="U1078" i="8" s="1"/>
  <c r="U1079" i="8" a="1"/>
  <c r="U1079" i="8" s="1"/>
  <c r="U1080" i="8" a="1"/>
  <c r="U1080" i="8" s="1"/>
  <c r="U1081" i="8" a="1"/>
  <c r="U1081" i="8" s="1"/>
  <c r="U1082" i="8" a="1"/>
  <c r="U1082" i="8" s="1"/>
  <c r="U1083" i="8" a="1"/>
  <c r="U1083" i="8" s="1"/>
  <c r="U1084" i="8" a="1"/>
  <c r="U1084" i="8" s="1"/>
  <c r="U1085" i="8" a="1"/>
  <c r="U1085" i="8" s="1"/>
  <c r="U1086" i="8" a="1"/>
  <c r="U1086" i="8" s="1"/>
  <c r="U1087" i="8" a="1"/>
  <c r="U1087" i="8" s="1"/>
  <c r="U1088" i="8" a="1"/>
  <c r="U1088" i="8" s="1"/>
  <c r="U1089" i="8" a="1"/>
  <c r="U1089" i="8" s="1"/>
  <c r="U1090" i="8" a="1"/>
  <c r="U1090" i="8" s="1"/>
  <c r="U1091" i="8" a="1"/>
  <c r="U1091" i="8" s="1"/>
  <c r="U1092" i="8" a="1"/>
  <c r="U1092" i="8" s="1"/>
  <c r="U1093" i="8" a="1"/>
  <c r="U1093" i="8" s="1"/>
  <c r="U1094" i="8" a="1"/>
  <c r="U1094" i="8" s="1"/>
  <c r="U1095" i="8" a="1"/>
  <c r="U1095" i="8" s="1"/>
  <c r="U1096" i="8" a="1"/>
  <c r="U1096" i="8" s="1"/>
  <c r="U1097" i="8" a="1"/>
  <c r="U1097" i="8" s="1"/>
  <c r="U1098" i="8" a="1"/>
  <c r="U1098" i="8" s="1"/>
  <c r="U1099" i="8" a="1"/>
  <c r="U1099" i="8" s="1"/>
  <c r="U1100" i="8" a="1"/>
  <c r="U1100" i="8" s="1"/>
  <c r="U1101" i="8" a="1"/>
  <c r="U1101" i="8" s="1"/>
  <c r="U1102" i="8" a="1"/>
  <c r="U1102" i="8" s="1"/>
  <c r="U1103" i="8" a="1"/>
  <c r="U1103" i="8" s="1"/>
  <c r="U1104" i="8" a="1"/>
  <c r="U1104" i="8" s="1"/>
  <c r="U1105" i="8" a="1"/>
  <c r="U1105" i="8" s="1"/>
  <c r="U1106" i="8" a="1"/>
  <c r="U1106" i="8" s="1"/>
  <c r="U1107" i="8" a="1"/>
  <c r="U1107" i="8" s="1"/>
  <c r="U1108" i="8" a="1"/>
  <c r="U1108" i="8" s="1"/>
  <c r="U1109" i="8" a="1"/>
  <c r="U1109" i="8" s="1"/>
  <c r="U1110" i="8" a="1"/>
  <c r="U1110" i="8" s="1"/>
  <c r="U1111" i="8" a="1"/>
  <c r="U1111" i="8" s="1"/>
  <c r="U1112" i="8" a="1"/>
  <c r="U1112" i="8" s="1"/>
  <c r="U1113" i="8" a="1"/>
  <c r="U1113" i="8" s="1"/>
  <c r="U1114" i="8" a="1"/>
  <c r="U1114" i="8" s="1"/>
  <c r="U1115" i="8" a="1"/>
  <c r="U1115" i="8" s="1"/>
  <c r="U1116" i="8" a="1"/>
  <c r="U1116" i="8" s="1"/>
  <c r="U1117" i="8" a="1"/>
  <c r="U1117" i="8" s="1"/>
  <c r="U1118" i="8" a="1"/>
  <c r="U1118" i="8" s="1"/>
  <c r="U1119" i="8" a="1"/>
  <c r="U1119" i="8" s="1"/>
  <c r="U1120" i="8" a="1"/>
  <c r="U1120" i="8" s="1"/>
  <c r="U1121" i="8" a="1"/>
  <c r="U1121" i="8" s="1"/>
  <c r="U1122" i="8" a="1"/>
  <c r="U1122" i="8" s="1"/>
  <c r="U1123" i="8" a="1"/>
  <c r="U1123" i="8" s="1"/>
  <c r="U1124" i="8" a="1"/>
  <c r="U1124" i="8" s="1"/>
  <c r="U1125" i="8" a="1"/>
  <c r="U1125" i="8" s="1"/>
  <c r="U1126" i="8" a="1"/>
  <c r="U1126" i="8" s="1"/>
  <c r="U1127" i="8" a="1"/>
  <c r="U1127" i="8" s="1"/>
  <c r="U1128" i="8" a="1"/>
  <c r="U1128" i="8" s="1"/>
  <c r="U1129" i="8" a="1"/>
  <c r="U1129" i="8" s="1"/>
  <c r="U1130" i="8" a="1"/>
  <c r="U1130" i="8" s="1"/>
  <c r="U1131" i="8" a="1"/>
  <c r="U1131" i="8" s="1"/>
  <c r="U1132" i="8" a="1"/>
  <c r="U1132" i="8" s="1"/>
  <c r="U1133" i="8" a="1"/>
  <c r="U1133" i="8" s="1"/>
  <c r="U1134" i="8" a="1"/>
  <c r="U1134" i="8" s="1"/>
  <c r="U1135" i="8" a="1"/>
  <c r="U1135" i="8" s="1"/>
  <c r="U1136" i="8" a="1"/>
  <c r="U1136" i="8" s="1"/>
  <c r="U1137" i="8" a="1"/>
  <c r="U1137" i="8" s="1"/>
  <c r="U1138" i="8" a="1"/>
  <c r="U1138" i="8" s="1"/>
  <c r="U1139" i="8" a="1"/>
  <c r="U1139" i="8" s="1"/>
  <c r="U1140" i="8" a="1"/>
  <c r="U1140" i="8" s="1"/>
  <c r="U1141" i="8" a="1"/>
  <c r="U1141" i="8" s="1"/>
  <c r="U1142" i="8" a="1"/>
  <c r="U1142" i="8" s="1"/>
  <c r="U1143" i="8" a="1"/>
  <c r="U1143" i="8" s="1"/>
  <c r="U1144" i="8" a="1"/>
  <c r="U1144" i="8" s="1"/>
  <c r="U1145" i="8" a="1"/>
  <c r="U1145" i="8" s="1"/>
  <c r="U1146" i="8" a="1"/>
  <c r="U1146" i="8" s="1"/>
  <c r="U1147" i="8" a="1"/>
  <c r="U1147" i="8" s="1"/>
  <c r="U1148" i="8" a="1"/>
  <c r="U1148" i="8" s="1"/>
  <c r="U1149" i="8" a="1"/>
  <c r="U1149" i="8" s="1"/>
  <c r="U1150" i="8" a="1"/>
  <c r="U1150" i="8" s="1"/>
  <c r="U1151" i="8" a="1"/>
  <c r="U1151" i="8" s="1"/>
  <c r="U1152" i="8" a="1"/>
  <c r="U1152" i="8" s="1"/>
  <c r="U1153" i="8" a="1"/>
  <c r="U1153" i="8" s="1"/>
  <c r="U1154" i="8" a="1"/>
  <c r="U1154" i="8" s="1"/>
  <c r="U1155" i="8" a="1"/>
  <c r="U1155" i="8" s="1"/>
  <c r="U1156" i="8" a="1"/>
  <c r="U1156" i="8" s="1"/>
  <c r="U1157" i="8" a="1"/>
  <c r="U1157" i="8" s="1"/>
  <c r="U1158" i="8" a="1"/>
  <c r="U1158" i="8" s="1"/>
  <c r="U1159" i="8" a="1"/>
  <c r="U1159" i="8" s="1"/>
  <c r="U1160" i="8" a="1"/>
  <c r="U1160" i="8" s="1"/>
  <c r="U1161" i="8" a="1"/>
  <c r="U1161" i="8" s="1"/>
  <c r="U1162" i="8" a="1"/>
  <c r="U1162" i="8" s="1"/>
  <c r="U1163" i="8" a="1"/>
  <c r="U1163" i="8" s="1"/>
  <c r="U1164" i="8" a="1"/>
  <c r="U1164" i="8" s="1"/>
  <c r="U1165" i="8" a="1"/>
  <c r="U1165" i="8" s="1"/>
  <c r="U1166" i="8" a="1"/>
  <c r="U1166" i="8" s="1"/>
  <c r="U1167" i="8" a="1"/>
  <c r="U1167" i="8" s="1"/>
  <c r="U1168" i="8" a="1"/>
  <c r="U1168" i="8" s="1"/>
  <c r="U1169" i="8" a="1"/>
  <c r="U1169" i="8" s="1"/>
  <c r="U1170" i="8" a="1"/>
  <c r="U1170" i="8" s="1"/>
  <c r="U1171" i="8" a="1"/>
  <c r="U1171" i="8" s="1"/>
  <c r="U1172" i="8" a="1"/>
  <c r="U1172" i="8" s="1"/>
  <c r="U1173" i="8" a="1"/>
  <c r="U1173" i="8" s="1"/>
  <c r="U1174" i="8" a="1"/>
  <c r="U1174" i="8" s="1"/>
  <c r="U1175" i="8" a="1"/>
  <c r="U1175" i="8" s="1"/>
  <c r="U1176" i="8" a="1"/>
  <c r="U1176" i="8" s="1"/>
  <c r="U1177" i="8" a="1"/>
  <c r="U1177" i="8" s="1"/>
  <c r="U1178" i="8" a="1"/>
  <c r="U1178" i="8" s="1"/>
  <c r="U1179" i="8" a="1"/>
  <c r="U1179" i="8" s="1"/>
  <c r="U1180" i="8" a="1"/>
  <c r="U1180" i="8" s="1"/>
  <c r="U1181" i="8" a="1"/>
  <c r="U1181" i="8" s="1"/>
  <c r="U1182" i="8" a="1"/>
  <c r="U1182" i="8" s="1"/>
  <c r="U1183" i="8" a="1"/>
  <c r="U1183" i="8" s="1"/>
  <c r="U1184" i="8" a="1"/>
  <c r="U1184" i="8" s="1"/>
  <c r="U1185" i="8" a="1"/>
  <c r="U1185" i="8" s="1"/>
  <c r="U1186" i="8" a="1"/>
  <c r="U1186" i="8" s="1"/>
  <c r="U1187" i="8" a="1"/>
  <c r="U1187" i="8" s="1"/>
  <c r="U1188" i="8" a="1"/>
  <c r="U1188" i="8" s="1"/>
  <c r="U1189" i="8" a="1"/>
  <c r="U1189" i="8" s="1"/>
  <c r="U1190" i="8" a="1"/>
  <c r="U1190" i="8" s="1"/>
  <c r="U1191" i="8" a="1"/>
  <c r="U1191" i="8" s="1"/>
  <c r="U1192" i="8" a="1"/>
  <c r="U1192" i="8" s="1"/>
  <c r="U1193" i="8" a="1"/>
  <c r="U1193" i="8" s="1"/>
  <c r="U1194" i="8" a="1"/>
  <c r="U1194" i="8" s="1"/>
  <c r="U1195" i="8" a="1"/>
  <c r="U1195" i="8" s="1"/>
  <c r="U1196" i="8" a="1"/>
  <c r="U1196" i="8" s="1"/>
  <c r="U1197" i="8" a="1"/>
  <c r="U1197" i="8" s="1"/>
  <c r="U1198" i="8" a="1"/>
  <c r="U1198" i="8" s="1"/>
  <c r="U1199" i="8" a="1"/>
  <c r="U1199" i="8" s="1"/>
  <c r="U1200" i="8" a="1"/>
  <c r="U1200" i="8" s="1"/>
  <c r="U1201" i="8" a="1"/>
  <c r="U1201" i="8" s="1"/>
  <c r="U1202" i="8" a="1"/>
  <c r="U1202" i="8" s="1"/>
  <c r="U1203" i="8" a="1"/>
  <c r="U1203" i="8" s="1"/>
  <c r="U1204" i="8" a="1"/>
  <c r="U1204" i="8" s="1"/>
  <c r="U1205" i="8" a="1"/>
  <c r="U1205" i="8" s="1"/>
  <c r="U1206" i="8" a="1"/>
  <c r="U1206" i="8" s="1"/>
  <c r="U1207" i="8" a="1"/>
  <c r="U1207" i="8" s="1"/>
  <c r="U1208" i="8" a="1"/>
  <c r="U1208" i="8" s="1"/>
  <c r="U1209" i="8" a="1"/>
  <c r="U1209" i="8" s="1"/>
  <c r="U1210" i="8" a="1"/>
  <c r="U1210" i="8" s="1"/>
  <c r="U1211" i="8" a="1"/>
  <c r="U1211" i="8" s="1"/>
  <c r="U1212" i="8" a="1"/>
  <c r="U1212" i="8" s="1"/>
  <c r="U1213" i="8" a="1"/>
  <c r="U1213" i="8" s="1"/>
  <c r="U1214" i="8" a="1"/>
  <c r="U1214" i="8" s="1"/>
  <c r="U1215" i="8" a="1"/>
  <c r="U1215" i="8" s="1"/>
  <c r="U1216" i="8" a="1"/>
  <c r="U1216" i="8" s="1"/>
  <c r="U1217" i="8" a="1"/>
  <c r="U1217" i="8" s="1"/>
  <c r="U1218" i="8" a="1"/>
  <c r="U1218" i="8" s="1"/>
  <c r="U1219" i="8" a="1"/>
  <c r="U1219" i="8" s="1"/>
  <c r="U1220" i="8" a="1"/>
  <c r="U1220" i="8" s="1"/>
  <c r="U1221" i="8" a="1"/>
  <c r="U1221" i="8" s="1"/>
  <c r="U1222" i="8" a="1"/>
  <c r="U1222" i="8" s="1"/>
  <c r="U1223" i="8" a="1"/>
  <c r="U1223" i="8" s="1"/>
  <c r="U1224" i="8" a="1"/>
  <c r="U1224" i="8" s="1"/>
  <c r="U1225" i="8" a="1"/>
  <c r="U1225" i="8" s="1"/>
  <c r="U1226" i="8" a="1"/>
  <c r="U1226" i="8" s="1"/>
  <c r="U1227" i="8" a="1"/>
  <c r="U1227" i="8" s="1"/>
  <c r="U1228" i="8" a="1"/>
  <c r="U1228" i="8" s="1"/>
  <c r="U1229" i="8" a="1"/>
  <c r="U1229" i="8" s="1"/>
  <c r="U1230" i="8" a="1"/>
  <c r="U1230" i="8" s="1"/>
  <c r="U1231" i="8" a="1"/>
  <c r="U1231" i="8" s="1"/>
  <c r="U1232" i="8" a="1"/>
  <c r="U1232" i="8" s="1"/>
  <c r="U1233" i="8" a="1"/>
  <c r="U1233" i="8" s="1"/>
  <c r="U1234" i="8" a="1"/>
  <c r="U1234" i="8" s="1"/>
  <c r="U1235" i="8" a="1"/>
  <c r="U1235" i="8" s="1"/>
  <c r="U1236" i="8" a="1"/>
  <c r="U1236" i="8" s="1"/>
  <c r="U1237" i="8" a="1"/>
  <c r="U1237" i="8" s="1"/>
  <c r="U1238" i="8" a="1"/>
  <c r="U1238" i="8" s="1"/>
  <c r="U1239" i="8" a="1"/>
  <c r="U1239" i="8" s="1"/>
  <c r="U1240" i="8" a="1"/>
  <c r="U1240" i="8" s="1"/>
  <c r="U1241" i="8" a="1"/>
  <c r="U1241" i="8" s="1"/>
  <c r="U1242" i="8" a="1"/>
  <c r="U1242" i="8" s="1"/>
  <c r="U1243" i="8" a="1"/>
  <c r="U1243" i="8" s="1"/>
  <c r="U1244" i="8" a="1"/>
  <c r="U1244" i="8" s="1"/>
  <c r="U1245" i="8" a="1"/>
  <c r="U1245" i="8" s="1"/>
  <c r="U1246" i="8" a="1"/>
  <c r="U1246" i="8" s="1"/>
  <c r="U1247" i="8" a="1"/>
  <c r="U1247" i="8" s="1"/>
  <c r="U1248" i="8" a="1"/>
  <c r="U1248" i="8" s="1"/>
  <c r="U1249" i="8" a="1"/>
  <c r="U1249" i="8" s="1"/>
  <c r="U1250" i="8" a="1"/>
  <c r="U1250" i="8" s="1"/>
  <c r="V911" i="8"/>
  <c r="V912" i="8"/>
  <c r="V913" i="8"/>
  <c r="V914" i="8"/>
  <c r="V915" i="8"/>
  <c r="V916" i="8"/>
  <c r="V917" i="8"/>
  <c r="V918" i="8"/>
  <c r="V919" i="8"/>
  <c r="V920" i="8"/>
  <c r="V921" i="8"/>
  <c r="V922" i="8"/>
  <c r="V923" i="8"/>
  <c r="V924" i="8"/>
  <c r="V925" i="8"/>
  <c r="V926" i="8"/>
  <c r="V927" i="8"/>
  <c r="V928" i="8"/>
  <c r="V929" i="8"/>
  <c r="V930" i="8"/>
  <c r="V931" i="8"/>
  <c r="V932" i="8"/>
  <c r="V933" i="8"/>
  <c r="V934" i="8"/>
  <c r="V935" i="8"/>
  <c r="V936" i="8"/>
  <c r="V937" i="8"/>
  <c r="V938" i="8"/>
  <c r="V939" i="8"/>
  <c r="V940" i="8"/>
  <c r="V941" i="8"/>
  <c r="V942" i="8"/>
  <c r="V943" i="8"/>
  <c r="V944" i="8"/>
  <c r="V945" i="8"/>
  <c r="V946" i="8"/>
  <c r="V947" i="8"/>
  <c r="V948" i="8"/>
  <c r="V949" i="8"/>
  <c r="V950" i="8"/>
  <c r="V951" i="8"/>
  <c r="V952" i="8"/>
  <c r="V953" i="8"/>
  <c r="V954" i="8"/>
  <c r="V955" i="8"/>
  <c r="V956" i="8"/>
  <c r="V957" i="8"/>
  <c r="V958" i="8"/>
  <c r="V959" i="8"/>
  <c r="V960" i="8"/>
  <c r="V961" i="8"/>
  <c r="V962" i="8"/>
  <c r="V963" i="8"/>
  <c r="V964" i="8"/>
  <c r="V965" i="8"/>
  <c r="V966" i="8"/>
  <c r="V967" i="8"/>
  <c r="V968" i="8"/>
  <c r="V969" i="8"/>
  <c r="V970" i="8"/>
  <c r="V971" i="8"/>
  <c r="V972" i="8"/>
  <c r="V973" i="8"/>
  <c r="V974" i="8"/>
  <c r="V975" i="8"/>
  <c r="V976" i="8"/>
  <c r="V977" i="8"/>
  <c r="V978" i="8"/>
  <c r="V979" i="8"/>
  <c r="V980" i="8"/>
  <c r="V981" i="8"/>
  <c r="V982" i="8"/>
  <c r="V983" i="8"/>
  <c r="V984" i="8"/>
  <c r="V985" i="8"/>
  <c r="V986" i="8"/>
  <c r="V987" i="8"/>
  <c r="V988" i="8"/>
  <c r="V989" i="8"/>
  <c r="V990" i="8"/>
  <c r="V991" i="8"/>
  <c r="V992" i="8"/>
  <c r="V993" i="8"/>
  <c r="V994" i="8"/>
  <c r="V995" i="8"/>
  <c r="V996" i="8"/>
  <c r="V997" i="8"/>
  <c r="V998" i="8"/>
  <c r="V999" i="8"/>
  <c r="V1000" i="8"/>
  <c r="V1001" i="8"/>
  <c r="V1002" i="8"/>
  <c r="V1003" i="8"/>
  <c r="V1004" i="8"/>
  <c r="V1005" i="8"/>
  <c r="V1006" i="8"/>
  <c r="V1007" i="8"/>
  <c r="V1008" i="8"/>
  <c r="V1009" i="8"/>
  <c r="V1010" i="8"/>
  <c r="V1011" i="8"/>
  <c r="V1012" i="8"/>
  <c r="V1013" i="8"/>
  <c r="V1014" i="8"/>
  <c r="V1015" i="8"/>
  <c r="V1016" i="8"/>
  <c r="V1017" i="8"/>
  <c r="V1018" i="8"/>
  <c r="V1019" i="8"/>
  <c r="V1020" i="8"/>
  <c r="V1021" i="8"/>
  <c r="V1022" i="8"/>
  <c r="V1023" i="8"/>
  <c r="V1024" i="8"/>
  <c r="V1025" i="8"/>
  <c r="V1026" i="8"/>
  <c r="V1027" i="8"/>
  <c r="V1028" i="8"/>
  <c r="V1029" i="8"/>
  <c r="V1030" i="8"/>
  <c r="V1031" i="8"/>
  <c r="V1032" i="8"/>
  <c r="V1033" i="8"/>
  <c r="V1034" i="8"/>
  <c r="V1035" i="8"/>
  <c r="V1036" i="8"/>
  <c r="V1037" i="8"/>
  <c r="V1038" i="8"/>
  <c r="V1039" i="8"/>
  <c r="V1040" i="8"/>
  <c r="V1041" i="8"/>
  <c r="V1042" i="8"/>
  <c r="V1043" i="8"/>
  <c r="V1044" i="8"/>
  <c r="V1045" i="8"/>
  <c r="V1046" i="8"/>
  <c r="V1047" i="8"/>
  <c r="V1048" i="8"/>
  <c r="V1049" i="8"/>
  <c r="V1050" i="8"/>
  <c r="V1051" i="8"/>
  <c r="V1052" i="8"/>
  <c r="V1053" i="8"/>
  <c r="V1054" i="8"/>
  <c r="V1055" i="8"/>
  <c r="V1056" i="8"/>
  <c r="V1057" i="8"/>
  <c r="V1058" i="8"/>
  <c r="V1059" i="8"/>
  <c r="V1060" i="8"/>
  <c r="V1061" i="8"/>
  <c r="V1062" i="8"/>
  <c r="V1063" i="8"/>
  <c r="V1064" i="8"/>
  <c r="V1065" i="8"/>
  <c r="V1066" i="8"/>
  <c r="V1067" i="8"/>
  <c r="V1068" i="8"/>
  <c r="V1069" i="8"/>
  <c r="V1070" i="8"/>
  <c r="V1071" i="8"/>
  <c r="V1072" i="8"/>
  <c r="V1073" i="8"/>
  <c r="V1074" i="8"/>
  <c r="V1075" i="8"/>
  <c r="V1076" i="8"/>
  <c r="V1077" i="8"/>
  <c r="V1078" i="8"/>
  <c r="V1079" i="8"/>
  <c r="V1080" i="8"/>
  <c r="V1081" i="8"/>
  <c r="V1082" i="8"/>
  <c r="V1083" i="8"/>
  <c r="V1084" i="8"/>
  <c r="V1085" i="8"/>
  <c r="V1086" i="8"/>
  <c r="V1087" i="8"/>
  <c r="V1088" i="8"/>
  <c r="V1089" i="8"/>
  <c r="V1090" i="8"/>
  <c r="V1091" i="8"/>
  <c r="V1092" i="8"/>
  <c r="V1093" i="8"/>
  <c r="V1094" i="8"/>
  <c r="V1095" i="8"/>
  <c r="V1096" i="8"/>
  <c r="V1097" i="8"/>
  <c r="V1098" i="8"/>
  <c r="V1099" i="8"/>
  <c r="V1100" i="8"/>
  <c r="V1101" i="8"/>
  <c r="V1102" i="8"/>
  <c r="V1103" i="8"/>
  <c r="V1104" i="8"/>
  <c r="V1105" i="8"/>
  <c r="V1106" i="8"/>
  <c r="V1107" i="8"/>
  <c r="V1108" i="8"/>
  <c r="V1109" i="8"/>
  <c r="V1110" i="8"/>
  <c r="V1111" i="8"/>
  <c r="V1112" i="8"/>
  <c r="V1113" i="8"/>
  <c r="V1114" i="8"/>
  <c r="V1115" i="8"/>
  <c r="V1116" i="8"/>
  <c r="V1117" i="8"/>
  <c r="V1118" i="8"/>
  <c r="V1119" i="8"/>
  <c r="V1120" i="8"/>
  <c r="V1121" i="8"/>
  <c r="V1122" i="8"/>
  <c r="V1123" i="8"/>
  <c r="V1124" i="8"/>
  <c r="V1125" i="8"/>
  <c r="V1126" i="8"/>
  <c r="V1127" i="8"/>
  <c r="V1128" i="8"/>
  <c r="V1129" i="8"/>
  <c r="V1130" i="8"/>
  <c r="V1131" i="8"/>
  <c r="V1132" i="8"/>
  <c r="V1133" i="8"/>
  <c r="V1134" i="8"/>
  <c r="V1135" i="8"/>
  <c r="V1136" i="8"/>
  <c r="V1137" i="8"/>
  <c r="V1138" i="8"/>
  <c r="V1139" i="8"/>
  <c r="V1140" i="8"/>
  <c r="V1141" i="8"/>
  <c r="V1142" i="8"/>
  <c r="V1143" i="8"/>
  <c r="V1144" i="8"/>
  <c r="V1145" i="8"/>
  <c r="V1146" i="8"/>
  <c r="V1147" i="8"/>
  <c r="V1148" i="8"/>
  <c r="V1149" i="8"/>
  <c r="V1150" i="8"/>
  <c r="V1151" i="8"/>
  <c r="V1152" i="8"/>
  <c r="V1153" i="8"/>
  <c r="V1154" i="8"/>
  <c r="V1155" i="8"/>
  <c r="V1156" i="8"/>
  <c r="V1157" i="8"/>
  <c r="V1158" i="8"/>
  <c r="V1159" i="8"/>
  <c r="V1160" i="8"/>
  <c r="V1161" i="8"/>
  <c r="V1162" i="8"/>
  <c r="V1163" i="8"/>
  <c r="V1164" i="8"/>
  <c r="V1165" i="8"/>
  <c r="V1166" i="8"/>
  <c r="V1167" i="8"/>
  <c r="V1168" i="8"/>
  <c r="V1169" i="8"/>
  <c r="V1170" i="8"/>
  <c r="V1171" i="8"/>
  <c r="V1172" i="8"/>
  <c r="V1173" i="8"/>
  <c r="V1174" i="8"/>
  <c r="V1175" i="8"/>
  <c r="V1176" i="8"/>
  <c r="V1177" i="8"/>
  <c r="V1178" i="8"/>
  <c r="V1179" i="8"/>
  <c r="V1180" i="8"/>
  <c r="V1181" i="8"/>
  <c r="V1182" i="8"/>
  <c r="V1183" i="8"/>
  <c r="V1184" i="8"/>
  <c r="V1185" i="8"/>
  <c r="V1186" i="8"/>
  <c r="V1187" i="8"/>
  <c r="V1188" i="8"/>
  <c r="V1189" i="8"/>
  <c r="V1190" i="8"/>
  <c r="V1191" i="8"/>
  <c r="V1192" i="8"/>
  <c r="V1193" i="8"/>
  <c r="V1194" i="8"/>
  <c r="V1195" i="8"/>
  <c r="V1196" i="8"/>
  <c r="V1197" i="8"/>
  <c r="V1198" i="8"/>
  <c r="V1199" i="8"/>
  <c r="V1200" i="8"/>
  <c r="V1201" i="8"/>
  <c r="V1202" i="8"/>
  <c r="V1203" i="8"/>
  <c r="V1204" i="8"/>
  <c r="V1205" i="8"/>
  <c r="V1206" i="8"/>
  <c r="V1207" i="8"/>
  <c r="V1208" i="8"/>
  <c r="V1209" i="8"/>
  <c r="V1210" i="8"/>
  <c r="V1211" i="8"/>
  <c r="V1212" i="8"/>
  <c r="V1213" i="8"/>
  <c r="V1214" i="8"/>
  <c r="V1215" i="8"/>
  <c r="V1216" i="8"/>
  <c r="V1217" i="8"/>
  <c r="V1218" i="8"/>
  <c r="V1219" i="8"/>
  <c r="V1220" i="8"/>
  <c r="V1221" i="8"/>
  <c r="V1222" i="8"/>
  <c r="V1223" i="8"/>
  <c r="V1224" i="8"/>
  <c r="V1225" i="8"/>
  <c r="V1226" i="8"/>
  <c r="V1227" i="8"/>
  <c r="V1228" i="8"/>
  <c r="V1229" i="8"/>
  <c r="V1230" i="8"/>
  <c r="V1231" i="8"/>
  <c r="V1232" i="8"/>
  <c r="V1233" i="8"/>
  <c r="V1234" i="8"/>
  <c r="V1235" i="8"/>
  <c r="V1236" i="8"/>
  <c r="V1237" i="8"/>
  <c r="V1238" i="8"/>
  <c r="V1239" i="8"/>
  <c r="V1240" i="8"/>
  <c r="V1241" i="8"/>
  <c r="V1242" i="8"/>
  <c r="V1243" i="8"/>
  <c r="V1244" i="8"/>
  <c r="V1245" i="8"/>
  <c r="V1246" i="8"/>
  <c r="V1247" i="8"/>
  <c r="V1248" i="8"/>
  <c r="V1249" i="8"/>
  <c r="V1250" i="8"/>
  <c r="AF911" i="8"/>
  <c r="AH911" i="8" s="1"/>
  <c r="AF912" i="8"/>
  <c r="AG912" i="8" s="1"/>
  <c r="AF913" i="8"/>
  <c r="AG913" i="8" s="1"/>
  <c r="AF914" i="8"/>
  <c r="AF915" i="8"/>
  <c r="AG915" i="8" s="1"/>
  <c r="AF916" i="8"/>
  <c r="AH916" i="8" s="1"/>
  <c r="AF917" i="8"/>
  <c r="AH917" i="8" s="1"/>
  <c r="AF918" i="8"/>
  <c r="AH918" i="8" s="1"/>
  <c r="AF919" i="8"/>
  <c r="AH919" i="8" s="1"/>
  <c r="AF920" i="8"/>
  <c r="AG920" i="8" s="1"/>
  <c r="AF921" i="8"/>
  <c r="AG921" i="8" s="1"/>
  <c r="AF922" i="8"/>
  <c r="AH922" i="8" s="1"/>
  <c r="AF923" i="8"/>
  <c r="AH923" i="8" s="1"/>
  <c r="AF924" i="8"/>
  <c r="AH924" i="8" s="1"/>
  <c r="AF925" i="8"/>
  <c r="AG925" i="8" s="1"/>
  <c r="AF926" i="8"/>
  <c r="AH926" i="8" s="1"/>
  <c r="AF927" i="8"/>
  <c r="AH927" i="8" s="1"/>
  <c r="AF928" i="8"/>
  <c r="AG928" i="8" s="1"/>
  <c r="AF929" i="8"/>
  <c r="AG929" i="8" s="1"/>
  <c r="AF930" i="8"/>
  <c r="AF931" i="8"/>
  <c r="AG931" i="8" s="1"/>
  <c r="AF932" i="8"/>
  <c r="AG932" i="8" s="1"/>
  <c r="AF933" i="8"/>
  <c r="AG933" i="8" s="1"/>
  <c r="AF934" i="8"/>
  <c r="AH934" i="8" s="1"/>
  <c r="AF935" i="8"/>
  <c r="AH935" i="8" s="1"/>
  <c r="AF936" i="8"/>
  <c r="AG936" i="8" s="1"/>
  <c r="AF937" i="8"/>
  <c r="AG937" i="8" s="1"/>
  <c r="AF938" i="8"/>
  <c r="AF939" i="8"/>
  <c r="AG939" i="8" s="1"/>
  <c r="AF940" i="8"/>
  <c r="AG940" i="8" s="1"/>
  <c r="AF941" i="8"/>
  <c r="AH941" i="8" s="1"/>
  <c r="AF942" i="8"/>
  <c r="AG942" i="8" s="1"/>
  <c r="AF943" i="8"/>
  <c r="AH943" i="8" s="1"/>
  <c r="AF944" i="8"/>
  <c r="AH944" i="8" s="1"/>
  <c r="AF945" i="8"/>
  <c r="AG945" i="8" s="1"/>
  <c r="AF946" i="8"/>
  <c r="AF947" i="8"/>
  <c r="AG947" i="8" s="1"/>
  <c r="AF948" i="8"/>
  <c r="AG948" i="8" s="1"/>
  <c r="AF949" i="8"/>
  <c r="AG949" i="8" s="1"/>
  <c r="AF950" i="8"/>
  <c r="AH950" i="8" s="1"/>
  <c r="AF951" i="8"/>
  <c r="AH951" i="8" s="1"/>
  <c r="AF952" i="8"/>
  <c r="AG952" i="8" s="1"/>
  <c r="AF953" i="8"/>
  <c r="AG953" i="8" s="1"/>
  <c r="AF954" i="8"/>
  <c r="AH954" i="8" s="1"/>
  <c r="AF955" i="8"/>
  <c r="AG955" i="8" s="1"/>
  <c r="AF956" i="8"/>
  <c r="AH956" i="8" s="1"/>
  <c r="AF957" i="8"/>
  <c r="AG957" i="8" s="1"/>
  <c r="AF958" i="8"/>
  <c r="AG958" i="8" s="1"/>
  <c r="AF959" i="8"/>
  <c r="AH959" i="8" s="1"/>
  <c r="AF960" i="8"/>
  <c r="AG960" i="8" s="1"/>
  <c r="AF961" i="8"/>
  <c r="AG961" i="8" s="1"/>
  <c r="AF962" i="8"/>
  <c r="AF963" i="8"/>
  <c r="AH963" i="8" s="1"/>
  <c r="AF964" i="8"/>
  <c r="AG964" i="8" s="1"/>
  <c r="AF965" i="8"/>
  <c r="AH965" i="8" s="1"/>
  <c r="AF966" i="8"/>
  <c r="AG966" i="8" s="1"/>
  <c r="AF967" i="8"/>
  <c r="AH967" i="8" s="1"/>
  <c r="AF968" i="8"/>
  <c r="AG968" i="8" s="1"/>
  <c r="AF969" i="8"/>
  <c r="AG969" i="8" s="1"/>
  <c r="AF970" i="8"/>
  <c r="AF971" i="8"/>
  <c r="AG971" i="8" s="1"/>
  <c r="AF972" i="8"/>
  <c r="AG972" i="8" s="1"/>
  <c r="AF973" i="8"/>
  <c r="AH973" i="8" s="1"/>
  <c r="AF974" i="8"/>
  <c r="AH974" i="8" s="1"/>
  <c r="AF975" i="8"/>
  <c r="AH975" i="8" s="1"/>
  <c r="AF976" i="8"/>
  <c r="AH976" i="8" s="1"/>
  <c r="AF977" i="8"/>
  <c r="AG977" i="8" s="1"/>
  <c r="AF978" i="8"/>
  <c r="AF979" i="8"/>
  <c r="AG979" i="8" s="1"/>
  <c r="AF980" i="8"/>
  <c r="AG980" i="8" s="1"/>
  <c r="AF981" i="8"/>
  <c r="AH981" i="8" s="1"/>
  <c r="AF982" i="8"/>
  <c r="AG982" i="8" s="1"/>
  <c r="AF983" i="8"/>
  <c r="AH983" i="8" s="1"/>
  <c r="AF984" i="8"/>
  <c r="AG984" i="8" s="1"/>
  <c r="AF985" i="8"/>
  <c r="AG985" i="8" s="1"/>
  <c r="AF986" i="8"/>
  <c r="AH986" i="8" s="1"/>
  <c r="AF987" i="8"/>
  <c r="AG987" i="8" s="1"/>
  <c r="AF988" i="8"/>
  <c r="AG988" i="8" s="1"/>
  <c r="AF989" i="8"/>
  <c r="AG989" i="8" s="1"/>
  <c r="AF990" i="8"/>
  <c r="AH990" i="8" s="1"/>
  <c r="AF991" i="8"/>
  <c r="AH991" i="8" s="1"/>
  <c r="AF992" i="8"/>
  <c r="AG992" i="8" s="1"/>
  <c r="AF993" i="8"/>
  <c r="AG993" i="8" s="1"/>
  <c r="AF994" i="8"/>
  <c r="AF995" i="8"/>
  <c r="AG995" i="8" s="1"/>
  <c r="AF996" i="8"/>
  <c r="AH996" i="8" s="1"/>
  <c r="AF997" i="8"/>
  <c r="AG997" i="8" s="1"/>
  <c r="AF998" i="8"/>
  <c r="AH998" i="8" s="1"/>
  <c r="AF999" i="8"/>
  <c r="AH999" i="8" s="1"/>
  <c r="AF1000" i="8"/>
  <c r="AH1000" i="8" s="1"/>
  <c r="AF1001" i="8"/>
  <c r="AG1001" i="8" s="1"/>
  <c r="AF1002" i="8"/>
  <c r="AF1003" i="8"/>
  <c r="AG1003" i="8" s="1"/>
  <c r="AF1004" i="8"/>
  <c r="AG1004" i="8" s="1"/>
  <c r="AF1005" i="8"/>
  <c r="AH1005" i="8" s="1"/>
  <c r="AF1006" i="8"/>
  <c r="AH1006" i="8" s="1"/>
  <c r="AF1007" i="8"/>
  <c r="AH1007" i="8" s="1"/>
  <c r="AF1008" i="8"/>
  <c r="AG1008" i="8" s="1"/>
  <c r="AF1009" i="8"/>
  <c r="AG1009" i="8" s="1"/>
  <c r="AF1010" i="8"/>
  <c r="AF1011" i="8"/>
  <c r="AG1011" i="8" s="1"/>
  <c r="AF1012" i="8"/>
  <c r="AG1012" i="8" s="1"/>
  <c r="AF1013" i="8"/>
  <c r="AG1013" i="8" s="1"/>
  <c r="AF1014" i="8"/>
  <c r="AG1014" i="8" s="1"/>
  <c r="AF1015" i="8"/>
  <c r="AH1015" i="8" s="1"/>
  <c r="AF1016" i="8"/>
  <c r="AH1016" i="8" s="1"/>
  <c r="AF1017" i="8"/>
  <c r="AG1017" i="8" s="1"/>
  <c r="AF1018" i="8"/>
  <c r="AH1018" i="8" s="1"/>
  <c r="AF1019" i="8"/>
  <c r="AG1019" i="8" s="1"/>
  <c r="AF1020" i="8"/>
  <c r="AH1020" i="8" s="1"/>
  <c r="AF1021" i="8"/>
  <c r="AH1021" i="8" s="1"/>
  <c r="AF1022" i="8"/>
  <c r="AG1022" i="8" s="1"/>
  <c r="AF1023" i="8"/>
  <c r="AH1023" i="8" s="1"/>
  <c r="AF1024" i="8"/>
  <c r="AG1024" i="8" s="1"/>
  <c r="AF1025" i="8"/>
  <c r="AG1025" i="8" s="1"/>
  <c r="AF1026" i="8"/>
  <c r="AF1027" i="8"/>
  <c r="AH1027" i="8" s="1"/>
  <c r="AF1028" i="8"/>
  <c r="AH1028" i="8" s="1"/>
  <c r="AF1029" i="8"/>
  <c r="AH1029" i="8" s="1"/>
  <c r="AF1030" i="8"/>
  <c r="AH1030" i="8" s="1"/>
  <c r="AF1031" i="8"/>
  <c r="AH1031" i="8" s="1"/>
  <c r="AF1032" i="8"/>
  <c r="AH1032" i="8" s="1"/>
  <c r="AF1033" i="8"/>
  <c r="AG1033" i="8" s="1"/>
  <c r="AF1034" i="8"/>
  <c r="AF1035" i="8"/>
  <c r="AG1035" i="8" s="1"/>
  <c r="AF1036" i="8"/>
  <c r="AG1036" i="8" s="1"/>
  <c r="AF1037" i="8"/>
  <c r="AG1037" i="8" s="1"/>
  <c r="AF1038" i="8"/>
  <c r="AG1038" i="8" s="1"/>
  <c r="AF1039" i="8"/>
  <c r="AH1039" i="8" s="1"/>
  <c r="AF1040" i="8"/>
  <c r="AG1040" i="8" s="1"/>
  <c r="AF1041" i="8"/>
  <c r="AG1041" i="8" s="1"/>
  <c r="AF1042" i="8"/>
  <c r="AF1043" i="8"/>
  <c r="AG1043" i="8" s="1"/>
  <c r="AF1044" i="8"/>
  <c r="AH1044" i="8" s="1"/>
  <c r="AF1045" i="8"/>
  <c r="AG1045" i="8" s="1"/>
  <c r="AF1046" i="8"/>
  <c r="AH1046" i="8" s="1"/>
  <c r="AF1047" i="8"/>
  <c r="AH1047" i="8" s="1"/>
  <c r="AF1048" i="8"/>
  <c r="AG1048" i="8" s="1"/>
  <c r="AF1049" i="8"/>
  <c r="AG1049" i="8" s="1"/>
  <c r="AF1050" i="8"/>
  <c r="AH1050" i="8" s="1"/>
  <c r="AF1051" i="8"/>
  <c r="AG1051" i="8" s="1"/>
  <c r="AF1052" i="8"/>
  <c r="AG1052" i="8" s="1"/>
  <c r="AF1053" i="8"/>
  <c r="AH1053" i="8" s="1"/>
  <c r="AF1054" i="8"/>
  <c r="AG1054" i="8" s="1"/>
  <c r="AF1055" i="8"/>
  <c r="AH1055" i="8" s="1"/>
  <c r="AF1056" i="8"/>
  <c r="AG1056" i="8" s="1"/>
  <c r="AF1057" i="8"/>
  <c r="AG1057" i="8" s="1"/>
  <c r="AF1058" i="8"/>
  <c r="AF1059" i="8"/>
  <c r="AH1059" i="8" s="1"/>
  <c r="AF1060" i="8"/>
  <c r="AH1060" i="8" s="1"/>
  <c r="AF1061" i="8"/>
  <c r="AH1061" i="8" s="1"/>
  <c r="AF1062" i="8"/>
  <c r="AG1062" i="8" s="1"/>
  <c r="AF1063" i="8"/>
  <c r="AH1063" i="8" s="1"/>
  <c r="AF1064" i="8"/>
  <c r="AH1064" i="8" s="1"/>
  <c r="AF1065" i="8"/>
  <c r="AG1065" i="8" s="1"/>
  <c r="AF1066" i="8"/>
  <c r="AF1067" i="8"/>
  <c r="AG1067" i="8" s="1"/>
  <c r="AF1068" i="8"/>
  <c r="AG1068" i="8" s="1"/>
  <c r="AF1069" i="8"/>
  <c r="AG1069" i="8" s="1"/>
  <c r="AF1070" i="8"/>
  <c r="AG1070" i="8" s="1"/>
  <c r="AF1071" i="8"/>
  <c r="AH1071" i="8" s="1"/>
  <c r="AF1072" i="8"/>
  <c r="AH1072" i="8" s="1"/>
  <c r="AF1073" i="8"/>
  <c r="AG1073" i="8" s="1"/>
  <c r="AF1074" i="8"/>
  <c r="AG1074" i="8" s="1"/>
  <c r="AF1075" i="8"/>
  <c r="AG1075" i="8" s="1"/>
  <c r="AF1076" i="8"/>
  <c r="AG1076" i="8" s="1"/>
  <c r="AF1077" i="8"/>
  <c r="AG1077" i="8" s="1"/>
  <c r="AF1078" i="8"/>
  <c r="AG1078" i="8" s="1"/>
  <c r="AF1079" i="8"/>
  <c r="AH1079" i="8" s="1"/>
  <c r="AF1080" i="8"/>
  <c r="AG1080" i="8" s="1"/>
  <c r="AF1081" i="8"/>
  <c r="AG1081" i="8" s="1"/>
  <c r="AF1082" i="8"/>
  <c r="AH1082" i="8" s="1"/>
  <c r="AF1083" i="8"/>
  <c r="AG1083" i="8" s="1"/>
  <c r="AF1084" i="8"/>
  <c r="AG1084" i="8" s="1"/>
  <c r="AF1085" i="8"/>
  <c r="AH1085" i="8" s="1"/>
  <c r="AF1086" i="8"/>
  <c r="AG1086" i="8" s="1"/>
  <c r="AF1087" i="8"/>
  <c r="AH1087" i="8" s="1"/>
  <c r="AF1088" i="8"/>
  <c r="AH1088" i="8" s="1"/>
  <c r="AF1089" i="8"/>
  <c r="AG1089" i="8" s="1"/>
  <c r="AF1090" i="8"/>
  <c r="AG1090" i="8" s="1"/>
  <c r="AF1091" i="8"/>
  <c r="AG1091" i="8" s="1"/>
  <c r="AF1092" i="8"/>
  <c r="AG1092" i="8" s="1"/>
  <c r="AF1093" i="8"/>
  <c r="AH1093" i="8" s="1"/>
  <c r="AF1094" i="8"/>
  <c r="AH1094" i="8" s="1"/>
  <c r="AF1095" i="8"/>
  <c r="AH1095" i="8" s="1"/>
  <c r="AF1096" i="8"/>
  <c r="AG1096" i="8" s="1"/>
  <c r="AF1097" i="8"/>
  <c r="AG1097" i="8" s="1"/>
  <c r="AF1098" i="8"/>
  <c r="AG1098" i="8" s="1"/>
  <c r="AF1099" i="8"/>
  <c r="AG1099" i="8" s="1"/>
  <c r="AF1100" i="8"/>
  <c r="AH1100" i="8" s="1"/>
  <c r="AF1101" i="8"/>
  <c r="AG1101" i="8" s="1"/>
  <c r="AF1102" i="8"/>
  <c r="AH1102" i="8" s="1"/>
  <c r="AF1103" i="8"/>
  <c r="AH1103" i="8" s="1"/>
  <c r="AF1104" i="8"/>
  <c r="AG1104" i="8" s="1"/>
  <c r="AF1105" i="8"/>
  <c r="AG1105" i="8" s="1"/>
  <c r="AF1106" i="8"/>
  <c r="AG1106" i="8" s="1"/>
  <c r="AF1107" i="8"/>
  <c r="AG1107" i="8" s="1"/>
  <c r="AF1108" i="8"/>
  <c r="AH1108" i="8" s="1"/>
  <c r="AF1109" i="8"/>
  <c r="AH1109" i="8" s="1"/>
  <c r="AF1110" i="8"/>
  <c r="AH1110" i="8" s="1"/>
  <c r="AF1111" i="8"/>
  <c r="AH1111" i="8" s="1"/>
  <c r="AF1112" i="8"/>
  <c r="AG1112" i="8" s="1"/>
  <c r="AF1113" i="8"/>
  <c r="AG1113" i="8" s="1"/>
  <c r="AF1114" i="8"/>
  <c r="AH1114" i="8" s="1"/>
  <c r="AF1115" i="8"/>
  <c r="AH1115" i="8" s="1"/>
  <c r="AF1116" i="8"/>
  <c r="AH1116" i="8" s="1"/>
  <c r="AF1117" i="8"/>
  <c r="AH1117" i="8" s="1"/>
  <c r="AF1118" i="8"/>
  <c r="AH1118" i="8" s="1"/>
  <c r="AF1119" i="8"/>
  <c r="AH1119" i="8" s="1"/>
  <c r="AF1120" i="8"/>
  <c r="AH1120" i="8" s="1"/>
  <c r="AF1121" i="8"/>
  <c r="AG1121" i="8" s="1"/>
  <c r="AF1122" i="8"/>
  <c r="AG1122" i="8" s="1"/>
  <c r="AF1123" i="8"/>
  <c r="AG1123" i="8" s="1"/>
  <c r="AF1124" i="8"/>
  <c r="AH1124" i="8" s="1"/>
  <c r="AF1125" i="8"/>
  <c r="AG1125" i="8" s="1"/>
  <c r="AF1126" i="8"/>
  <c r="AG1126" i="8" s="1"/>
  <c r="AF1127" i="8"/>
  <c r="AH1127" i="8" s="1"/>
  <c r="AF1128" i="8"/>
  <c r="AH1128" i="8" s="1"/>
  <c r="AF1129" i="8"/>
  <c r="AG1129" i="8" s="1"/>
  <c r="AF1130" i="8"/>
  <c r="AG1130" i="8" s="1"/>
  <c r="AF1131" i="8"/>
  <c r="AG1131" i="8" s="1"/>
  <c r="AF1132" i="8"/>
  <c r="AG1132" i="8" s="1"/>
  <c r="AF1133" i="8"/>
  <c r="AG1133" i="8" s="1"/>
  <c r="AF1134" i="8"/>
  <c r="AG1134" i="8" s="1"/>
  <c r="AF1135" i="8"/>
  <c r="AH1135" i="8" s="1"/>
  <c r="AF1136" i="8"/>
  <c r="AH1136" i="8" s="1"/>
  <c r="AF1137" i="8"/>
  <c r="AG1137" i="8" s="1"/>
  <c r="AF1138" i="8"/>
  <c r="AG1138" i="8" s="1"/>
  <c r="AF1139" i="8"/>
  <c r="AG1139" i="8" s="1"/>
  <c r="AF1140" i="8"/>
  <c r="AG1140" i="8" s="1"/>
  <c r="AF1141" i="8"/>
  <c r="AH1141" i="8" s="1"/>
  <c r="AF1142" i="8"/>
  <c r="AG1142" i="8" s="1"/>
  <c r="AF1143" i="8"/>
  <c r="AH1143" i="8" s="1"/>
  <c r="AF1144" i="8"/>
  <c r="AG1144" i="8" s="1"/>
  <c r="AF1145" i="8"/>
  <c r="AG1145" i="8" s="1"/>
  <c r="AF1146" i="8"/>
  <c r="AG1146" i="8" s="1"/>
  <c r="AF1147" i="8"/>
  <c r="AG1147" i="8" s="1"/>
  <c r="AF1148" i="8"/>
  <c r="AG1148" i="8" s="1"/>
  <c r="AF1149" i="8"/>
  <c r="AH1149" i="8" s="1"/>
  <c r="AF1150" i="8"/>
  <c r="AH1150" i="8" s="1"/>
  <c r="AF1151" i="8"/>
  <c r="AH1151" i="8" s="1"/>
  <c r="AF1152" i="8"/>
  <c r="AG1152" i="8" s="1"/>
  <c r="AF1153" i="8"/>
  <c r="AG1153" i="8" s="1"/>
  <c r="AF1154" i="8"/>
  <c r="AG1154" i="8" s="1"/>
  <c r="AF1155" i="8"/>
  <c r="AH1155" i="8" s="1"/>
  <c r="AF1156" i="8"/>
  <c r="AG1156" i="8" s="1"/>
  <c r="AF1157" i="8"/>
  <c r="AG1157" i="8" s="1"/>
  <c r="AF1158" i="8"/>
  <c r="AG1158" i="8" s="1"/>
  <c r="AF1159" i="8"/>
  <c r="AH1159" i="8" s="1"/>
  <c r="AF1160" i="8"/>
  <c r="AG1160" i="8" s="1"/>
  <c r="AF1161" i="8"/>
  <c r="AG1161" i="8" s="1"/>
  <c r="AF1162" i="8"/>
  <c r="AG1162" i="8" s="1"/>
  <c r="AF1163" i="8"/>
  <c r="AG1163" i="8" s="1"/>
  <c r="AF1164" i="8"/>
  <c r="AG1164" i="8" s="1"/>
  <c r="AF1165" i="8"/>
  <c r="AG1165" i="8" s="1"/>
  <c r="AF1166" i="8"/>
  <c r="AH1166" i="8" s="1"/>
  <c r="AF1167" i="8"/>
  <c r="AH1167" i="8" s="1"/>
  <c r="AF1168" i="8"/>
  <c r="AH1168" i="8" s="1"/>
  <c r="AF1169" i="8"/>
  <c r="AG1169" i="8" s="1"/>
  <c r="AF1170" i="8"/>
  <c r="AG1170" i="8" s="1"/>
  <c r="AF1171" i="8"/>
  <c r="AG1171" i="8" s="1"/>
  <c r="AF1172" i="8"/>
  <c r="AG1172" i="8" s="1"/>
  <c r="AF1173" i="8"/>
  <c r="AG1173" i="8" s="1"/>
  <c r="AF1174" i="8"/>
  <c r="AH1174" i="8" s="1"/>
  <c r="AF1175" i="8"/>
  <c r="AH1175" i="8" s="1"/>
  <c r="AF1176" i="8"/>
  <c r="AG1176" i="8" s="1"/>
  <c r="AF1177" i="8"/>
  <c r="AG1177" i="8" s="1"/>
  <c r="AF1178" i="8"/>
  <c r="AH1178" i="8" s="1"/>
  <c r="AF1179" i="8"/>
  <c r="AG1179" i="8" s="1"/>
  <c r="AF1180" i="8"/>
  <c r="AG1180" i="8" s="1"/>
  <c r="AF1181" i="8"/>
  <c r="AG1181" i="8" s="1"/>
  <c r="AF1182" i="8"/>
  <c r="AH1182" i="8" s="1"/>
  <c r="AF1183" i="8"/>
  <c r="AH1183" i="8" s="1"/>
  <c r="AF1184" i="8"/>
  <c r="AG1184" i="8" s="1"/>
  <c r="AF1185" i="8"/>
  <c r="AG1185" i="8" s="1"/>
  <c r="AF1186" i="8"/>
  <c r="AG1186" i="8" s="1"/>
  <c r="AF1187" i="8"/>
  <c r="AG1187" i="8" s="1"/>
  <c r="AF1188" i="8"/>
  <c r="AH1188" i="8" s="1"/>
  <c r="AF1189" i="8"/>
  <c r="AG1189" i="8" s="1"/>
  <c r="AF1190" i="8"/>
  <c r="AG1190" i="8" s="1"/>
  <c r="AF1191" i="8"/>
  <c r="AH1191" i="8" s="1"/>
  <c r="AF1192" i="8"/>
  <c r="AG1192" i="8" s="1"/>
  <c r="AF1193" i="8"/>
  <c r="AG1193" i="8" s="1"/>
  <c r="AF1194" i="8"/>
  <c r="AG1194" i="8" s="1"/>
  <c r="AF1195" i="8"/>
  <c r="AG1195" i="8" s="1"/>
  <c r="AF1196" i="8"/>
  <c r="AG1196" i="8" s="1"/>
  <c r="AF1197" i="8"/>
  <c r="AG1197" i="8" s="1"/>
  <c r="AF1198" i="8"/>
  <c r="AG1198" i="8" s="1"/>
  <c r="AF1199" i="8"/>
  <c r="AH1199" i="8" s="1"/>
  <c r="AF1200" i="8"/>
  <c r="AH1200" i="8" s="1"/>
  <c r="AF1201" i="8"/>
  <c r="AG1201" i="8" s="1"/>
  <c r="AF1202" i="8"/>
  <c r="AG1202" i="8" s="1"/>
  <c r="AF1203" i="8"/>
  <c r="AG1203" i="8" s="1"/>
  <c r="AF1204" i="8"/>
  <c r="AH1204" i="8" s="1"/>
  <c r="AF1205" i="8"/>
  <c r="AG1205" i="8" s="1"/>
  <c r="AF1206" i="8"/>
  <c r="AG1206" i="8" s="1"/>
  <c r="AF1207" i="8"/>
  <c r="AH1207" i="8" s="1"/>
  <c r="AF1208" i="8"/>
  <c r="AG1208" i="8" s="1"/>
  <c r="AF1209" i="8"/>
  <c r="AG1209" i="8" s="1"/>
  <c r="AF1210" i="8"/>
  <c r="AG1210" i="8" s="1"/>
  <c r="AF1211" i="8"/>
  <c r="AG1211" i="8" s="1"/>
  <c r="AF1212" i="8"/>
  <c r="AH1212" i="8" s="1"/>
  <c r="AF1213" i="8"/>
  <c r="AG1213" i="8" s="1"/>
  <c r="AF1214" i="8"/>
  <c r="AG1214" i="8" s="1"/>
  <c r="AF1215" i="8"/>
  <c r="AH1215" i="8" s="1"/>
  <c r="AF1216" i="8"/>
  <c r="AH1216" i="8" s="1"/>
  <c r="AF1217" i="8"/>
  <c r="AG1217" i="8" s="1"/>
  <c r="AF1218" i="8"/>
  <c r="AG1218" i="8" s="1"/>
  <c r="AF1219" i="8"/>
  <c r="AG1219" i="8" s="1"/>
  <c r="AF1220" i="8"/>
  <c r="AG1220" i="8" s="1"/>
  <c r="AF1221" i="8"/>
  <c r="AG1221" i="8" s="1"/>
  <c r="AF1222" i="8"/>
  <c r="AH1222" i="8" s="1"/>
  <c r="AF1223" i="8"/>
  <c r="AH1223" i="8" s="1"/>
  <c r="AF1224" i="8"/>
  <c r="AG1224" i="8" s="1"/>
  <c r="AF1225" i="8"/>
  <c r="AG1225" i="8" s="1"/>
  <c r="AF1226" i="8"/>
  <c r="AG1226" i="8" s="1"/>
  <c r="AF1227" i="8"/>
  <c r="AG1227" i="8" s="1"/>
  <c r="AF1228" i="8"/>
  <c r="AH1228" i="8" s="1"/>
  <c r="AF1229" i="8"/>
  <c r="AH1229" i="8" s="1"/>
  <c r="AF1230" i="8"/>
  <c r="AG1230" i="8" s="1"/>
  <c r="AF1231" i="8"/>
  <c r="AH1231" i="8" s="1"/>
  <c r="AF1232" i="8"/>
  <c r="AG1232" i="8" s="1"/>
  <c r="AF1233" i="8"/>
  <c r="AG1233" i="8" s="1"/>
  <c r="AF1234" i="8"/>
  <c r="AG1234" i="8" s="1"/>
  <c r="AF1235" i="8"/>
  <c r="AG1235" i="8" s="1"/>
  <c r="AF1236" i="8"/>
  <c r="AG1236" i="8" s="1"/>
  <c r="AF1237" i="8"/>
  <c r="AH1237" i="8" s="1"/>
  <c r="AF1238" i="8"/>
  <c r="AH1238" i="8" s="1"/>
  <c r="AF1239" i="8"/>
  <c r="AH1239" i="8" s="1"/>
  <c r="AF1240" i="8"/>
  <c r="AG1240" i="8" s="1"/>
  <c r="AF1241" i="8"/>
  <c r="AG1241" i="8" s="1"/>
  <c r="AF1242" i="8"/>
  <c r="AH1242" i="8" s="1"/>
  <c r="AF1243" i="8"/>
  <c r="AG1243" i="8" s="1"/>
  <c r="AF1244" i="8"/>
  <c r="AH1244" i="8" s="1"/>
  <c r="AF1245" i="8"/>
  <c r="AG1245" i="8" s="1"/>
  <c r="AF1246" i="8"/>
  <c r="AH1246" i="8" s="1"/>
  <c r="AF1247" i="8"/>
  <c r="AH1247" i="8" s="1"/>
  <c r="AF1248" i="8"/>
  <c r="AH1248" i="8" s="1"/>
  <c r="AF1249" i="8"/>
  <c r="AG1249" i="8" s="1"/>
  <c r="AF1250" i="8"/>
  <c r="AG1250" i="8" s="1"/>
  <c r="AI911" i="8"/>
  <c r="AJ911" i="8" s="1"/>
  <c r="AI912" i="8"/>
  <c r="AJ912" i="8" s="1"/>
  <c r="AI913" i="8"/>
  <c r="AJ913" i="8" s="1"/>
  <c r="AI914" i="8"/>
  <c r="AJ914" i="8" s="1"/>
  <c r="AI915" i="8"/>
  <c r="AJ915" i="8" s="1"/>
  <c r="AI916" i="8"/>
  <c r="AJ916" i="8" s="1"/>
  <c r="AI917" i="8"/>
  <c r="AJ917" i="8" s="1"/>
  <c r="AI918" i="8"/>
  <c r="AJ918" i="8" s="1"/>
  <c r="AI919" i="8"/>
  <c r="AJ919" i="8" s="1"/>
  <c r="AI920" i="8"/>
  <c r="AJ920" i="8" s="1"/>
  <c r="AI921" i="8"/>
  <c r="AJ921" i="8" s="1"/>
  <c r="AI922" i="8"/>
  <c r="AJ922" i="8" s="1"/>
  <c r="AI923" i="8"/>
  <c r="AJ923" i="8" s="1"/>
  <c r="AI924" i="8"/>
  <c r="AJ924" i="8" s="1"/>
  <c r="AI925" i="8"/>
  <c r="AJ925" i="8" s="1"/>
  <c r="AI926" i="8"/>
  <c r="AJ926" i="8" s="1"/>
  <c r="AI927" i="8"/>
  <c r="AJ927" i="8" s="1"/>
  <c r="AI928" i="8"/>
  <c r="AJ928" i="8" s="1"/>
  <c r="AI929" i="8"/>
  <c r="AJ929" i="8" s="1"/>
  <c r="AI930" i="8"/>
  <c r="AJ930" i="8" s="1"/>
  <c r="AI931" i="8"/>
  <c r="AJ931" i="8" s="1"/>
  <c r="AI932" i="8"/>
  <c r="AJ932" i="8" s="1"/>
  <c r="AI933" i="8"/>
  <c r="AJ933" i="8" s="1"/>
  <c r="AI934" i="8"/>
  <c r="AJ934" i="8" s="1"/>
  <c r="AI935" i="8"/>
  <c r="AJ935" i="8" s="1"/>
  <c r="AI936" i="8"/>
  <c r="AJ936" i="8" s="1"/>
  <c r="AI937" i="8"/>
  <c r="AJ937" i="8" s="1"/>
  <c r="AI938" i="8"/>
  <c r="AJ938" i="8" s="1"/>
  <c r="AI939" i="8"/>
  <c r="AJ939" i="8" s="1"/>
  <c r="AI940" i="8"/>
  <c r="AJ940" i="8" s="1"/>
  <c r="AI941" i="8"/>
  <c r="AJ941" i="8" s="1"/>
  <c r="AI942" i="8"/>
  <c r="AJ942" i="8" s="1"/>
  <c r="AI943" i="8"/>
  <c r="AJ943" i="8" s="1"/>
  <c r="AI944" i="8"/>
  <c r="AJ944" i="8" s="1"/>
  <c r="AI945" i="8"/>
  <c r="AJ945" i="8" s="1"/>
  <c r="AI946" i="8"/>
  <c r="AJ946" i="8" s="1"/>
  <c r="AI947" i="8"/>
  <c r="AJ947" i="8" s="1"/>
  <c r="AI948" i="8"/>
  <c r="AJ948" i="8" s="1"/>
  <c r="AI949" i="8"/>
  <c r="AJ949" i="8" s="1"/>
  <c r="AI950" i="8"/>
  <c r="AJ950" i="8" s="1"/>
  <c r="AI951" i="8"/>
  <c r="AJ951" i="8" s="1"/>
  <c r="AI952" i="8"/>
  <c r="AJ952" i="8" s="1"/>
  <c r="AI953" i="8"/>
  <c r="AJ953" i="8" s="1"/>
  <c r="AI954" i="8"/>
  <c r="AJ954" i="8" s="1"/>
  <c r="AI955" i="8"/>
  <c r="AJ955" i="8" s="1"/>
  <c r="AI956" i="8"/>
  <c r="AJ956" i="8" s="1"/>
  <c r="AI957" i="8"/>
  <c r="AJ957" i="8" s="1"/>
  <c r="AI958" i="8"/>
  <c r="AJ958" i="8" s="1"/>
  <c r="AI959" i="8"/>
  <c r="AJ959" i="8" s="1"/>
  <c r="AI960" i="8"/>
  <c r="AJ960" i="8" s="1"/>
  <c r="AI961" i="8"/>
  <c r="AJ961" i="8" s="1"/>
  <c r="AI962" i="8"/>
  <c r="AJ962" i="8" s="1"/>
  <c r="AI963" i="8"/>
  <c r="AJ963" i="8" s="1"/>
  <c r="AI964" i="8"/>
  <c r="AJ964" i="8" s="1"/>
  <c r="AI965" i="8"/>
  <c r="AJ965" i="8" s="1"/>
  <c r="AI966" i="8"/>
  <c r="AJ966" i="8" s="1"/>
  <c r="AI967" i="8"/>
  <c r="AJ967" i="8" s="1"/>
  <c r="AI968" i="8"/>
  <c r="AJ968" i="8" s="1"/>
  <c r="AI969" i="8"/>
  <c r="AJ969" i="8" s="1"/>
  <c r="AI970" i="8"/>
  <c r="AJ970" i="8" s="1"/>
  <c r="AI971" i="8"/>
  <c r="AJ971" i="8" s="1"/>
  <c r="AI972" i="8"/>
  <c r="AJ972" i="8" s="1"/>
  <c r="AI973" i="8"/>
  <c r="AJ973" i="8" s="1"/>
  <c r="AI974" i="8"/>
  <c r="AJ974" i="8" s="1"/>
  <c r="AI975" i="8"/>
  <c r="AJ975" i="8" s="1"/>
  <c r="AI976" i="8"/>
  <c r="AJ976" i="8" s="1"/>
  <c r="AI977" i="8"/>
  <c r="AJ977" i="8" s="1"/>
  <c r="AI978" i="8"/>
  <c r="AJ978" i="8" s="1"/>
  <c r="AI979" i="8"/>
  <c r="AJ979" i="8" s="1"/>
  <c r="AI980" i="8"/>
  <c r="AJ980" i="8" s="1"/>
  <c r="AI981" i="8"/>
  <c r="AJ981" i="8" s="1"/>
  <c r="AI982" i="8"/>
  <c r="AJ982" i="8" s="1"/>
  <c r="AI983" i="8"/>
  <c r="AJ983" i="8" s="1"/>
  <c r="AI984" i="8"/>
  <c r="AJ984" i="8" s="1"/>
  <c r="AI985" i="8"/>
  <c r="AJ985" i="8" s="1"/>
  <c r="AI986" i="8"/>
  <c r="AJ986" i="8" s="1"/>
  <c r="AI987" i="8"/>
  <c r="AJ987" i="8" s="1"/>
  <c r="AI988" i="8"/>
  <c r="AJ988" i="8" s="1"/>
  <c r="AI989" i="8"/>
  <c r="AJ989" i="8" s="1"/>
  <c r="AI990" i="8"/>
  <c r="AJ990" i="8" s="1"/>
  <c r="AI991" i="8"/>
  <c r="AJ991" i="8" s="1"/>
  <c r="AI992" i="8"/>
  <c r="AJ992" i="8" s="1"/>
  <c r="AI993" i="8"/>
  <c r="AJ993" i="8" s="1"/>
  <c r="AI994" i="8"/>
  <c r="AJ994" i="8" s="1"/>
  <c r="AI995" i="8"/>
  <c r="AJ995" i="8" s="1"/>
  <c r="AI996" i="8"/>
  <c r="AJ996" i="8" s="1"/>
  <c r="AI997" i="8"/>
  <c r="AJ997" i="8" s="1"/>
  <c r="AI998" i="8"/>
  <c r="AJ998" i="8" s="1"/>
  <c r="AI999" i="8"/>
  <c r="AJ999" i="8" s="1"/>
  <c r="AI1000" i="8"/>
  <c r="AJ1000" i="8" s="1"/>
  <c r="AI1001" i="8"/>
  <c r="AJ1001" i="8" s="1"/>
  <c r="AI1002" i="8"/>
  <c r="AJ1002" i="8" s="1"/>
  <c r="AI1003" i="8"/>
  <c r="AJ1003" i="8" s="1"/>
  <c r="AI1004" i="8"/>
  <c r="AJ1004" i="8" s="1"/>
  <c r="AI1005" i="8"/>
  <c r="AJ1005" i="8" s="1"/>
  <c r="AI1006" i="8"/>
  <c r="AJ1006" i="8" s="1"/>
  <c r="AI1007" i="8"/>
  <c r="AJ1007" i="8" s="1"/>
  <c r="AI1008" i="8"/>
  <c r="AJ1008" i="8" s="1"/>
  <c r="AI1009" i="8"/>
  <c r="AJ1009" i="8" s="1"/>
  <c r="AI1010" i="8"/>
  <c r="AJ1010" i="8" s="1"/>
  <c r="AI1011" i="8"/>
  <c r="AJ1011" i="8" s="1"/>
  <c r="AI1012" i="8"/>
  <c r="AJ1012" i="8" s="1"/>
  <c r="AI1013" i="8"/>
  <c r="AJ1013" i="8" s="1"/>
  <c r="AI1014" i="8"/>
  <c r="AJ1014" i="8" s="1"/>
  <c r="AI1015" i="8"/>
  <c r="AJ1015" i="8" s="1"/>
  <c r="AI1016" i="8"/>
  <c r="AJ1016" i="8" s="1"/>
  <c r="AI1017" i="8"/>
  <c r="AJ1017" i="8" s="1"/>
  <c r="AI1018" i="8"/>
  <c r="AJ1018" i="8" s="1"/>
  <c r="AI1019" i="8"/>
  <c r="AJ1019" i="8" s="1"/>
  <c r="AI1020" i="8"/>
  <c r="AJ1020" i="8" s="1"/>
  <c r="AI1021" i="8"/>
  <c r="AJ1021" i="8" s="1"/>
  <c r="AI1022" i="8"/>
  <c r="AJ1022" i="8" s="1"/>
  <c r="AI1023" i="8"/>
  <c r="AJ1023" i="8" s="1"/>
  <c r="AI1024" i="8"/>
  <c r="AJ1024" i="8" s="1"/>
  <c r="AI1025" i="8"/>
  <c r="AJ1025" i="8" s="1"/>
  <c r="AI1026" i="8"/>
  <c r="AJ1026" i="8" s="1"/>
  <c r="AI1027" i="8"/>
  <c r="AJ1027" i="8" s="1"/>
  <c r="AI1028" i="8"/>
  <c r="AJ1028" i="8" s="1"/>
  <c r="AI1029" i="8"/>
  <c r="AJ1029" i="8" s="1"/>
  <c r="AI1030" i="8"/>
  <c r="AJ1030" i="8" s="1"/>
  <c r="AI1031" i="8"/>
  <c r="AJ1031" i="8" s="1"/>
  <c r="AI1032" i="8"/>
  <c r="AJ1032" i="8" s="1"/>
  <c r="AI1033" i="8"/>
  <c r="AJ1033" i="8" s="1"/>
  <c r="AI1034" i="8"/>
  <c r="AJ1034" i="8" s="1"/>
  <c r="AI1035" i="8"/>
  <c r="AJ1035" i="8" s="1"/>
  <c r="AI1036" i="8"/>
  <c r="AJ1036" i="8" s="1"/>
  <c r="AI1037" i="8"/>
  <c r="AJ1037" i="8" s="1"/>
  <c r="AI1038" i="8"/>
  <c r="AJ1038" i="8" s="1"/>
  <c r="AI1039" i="8"/>
  <c r="AJ1039" i="8" s="1"/>
  <c r="AI1040" i="8"/>
  <c r="AJ1040" i="8" s="1"/>
  <c r="AI1041" i="8"/>
  <c r="AJ1041" i="8" s="1"/>
  <c r="AI1042" i="8"/>
  <c r="AJ1042" i="8" s="1"/>
  <c r="AI1043" i="8"/>
  <c r="AJ1043" i="8" s="1"/>
  <c r="AI1044" i="8"/>
  <c r="AJ1044" i="8" s="1"/>
  <c r="AI1045" i="8"/>
  <c r="AJ1045" i="8" s="1"/>
  <c r="AI1046" i="8"/>
  <c r="AJ1046" i="8" s="1"/>
  <c r="AI1047" i="8"/>
  <c r="AJ1047" i="8" s="1"/>
  <c r="AI1048" i="8"/>
  <c r="AJ1048" i="8" s="1"/>
  <c r="AI1049" i="8"/>
  <c r="AJ1049" i="8" s="1"/>
  <c r="AI1050" i="8"/>
  <c r="AJ1050" i="8" s="1"/>
  <c r="AI1051" i="8"/>
  <c r="AJ1051" i="8" s="1"/>
  <c r="AI1052" i="8"/>
  <c r="AJ1052" i="8" s="1"/>
  <c r="AI1053" i="8"/>
  <c r="AJ1053" i="8" s="1"/>
  <c r="AI1054" i="8"/>
  <c r="AJ1054" i="8" s="1"/>
  <c r="AI1055" i="8"/>
  <c r="AJ1055" i="8" s="1"/>
  <c r="AI1056" i="8"/>
  <c r="AJ1056" i="8" s="1"/>
  <c r="AI1057" i="8"/>
  <c r="AJ1057" i="8" s="1"/>
  <c r="AI1058" i="8"/>
  <c r="AJ1058" i="8" s="1"/>
  <c r="AI1059" i="8"/>
  <c r="AJ1059" i="8" s="1"/>
  <c r="AI1060" i="8"/>
  <c r="AJ1060" i="8" s="1"/>
  <c r="AI1061" i="8"/>
  <c r="AJ1061" i="8" s="1"/>
  <c r="AI1062" i="8"/>
  <c r="AJ1062" i="8" s="1"/>
  <c r="AI1063" i="8"/>
  <c r="AJ1063" i="8" s="1"/>
  <c r="AI1064" i="8"/>
  <c r="AJ1064" i="8" s="1"/>
  <c r="AI1065" i="8"/>
  <c r="AJ1065" i="8" s="1"/>
  <c r="AI1066" i="8"/>
  <c r="AJ1066" i="8" s="1"/>
  <c r="AI1067" i="8"/>
  <c r="AJ1067" i="8" s="1"/>
  <c r="AI1068" i="8"/>
  <c r="AJ1068" i="8" s="1"/>
  <c r="AI1069" i="8"/>
  <c r="AJ1069" i="8" s="1"/>
  <c r="AI1070" i="8"/>
  <c r="AJ1070" i="8" s="1"/>
  <c r="AI1071" i="8"/>
  <c r="AJ1071" i="8" s="1"/>
  <c r="AI1072" i="8"/>
  <c r="AJ1072" i="8" s="1"/>
  <c r="AI1073" i="8"/>
  <c r="AJ1073" i="8" s="1"/>
  <c r="AI1074" i="8"/>
  <c r="AJ1074" i="8" s="1"/>
  <c r="AI1075" i="8"/>
  <c r="AJ1075" i="8" s="1"/>
  <c r="AI1076" i="8"/>
  <c r="AJ1076" i="8" s="1"/>
  <c r="AI1077" i="8"/>
  <c r="AJ1077" i="8" s="1"/>
  <c r="AI1078" i="8"/>
  <c r="AJ1078" i="8" s="1"/>
  <c r="AI1079" i="8"/>
  <c r="AJ1079" i="8" s="1"/>
  <c r="AI1080" i="8"/>
  <c r="AJ1080" i="8" s="1"/>
  <c r="AI1081" i="8"/>
  <c r="AJ1081" i="8" s="1"/>
  <c r="AI1082" i="8"/>
  <c r="AJ1082" i="8" s="1"/>
  <c r="AI1083" i="8"/>
  <c r="AJ1083" i="8" s="1"/>
  <c r="AI1084" i="8"/>
  <c r="AJ1084" i="8" s="1"/>
  <c r="AI1085" i="8"/>
  <c r="AJ1085" i="8" s="1"/>
  <c r="AI1086" i="8"/>
  <c r="AJ1086" i="8" s="1"/>
  <c r="AI1087" i="8"/>
  <c r="AJ1087" i="8" s="1"/>
  <c r="AI1088" i="8"/>
  <c r="AJ1088" i="8" s="1"/>
  <c r="AI1089" i="8"/>
  <c r="AJ1089" i="8" s="1"/>
  <c r="AI1090" i="8"/>
  <c r="AJ1090" i="8" s="1"/>
  <c r="AI1091" i="8"/>
  <c r="AJ1091" i="8" s="1"/>
  <c r="AI1092" i="8"/>
  <c r="AJ1092" i="8" s="1"/>
  <c r="AI1093" i="8"/>
  <c r="AJ1093" i="8" s="1"/>
  <c r="AI1094" i="8"/>
  <c r="AJ1094" i="8" s="1"/>
  <c r="AI1095" i="8"/>
  <c r="AJ1095" i="8" s="1"/>
  <c r="AI1096" i="8"/>
  <c r="AJ1096" i="8" s="1"/>
  <c r="AI1097" i="8"/>
  <c r="AJ1097" i="8" s="1"/>
  <c r="AI1098" i="8"/>
  <c r="AJ1098" i="8" s="1"/>
  <c r="AI1099" i="8"/>
  <c r="AJ1099" i="8" s="1"/>
  <c r="AI1100" i="8"/>
  <c r="AJ1100" i="8" s="1"/>
  <c r="AI1101" i="8"/>
  <c r="AJ1101" i="8" s="1"/>
  <c r="AI1102" i="8"/>
  <c r="AJ1102" i="8" s="1"/>
  <c r="AI1103" i="8"/>
  <c r="AJ1103" i="8" s="1"/>
  <c r="AI1104" i="8"/>
  <c r="AJ1104" i="8" s="1"/>
  <c r="AI1105" i="8"/>
  <c r="AJ1105" i="8" s="1"/>
  <c r="AI1106" i="8"/>
  <c r="AJ1106" i="8" s="1"/>
  <c r="AI1107" i="8"/>
  <c r="AJ1107" i="8" s="1"/>
  <c r="AI1108" i="8"/>
  <c r="AJ1108" i="8" s="1"/>
  <c r="AI1109" i="8"/>
  <c r="AJ1109" i="8" s="1"/>
  <c r="AI1110" i="8"/>
  <c r="AJ1110" i="8" s="1"/>
  <c r="AI1111" i="8"/>
  <c r="AJ1111" i="8" s="1"/>
  <c r="AI1112" i="8"/>
  <c r="AJ1112" i="8" s="1"/>
  <c r="AI1113" i="8"/>
  <c r="AJ1113" i="8" s="1"/>
  <c r="AI1114" i="8"/>
  <c r="AJ1114" i="8" s="1"/>
  <c r="AI1115" i="8"/>
  <c r="AJ1115" i="8" s="1"/>
  <c r="AI1116" i="8"/>
  <c r="AJ1116" i="8" s="1"/>
  <c r="AI1117" i="8"/>
  <c r="AJ1117" i="8" s="1"/>
  <c r="AI1118" i="8"/>
  <c r="AJ1118" i="8" s="1"/>
  <c r="AI1119" i="8"/>
  <c r="AJ1119" i="8" s="1"/>
  <c r="AI1120" i="8"/>
  <c r="AJ1120" i="8" s="1"/>
  <c r="AI1121" i="8"/>
  <c r="AJ1121" i="8" s="1"/>
  <c r="AI1122" i="8"/>
  <c r="AJ1122" i="8" s="1"/>
  <c r="AI1123" i="8"/>
  <c r="AJ1123" i="8" s="1"/>
  <c r="AI1124" i="8"/>
  <c r="AJ1124" i="8" s="1"/>
  <c r="AI1125" i="8"/>
  <c r="AJ1125" i="8" s="1"/>
  <c r="AI1126" i="8"/>
  <c r="AJ1126" i="8" s="1"/>
  <c r="AI1127" i="8"/>
  <c r="AJ1127" i="8" s="1"/>
  <c r="AI1128" i="8"/>
  <c r="AJ1128" i="8" s="1"/>
  <c r="AI1129" i="8"/>
  <c r="AJ1129" i="8" s="1"/>
  <c r="AI1130" i="8"/>
  <c r="AJ1130" i="8" s="1"/>
  <c r="AI1131" i="8"/>
  <c r="AJ1131" i="8" s="1"/>
  <c r="AI1132" i="8"/>
  <c r="AJ1132" i="8" s="1"/>
  <c r="AI1133" i="8"/>
  <c r="AJ1133" i="8" s="1"/>
  <c r="AI1134" i="8"/>
  <c r="AJ1134" i="8" s="1"/>
  <c r="AI1135" i="8"/>
  <c r="AJ1135" i="8" s="1"/>
  <c r="AI1136" i="8"/>
  <c r="AJ1136" i="8" s="1"/>
  <c r="AI1137" i="8"/>
  <c r="AJ1137" i="8" s="1"/>
  <c r="AI1138" i="8"/>
  <c r="AJ1138" i="8" s="1"/>
  <c r="AI1139" i="8"/>
  <c r="AJ1139" i="8" s="1"/>
  <c r="AI1140" i="8"/>
  <c r="AJ1140" i="8" s="1"/>
  <c r="AI1141" i="8"/>
  <c r="AJ1141" i="8" s="1"/>
  <c r="AI1142" i="8"/>
  <c r="AJ1142" i="8" s="1"/>
  <c r="AI1143" i="8"/>
  <c r="AJ1143" i="8" s="1"/>
  <c r="AI1144" i="8"/>
  <c r="AJ1144" i="8" s="1"/>
  <c r="AI1145" i="8"/>
  <c r="AJ1145" i="8" s="1"/>
  <c r="AI1146" i="8"/>
  <c r="AJ1146" i="8" s="1"/>
  <c r="AI1147" i="8"/>
  <c r="AJ1147" i="8" s="1"/>
  <c r="AI1148" i="8"/>
  <c r="AJ1148" i="8" s="1"/>
  <c r="AI1149" i="8"/>
  <c r="AJ1149" i="8" s="1"/>
  <c r="AI1150" i="8"/>
  <c r="AJ1150" i="8" s="1"/>
  <c r="AI1151" i="8"/>
  <c r="AJ1151" i="8" s="1"/>
  <c r="AI1152" i="8"/>
  <c r="AJ1152" i="8" s="1"/>
  <c r="AI1153" i="8"/>
  <c r="AJ1153" i="8" s="1"/>
  <c r="AI1154" i="8"/>
  <c r="AJ1154" i="8" s="1"/>
  <c r="AI1155" i="8"/>
  <c r="AJ1155" i="8" s="1"/>
  <c r="AI1156" i="8"/>
  <c r="AJ1156" i="8" s="1"/>
  <c r="AI1157" i="8"/>
  <c r="AJ1157" i="8" s="1"/>
  <c r="AI1158" i="8"/>
  <c r="AJ1158" i="8" s="1"/>
  <c r="AI1159" i="8"/>
  <c r="AJ1159" i="8" s="1"/>
  <c r="AI1160" i="8"/>
  <c r="AJ1160" i="8" s="1"/>
  <c r="AI1161" i="8"/>
  <c r="AJ1161" i="8" s="1"/>
  <c r="AI1162" i="8"/>
  <c r="AJ1162" i="8" s="1"/>
  <c r="AI1163" i="8"/>
  <c r="AJ1163" i="8" s="1"/>
  <c r="AI1164" i="8"/>
  <c r="AJ1164" i="8" s="1"/>
  <c r="AI1165" i="8"/>
  <c r="AJ1165" i="8" s="1"/>
  <c r="AI1166" i="8"/>
  <c r="AJ1166" i="8" s="1"/>
  <c r="AI1167" i="8"/>
  <c r="AJ1167" i="8" s="1"/>
  <c r="AI1168" i="8"/>
  <c r="AJ1168" i="8" s="1"/>
  <c r="AI1169" i="8"/>
  <c r="AJ1169" i="8" s="1"/>
  <c r="AI1170" i="8"/>
  <c r="AJ1170" i="8" s="1"/>
  <c r="AI1171" i="8"/>
  <c r="AJ1171" i="8" s="1"/>
  <c r="AI1172" i="8"/>
  <c r="AJ1172" i="8" s="1"/>
  <c r="AI1173" i="8"/>
  <c r="AJ1173" i="8" s="1"/>
  <c r="AI1174" i="8"/>
  <c r="AJ1174" i="8" s="1"/>
  <c r="AI1175" i="8"/>
  <c r="AJ1175" i="8" s="1"/>
  <c r="AI1176" i="8"/>
  <c r="AJ1176" i="8" s="1"/>
  <c r="AI1177" i="8"/>
  <c r="AJ1177" i="8" s="1"/>
  <c r="AI1178" i="8"/>
  <c r="AJ1178" i="8" s="1"/>
  <c r="AI1179" i="8"/>
  <c r="AJ1179" i="8" s="1"/>
  <c r="AI1180" i="8"/>
  <c r="AJ1180" i="8" s="1"/>
  <c r="AI1181" i="8"/>
  <c r="AJ1181" i="8" s="1"/>
  <c r="AI1182" i="8"/>
  <c r="AJ1182" i="8" s="1"/>
  <c r="AI1183" i="8"/>
  <c r="AJ1183" i="8" s="1"/>
  <c r="AI1184" i="8"/>
  <c r="AJ1184" i="8" s="1"/>
  <c r="AI1185" i="8"/>
  <c r="AJ1185" i="8" s="1"/>
  <c r="AI1186" i="8"/>
  <c r="AJ1186" i="8" s="1"/>
  <c r="AI1187" i="8"/>
  <c r="AJ1187" i="8" s="1"/>
  <c r="AI1188" i="8"/>
  <c r="AJ1188" i="8" s="1"/>
  <c r="AI1189" i="8"/>
  <c r="AJ1189" i="8" s="1"/>
  <c r="AI1190" i="8"/>
  <c r="AJ1190" i="8" s="1"/>
  <c r="AI1191" i="8"/>
  <c r="AJ1191" i="8" s="1"/>
  <c r="AI1192" i="8"/>
  <c r="AJ1192" i="8" s="1"/>
  <c r="AI1193" i="8"/>
  <c r="AJ1193" i="8" s="1"/>
  <c r="AI1194" i="8"/>
  <c r="AJ1194" i="8" s="1"/>
  <c r="AI1195" i="8"/>
  <c r="AJ1195" i="8" s="1"/>
  <c r="AI1196" i="8"/>
  <c r="AJ1196" i="8" s="1"/>
  <c r="AI1197" i="8"/>
  <c r="AJ1197" i="8" s="1"/>
  <c r="AI1198" i="8"/>
  <c r="AJ1198" i="8" s="1"/>
  <c r="AI1199" i="8"/>
  <c r="AJ1199" i="8" s="1"/>
  <c r="AI1200" i="8"/>
  <c r="AJ1200" i="8" s="1"/>
  <c r="AI1201" i="8"/>
  <c r="AJ1201" i="8" s="1"/>
  <c r="AI1202" i="8"/>
  <c r="AJ1202" i="8" s="1"/>
  <c r="AI1203" i="8"/>
  <c r="AJ1203" i="8" s="1"/>
  <c r="AI1204" i="8"/>
  <c r="AJ1204" i="8" s="1"/>
  <c r="AI1205" i="8"/>
  <c r="AJ1205" i="8" s="1"/>
  <c r="AI1206" i="8"/>
  <c r="AJ1206" i="8" s="1"/>
  <c r="AI1207" i="8"/>
  <c r="AJ1207" i="8" s="1"/>
  <c r="AI1208" i="8"/>
  <c r="AJ1208" i="8" s="1"/>
  <c r="AI1209" i="8"/>
  <c r="AJ1209" i="8" s="1"/>
  <c r="AI1210" i="8"/>
  <c r="AJ1210" i="8" s="1"/>
  <c r="AI1211" i="8"/>
  <c r="AJ1211" i="8" s="1"/>
  <c r="AI1212" i="8"/>
  <c r="AJ1212" i="8" s="1"/>
  <c r="AI1213" i="8"/>
  <c r="AJ1213" i="8" s="1"/>
  <c r="AI1214" i="8"/>
  <c r="AJ1214" i="8" s="1"/>
  <c r="AI1215" i="8"/>
  <c r="AJ1215" i="8" s="1"/>
  <c r="AI1216" i="8"/>
  <c r="AJ1216" i="8" s="1"/>
  <c r="AI1217" i="8"/>
  <c r="AJ1217" i="8" s="1"/>
  <c r="AI1218" i="8"/>
  <c r="AJ1218" i="8" s="1"/>
  <c r="AI1219" i="8"/>
  <c r="AJ1219" i="8" s="1"/>
  <c r="AI1220" i="8"/>
  <c r="AJ1220" i="8" s="1"/>
  <c r="AI1221" i="8"/>
  <c r="AJ1221" i="8" s="1"/>
  <c r="AI1222" i="8"/>
  <c r="AJ1222" i="8" s="1"/>
  <c r="AI1223" i="8"/>
  <c r="AJ1223" i="8" s="1"/>
  <c r="AI1224" i="8"/>
  <c r="AJ1224" i="8" s="1"/>
  <c r="AI1225" i="8"/>
  <c r="AJ1225" i="8" s="1"/>
  <c r="AI1226" i="8"/>
  <c r="AJ1226" i="8" s="1"/>
  <c r="AI1227" i="8"/>
  <c r="AJ1227" i="8" s="1"/>
  <c r="AI1228" i="8"/>
  <c r="AJ1228" i="8" s="1"/>
  <c r="AI1229" i="8"/>
  <c r="AJ1229" i="8" s="1"/>
  <c r="AI1230" i="8"/>
  <c r="AJ1230" i="8" s="1"/>
  <c r="AI1231" i="8"/>
  <c r="AJ1231" i="8" s="1"/>
  <c r="AI1232" i="8"/>
  <c r="AJ1232" i="8" s="1"/>
  <c r="AI1233" i="8"/>
  <c r="AJ1233" i="8" s="1"/>
  <c r="AI1234" i="8"/>
  <c r="AJ1234" i="8" s="1"/>
  <c r="AI1235" i="8"/>
  <c r="AJ1235" i="8" s="1"/>
  <c r="AI1236" i="8"/>
  <c r="AJ1236" i="8" s="1"/>
  <c r="AI1237" i="8"/>
  <c r="AJ1237" i="8" s="1"/>
  <c r="AI1238" i="8"/>
  <c r="AJ1238" i="8" s="1"/>
  <c r="AI1239" i="8"/>
  <c r="AJ1239" i="8" s="1"/>
  <c r="AI1240" i="8"/>
  <c r="AJ1240" i="8" s="1"/>
  <c r="AI1241" i="8"/>
  <c r="AJ1241" i="8" s="1"/>
  <c r="AI1242" i="8"/>
  <c r="AJ1242" i="8" s="1"/>
  <c r="AI1243" i="8"/>
  <c r="AJ1243" i="8" s="1"/>
  <c r="AI1244" i="8"/>
  <c r="AJ1244" i="8" s="1"/>
  <c r="AI1245" i="8"/>
  <c r="AJ1245" i="8" s="1"/>
  <c r="AI1246" i="8"/>
  <c r="AJ1246" i="8" s="1"/>
  <c r="AI1247" i="8"/>
  <c r="AJ1247" i="8" s="1"/>
  <c r="AI1248" i="8"/>
  <c r="AJ1248" i="8" s="1"/>
  <c r="AI1249" i="8"/>
  <c r="AJ1249" i="8" s="1"/>
  <c r="AI1250" i="8"/>
  <c r="AJ1250" i="8" s="1"/>
  <c r="S910" i="8" a="1"/>
  <c r="S910" i="8" s="1"/>
  <c r="T910" i="8" a="1"/>
  <c r="T910" i="8" s="1"/>
  <c r="U910" i="8" a="1"/>
  <c r="U910" i="8" s="1"/>
  <c r="V910" i="8"/>
  <c r="AF910" i="8"/>
  <c r="AG910" i="8" s="1"/>
  <c r="AI910" i="8"/>
  <c r="AJ910" i="8" s="1"/>
  <c r="AH1134" i="8" l="1"/>
  <c r="AH972" i="8"/>
  <c r="AH958" i="8"/>
  <c r="AG1182" i="8"/>
  <c r="AG1006" i="8"/>
  <c r="AG950" i="8"/>
  <c r="AH1190" i="8"/>
  <c r="AH1144" i="8"/>
  <c r="AH1078" i="8"/>
  <c r="AG918" i="8"/>
  <c r="AH1022" i="8"/>
  <c r="AH1070" i="8"/>
  <c r="AG1094" i="8"/>
  <c r="AG990" i="8"/>
  <c r="AG1188" i="8"/>
  <c r="AH985" i="8"/>
  <c r="AH969" i="8"/>
  <c r="AH1041" i="8"/>
  <c r="AH953" i="8"/>
  <c r="AH1225" i="8"/>
  <c r="AH1033" i="8"/>
  <c r="AH1140" i="8"/>
  <c r="AH1004" i="8"/>
  <c r="AH937" i="8"/>
  <c r="AG1020" i="8"/>
  <c r="AH1105" i="8"/>
  <c r="AH921" i="8"/>
  <c r="AG1044" i="8"/>
  <c r="AH993" i="8"/>
  <c r="AH988" i="8"/>
  <c r="AH913" i="8"/>
  <c r="AG996" i="8"/>
  <c r="AH1209" i="8"/>
  <c r="AH1097" i="8"/>
  <c r="AH1017" i="8"/>
  <c r="AG1005" i="8"/>
  <c r="AH1089" i="8"/>
  <c r="AH1145" i="8"/>
  <c r="AH945" i="8"/>
  <c r="AG1082" i="8"/>
  <c r="AG954" i="8"/>
  <c r="AH929" i="8"/>
  <c r="AG1059" i="8"/>
  <c r="AH1206" i="8"/>
  <c r="AH1062" i="8"/>
  <c r="AH979" i="8"/>
  <c r="AH1142" i="8"/>
  <c r="AH1067" i="8"/>
  <c r="AG1118" i="8"/>
  <c r="AG1046" i="8"/>
  <c r="AG974" i="8"/>
  <c r="AG1115" i="8"/>
  <c r="AH1198" i="8"/>
  <c r="AH1137" i="8"/>
  <c r="AH1081" i="8"/>
  <c r="AH1057" i="8"/>
  <c r="AH1014" i="8"/>
  <c r="AH977" i="8"/>
  <c r="AG1238" i="8"/>
  <c r="AG1110" i="8"/>
  <c r="AG1030" i="8"/>
  <c r="AG956" i="8"/>
  <c r="AH947" i="8"/>
  <c r="AH1187" i="8"/>
  <c r="AH1161" i="8"/>
  <c r="AH1129" i="8"/>
  <c r="AH1073" i="8"/>
  <c r="AH1025" i="8"/>
  <c r="AH1001" i="8"/>
  <c r="AH961" i="8"/>
  <c r="AH942" i="8"/>
  <c r="AG1166" i="8"/>
  <c r="AG934" i="8"/>
  <c r="AH1126" i="8"/>
  <c r="AG1150" i="8"/>
  <c r="AG923" i="8"/>
  <c r="AH1101" i="8"/>
  <c r="AH997" i="8"/>
  <c r="AH1219" i="8"/>
  <c r="AH1179" i="8"/>
  <c r="AG1108" i="8"/>
  <c r="AH933" i="8"/>
  <c r="AG1155" i="8"/>
  <c r="AH1157" i="8"/>
  <c r="AH1045" i="8"/>
  <c r="AG1093" i="8"/>
  <c r="AG1027" i="8"/>
  <c r="AH1205" i="8"/>
  <c r="AH1011" i="8"/>
  <c r="AH1123" i="8"/>
  <c r="AG1124" i="8"/>
  <c r="AH1221" i="8"/>
  <c r="AH1203" i="8"/>
  <c r="AH1181" i="8"/>
  <c r="AH1139" i="8"/>
  <c r="AH1125" i="8"/>
  <c r="AH1099" i="8"/>
  <c r="AH1080" i="8"/>
  <c r="AH1069" i="8"/>
  <c r="AH1043" i="8"/>
  <c r="AH1024" i="8"/>
  <c r="AH1013" i="8"/>
  <c r="AH995" i="8"/>
  <c r="AH960" i="8"/>
  <c r="AH949" i="8"/>
  <c r="AH931" i="8"/>
  <c r="AG1117" i="8"/>
  <c r="AG1085" i="8"/>
  <c r="AG1061" i="8"/>
  <c r="AG1029" i="8"/>
  <c r="AG973" i="8"/>
  <c r="AH1245" i="8"/>
  <c r="AG1149" i="8"/>
  <c r="AH1243" i="8"/>
  <c r="AH1213" i="8"/>
  <c r="AH1173" i="8"/>
  <c r="AH1147" i="8"/>
  <c r="AH1037" i="8"/>
  <c r="AH989" i="8"/>
  <c r="AH925" i="8"/>
  <c r="AG1229" i="8"/>
  <c r="AG1141" i="8"/>
  <c r="AG1053" i="8"/>
  <c r="AG1021" i="8"/>
  <c r="AG963" i="8"/>
  <c r="AG941" i="8"/>
  <c r="AG1237" i="8"/>
  <c r="AG965" i="8"/>
  <c r="AH1211" i="8"/>
  <c r="AH1197" i="8"/>
  <c r="AH1171" i="8"/>
  <c r="AH1091" i="8"/>
  <c r="AH1077" i="8"/>
  <c r="AH1035" i="8"/>
  <c r="AH971" i="8"/>
  <c r="AH957" i="8"/>
  <c r="AG1168" i="8"/>
  <c r="AG1109" i="8"/>
  <c r="AH1195" i="8"/>
  <c r="AH1133" i="8"/>
  <c r="AH1075" i="8"/>
  <c r="AG917" i="8"/>
  <c r="AH1165" i="8"/>
  <c r="AH1019" i="8"/>
  <c r="AH1208" i="8"/>
  <c r="AH1163" i="8"/>
  <c r="AH1131" i="8"/>
  <c r="AH1107" i="8"/>
  <c r="AH1003" i="8"/>
  <c r="AH939" i="8"/>
  <c r="AG981" i="8"/>
  <c r="AH1235" i="8"/>
  <c r="AH987" i="8"/>
  <c r="AH955" i="8"/>
  <c r="AH1227" i="8"/>
  <c r="AH1189" i="8"/>
  <c r="AH1083" i="8"/>
  <c r="AH1051" i="8"/>
  <c r="AH915" i="8"/>
  <c r="AG1064" i="8"/>
  <c r="AG976" i="8"/>
  <c r="AK1249" i="8"/>
  <c r="AL1249" i="8" s="1"/>
  <c r="AK1241" i="8"/>
  <c r="AL1241" i="8" s="1"/>
  <c r="AK1233" i="8"/>
  <c r="AL1233" i="8" s="1"/>
  <c r="AK1225" i="8"/>
  <c r="AL1225" i="8" s="1"/>
  <c r="AK1217" i="8"/>
  <c r="AL1217" i="8" s="1"/>
  <c r="AK1209" i="8"/>
  <c r="AL1209" i="8" s="1"/>
  <c r="AK1201" i="8"/>
  <c r="AL1201" i="8" s="1"/>
  <c r="AK1193" i="8"/>
  <c r="AL1193" i="8" s="1"/>
  <c r="AK1185" i="8"/>
  <c r="AL1185" i="8" s="1"/>
  <c r="AK1177" i="8"/>
  <c r="AL1177" i="8" s="1"/>
  <c r="AK1169" i="8"/>
  <c r="AL1169" i="8" s="1"/>
  <c r="AK1161" i="8"/>
  <c r="AL1161" i="8" s="1"/>
  <c r="AK1153" i="8"/>
  <c r="AL1153" i="8" s="1"/>
  <c r="AK1145" i="8"/>
  <c r="AL1145" i="8" s="1"/>
  <c r="AK1137" i="8"/>
  <c r="AL1137" i="8" s="1"/>
  <c r="AK1129" i="8"/>
  <c r="AL1129" i="8" s="1"/>
  <c r="AK1121" i="8"/>
  <c r="AL1121" i="8" s="1"/>
  <c r="AK1113" i="8"/>
  <c r="AL1113" i="8" s="1"/>
  <c r="AK1105" i="8"/>
  <c r="AL1105" i="8" s="1"/>
  <c r="AK1097" i="8"/>
  <c r="AL1097" i="8" s="1"/>
  <c r="AK1089" i="8"/>
  <c r="AL1089" i="8" s="1"/>
  <c r="AK1081" i="8"/>
  <c r="AL1081" i="8" s="1"/>
  <c r="AK1073" i="8"/>
  <c r="AL1073" i="8" s="1"/>
  <c r="AK1065" i="8"/>
  <c r="AL1065" i="8" s="1"/>
  <c r="AK1057" i="8"/>
  <c r="AL1057" i="8" s="1"/>
  <c r="AK1049" i="8"/>
  <c r="AL1049" i="8" s="1"/>
  <c r="AK1041" i="8"/>
  <c r="AL1041" i="8" s="1"/>
  <c r="AK1033" i="8"/>
  <c r="AL1033" i="8" s="1"/>
  <c r="AK1025" i="8"/>
  <c r="AL1025" i="8" s="1"/>
  <c r="AK1017" i="8"/>
  <c r="AL1017" i="8" s="1"/>
  <c r="AK1009" i="8"/>
  <c r="AL1009" i="8" s="1"/>
  <c r="AK1001" i="8"/>
  <c r="AL1001" i="8" s="1"/>
  <c r="AK993" i="8"/>
  <c r="AL993" i="8" s="1"/>
  <c r="AK985" i="8"/>
  <c r="AL985" i="8" s="1"/>
  <c r="AK977" i="8"/>
  <c r="AL977" i="8" s="1"/>
  <c r="AK969" i="8"/>
  <c r="AL969" i="8" s="1"/>
  <c r="AK961" i="8"/>
  <c r="AL961" i="8" s="1"/>
  <c r="AK953" i="8"/>
  <c r="AL953" i="8" s="1"/>
  <c r="AK945" i="8"/>
  <c r="AL945" i="8" s="1"/>
  <c r="AK937" i="8"/>
  <c r="AL937" i="8" s="1"/>
  <c r="AK929" i="8"/>
  <c r="AL929" i="8" s="1"/>
  <c r="AK921" i="8"/>
  <c r="AL921" i="8" s="1"/>
  <c r="AK913" i="8"/>
  <c r="AL913" i="8" s="1"/>
  <c r="AK1248" i="8"/>
  <c r="AL1248" i="8" s="1"/>
  <c r="AK1240" i="8"/>
  <c r="AL1240" i="8" s="1"/>
  <c r="AK1232" i="8"/>
  <c r="AL1232" i="8" s="1"/>
  <c r="AK1224" i="8"/>
  <c r="AL1224" i="8" s="1"/>
  <c r="AK1216" i="8"/>
  <c r="AL1216" i="8" s="1"/>
  <c r="AK1208" i="8"/>
  <c r="AL1208" i="8" s="1"/>
  <c r="AK1200" i="8"/>
  <c r="AL1200" i="8" s="1"/>
  <c r="AK1192" i="8"/>
  <c r="AL1192" i="8" s="1"/>
  <c r="AK1184" i="8"/>
  <c r="AL1184" i="8" s="1"/>
  <c r="AK1176" i="8"/>
  <c r="AL1176" i="8" s="1"/>
  <c r="AK1168" i="8"/>
  <c r="AL1168" i="8" s="1"/>
  <c r="AK1160" i="8"/>
  <c r="AL1160" i="8" s="1"/>
  <c r="AK1152" i="8"/>
  <c r="AL1152" i="8" s="1"/>
  <c r="AK1144" i="8"/>
  <c r="AL1144" i="8" s="1"/>
  <c r="AK1136" i="8"/>
  <c r="AL1136" i="8" s="1"/>
  <c r="AK1128" i="8"/>
  <c r="AL1128" i="8" s="1"/>
  <c r="AK1120" i="8"/>
  <c r="AL1120" i="8" s="1"/>
  <c r="AK1112" i="8"/>
  <c r="AL1112" i="8" s="1"/>
  <c r="AK1104" i="8"/>
  <c r="AL1104" i="8" s="1"/>
  <c r="AK1096" i="8"/>
  <c r="AL1096" i="8" s="1"/>
  <c r="AK1088" i="8"/>
  <c r="AL1088" i="8" s="1"/>
  <c r="AK1080" i="8"/>
  <c r="AL1080" i="8" s="1"/>
  <c r="AK1072" i="8"/>
  <c r="AL1072" i="8" s="1"/>
  <c r="AK1064" i="8"/>
  <c r="AL1064" i="8" s="1"/>
  <c r="AK1056" i="8"/>
  <c r="AL1056" i="8" s="1"/>
  <c r="AK1247" i="8"/>
  <c r="AL1247" i="8" s="1"/>
  <c r="AK1239" i="8"/>
  <c r="AL1239" i="8" s="1"/>
  <c r="AK1231" i="8"/>
  <c r="AL1231" i="8" s="1"/>
  <c r="AK1223" i="8"/>
  <c r="AL1223" i="8" s="1"/>
  <c r="AK1215" i="8"/>
  <c r="AL1215" i="8" s="1"/>
  <c r="AK1207" i="8"/>
  <c r="AL1207" i="8" s="1"/>
  <c r="AK1199" i="8"/>
  <c r="AL1199" i="8" s="1"/>
  <c r="AK1191" i="8"/>
  <c r="AL1191" i="8" s="1"/>
  <c r="AK1183" i="8"/>
  <c r="AL1183" i="8" s="1"/>
  <c r="AK1175" i="8"/>
  <c r="AL1175" i="8" s="1"/>
  <c r="AK1167" i="8"/>
  <c r="AL1167" i="8" s="1"/>
  <c r="AK1159" i="8"/>
  <c r="AL1159" i="8" s="1"/>
  <c r="AK1151" i="8"/>
  <c r="AL1151" i="8" s="1"/>
  <c r="AK1143" i="8"/>
  <c r="AL1143" i="8" s="1"/>
  <c r="AK1135" i="8"/>
  <c r="AL1135" i="8" s="1"/>
  <c r="AK1127" i="8"/>
  <c r="AL1127" i="8" s="1"/>
  <c r="AK1119" i="8"/>
  <c r="AL1119" i="8" s="1"/>
  <c r="AK1111" i="8"/>
  <c r="AL1111" i="8" s="1"/>
  <c r="AK1103" i="8"/>
  <c r="AL1103" i="8" s="1"/>
  <c r="AK1095" i="8"/>
  <c r="AL1095" i="8" s="1"/>
  <c r="AK1087" i="8"/>
  <c r="AL1087" i="8" s="1"/>
  <c r="AK1079" i="8"/>
  <c r="AL1079" i="8" s="1"/>
  <c r="AK1071" i="8"/>
  <c r="AL1071" i="8" s="1"/>
  <c r="AK1063" i="8"/>
  <c r="AL1063" i="8" s="1"/>
  <c r="AK1055" i="8"/>
  <c r="AL1055" i="8" s="1"/>
  <c r="AK1047" i="8"/>
  <c r="AL1047" i="8" s="1"/>
  <c r="AK1039" i="8"/>
  <c r="AL1039" i="8" s="1"/>
  <c r="AK1031" i="8"/>
  <c r="AL1031" i="8" s="1"/>
  <c r="AK1023" i="8"/>
  <c r="AL1023" i="8" s="1"/>
  <c r="AK1015" i="8"/>
  <c r="AL1015" i="8" s="1"/>
  <c r="AK1007" i="8"/>
  <c r="AL1007" i="8" s="1"/>
  <c r="AK999" i="8"/>
  <c r="AL999" i="8" s="1"/>
  <c r="AK991" i="8"/>
  <c r="AL991" i="8" s="1"/>
  <c r="AK983" i="8"/>
  <c r="AL983" i="8" s="1"/>
  <c r="AK975" i="8"/>
  <c r="AL975" i="8" s="1"/>
  <c r="AK967" i="8"/>
  <c r="AL967" i="8" s="1"/>
  <c r="AK959" i="8"/>
  <c r="AL959" i="8" s="1"/>
  <c r="AK951" i="8"/>
  <c r="AL951" i="8" s="1"/>
  <c r="AK943" i="8"/>
  <c r="AL943" i="8" s="1"/>
  <c r="AK935" i="8"/>
  <c r="AL935" i="8" s="1"/>
  <c r="AK927" i="8"/>
  <c r="AL927" i="8" s="1"/>
  <c r="AK919" i="8"/>
  <c r="AL919" i="8" s="1"/>
  <c r="AK911" i="8"/>
  <c r="AL911" i="8" s="1"/>
  <c r="AK1048" i="8"/>
  <c r="AL1048" i="8" s="1"/>
  <c r="AK1040" i="8"/>
  <c r="AL1040" i="8" s="1"/>
  <c r="AK1032" i="8"/>
  <c r="AL1032" i="8" s="1"/>
  <c r="AK1024" i="8"/>
  <c r="AL1024" i="8" s="1"/>
  <c r="AK1016" i="8"/>
  <c r="AL1016" i="8" s="1"/>
  <c r="AK1008" i="8"/>
  <c r="AL1008" i="8" s="1"/>
  <c r="AK1000" i="8"/>
  <c r="AL1000" i="8" s="1"/>
  <c r="AK992" i="8"/>
  <c r="AL992" i="8" s="1"/>
  <c r="AK984" i="8"/>
  <c r="AL984" i="8" s="1"/>
  <c r="AK976" i="8"/>
  <c r="AL976" i="8" s="1"/>
  <c r="AK968" i="8"/>
  <c r="AL968" i="8" s="1"/>
  <c r="AK960" i="8"/>
  <c r="AL960" i="8" s="1"/>
  <c r="AK952" i="8"/>
  <c r="AL952" i="8" s="1"/>
  <c r="AK944" i="8"/>
  <c r="AL944" i="8" s="1"/>
  <c r="AK936" i="8"/>
  <c r="AL936" i="8" s="1"/>
  <c r="AK928" i="8"/>
  <c r="AL928" i="8" s="1"/>
  <c r="AK920" i="8"/>
  <c r="AL920" i="8" s="1"/>
  <c r="AK1243" i="8"/>
  <c r="AL1243" i="8" s="1"/>
  <c r="AK1235" i="8"/>
  <c r="AL1235" i="8" s="1"/>
  <c r="AK1227" i="8"/>
  <c r="AL1227" i="8" s="1"/>
  <c r="AK1219" i="8"/>
  <c r="AL1219" i="8" s="1"/>
  <c r="AK1211" i="8"/>
  <c r="AL1211" i="8" s="1"/>
  <c r="AK1203" i="8"/>
  <c r="AL1203" i="8" s="1"/>
  <c r="AK1195" i="8"/>
  <c r="AL1195" i="8" s="1"/>
  <c r="AK1187" i="8"/>
  <c r="AL1187" i="8" s="1"/>
  <c r="AK1179" i="8"/>
  <c r="AL1179" i="8" s="1"/>
  <c r="AK1171" i="8"/>
  <c r="AL1171" i="8" s="1"/>
  <c r="AK1163" i="8"/>
  <c r="AL1163" i="8" s="1"/>
  <c r="AK1155" i="8"/>
  <c r="AL1155" i="8" s="1"/>
  <c r="AK1147" i="8"/>
  <c r="AL1147" i="8" s="1"/>
  <c r="AK1139" i="8"/>
  <c r="AL1139" i="8" s="1"/>
  <c r="AK1131" i="8"/>
  <c r="AL1131" i="8" s="1"/>
  <c r="AK1123" i="8"/>
  <c r="AL1123" i="8" s="1"/>
  <c r="AK1115" i="8"/>
  <c r="AL1115" i="8" s="1"/>
  <c r="AK1107" i="8"/>
  <c r="AL1107" i="8" s="1"/>
  <c r="AK1099" i="8"/>
  <c r="AL1099" i="8" s="1"/>
  <c r="AK1091" i="8"/>
  <c r="AL1091" i="8" s="1"/>
  <c r="AK1083" i="8"/>
  <c r="AL1083" i="8" s="1"/>
  <c r="AK1075" i="8"/>
  <c r="AL1075" i="8" s="1"/>
  <c r="AK1067" i="8"/>
  <c r="AL1067" i="8" s="1"/>
  <c r="AK1059" i="8"/>
  <c r="AL1059" i="8" s="1"/>
  <c r="AK1051" i="8"/>
  <c r="AL1051" i="8" s="1"/>
  <c r="AK1043" i="8"/>
  <c r="AL1043" i="8" s="1"/>
  <c r="AK1035" i="8"/>
  <c r="AL1035" i="8" s="1"/>
  <c r="AK1027" i="8"/>
  <c r="AL1027" i="8" s="1"/>
  <c r="AK1019" i="8"/>
  <c r="AL1019" i="8" s="1"/>
  <c r="AK1011" i="8"/>
  <c r="AL1011" i="8" s="1"/>
  <c r="AK1003" i="8"/>
  <c r="AL1003" i="8" s="1"/>
  <c r="AK995" i="8"/>
  <c r="AL995" i="8" s="1"/>
  <c r="AK987" i="8"/>
  <c r="AL987" i="8" s="1"/>
  <c r="AK979" i="8"/>
  <c r="AL979" i="8" s="1"/>
  <c r="AK971" i="8"/>
  <c r="AL971" i="8" s="1"/>
  <c r="AK963" i="8"/>
  <c r="AL963" i="8" s="1"/>
  <c r="AK955" i="8"/>
  <c r="AL955" i="8" s="1"/>
  <c r="AK947" i="8"/>
  <c r="AL947" i="8" s="1"/>
  <c r="AK939" i="8"/>
  <c r="AL939" i="8" s="1"/>
  <c r="AK931" i="8"/>
  <c r="AL931" i="8" s="1"/>
  <c r="AK923" i="8"/>
  <c r="AL923" i="8" s="1"/>
  <c r="AK915" i="8"/>
  <c r="AL915" i="8" s="1"/>
  <c r="AK1246" i="8"/>
  <c r="AL1246" i="8" s="1"/>
  <c r="AK1238" i="8"/>
  <c r="AL1238" i="8" s="1"/>
  <c r="AK1230" i="8"/>
  <c r="AL1230" i="8" s="1"/>
  <c r="AK1222" i="8"/>
  <c r="AL1222" i="8" s="1"/>
  <c r="AK1214" i="8"/>
  <c r="AL1214" i="8" s="1"/>
  <c r="AK1206" i="8"/>
  <c r="AL1206" i="8" s="1"/>
  <c r="AK1198" i="8"/>
  <c r="AL1198" i="8" s="1"/>
  <c r="AK1190" i="8"/>
  <c r="AL1190" i="8" s="1"/>
  <c r="AK1182" i="8"/>
  <c r="AL1182" i="8" s="1"/>
  <c r="AK1174" i="8"/>
  <c r="AL1174" i="8" s="1"/>
  <c r="AK1166" i="8"/>
  <c r="AL1166" i="8" s="1"/>
  <c r="AK1158" i="8"/>
  <c r="AL1158" i="8" s="1"/>
  <c r="AK1150" i="8"/>
  <c r="AL1150" i="8" s="1"/>
  <c r="AK1142" i="8"/>
  <c r="AL1142" i="8" s="1"/>
  <c r="AK1134" i="8"/>
  <c r="AL1134" i="8" s="1"/>
  <c r="AK1126" i="8"/>
  <c r="AL1126" i="8" s="1"/>
  <c r="AK1118" i="8"/>
  <c r="AL1118" i="8" s="1"/>
  <c r="AK1110" i="8"/>
  <c r="AL1110" i="8" s="1"/>
  <c r="AK1102" i="8"/>
  <c r="AL1102" i="8" s="1"/>
  <c r="AK1094" i="8"/>
  <c r="AL1094" i="8" s="1"/>
  <c r="AK1086" i="8"/>
  <c r="AL1086" i="8" s="1"/>
  <c r="AK1078" i="8"/>
  <c r="AL1078" i="8" s="1"/>
  <c r="AK1070" i="8"/>
  <c r="AL1070" i="8" s="1"/>
  <c r="AK1062" i="8"/>
  <c r="AL1062" i="8" s="1"/>
  <c r="AK1054" i="8"/>
  <c r="AL1054" i="8" s="1"/>
  <c r="AK1046" i="8"/>
  <c r="AL1046" i="8" s="1"/>
  <c r="AK1038" i="8"/>
  <c r="AL1038" i="8" s="1"/>
  <c r="AK1030" i="8"/>
  <c r="AL1030" i="8" s="1"/>
  <c r="AK1022" i="8"/>
  <c r="AL1022" i="8" s="1"/>
  <c r="AK1014" i="8"/>
  <c r="AL1014" i="8" s="1"/>
  <c r="AK1006" i="8"/>
  <c r="AL1006" i="8" s="1"/>
  <c r="AK998" i="8"/>
  <c r="AL998" i="8" s="1"/>
  <c r="AK990" i="8"/>
  <c r="AL990" i="8" s="1"/>
  <c r="AK982" i="8"/>
  <c r="AL982" i="8" s="1"/>
  <c r="AK974" i="8"/>
  <c r="AL974" i="8" s="1"/>
  <c r="AK966" i="8"/>
  <c r="AL966" i="8" s="1"/>
  <c r="AK958" i="8"/>
  <c r="AL958" i="8" s="1"/>
  <c r="AK950" i="8"/>
  <c r="AL950" i="8" s="1"/>
  <c r="AK942" i="8"/>
  <c r="AL942" i="8" s="1"/>
  <c r="AK934" i="8"/>
  <c r="AL934" i="8" s="1"/>
  <c r="AK926" i="8"/>
  <c r="AL926" i="8" s="1"/>
  <c r="AK918" i="8"/>
  <c r="AL918" i="8" s="1"/>
  <c r="AK910" i="8"/>
  <c r="AL910" i="8" s="1"/>
  <c r="AK1250" i="8"/>
  <c r="AL1250" i="8" s="1"/>
  <c r="AK1242" i="8"/>
  <c r="AL1242" i="8" s="1"/>
  <c r="AK1234" i="8"/>
  <c r="AL1234" i="8" s="1"/>
  <c r="AK1226" i="8"/>
  <c r="AL1226" i="8" s="1"/>
  <c r="AK1218" i="8"/>
  <c r="AL1218" i="8" s="1"/>
  <c r="AK1210" i="8"/>
  <c r="AL1210" i="8" s="1"/>
  <c r="AK1202" i="8"/>
  <c r="AL1202" i="8" s="1"/>
  <c r="AK1194" i="8"/>
  <c r="AL1194" i="8" s="1"/>
  <c r="AK1186" i="8"/>
  <c r="AL1186" i="8" s="1"/>
  <c r="AK1178" i="8"/>
  <c r="AL1178" i="8" s="1"/>
  <c r="AK1170" i="8"/>
  <c r="AL1170" i="8" s="1"/>
  <c r="AK1162" i="8"/>
  <c r="AL1162" i="8" s="1"/>
  <c r="AK1154" i="8"/>
  <c r="AL1154" i="8" s="1"/>
  <c r="AK1146" i="8"/>
  <c r="AL1146" i="8" s="1"/>
  <c r="AK1138" i="8"/>
  <c r="AL1138" i="8" s="1"/>
  <c r="AK1130" i="8"/>
  <c r="AL1130" i="8" s="1"/>
  <c r="AK1122" i="8"/>
  <c r="AL1122" i="8" s="1"/>
  <c r="AK1114" i="8"/>
  <c r="AL1114" i="8" s="1"/>
  <c r="AK1106" i="8"/>
  <c r="AL1106" i="8" s="1"/>
  <c r="AK1098" i="8"/>
  <c r="AL1098" i="8" s="1"/>
  <c r="AK1090" i="8"/>
  <c r="AL1090" i="8" s="1"/>
  <c r="AK1082" i="8"/>
  <c r="AL1082" i="8" s="1"/>
  <c r="AK1074" i="8"/>
  <c r="AL1074" i="8" s="1"/>
  <c r="AK1066" i="8"/>
  <c r="AL1066" i="8" s="1"/>
  <c r="AK1058" i="8"/>
  <c r="AL1058" i="8" s="1"/>
  <c r="AK1050" i="8"/>
  <c r="AL1050" i="8" s="1"/>
  <c r="AK1042" i="8"/>
  <c r="AL1042" i="8" s="1"/>
  <c r="AK1034" i="8"/>
  <c r="AL1034" i="8" s="1"/>
  <c r="AK1026" i="8"/>
  <c r="AL1026" i="8" s="1"/>
  <c r="AK1018" i="8"/>
  <c r="AL1018" i="8" s="1"/>
  <c r="AK1010" i="8"/>
  <c r="AL1010" i="8" s="1"/>
  <c r="AK1002" i="8"/>
  <c r="AL1002" i="8" s="1"/>
  <c r="AK994" i="8"/>
  <c r="AL994" i="8" s="1"/>
  <c r="AK986" i="8"/>
  <c r="AL986" i="8" s="1"/>
  <c r="AK978" i="8"/>
  <c r="AL978" i="8" s="1"/>
  <c r="AK970" i="8"/>
  <c r="AL970" i="8" s="1"/>
  <c r="AK962" i="8"/>
  <c r="AL962" i="8" s="1"/>
  <c r="AK954" i="8"/>
  <c r="AL954" i="8" s="1"/>
  <c r="AK946" i="8"/>
  <c r="AL946" i="8" s="1"/>
  <c r="AK938" i="8"/>
  <c r="AL938" i="8" s="1"/>
  <c r="AK930" i="8"/>
  <c r="AL930" i="8" s="1"/>
  <c r="AK922" i="8"/>
  <c r="AL922" i="8" s="1"/>
  <c r="AK914" i="8"/>
  <c r="AL914" i="8" s="1"/>
  <c r="AK912" i="8"/>
  <c r="AL912" i="8" s="1"/>
  <c r="AH1164" i="8"/>
  <c r="AH1148" i="8"/>
  <c r="AH1092" i="8"/>
  <c r="AH948" i="8"/>
  <c r="AG916" i="8"/>
  <c r="AH1236" i="8"/>
  <c r="AH1220" i="8"/>
  <c r="AH1180" i="8"/>
  <c r="AH1068" i="8"/>
  <c r="AH1052" i="8"/>
  <c r="AH1036" i="8"/>
  <c r="AH932" i="8"/>
  <c r="AG1212" i="8"/>
  <c r="AG1100" i="8"/>
  <c r="AG1060" i="8"/>
  <c r="AH1196" i="8"/>
  <c r="AH1012" i="8"/>
  <c r="AG1116" i="8"/>
  <c r="AH1233" i="8"/>
  <c r="AH1217" i="8"/>
  <c r="AH1076" i="8"/>
  <c r="AH1065" i="8"/>
  <c r="AH1049" i="8"/>
  <c r="AH980" i="8"/>
  <c r="AH964" i="8"/>
  <c r="AG1228" i="8"/>
  <c r="AG1204" i="8"/>
  <c r="AH1172" i="8"/>
  <c r="AH1156" i="8"/>
  <c r="AH1084" i="8"/>
  <c r="AH1009" i="8"/>
  <c r="AG1222" i="8"/>
  <c r="AG1114" i="8"/>
  <c r="AG1028" i="8"/>
  <c r="AG924" i="8"/>
  <c r="AH1132" i="8"/>
  <c r="AH940" i="8"/>
  <c r="AG1244" i="8"/>
  <c r="AH910" i="8"/>
  <c r="AH1201" i="8"/>
  <c r="AH1169" i="8"/>
  <c r="AH1153" i="8"/>
  <c r="AH1152" i="8"/>
  <c r="AH968" i="8"/>
  <c r="AG1136" i="8"/>
  <c r="AG1032" i="8"/>
  <c r="AH1096" i="8"/>
  <c r="AH1241" i="8"/>
  <c r="AH1232" i="8"/>
  <c r="AH1214" i="8"/>
  <c r="AH1177" i="8"/>
  <c r="AH1113" i="8"/>
  <c r="AH1104" i="8"/>
  <c r="AH1086" i="8"/>
  <c r="AH1048" i="8"/>
  <c r="AH984" i="8"/>
  <c r="AH966" i="8"/>
  <c r="AH920" i="8"/>
  <c r="AG1088" i="8"/>
  <c r="AG1016" i="8"/>
  <c r="AG1000" i="8"/>
  <c r="AG944" i="8"/>
  <c r="AG1120" i="8"/>
  <c r="AH1160" i="8"/>
  <c r="AH1040" i="8"/>
  <c r="AH912" i="8"/>
  <c r="AH1249" i="8"/>
  <c r="AH1240" i="8"/>
  <c r="AH1185" i="8"/>
  <c r="AH1176" i="8"/>
  <c r="AH1158" i="8"/>
  <c r="AH1121" i="8"/>
  <c r="AH1112" i="8"/>
  <c r="AH1056" i="8"/>
  <c r="AH1038" i="8"/>
  <c r="AH992" i="8"/>
  <c r="AH928" i="8"/>
  <c r="AG1248" i="8"/>
  <c r="AG1102" i="8"/>
  <c r="AG1072" i="8"/>
  <c r="AG998" i="8"/>
  <c r="AK1244" i="8"/>
  <c r="AL1244" i="8" s="1"/>
  <c r="AK1236" i="8"/>
  <c r="AL1236" i="8" s="1"/>
  <c r="AK1228" i="8"/>
  <c r="AL1228" i="8" s="1"/>
  <c r="AK1220" i="8"/>
  <c r="AL1220" i="8" s="1"/>
  <c r="AK1212" i="8"/>
  <c r="AL1212" i="8" s="1"/>
  <c r="AK1204" i="8"/>
  <c r="AL1204" i="8" s="1"/>
  <c r="AK1196" i="8"/>
  <c r="AL1196" i="8" s="1"/>
  <c r="AK1188" i="8"/>
  <c r="AL1188" i="8" s="1"/>
  <c r="AK1180" i="8"/>
  <c r="AL1180" i="8" s="1"/>
  <c r="AK1172" i="8"/>
  <c r="AL1172" i="8" s="1"/>
  <c r="AK1164" i="8"/>
  <c r="AL1164" i="8" s="1"/>
  <c r="AK1156" i="8"/>
  <c r="AL1156" i="8" s="1"/>
  <c r="AK1148" i="8"/>
  <c r="AL1148" i="8" s="1"/>
  <c r="AK1140" i="8"/>
  <c r="AL1140" i="8" s="1"/>
  <c r="AK1132" i="8"/>
  <c r="AL1132" i="8" s="1"/>
  <c r="AK1124" i="8"/>
  <c r="AL1124" i="8" s="1"/>
  <c r="AK1116" i="8"/>
  <c r="AL1116" i="8" s="1"/>
  <c r="AK1108" i="8"/>
  <c r="AL1108" i="8" s="1"/>
  <c r="AK1100" i="8"/>
  <c r="AL1100" i="8" s="1"/>
  <c r="AK1092" i="8"/>
  <c r="AL1092" i="8" s="1"/>
  <c r="AK1084" i="8"/>
  <c r="AL1084" i="8" s="1"/>
  <c r="AK1076" i="8"/>
  <c r="AL1076" i="8" s="1"/>
  <c r="AK1068" i="8"/>
  <c r="AL1068" i="8" s="1"/>
  <c r="AK1060" i="8"/>
  <c r="AL1060" i="8" s="1"/>
  <c r="AK1052" i="8"/>
  <c r="AL1052" i="8" s="1"/>
  <c r="AK1044" i="8"/>
  <c r="AL1044" i="8" s="1"/>
  <c r="AK1036" i="8"/>
  <c r="AL1036" i="8" s="1"/>
  <c r="AK1028" i="8"/>
  <c r="AL1028" i="8" s="1"/>
  <c r="AK1020" i="8"/>
  <c r="AL1020" i="8" s="1"/>
  <c r="AK1012" i="8"/>
  <c r="AL1012" i="8" s="1"/>
  <c r="AK1004" i="8"/>
  <c r="AL1004" i="8" s="1"/>
  <c r="AK996" i="8"/>
  <c r="AL996" i="8" s="1"/>
  <c r="AK988" i="8"/>
  <c r="AL988" i="8" s="1"/>
  <c r="AK980" i="8"/>
  <c r="AL980" i="8" s="1"/>
  <c r="AK972" i="8"/>
  <c r="AL972" i="8" s="1"/>
  <c r="AK964" i="8"/>
  <c r="AL964" i="8" s="1"/>
  <c r="AK956" i="8"/>
  <c r="AL956" i="8" s="1"/>
  <c r="AK948" i="8"/>
  <c r="AL948" i="8" s="1"/>
  <c r="AK940" i="8"/>
  <c r="AL940" i="8" s="1"/>
  <c r="AK932" i="8"/>
  <c r="AL932" i="8" s="1"/>
  <c r="AK924" i="8"/>
  <c r="AL924" i="8" s="1"/>
  <c r="AK916" i="8"/>
  <c r="AL916" i="8" s="1"/>
  <c r="AH1230" i="8"/>
  <c r="AH1193" i="8"/>
  <c r="AH1184" i="8"/>
  <c r="AH982" i="8"/>
  <c r="AH936" i="8"/>
  <c r="AG1246" i="8"/>
  <c r="AG1174" i="8"/>
  <c r="AG1128" i="8"/>
  <c r="AG926" i="8"/>
  <c r="AH1224" i="8"/>
  <c r="AH1192" i="8"/>
  <c r="AH1054" i="8"/>
  <c r="AH1008" i="8"/>
  <c r="AG1216" i="8"/>
  <c r="AG1200" i="8"/>
  <c r="AH952" i="8"/>
  <c r="AK1245" i="8"/>
  <c r="AL1245" i="8" s="1"/>
  <c r="AK1237" i="8"/>
  <c r="AL1237" i="8" s="1"/>
  <c r="AK1229" i="8"/>
  <c r="AL1229" i="8" s="1"/>
  <c r="AK1221" i="8"/>
  <c r="AL1221" i="8" s="1"/>
  <c r="AK1213" i="8"/>
  <c r="AL1213" i="8" s="1"/>
  <c r="AK1205" i="8"/>
  <c r="AL1205" i="8" s="1"/>
  <c r="AK1197" i="8"/>
  <c r="AL1197" i="8" s="1"/>
  <c r="AK1189" i="8"/>
  <c r="AL1189" i="8" s="1"/>
  <c r="AK1181" i="8"/>
  <c r="AL1181" i="8" s="1"/>
  <c r="AK1173" i="8"/>
  <c r="AL1173" i="8" s="1"/>
  <c r="AK1165" i="8"/>
  <c r="AL1165" i="8" s="1"/>
  <c r="AK1157" i="8"/>
  <c r="AL1157" i="8" s="1"/>
  <c r="AK1149" i="8"/>
  <c r="AL1149" i="8" s="1"/>
  <c r="AK1141" i="8"/>
  <c r="AL1141" i="8" s="1"/>
  <c r="AK1133" i="8"/>
  <c r="AL1133" i="8" s="1"/>
  <c r="AK1125" i="8"/>
  <c r="AL1125" i="8" s="1"/>
  <c r="AK1117" i="8"/>
  <c r="AL1117" i="8" s="1"/>
  <c r="AK1109" i="8"/>
  <c r="AL1109" i="8" s="1"/>
  <c r="AK1101" i="8"/>
  <c r="AL1101" i="8" s="1"/>
  <c r="AK1093" i="8"/>
  <c r="AL1093" i="8" s="1"/>
  <c r="AK1085" i="8"/>
  <c r="AL1085" i="8" s="1"/>
  <c r="AK1077" i="8"/>
  <c r="AL1077" i="8" s="1"/>
  <c r="AK1069" i="8"/>
  <c r="AL1069" i="8" s="1"/>
  <c r="AK1061" i="8"/>
  <c r="AL1061" i="8" s="1"/>
  <c r="AK1053" i="8"/>
  <c r="AL1053" i="8" s="1"/>
  <c r="AK1045" i="8"/>
  <c r="AL1045" i="8" s="1"/>
  <c r="AK1037" i="8"/>
  <c r="AL1037" i="8" s="1"/>
  <c r="AK1029" i="8"/>
  <c r="AL1029" i="8" s="1"/>
  <c r="AK1021" i="8"/>
  <c r="AL1021" i="8" s="1"/>
  <c r="AK1013" i="8"/>
  <c r="AL1013" i="8" s="1"/>
  <c r="AK1005" i="8"/>
  <c r="AL1005" i="8" s="1"/>
  <c r="AK997" i="8"/>
  <c r="AL997" i="8" s="1"/>
  <c r="AK989" i="8"/>
  <c r="AL989" i="8" s="1"/>
  <c r="AK981" i="8"/>
  <c r="AL981" i="8" s="1"/>
  <c r="AK973" i="8"/>
  <c r="AL973" i="8" s="1"/>
  <c r="AK965" i="8"/>
  <c r="AL965" i="8" s="1"/>
  <c r="AK957" i="8"/>
  <c r="AL957" i="8" s="1"/>
  <c r="AK949" i="8"/>
  <c r="AL949" i="8" s="1"/>
  <c r="AK941" i="8"/>
  <c r="AL941" i="8" s="1"/>
  <c r="AK933" i="8"/>
  <c r="AL933" i="8" s="1"/>
  <c r="AK925" i="8"/>
  <c r="AL925" i="8" s="1"/>
  <c r="AK917" i="8"/>
  <c r="AL917" i="8" s="1"/>
  <c r="AG1050" i="8"/>
  <c r="AH1066" i="8"/>
  <c r="AG1066" i="8"/>
  <c r="AH1058" i="8"/>
  <c r="AG1058" i="8"/>
  <c r="AG1042" i="8"/>
  <c r="AH1042" i="8"/>
  <c r="AH1034" i="8"/>
  <c r="AG1034" i="8"/>
  <c r="AH1026" i="8"/>
  <c r="AG1026" i="8"/>
  <c r="AG1010" i="8"/>
  <c r="AH1010" i="8"/>
  <c r="AH1002" i="8"/>
  <c r="AG1002" i="8"/>
  <c r="AH994" i="8"/>
  <c r="AG994" i="8"/>
  <c r="AG978" i="8"/>
  <c r="AH978" i="8"/>
  <c r="AH970" i="8"/>
  <c r="AG970" i="8"/>
  <c r="AH962" i="8"/>
  <c r="AG962" i="8"/>
  <c r="AG946" i="8"/>
  <c r="AH946" i="8"/>
  <c r="AH938" i="8"/>
  <c r="AG938" i="8"/>
  <c r="AH930" i="8"/>
  <c r="AG930" i="8"/>
  <c r="AG914" i="8"/>
  <c r="AH914" i="8"/>
  <c r="AG1242" i="8"/>
  <c r="AG1178" i="8"/>
  <c r="AG1018" i="8"/>
  <c r="AG922" i="8"/>
  <c r="AH1250" i="8"/>
  <c r="AH1234" i="8"/>
  <c r="AH1226" i="8"/>
  <c r="AH1218" i="8"/>
  <c r="AH1210" i="8"/>
  <c r="AH1202" i="8"/>
  <c r="AH1194" i="8"/>
  <c r="AH1186" i="8"/>
  <c r="AH1170" i="8"/>
  <c r="AH1162" i="8"/>
  <c r="AH1154" i="8"/>
  <c r="AH1146" i="8"/>
  <c r="AH1138" i="8"/>
  <c r="AH1130" i="8"/>
  <c r="AH1122" i="8"/>
  <c r="AH1106" i="8"/>
  <c r="AH1098" i="8"/>
  <c r="AH1090" i="8"/>
  <c r="AH1074" i="8"/>
  <c r="AG986" i="8"/>
  <c r="AG1247" i="8"/>
  <c r="AG1239" i="8"/>
  <c r="AG1231" i="8"/>
  <c r="AG1223" i="8"/>
  <c r="AG1215" i="8"/>
  <c r="AG1207" i="8"/>
  <c r="AG1199" i="8"/>
  <c r="AG1191" i="8"/>
  <c r="AG1183" i="8"/>
  <c r="AG1175" i="8"/>
  <c r="AG1167" i="8"/>
  <c r="AG1159" i="8"/>
  <c r="AG1151" i="8"/>
  <c r="AG1143" i="8"/>
  <c r="AG1135" i="8"/>
  <c r="AG1127" i="8"/>
  <c r="AG1119" i="8"/>
  <c r="AG1111" i="8"/>
  <c r="AG1103" i="8"/>
  <c r="AG1095" i="8"/>
  <c r="AG1087" i="8"/>
  <c r="AG1079" i="8"/>
  <c r="AG1071" i="8"/>
  <c r="AG1063" i="8"/>
  <c r="AG1055" i="8"/>
  <c r="AG1047" i="8"/>
  <c r="AG1039" i="8"/>
  <c r="AG1031" i="8"/>
  <c r="AG1023" i="8"/>
  <c r="AG1015" i="8"/>
  <c r="AG1007" i="8"/>
  <c r="AG999" i="8"/>
  <c r="AG991" i="8"/>
  <c r="AG983" i="8"/>
  <c r="AG975" i="8"/>
  <c r="AG967" i="8"/>
  <c r="AG959" i="8"/>
  <c r="AG951" i="8"/>
  <c r="AG943" i="8"/>
  <c r="AG935" i="8"/>
  <c r="AG927" i="8"/>
  <c r="AG919" i="8"/>
  <c r="AG911" i="8"/>
  <c r="S909" i="8" l="1" a="1"/>
  <c r="S909" i="8" s="1"/>
  <c r="T909" i="8" a="1"/>
  <c r="T909" i="8" s="1"/>
  <c r="U909" i="8" a="1"/>
  <c r="U909" i="8" s="1"/>
  <c r="V909" i="8"/>
  <c r="AF909" i="8"/>
  <c r="AI909" i="8"/>
  <c r="AJ909" i="8" s="1"/>
  <c r="S908" i="8" l="1" a="1"/>
  <c r="S908" i="8" s="1"/>
  <c r="V908" i="8" s="1"/>
  <c r="T908" i="8" a="1"/>
  <c r="T908" i="8" s="1"/>
  <c r="AF908" i="8"/>
  <c r="AI908" i="8"/>
  <c r="AJ908" i="8" s="1"/>
  <c r="Q17" i="7" a="1"/>
  <c r="Q17" i="7" s="1"/>
  <c r="S796" i="8" a="1"/>
  <c r="S796" i="8" s="1"/>
  <c r="V796" i="8" s="1"/>
  <c r="S797" i="8" a="1"/>
  <c r="S797" i="8" s="1"/>
  <c r="V797" i="8" s="1"/>
  <c r="S798" i="8" a="1"/>
  <c r="S798" i="8" s="1"/>
  <c r="V798" i="8" s="1"/>
  <c r="S799" i="8" a="1"/>
  <c r="S799" i="8" s="1"/>
  <c r="V799" i="8" s="1"/>
  <c r="S800" i="8" a="1"/>
  <c r="S800" i="8" s="1"/>
  <c r="V800" i="8" s="1"/>
  <c r="S801" i="8" a="1"/>
  <c r="S801" i="8" s="1"/>
  <c r="V801" i="8" s="1"/>
  <c r="S802" i="8" a="1"/>
  <c r="S802" i="8" s="1"/>
  <c r="V802" i="8" s="1"/>
  <c r="S803" i="8" a="1"/>
  <c r="S803" i="8" s="1"/>
  <c r="V803" i="8" s="1"/>
  <c r="S804" i="8" a="1"/>
  <c r="S804" i="8" s="1"/>
  <c r="V804" i="8" s="1"/>
  <c r="S805" i="8" a="1"/>
  <c r="S805" i="8" s="1"/>
  <c r="V805" i="8" s="1"/>
  <c r="S806" i="8" a="1"/>
  <c r="S806" i="8" s="1"/>
  <c r="V806" i="8" s="1"/>
  <c r="S807" i="8" a="1"/>
  <c r="S807" i="8" s="1"/>
  <c r="V807" i="8" s="1"/>
  <c r="S808" i="8" a="1"/>
  <c r="S808" i="8" s="1"/>
  <c r="V808" i="8" s="1"/>
  <c r="S809" i="8" a="1"/>
  <c r="S809" i="8" s="1"/>
  <c r="V809" i="8" s="1"/>
  <c r="S810" i="8" a="1"/>
  <c r="S810" i="8" s="1"/>
  <c r="V810" i="8" s="1"/>
  <c r="S811" i="8" a="1"/>
  <c r="S811" i="8" s="1"/>
  <c r="V811" i="8" s="1"/>
  <c r="S812" i="8" a="1"/>
  <c r="S812" i="8" s="1"/>
  <c r="V812" i="8" s="1"/>
  <c r="S813" i="8" a="1"/>
  <c r="S813" i="8" s="1"/>
  <c r="V813" i="8" s="1"/>
  <c r="S814" i="8" a="1"/>
  <c r="S814" i="8" s="1"/>
  <c r="V814" i="8" s="1"/>
  <c r="S815" i="8" a="1"/>
  <c r="S815" i="8" s="1"/>
  <c r="V815" i="8" s="1"/>
  <c r="S816" i="8" a="1"/>
  <c r="S816" i="8" s="1"/>
  <c r="V816" i="8" s="1"/>
  <c r="S817" i="8" a="1"/>
  <c r="S817" i="8" s="1"/>
  <c r="V817" i="8" s="1"/>
  <c r="S818" i="8" a="1"/>
  <c r="S818" i="8" s="1"/>
  <c r="V818" i="8" s="1"/>
  <c r="S819" i="8" a="1"/>
  <c r="S819" i="8" s="1"/>
  <c r="V819" i="8" s="1"/>
  <c r="S820" i="8" a="1"/>
  <c r="S820" i="8" s="1"/>
  <c r="V820" i="8" s="1"/>
  <c r="S821" i="8" a="1"/>
  <c r="S821" i="8" s="1"/>
  <c r="V821" i="8" s="1"/>
  <c r="S822" i="8" a="1"/>
  <c r="S822" i="8" s="1"/>
  <c r="V822" i="8" s="1"/>
  <c r="S823" i="8" a="1"/>
  <c r="S823" i="8" s="1"/>
  <c r="V823" i="8" s="1"/>
  <c r="S824" i="8" a="1"/>
  <c r="S824" i="8" s="1"/>
  <c r="V824" i="8" s="1"/>
  <c r="S825" i="8" a="1"/>
  <c r="S825" i="8" s="1"/>
  <c r="V825" i="8" s="1"/>
  <c r="S826" i="8" a="1"/>
  <c r="S826" i="8" s="1"/>
  <c r="V826" i="8" s="1"/>
  <c r="S827" i="8" a="1"/>
  <c r="S827" i="8" s="1"/>
  <c r="V827" i="8" s="1"/>
  <c r="S828" i="8" a="1"/>
  <c r="S828" i="8" s="1"/>
  <c r="V828" i="8" s="1"/>
  <c r="S829" i="8" a="1"/>
  <c r="S829" i="8" s="1"/>
  <c r="V829" i="8" s="1"/>
  <c r="S830" i="8" a="1"/>
  <c r="S830" i="8" s="1"/>
  <c r="V830" i="8" s="1"/>
  <c r="S831" i="8" a="1"/>
  <c r="S831" i="8" s="1"/>
  <c r="V831" i="8" s="1"/>
  <c r="S832" i="8" a="1"/>
  <c r="S832" i="8" s="1"/>
  <c r="V832" i="8" s="1"/>
  <c r="S833" i="8" a="1"/>
  <c r="S833" i="8" s="1"/>
  <c r="V833" i="8" s="1"/>
  <c r="S834" i="8" a="1"/>
  <c r="S834" i="8" s="1"/>
  <c r="V834" i="8" s="1"/>
  <c r="S835" i="8" a="1"/>
  <c r="S835" i="8" s="1"/>
  <c r="V835" i="8" s="1"/>
  <c r="S836" i="8" a="1"/>
  <c r="S836" i="8" s="1"/>
  <c r="V836" i="8" s="1"/>
  <c r="S837" i="8" a="1"/>
  <c r="S837" i="8" s="1"/>
  <c r="V837" i="8" s="1"/>
  <c r="S838" i="8" a="1"/>
  <c r="S838" i="8" s="1"/>
  <c r="V838" i="8" s="1"/>
  <c r="S839" i="8" a="1"/>
  <c r="S839" i="8" s="1"/>
  <c r="V839" i="8" s="1"/>
  <c r="S840" i="8" a="1"/>
  <c r="S840" i="8" s="1"/>
  <c r="V840" i="8" s="1"/>
  <c r="S841" i="8" a="1"/>
  <c r="S841" i="8" s="1"/>
  <c r="V841" i="8" s="1"/>
  <c r="S842" i="8" a="1"/>
  <c r="S842" i="8" s="1"/>
  <c r="V842" i="8" s="1"/>
  <c r="S843" i="8" a="1"/>
  <c r="S843" i="8" s="1"/>
  <c r="V843" i="8" s="1"/>
  <c r="S844" i="8" a="1"/>
  <c r="S844" i="8" s="1"/>
  <c r="V844" i="8" s="1"/>
  <c r="S845" i="8" a="1"/>
  <c r="S845" i="8" s="1"/>
  <c r="V845" i="8" s="1"/>
  <c r="S846" i="8" a="1"/>
  <c r="S846" i="8" s="1"/>
  <c r="V846" i="8" s="1"/>
  <c r="S847" i="8" a="1"/>
  <c r="S847" i="8" s="1"/>
  <c r="V847" i="8" s="1"/>
  <c r="S848" i="8" a="1"/>
  <c r="S848" i="8" s="1"/>
  <c r="V848" i="8" s="1"/>
  <c r="S849" i="8" a="1"/>
  <c r="S849" i="8" s="1"/>
  <c r="V849" i="8" s="1"/>
  <c r="S850" i="8" a="1"/>
  <c r="S850" i="8" s="1"/>
  <c r="V850" i="8" s="1"/>
  <c r="S851" i="8" a="1"/>
  <c r="S851" i="8" s="1"/>
  <c r="V851" i="8" s="1"/>
  <c r="S852" i="8" a="1"/>
  <c r="S852" i="8" s="1"/>
  <c r="V852" i="8" s="1"/>
  <c r="S853" i="8" a="1"/>
  <c r="S853" i="8" s="1"/>
  <c r="V853" i="8" s="1"/>
  <c r="S854" i="8" a="1"/>
  <c r="S854" i="8" s="1"/>
  <c r="V854" i="8" s="1"/>
  <c r="S855" i="8" a="1"/>
  <c r="S855" i="8" s="1"/>
  <c r="V855" i="8" s="1"/>
  <c r="S856" i="8" a="1"/>
  <c r="S856" i="8" s="1"/>
  <c r="V856" i="8" s="1"/>
  <c r="S857" i="8" a="1"/>
  <c r="S857" i="8" s="1"/>
  <c r="V857" i="8" s="1"/>
  <c r="S858" i="8" a="1"/>
  <c r="S858" i="8" s="1"/>
  <c r="V858" i="8" s="1"/>
  <c r="S859" i="8" a="1"/>
  <c r="S859" i="8" s="1"/>
  <c r="V859" i="8" s="1"/>
  <c r="S860" i="8" a="1"/>
  <c r="S860" i="8" s="1"/>
  <c r="V860" i="8" s="1"/>
  <c r="S861" i="8" a="1"/>
  <c r="S861" i="8" s="1"/>
  <c r="V861" i="8" s="1"/>
  <c r="S862" i="8" a="1"/>
  <c r="S862" i="8" s="1"/>
  <c r="V862" i="8" s="1"/>
  <c r="S863" i="8" a="1"/>
  <c r="S863" i="8" s="1"/>
  <c r="V863" i="8" s="1"/>
  <c r="S864" i="8" a="1"/>
  <c r="S864" i="8" s="1"/>
  <c r="V864" i="8" s="1"/>
  <c r="T796" i="8" a="1"/>
  <c r="T796" i="8" s="1"/>
  <c r="T797" i="8" a="1"/>
  <c r="T797" i="8" s="1"/>
  <c r="T798" i="8" a="1"/>
  <c r="T798" i="8" s="1"/>
  <c r="T799" i="8" a="1"/>
  <c r="T799" i="8" s="1"/>
  <c r="T800" i="8" a="1"/>
  <c r="T800" i="8" s="1"/>
  <c r="T801" i="8" a="1"/>
  <c r="T801" i="8" s="1"/>
  <c r="T802" i="8" a="1"/>
  <c r="T802" i="8" s="1"/>
  <c r="T803" i="8" a="1"/>
  <c r="T803" i="8" s="1"/>
  <c r="T804" i="8" a="1"/>
  <c r="T804" i="8" s="1"/>
  <c r="T805" i="8" a="1"/>
  <c r="T805" i="8" s="1"/>
  <c r="T806" i="8" a="1"/>
  <c r="T806" i="8" s="1"/>
  <c r="T807" i="8" a="1"/>
  <c r="T807" i="8" s="1"/>
  <c r="T808" i="8" a="1"/>
  <c r="T808" i="8" s="1"/>
  <c r="T809" i="8" a="1"/>
  <c r="T809" i="8" s="1"/>
  <c r="T810" i="8" a="1"/>
  <c r="T810" i="8" s="1"/>
  <c r="T811" i="8" a="1"/>
  <c r="T811" i="8" s="1"/>
  <c r="T812" i="8" a="1"/>
  <c r="T812" i="8" s="1"/>
  <c r="T813" i="8" a="1"/>
  <c r="T813" i="8" s="1"/>
  <c r="T814" i="8" a="1"/>
  <c r="T814" i="8" s="1"/>
  <c r="T815" i="8" a="1"/>
  <c r="T815" i="8" s="1"/>
  <c r="T816" i="8" a="1"/>
  <c r="T816" i="8" s="1"/>
  <c r="T817" i="8" a="1"/>
  <c r="T817" i="8" s="1"/>
  <c r="T818" i="8" a="1"/>
  <c r="T818" i="8" s="1"/>
  <c r="T819" i="8" a="1"/>
  <c r="T819" i="8" s="1"/>
  <c r="T820" i="8" a="1"/>
  <c r="T820" i="8" s="1"/>
  <c r="T821" i="8" a="1"/>
  <c r="T821" i="8" s="1"/>
  <c r="T822" i="8" a="1"/>
  <c r="T822" i="8" s="1"/>
  <c r="T823" i="8" a="1"/>
  <c r="T823" i="8" s="1"/>
  <c r="T824" i="8" a="1"/>
  <c r="T824" i="8" s="1"/>
  <c r="T825" i="8" a="1"/>
  <c r="T825" i="8" s="1"/>
  <c r="T826" i="8" a="1"/>
  <c r="T826" i="8" s="1"/>
  <c r="T827" i="8" a="1"/>
  <c r="T827" i="8" s="1"/>
  <c r="T828" i="8" a="1"/>
  <c r="T828" i="8" s="1"/>
  <c r="T829" i="8" a="1"/>
  <c r="T829" i="8" s="1"/>
  <c r="T830" i="8" a="1"/>
  <c r="T830" i="8" s="1"/>
  <c r="T831" i="8" a="1"/>
  <c r="T831" i="8" s="1"/>
  <c r="T832" i="8" a="1"/>
  <c r="T832" i="8" s="1"/>
  <c r="T833" i="8" a="1"/>
  <c r="T833" i="8" s="1"/>
  <c r="T834" i="8" a="1"/>
  <c r="T834" i="8" s="1"/>
  <c r="T835" i="8" a="1"/>
  <c r="T835" i="8" s="1"/>
  <c r="T836" i="8" a="1"/>
  <c r="T836" i="8" s="1"/>
  <c r="T837" i="8" a="1"/>
  <c r="T837" i="8" s="1"/>
  <c r="T838" i="8" a="1"/>
  <c r="T838" i="8" s="1"/>
  <c r="T839" i="8" a="1"/>
  <c r="T839" i="8" s="1"/>
  <c r="T840" i="8" a="1"/>
  <c r="T840" i="8" s="1"/>
  <c r="T841" i="8" a="1"/>
  <c r="T841" i="8" s="1"/>
  <c r="T842" i="8" a="1"/>
  <c r="T842" i="8" s="1"/>
  <c r="T843" i="8" a="1"/>
  <c r="T843" i="8" s="1"/>
  <c r="T844" i="8" a="1"/>
  <c r="T844" i="8" s="1"/>
  <c r="T845" i="8" a="1"/>
  <c r="T845" i="8" s="1"/>
  <c r="T846" i="8" a="1"/>
  <c r="T846" i="8" s="1"/>
  <c r="T847" i="8" a="1"/>
  <c r="T847" i="8" s="1"/>
  <c r="T848" i="8" a="1"/>
  <c r="T848" i="8" s="1"/>
  <c r="T849" i="8" a="1"/>
  <c r="T849" i="8" s="1"/>
  <c r="T850" i="8" a="1"/>
  <c r="T850" i="8" s="1"/>
  <c r="T851" i="8" a="1"/>
  <c r="T851" i="8" s="1"/>
  <c r="T852" i="8" a="1"/>
  <c r="T852" i="8" s="1"/>
  <c r="T853" i="8" a="1"/>
  <c r="T853" i="8" s="1"/>
  <c r="T854" i="8" a="1"/>
  <c r="T854" i="8" s="1"/>
  <c r="T855" i="8" a="1"/>
  <c r="T855" i="8" s="1"/>
  <c r="T856" i="8" a="1"/>
  <c r="T856" i="8" s="1"/>
  <c r="T857" i="8" a="1"/>
  <c r="T857" i="8" s="1"/>
  <c r="T858" i="8" a="1"/>
  <c r="T858" i="8" s="1"/>
  <c r="T859" i="8" a="1"/>
  <c r="T859" i="8" s="1"/>
  <c r="T860" i="8" a="1"/>
  <c r="T860" i="8" s="1"/>
  <c r="T861" i="8" a="1"/>
  <c r="T861" i="8" s="1"/>
  <c r="T862" i="8" a="1"/>
  <c r="T862" i="8" s="1"/>
  <c r="T863" i="8" a="1"/>
  <c r="T863" i="8" s="1"/>
  <c r="T864" i="8" a="1"/>
  <c r="T864" i="8" s="1"/>
  <c r="AF796" i="8"/>
  <c r="AF797" i="8"/>
  <c r="AF798" i="8"/>
  <c r="AF799" i="8"/>
  <c r="AF800" i="8"/>
  <c r="AF801" i="8"/>
  <c r="AF802" i="8"/>
  <c r="AF803" i="8"/>
  <c r="AF804" i="8"/>
  <c r="AF805" i="8"/>
  <c r="AF806" i="8"/>
  <c r="AF807" i="8"/>
  <c r="AF808" i="8"/>
  <c r="AF809" i="8"/>
  <c r="AF810" i="8"/>
  <c r="AF811" i="8"/>
  <c r="AF812" i="8"/>
  <c r="AF813" i="8"/>
  <c r="AF814" i="8"/>
  <c r="AF815" i="8"/>
  <c r="AF816" i="8"/>
  <c r="AF817" i="8"/>
  <c r="AF818" i="8"/>
  <c r="AF819" i="8"/>
  <c r="AF820" i="8"/>
  <c r="AF821" i="8"/>
  <c r="AF822" i="8"/>
  <c r="AF823" i="8"/>
  <c r="AF824" i="8"/>
  <c r="AF825" i="8"/>
  <c r="AF826" i="8"/>
  <c r="AF827" i="8"/>
  <c r="AF828" i="8"/>
  <c r="AF829" i="8"/>
  <c r="AF830" i="8"/>
  <c r="AF831" i="8"/>
  <c r="AF832" i="8"/>
  <c r="AF833" i="8"/>
  <c r="AF834" i="8"/>
  <c r="AF835" i="8"/>
  <c r="AF836" i="8"/>
  <c r="AG836" i="8" s="1"/>
  <c r="AF837" i="8"/>
  <c r="AF838" i="8"/>
  <c r="AF839" i="8"/>
  <c r="AF840" i="8"/>
  <c r="AF841" i="8"/>
  <c r="AF842" i="8"/>
  <c r="AF843" i="8"/>
  <c r="AF844" i="8"/>
  <c r="AF845" i="8"/>
  <c r="AF846" i="8"/>
  <c r="AF847" i="8"/>
  <c r="AF848" i="8"/>
  <c r="AF849" i="8"/>
  <c r="AF850" i="8"/>
  <c r="AF851" i="8"/>
  <c r="AF852" i="8"/>
  <c r="AF853" i="8"/>
  <c r="AF854" i="8"/>
  <c r="AF855" i="8"/>
  <c r="AF856" i="8"/>
  <c r="AF857" i="8"/>
  <c r="AF858" i="8"/>
  <c r="AF859" i="8"/>
  <c r="AF860" i="8"/>
  <c r="AF861" i="8"/>
  <c r="AF862" i="8"/>
  <c r="AF863" i="8"/>
  <c r="AF864" i="8"/>
  <c r="AG801" i="8"/>
  <c r="AG802" i="8"/>
  <c r="AG803" i="8"/>
  <c r="AI796" i="8"/>
  <c r="AJ796" i="8" s="1"/>
  <c r="AI797" i="8"/>
  <c r="AJ797" i="8" s="1"/>
  <c r="AI798" i="8"/>
  <c r="AJ798" i="8" s="1"/>
  <c r="AI799" i="8"/>
  <c r="AJ799" i="8" s="1"/>
  <c r="AI800" i="8"/>
  <c r="AJ800" i="8" s="1"/>
  <c r="AI801" i="8"/>
  <c r="AJ801" i="8" s="1"/>
  <c r="AI802" i="8"/>
  <c r="AJ802" i="8" s="1"/>
  <c r="AI803" i="8"/>
  <c r="AJ803" i="8" s="1"/>
  <c r="AI804" i="8"/>
  <c r="AJ804" i="8" s="1"/>
  <c r="AI805" i="8"/>
  <c r="AJ805" i="8" s="1"/>
  <c r="AI806" i="8"/>
  <c r="AJ806" i="8" s="1"/>
  <c r="AI807" i="8"/>
  <c r="AJ807" i="8" s="1"/>
  <c r="AI808" i="8"/>
  <c r="AJ808" i="8" s="1"/>
  <c r="AI809" i="8"/>
  <c r="AJ809" i="8" s="1"/>
  <c r="AI810" i="8"/>
  <c r="AJ810" i="8" s="1"/>
  <c r="AI811" i="8"/>
  <c r="AJ811" i="8" s="1"/>
  <c r="AI812" i="8"/>
  <c r="AJ812" i="8" s="1"/>
  <c r="AI813" i="8"/>
  <c r="AJ813" i="8" s="1"/>
  <c r="AI814" i="8"/>
  <c r="AJ814" i="8" s="1"/>
  <c r="AI815" i="8"/>
  <c r="AJ815" i="8" s="1"/>
  <c r="AI816" i="8"/>
  <c r="AJ816" i="8" s="1"/>
  <c r="AI817" i="8"/>
  <c r="AJ817" i="8" s="1"/>
  <c r="AI818" i="8"/>
  <c r="AJ818" i="8" s="1"/>
  <c r="AI819" i="8"/>
  <c r="AJ819" i="8" s="1"/>
  <c r="AI820" i="8"/>
  <c r="AJ820" i="8" s="1"/>
  <c r="AI821" i="8"/>
  <c r="AJ821" i="8" s="1"/>
  <c r="AI822" i="8"/>
  <c r="AJ822" i="8" s="1"/>
  <c r="AI823" i="8"/>
  <c r="AJ823" i="8" s="1"/>
  <c r="AI824" i="8"/>
  <c r="AJ824" i="8" s="1"/>
  <c r="AI825" i="8"/>
  <c r="AJ825" i="8" s="1"/>
  <c r="AI826" i="8"/>
  <c r="AJ826" i="8" s="1"/>
  <c r="AI827" i="8"/>
  <c r="AJ827" i="8" s="1"/>
  <c r="AI828" i="8"/>
  <c r="AJ828" i="8" s="1"/>
  <c r="AI829" i="8"/>
  <c r="AJ829" i="8" s="1"/>
  <c r="AI830" i="8"/>
  <c r="AJ830" i="8" s="1"/>
  <c r="AI831" i="8"/>
  <c r="AJ831" i="8" s="1"/>
  <c r="AI832" i="8"/>
  <c r="AJ832" i="8" s="1"/>
  <c r="AI833" i="8"/>
  <c r="AJ833" i="8" s="1"/>
  <c r="AI834" i="8"/>
  <c r="AJ834" i="8" s="1"/>
  <c r="AI835" i="8"/>
  <c r="AJ835" i="8" s="1"/>
  <c r="AI836" i="8"/>
  <c r="AJ836" i="8" s="1"/>
  <c r="AI837" i="8"/>
  <c r="AJ837" i="8" s="1"/>
  <c r="AI838" i="8"/>
  <c r="AJ838" i="8" s="1"/>
  <c r="AI839" i="8"/>
  <c r="AJ839" i="8" s="1"/>
  <c r="AI840" i="8"/>
  <c r="AJ840" i="8" s="1"/>
  <c r="AI841" i="8"/>
  <c r="AJ841" i="8" s="1"/>
  <c r="AI842" i="8"/>
  <c r="AJ842" i="8" s="1"/>
  <c r="AI843" i="8"/>
  <c r="AJ843" i="8" s="1"/>
  <c r="AI844" i="8"/>
  <c r="AJ844" i="8" s="1"/>
  <c r="AI845" i="8"/>
  <c r="AJ845" i="8" s="1"/>
  <c r="AI846" i="8"/>
  <c r="AJ846" i="8" s="1"/>
  <c r="AI847" i="8"/>
  <c r="AJ847" i="8" s="1"/>
  <c r="AI848" i="8"/>
  <c r="AJ848" i="8" s="1"/>
  <c r="AI849" i="8"/>
  <c r="AJ849" i="8" s="1"/>
  <c r="AI850" i="8"/>
  <c r="AJ850" i="8" s="1"/>
  <c r="AI851" i="8"/>
  <c r="AJ851" i="8" s="1"/>
  <c r="AI852" i="8"/>
  <c r="AJ852" i="8" s="1"/>
  <c r="AI853" i="8"/>
  <c r="AJ853" i="8" s="1"/>
  <c r="AI854" i="8"/>
  <c r="AJ854" i="8" s="1"/>
  <c r="AI855" i="8"/>
  <c r="AJ855" i="8" s="1"/>
  <c r="AI856" i="8"/>
  <c r="AJ856" i="8" s="1"/>
  <c r="AI857" i="8"/>
  <c r="AJ857" i="8" s="1"/>
  <c r="AI858" i="8"/>
  <c r="AJ858" i="8" s="1"/>
  <c r="AI859" i="8"/>
  <c r="AJ859" i="8" s="1"/>
  <c r="AI860" i="8"/>
  <c r="AJ860" i="8" s="1"/>
  <c r="AI861" i="8"/>
  <c r="AJ861" i="8" s="1"/>
  <c r="AI862" i="8"/>
  <c r="AJ862" i="8" s="1"/>
  <c r="AI863" i="8"/>
  <c r="AJ863" i="8" s="1"/>
  <c r="AI864" i="8"/>
  <c r="AJ864" i="8" s="1"/>
  <c r="S586" i="8" a="1"/>
  <c r="S586" i="8" s="1"/>
  <c r="V586" i="8" s="1"/>
  <c r="S587" i="8" a="1"/>
  <c r="S587" i="8" s="1"/>
  <c r="V587" i="8" s="1"/>
  <c r="S588" i="8" a="1"/>
  <c r="S588" i="8" s="1"/>
  <c r="V588" i="8" s="1"/>
  <c r="S589" i="8" a="1"/>
  <c r="S589" i="8" s="1"/>
  <c r="V589" i="8" s="1"/>
  <c r="S590" i="8" a="1"/>
  <c r="S590" i="8" s="1"/>
  <c r="V590" i="8" s="1"/>
  <c r="S591" i="8" a="1"/>
  <c r="S591" i="8" s="1"/>
  <c r="V591" i="8" s="1"/>
  <c r="S592" i="8" a="1"/>
  <c r="S592" i="8" s="1"/>
  <c r="V592" i="8" s="1"/>
  <c r="S593" i="8" a="1"/>
  <c r="S593" i="8" s="1"/>
  <c r="V593" i="8" s="1"/>
  <c r="S594" i="8" a="1"/>
  <c r="S594" i="8" s="1"/>
  <c r="V594" i="8" s="1"/>
  <c r="S595" i="8" a="1"/>
  <c r="S595" i="8" s="1"/>
  <c r="V595" i="8" s="1"/>
  <c r="S596" i="8" a="1"/>
  <c r="S596" i="8" s="1"/>
  <c r="V596" i="8" s="1"/>
  <c r="S597" i="8" a="1"/>
  <c r="S597" i="8" s="1"/>
  <c r="V597" i="8" s="1"/>
  <c r="S598" i="8" a="1"/>
  <c r="S598" i="8" s="1"/>
  <c r="V598" i="8" s="1"/>
  <c r="S599" i="8" a="1"/>
  <c r="S599" i="8" s="1"/>
  <c r="V599" i="8" s="1"/>
  <c r="S600" i="8" a="1"/>
  <c r="S600" i="8" s="1"/>
  <c r="V600" i="8" s="1"/>
  <c r="S601" i="8" a="1"/>
  <c r="S601" i="8" s="1"/>
  <c r="V601" i="8" s="1"/>
  <c r="S602" i="8" a="1"/>
  <c r="S602" i="8" s="1"/>
  <c r="V602" i="8" s="1"/>
  <c r="S603" i="8" a="1"/>
  <c r="S603" i="8" s="1"/>
  <c r="V603" i="8" s="1"/>
  <c r="S604" i="8" a="1"/>
  <c r="S604" i="8" s="1"/>
  <c r="V604" i="8" s="1"/>
  <c r="S605" i="8" a="1"/>
  <c r="S605" i="8" s="1"/>
  <c r="V605" i="8" s="1"/>
  <c r="S606" i="8" a="1"/>
  <c r="S606" i="8" s="1"/>
  <c r="V606" i="8" s="1"/>
  <c r="S607" i="8" a="1"/>
  <c r="S607" i="8" s="1"/>
  <c r="V607" i="8" s="1"/>
  <c r="S608" i="8" a="1"/>
  <c r="S608" i="8" s="1"/>
  <c r="V608" i="8" s="1"/>
  <c r="S609" i="8" a="1"/>
  <c r="S609" i="8" s="1"/>
  <c r="V609" i="8" s="1"/>
  <c r="S610" i="8" a="1"/>
  <c r="S610" i="8" s="1"/>
  <c r="V610" i="8" s="1"/>
  <c r="S611" i="8" a="1"/>
  <c r="S611" i="8" s="1"/>
  <c r="V611" i="8" s="1"/>
  <c r="S612" i="8" a="1"/>
  <c r="S612" i="8" s="1"/>
  <c r="V612" i="8" s="1"/>
  <c r="S613" i="8" a="1"/>
  <c r="S613" i="8" s="1"/>
  <c r="V613" i="8" s="1"/>
  <c r="S614" i="8" a="1"/>
  <c r="S614" i="8" s="1"/>
  <c r="V614" i="8" s="1"/>
  <c r="S615" i="8" a="1"/>
  <c r="S615" i="8" s="1"/>
  <c r="V615" i="8" s="1"/>
  <c r="S616" i="8" a="1"/>
  <c r="S616" i="8" s="1"/>
  <c r="V616" i="8" s="1"/>
  <c r="S617" i="8" a="1"/>
  <c r="S617" i="8" s="1"/>
  <c r="V617" i="8" s="1"/>
  <c r="S618" i="8" a="1"/>
  <c r="S618" i="8" s="1"/>
  <c r="V618" i="8" s="1"/>
  <c r="S619" i="8" a="1"/>
  <c r="S619" i="8" s="1"/>
  <c r="V619" i="8" s="1"/>
  <c r="S620" i="8" a="1"/>
  <c r="S620" i="8" s="1"/>
  <c r="V620" i="8" s="1"/>
  <c r="S621" i="8" a="1"/>
  <c r="S621" i="8" s="1"/>
  <c r="V621" i="8" s="1"/>
  <c r="S622" i="8" a="1"/>
  <c r="S622" i="8" s="1"/>
  <c r="V622" i="8" s="1"/>
  <c r="S623" i="8" a="1"/>
  <c r="S623" i="8" s="1"/>
  <c r="V623" i="8" s="1"/>
  <c r="S624" i="8" a="1"/>
  <c r="S624" i="8" s="1"/>
  <c r="V624" i="8" s="1"/>
  <c r="S625" i="8" a="1"/>
  <c r="S625" i="8" s="1"/>
  <c r="V625" i="8" s="1"/>
  <c r="S626" i="8" a="1"/>
  <c r="S626" i="8" s="1"/>
  <c r="V626" i="8" s="1"/>
  <c r="S627" i="8" a="1"/>
  <c r="S627" i="8" s="1"/>
  <c r="V627" i="8" s="1"/>
  <c r="S628" i="8" a="1"/>
  <c r="S628" i="8" s="1"/>
  <c r="V628" i="8" s="1"/>
  <c r="S629" i="8" a="1"/>
  <c r="S629" i="8" s="1"/>
  <c r="V629" i="8" s="1"/>
  <c r="S630" i="8" a="1"/>
  <c r="S630" i="8" s="1"/>
  <c r="V630" i="8" s="1"/>
  <c r="S631" i="8" a="1"/>
  <c r="S631" i="8" s="1"/>
  <c r="V631" i="8" s="1"/>
  <c r="S632" i="8" a="1"/>
  <c r="S632" i="8" s="1"/>
  <c r="V632" i="8" s="1"/>
  <c r="S633" i="8" a="1"/>
  <c r="S633" i="8" s="1"/>
  <c r="V633" i="8" s="1"/>
  <c r="S634" i="8" a="1"/>
  <c r="S634" i="8" s="1"/>
  <c r="V634" i="8" s="1"/>
  <c r="S635" i="8" a="1"/>
  <c r="S635" i="8" s="1"/>
  <c r="V635" i="8" s="1"/>
  <c r="S636" i="8" a="1"/>
  <c r="S636" i="8" s="1"/>
  <c r="V636" i="8" s="1"/>
  <c r="S637" i="8" a="1"/>
  <c r="S637" i="8" s="1"/>
  <c r="V637" i="8" s="1"/>
  <c r="S638" i="8" a="1"/>
  <c r="S638" i="8" s="1"/>
  <c r="V638" i="8" s="1"/>
  <c r="S639" i="8" a="1"/>
  <c r="S639" i="8" s="1"/>
  <c r="V639" i="8" s="1"/>
  <c r="S640" i="8" a="1"/>
  <c r="S640" i="8" s="1"/>
  <c r="V640" i="8" s="1"/>
  <c r="S641" i="8" a="1"/>
  <c r="S641" i="8" s="1"/>
  <c r="V641" i="8" s="1"/>
  <c r="S642" i="8" a="1"/>
  <c r="S642" i="8" s="1"/>
  <c r="V642" i="8" s="1"/>
  <c r="S643" i="8" a="1"/>
  <c r="S643" i="8" s="1"/>
  <c r="V643" i="8" s="1"/>
  <c r="S644" i="8" a="1"/>
  <c r="S644" i="8" s="1"/>
  <c r="V644" i="8" s="1"/>
  <c r="S645" i="8" a="1"/>
  <c r="S645" i="8" s="1"/>
  <c r="V645" i="8" s="1"/>
  <c r="S646" i="8" a="1"/>
  <c r="S646" i="8" s="1"/>
  <c r="V646" i="8" s="1"/>
  <c r="S647" i="8" a="1"/>
  <c r="S647" i="8" s="1"/>
  <c r="V647" i="8" s="1"/>
  <c r="S648" i="8" a="1"/>
  <c r="S648" i="8" s="1"/>
  <c r="V648" i="8" s="1"/>
  <c r="S649" i="8" a="1"/>
  <c r="S649" i="8" s="1"/>
  <c r="V649" i="8" s="1"/>
  <c r="S650" i="8" a="1"/>
  <c r="S650" i="8" s="1"/>
  <c r="V650" i="8" s="1"/>
  <c r="S651" i="8" a="1"/>
  <c r="S651" i="8" s="1"/>
  <c r="V651" i="8" s="1"/>
  <c r="S652" i="8" a="1"/>
  <c r="S652" i="8" s="1"/>
  <c r="V652" i="8" s="1"/>
  <c r="S653" i="8" a="1"/>
  <c r="S653" i="8" s="1"/>
  <c r="V653" i="8" s="1"/>
  <c r="S654" i="8" a="1"/>
  <c r="S654" i="8" s="1"/>
  <c r="V654" i="8" s="1"/>
  <c r="S655" i="8" a="1"/>
  <c r="S655" i="8" s="1"/>
  <c r="V655" i="8" s="1"/>
  <c r="S656" i="8" a="1"/>
  <c r="S656" i="8" s="1"/>
  <c r="V656" i="8" s="1"/>
  <c r="S657" i="8" a="1"/>
  <c r="S657" i="8" s="1"/>
  <c r="V657" i="8" s="1"/>
  <c r="S658" i="8" a="1"/>
  <c r="S658" i="8" s="1"/>
  <c r="V658" i="8" s="1"/>
  <c r="S659" i="8" a="1"/>
  <c r="S659" i="8" s="1"/>
  <c r="V659" i="8" s="1"/>
  <c r="S660" i="8" a="1"/>
  <c r="S660" i="8" s="1"/>
  <c r="V660" i="8" s="1"/>
  <c r="S661" i="8" a="1"/>
  <c r="S661" i="8" s="1"/>
  <c r="V661" i="8" s="1"/>
  <c r="S662" i="8" a="1"/>
  <c r="S662" i="8" s="1"/>
  <c r="V662" i="8" s="1"/>
  <c r="S663" i="8" a="1"/>
  <c r="S663" i="8" s="1"/>
  <c r="V663" i="8" s="1"/>
  <c r="S664" i="8" a="1"/>
  <c r="S664" i="8" s="1"/>
  <c r="V664" i="8" s="1"/>
  <c r="S665" i="8" a="1"/>
  <c r="S665" i="8" s="1"/>
  <c r="V665" i="8" s="1"/>
  <c r="S666" i="8" a="1"/>
  <c r="S666" i="8" s="1"/>
  <c r="V666" i="8" s="1"/>
  <c r="S667" i="8" a="1"/>
  <c r="S667" i="8" s="1"/>
  <c r="V667" i="8" s="1"/>
  <c r="S668" i="8" a="1"/>
  <c r="S668" i="8" s="1"/>
  <c r="V668" i="8" s="1"/>
  <c r="S669" i="8" a="1"/>
  <c r="S669" i="8" s="1"/>
  <c r="V669" i="8" s="1"/>
  <c r="S670" i="8" a="1"/>
  <c r="S670" i="8" s="1"/>
  <c r="V670" i="8" s="1"/>
  <c r="S671" i="8" a="1"/>
  <c r="S671" i="8" s="1"/>
  <c r="V671" i="8" s="1"/>
  <c r="S672" i="8" a="1"/>
  <c r="S672" i="8" s="1"/>
  <c r="V672" i="8" s="1"/>
  <c r="S673" i="8" a="1"/>
  <c r="S673" i="8" s="1"/>
  <c r="V673" i="8" s="1"/>
  <c r="S674" i="8" a="1"/>
  <c r="S674" i="8" s="1"/>
  <c r="V674" i="8" s="1"/>
  <c r="S675" i="8" a="1"/>
  <c r="S675" i="8" s="1"/>
  <c r="V675" i="8" s="1"/>
  <c r="S676" i="8" a="1"/>
  <c r="S676" i="8" s="1"/>
  <c r="V676" i="8" s="1"/>
  <c r="S677" i="8" a="1"/>
  <c r="S677" i="8" s="1"/>
  <c r="V677" i="8" s="1"/>
  <c r="S678" i="8" a="1"/>
  <c r="S678" i="8" s="1"/>
  <c r="V678" i="8" s="1"/>
  <c r="S679" i="8" a="1"/>
  <c r="S679" i="8" s="1"/>
  <c r="V679" i="8" s="1"/>
  <c r="S680" i="8" a="1"/>
  <c r="S680" i="8" s="1"/>
  <c r="V680" i="8" s="1"/>
  <c r="S681" i="8" a="1"/>
  <c r="S681" i="8" s="1"/>
  <c r="V681" i="8" s="1"/>
  <c r="S682" i="8" a="1"/>
  <c r="S682" i="8" s="1"/>
  <c r="V682" i="8" s="1"/>
  <c r="S683" i="8" a="1"/>
  <c r="S683" i="8" s="1"/>
  <c r="V683" i="8" s="1"/>
  <c r="S684" i="8" a="1"/>
  <c r="S684" i="8" s="1"/>
  <c r="V684" i="8" s="1"/>
  <c r="S685" i="8" a="1"/>
  <c r="S685" i="8" s="1"/>
  <c r="V685" i="8" s="1"/>
  <c r="S686" i="8" a="1"/>
  <c r="S686" i="8" s="1"/>
  <c r="V686" i="8" s="1"/>
  <c r="S687" i="8" a="1"/>
  <c r="S687" i="8" s="1"/>
  <c r="V687" i="8" s="1"/>
  <c r="S688" i="8" a="1"/>
  <c r="S688" i="8" s="1"/>
  <c r="V688" i="8" s="1"/>
  <c r="S689" i="8" a="1"/>
  <c r="S689" i="8" s="1"/>
  <c r="V689" i="8" s="1"/>
  <c r="S690" i="8" a="1"/>
  <c r="S690" i="8" s="1"/>
  <c r="V690" i="8" s="1"/>
  <c r="S691" i="8" a="1"/>
  <c r="S691" i="8" s="1"/>
  <c r="V691" i="8" s="1"/>
  <c r="S692" i="8" a="1"/>
  <c r="S692" i="8" s="1"/>
  <c r="V692" i="8" s="1"/>
  <c r="S693" i="8" a="1"/>
  <c r="S693" i="8" s="1"/>
  <c r="V693" i="8" s="1"/>
  <c r="S694" i="8" a="1"/>
  <c r="S694" i="8" s="1"/>
  <c r="V694" i="8" s="1"/>
  <c r="S695" i="8" a="1"/>
  <c r="S695" i="8" s="1"/>
  <c r="V695" i="8" s="1"/>
  <c r="S696" i="8" a="1"/>
  <c r="S696" i="8" s="1"/>
  <c r="V696" i="8" s="1"/>
  <c r="S697" i="8" a="1"/>
  <c r="S697" i="8" s="1"/>
  <c r="V697" i="8" s="1"/>
  <c r="S698" i="8" a="1"/>
  <c r="S698" i="8" s="1"/>
  <c r="V698" i="8" s="1"/>
  <c r="S699" i="8" a="1"/>
  <c r="S699" i="8" s="1"/>
  <c r="V699" i="8" s="1"/>
  <c r="S700" i="8" a="1"/>
  <c r="S700" i="8" s="1"/>
  <c r="V700" i="8" s="1"/>
  <c r="S701" i="8" a="1"/>
  <c r="S701" i="8" s="1"/>
  <c r="V701" i="8" s="1"/>
  <c r="S702" i="8" a="1"/>
  <c r="S702" i="8" s="1"/>
  <c r="V702" i="8" s="1"/>
  <c r="S703" i="8" a="1"/>
  <c r="S703" i="8" s="1"/>
  <c r="V703" i="8" s="1"/>
  <c r="S704" i="8" a="1"/>
  <c r="S704" i="8" s="1"/>
  <c r="V704" i="8" s="1"/>
  <c r="S705" i="8" a="1"/>
  <c r="S705" i="8" s="1"/>
  <c r="V705" i="8" s="1"/>
  <c r="S706" i="8" a="1"/>
  <c r="S706" i="8" s="1"/>
  <c r="V706" i="8" s="1"/>
  <c r="S707" i="8" a="1"/>
  <c r="S707" i="8" s="1"/>
  <c r="V707" i="8" s="1"/>
  <c r="S708" i="8" a="1"/>
  <c r="S708" i="8" s="1"/>
  <c r="V708" i="8" s="1"/>
  <c r="S709" i="8" a="1"/>
  <c r="S709" i="8" s="1"/>
  <c r="V709" i="8" s="1"/>
  <c r="S710" i="8" a="1"/>
  <c r="S710" i="8" s="1"/>
  <c r="V710" i="8" s="1"/>
  <c r="S711" i="8" a="1"/>
  <c r="S711" i="8" s="1"/>
  <c r="V711" i="8" s="1"/>
  <c r="S712" i="8" a="1"/>
  <c r="S712" i="8" s="1"/>
  <c r="V712" i="8" s="1"/>
  <c r="S713" i="8" a="1"/>
  <c r="S713" i="8" s="1"/>
  <c r="V713" i="8" s="1"/>
  <c r="S714" i="8" a="1"/>
  <c r="S714" i="8" s="1"/>
  <c r="V714" i="8" s="1"/>
  <c r="S715" i="8" a="1"/>
  <c r="S715" i="8" s="1"/>
  <c r="V715" i="8" s="1"/>
  <c r="S716" i="8" a="1"/>
  <c r="S716" i="8" s="1"/>
  <c r="V716" i="8" s="1"/>
  <c r="S717" i="8" a="1"/>
  <c r="S717" i="8" s="1"/>
  <c r="V717" i="8" s="1"/>
  <c r="S718" i="8" a="1"/>
  <c r="S718" i="8" s="1"/>
  <c r="V718" i="8" s="1"/>
  <c r="S719" i="8" a="1"/>
  <c r="S719" i="8" s="1"/>
  <c r="V719" i="8" s="1"/>
  <c r="S720" i="8" a="1"/>
  <c r="S720" i="8" s="1"/>
  <c r="V720" i="8" s="1"/>
  <c r="S721" i="8" a="1"/>
  <c r="S721" i="8" s="1"/>
  <c r="V721" i="8" s="1"/>
  <c r="S722" i="8" a="1"/>
  <c r="S722" i="8" s="1"/>
  <c r="V722" i="8" s="1"/>
  <c r="S723" i="8" a="1"/>
  <c r="S723" i="8" s="1"/>
  <c r="V723" i="8" s="1"/>
  <c r="S724" i="8" a="1"/>
  <c r="S724" i="8" s="1"/>
  <c r="V724" i="8" s="1"/>
  <c r="S725" i="8" a="1"/>
  <c r="S725" i="8" s="1"/>
  <c r="V725" i="8" s="1"/>
  <c r="S726" i="8" a="1"/>
  <c r="S726" i="8" s="1"/>
  <c r="V726" i="8" s="1"/>
  <c r="S727" i="8" a="1"/>
  <c r="S727" i="8" s="1"/>
  <c r="V727" i="8" s="1"/>
  <c r="S728" i="8" a="1"/>
  <c r="S728" i="8" s="1"/>
  <c r="V728" i="8" s="1"/>
  <c r="S729" i="8" a="1"/>
  <c r="S729" i="8" s="1"/>
  <c r="V729" i="8" s="1"/>
  <c r="S730" i="8" a="1"/>
  <c r="S730" i="8" s="1"/>
  <c r="V730" i="8" s="1"/>
  <c r="S731" i="8" a="1"/>
  <c r="S731" i="8" s="1"/>
  <c r="V731" i="8" s="1"/>
  <c r="S732" i="8" a="1"/>
  <c r="S732" i="8" s="1"/>
  <c r="V732" i="8" s="1"/>
  <c r="S733" i="8" a="1"/>
  <c r="S733" i="8" s="1"/>
  <c r="V733" i="8" s="1"/>
  <c r="S734" i="8" a="1"/>
  <c r="S734" i="8" s="1"/>
  <c r="V734" i="8" s="1"/>
  <c r="S735" i="8" a="1"/>
  <c r="S735" i="8" s="1"/>
  <c r="V735" i="8" s="1"/>
  <c r="S736" i="8" a="1"/>
  <c r="S736" i="8" s="1"/>
  <c r="V736" i="8" s="1"/>
  <c r="S737" i="8" a="1"/>
  <c r="S737" i="8" s="1"/>
  <c r="V737" i="8" s="1"/>
  <c r="S738" i="8" a="1"/>
  <c r="S738" i="8" s="1"/>
  <c r="V738" i="8" s="1"/>
  <c r="S739" i="8" a="1"/>
  <c r="S739" i="8" s="1"/>
  <c r="V739" i="8" s="1"/>
  <c r="S740" i="8" a="1"/>
  <c r="S740" i="8" s="1"/>
  <c r="V740" i="8" s="1"/>
  <c r="S741" i="8" a="1"/>
  <c r="S741" i="8" s="1"/>
  <c r="V741" i="8" s="1"/>
  <c r="S742" i="8" a="1"/>
  <c r="S742" i="8" s="1"/>
  <c r="V742" i="8" s="1"/>
  <c r="S743" i="8" a="1"/>
  <c r="S743" i="8" s="1"/>
  <c r="V743" i="8" s="1"/>
  <c r="S744" i="8" a="1"/>
  <c r="S744" i="8" s="1"/>
  <c r="V744" i="8" s="1"/>
  <c r="S745" i="8" a="1"/>
  <c r="S745" i="8" s="1"/>
  <c r="V745" i="8" s="1"/>
  <c r="S746" i="8" a="1"/>
  <c r="S746" i="8" s="1"/>
  <c r="V746" i="8" s="1"/>
  <c r="S747" i="8" a="1"/>
  <c r="S747" i="8" s="1"/>
  <c r="V747" i="8" s="1"/>
  <c r="S748" i="8" a="1"/>
  <c r="S748" i="8" s="1"/>
  <c r="V748" i="8" s="1"/>
  <c r="S749" i="8" a="1"/>
  <c r="S749" i="8" s="1"/>
  <c r="V749" i="8" s="1"/>
  <c r="S750" i="8" a="1"/>
  <c r="S750" i="8" s="1"/>
  <c r="V750" i="8" s="1"/>
  <c r="S751" i="8" a="1"/>
  <c r="S751" i="8" s="1"/>
  <c r="V751" i="8" s="1"/>
  <c r="S752" i="8" a="1"/>
  <c r="S752" i="8" s="1"/>
  <c r="V752" i="8" s="1"/>
  <c r="S753" i="8" a="1"/>
  <c r="S753" i="8" s="1"/>
  <c r="V753" i="8" s="1"/>
  <c r="S754" i="8" a="1"/>
  <c r="S754" i="8" s="1"/>
  <c r="V754" i="8" s="1"/>
  <c r="S755" i="8" a="1"/>
  <c r="S755" i="8" s="1"/>
  <c r="V755" i="8" s="1"/>
  <c r="S756" i="8" a="1"/>
  <c r="S756" i="8" s="1"/>
  <c r="V756" i="8" s="1"/>
  <c r="S757" i="8" a="1"/>
  <c r="S757" i="8" s="1"/>
  <c r="V757" i="8" s="1"/>
  <c r="S758" i="8" a="1"/>
  <c r="S758" i="8" s="1"/>
  <c r="V758" i="8" s="1"/>
  <c r="S759" i="8" a="1"/>
  <c r="S759" i="8" s="1"/>
  <c r="V759" i="8" s="1"/>
  <c r="S760" i="8" a="1"/>
  <c r="S760" i="8" s="1"/>
  <c r="V760" i="8" s="1"/>
  <c r="S761" i="8" a="1"/>
  <c r="S761" i="8" s="1"/>
  <c r="V761" i="8" s="1"/>
  <c r="S762" i="8" a="1"/>
  <c r="S762" i="8" s="1"/>
  <c r="V762" i="8" s="1"/>
  <c r="S763" i="8" a="1"/>
  <c r="S763" i="8" s="1"/>
  <c r="V763" i="8" s="1"/>
  <c r="S764" i="8" a="1"/>
  <c r="S764" i="8" s="1"/>
  <c r="V764" i="8" s="1"/>
  <c r="S765" i="8" a="1"/>
  <c r="S765" i="8" s="1"/>
  <c r="V765" i="8" s="1"/>
  <c r="S766" i="8" a="1"/>
  <c r="S766" i="8" s="1"/>
  <c r="V766" i="8" s="1"/>
  <c r="S767" i="8" a="1"/>
  <c r="S767" i="8" s="1"/>
  <c r="V767" i="8" s="1"/>
  <c r="S768" i="8" a="1"/>
  <c r="S768" i="8" s="1"/>
  <c r="V768" i="8" s="1"/>
  <c r="S769" i="8" a="1"/>
  <c r="S769" i="8" s="1"/>
  <c r="V769" i="8" s="1"/>
  <c r="S770" i="8" a="1"/>
  <c r="S770" i="8" s="1"/>
  <c r="V770" i="8" s="1"/>
  <c r="S771" i="8" a="1"/>
  <c r="S771" i="8" s="1"/>
  <c r="V771" i="8" s="1"/>
  <c r="S772" i="8" a="1"/>
  <c r="S772" i="8" s="1"/>
  <c r="V772" i="8" s="1"/>
  <c r="S773" i="8" a="1"/>
  <c r="S773" i="8" s="1"/>
  <c r="V773" i="8" s="1"/>
  <c r="S774" i="8" a="1"/>
  <c r="S774" i="8" s="1"/>
  <c r="V774" i="8" s="1"/>
  <c r="S775" i="8" a="1"/>
  <c r="S775" i="8" s="1"/>
  <c r="V775" i="8" s="1"/>
  <c r="S776" i="8" a="1"/>
  <c r="S776" i="8" s="1"/>
  <c r="V776" i="8" s="1"/>
  <c r="S777" i="8" a="1"/>
  <c r="S777" i="8" s="1"/>
  <c r="V777" i="8" s="1"/>
  <c r="S778" i="8" a="1"/>
  <c r="S778" i="8" s="1"/>
  <c r="V778" i="8" s="1"/>
  <c r="S779" i="8" a="1"/>
  <c r="S779" i="8" s="1"/>
  <c r="V779" i="8" s="1"/>
  <c r="S780" i="8" a="1"/>
  <c r="S780" i="8" s="1"/>
  <c r="V780" i="8" s="1"/>
  <c r="S781" i="8" a="1"/>
  <c r="S781" i="8" s="1"/>
  <c r="V781" i="8" s="1"/>
  <c r="S782" i="8" a="1"/>
  <c r="S782" i="8" s="1"/>
  <c r="V782" i="8" s="1"/>
  <c r="S783" i="8" a="1"/>
  <c r="S783" i="8" s="1"/>
  <c r="V783" i="8" s="1"/>
  <c r="S784" i="8" a="1"/>
  <c r="S784" i="8" s="1"/>
  <c r="V784" i="8" s="1"/>
  <c r="S785" i="8" a="1"/>
  <c r="S785" i="8" s="1"/>
  <c r="V785" i="8" s="1"/>
  <c r="S786" i="8" a="1"/>
  <c r="S786" i="8" s="1"/>
  <c r="V786" i="8" s="1"/>
  <c r="S787" i="8" a="1"/>
  <c r="S787" i="8" s="1"/>
  <c r="V787" i="8" s="1"/>
  <c r="S788" i="8" a="1"/>
  <c r="S788" i="8" s="1"/>
  <c r="V788" i="8" s="1"/>
  <c r="T586" i="8" a="1"/>
  <c r="T586" i="8" s="1"/>
  <c r="T587" i="8" a="1"/>
  <c r="T587" i="8" s="1"/>
  <c r="T588" i="8" a="1"/>
  <c r="T588" i="8" s="1"/>
  <c r="T589" i="8" a="1"/>
  <c r="T589" i="8" s="1"/>
  <c r="T590" i="8" a="1"/>
  <c r="T590" i="8" s="1"/>
  <c r="T591" i="8" a="1"/>
  <c r="T591" i="8" s="1"/>
  <c r="T592" i="8" a="1"/>
  <c r="T592" i="8" s="1"/>
  <c r="T593" i="8" a="1"/>
  <c r="T593" i="8" s="1"/>
  <c r="T594" i="8" a="1"/>
  <c r="T594" i="8" s="1"/>
  <c r="T595" i="8" a="1"/>
  <c r="T595" i="8" s="1"/>
  <c r="T596" i="8" a="1"/>
  <c r="T596" i="8" s="1"/>
  <c r="T597" i="8" a="1"/>
  <c r="T597" i="8" s="1"/>
  <c r="T598" i="8" a="1"/>
  <c r="T598" i="8" s="1"/>
  <c r="T599" i="8" a="1"/>
  <c r="T599" i="8" s="1"/>
  <c r="T600" i="8" a="1"/>
  <c r="T600" i="8" s="1"/>
  <c r="T601" i="8" a="1"/>
  <c r="T601" i="8" s="1"/>
  <c r="T602" i="8" a="1"/>
  <c r="T602" i="8" s="1"/>
  <c r="T603" i="8" a="1"/>
  <c r="T603" i="8" s="1"/>
  <c r="T604" i="8" a="1"/>
  <c r="T604" i="8" s="1"/>
  <c r="T605" i="8" a="1"/>
  <c r="T605" i="8" s="1"/>
  <c r="T606" i="8" a="1"/>
  <c r="T606" i="8" s="1"/>
  <c r="T607" i="8" a="1"/>
  <c r="T607" i="8" s="1"/>
  <c r="T608" i="8" a="1"/>
  <c r="T608" i="8" s="1"/>
  <c r="T609" i="8" a="1"/>
  <c r="T609" i="8" s="1"/>
  <c r="T610" i="8" a="1"/>
  <c r="T610" i="8" s="1"/>
  <c r="T611" i="8" a="1"/>
  <c r="T611" i="8" s="1"/>
  <c r="T612" i="8" a="1"/>
  <c r="T612" i="8" s="1"/>
  <c r="T613" i="8" a="1"/>
  <c r="T613" i="8" s="1"/>
  <c r="T614" i="8" a="1"/>
  <c r="T614" i="8" s="1"/>
  <c r="T615" i="8" a="1"/>
  <c r="T615" i="8" s="1"/>
  <c r="T616" i="8" a="1"/>
  <c r="T616" i="8" s="1"/>
  <c r="T617" i="8" a="1"/>
  <c r="T617" i="8" s="1"/>
  <c r="T618" i="8" a="1"/>
  <c r="T618" i="8" s="1"/>
  <c r="T619" i="8" a="1"/>
  <c r="T619" i="8" s="1"/>
  <c r="T620" i="8" a="1"/>
  <c r="T620" i="8" s="1"/>
  <c r="T621" i="8" a="1"/>
  <c r="T621" i="8" s="1"/>
  <c r="T622" i="8" a="1"/>
  <c r="T622" i="8" s="1"/>
  <c r="T623" i="8" a="1"/>
  <c r="T623" i="8" s="1"/>
  <c r="T624" i="8" a="1"/>
  <c r="T624" i="8" s="1"/>
  <c r="T625" i="8" a="1"/>
  <c r="T625" i="8" s="1"/>
  <c r="T626" i="8" a="1"/>
  <c r="T626" i="8" s="1"/>
  <c r="T627" i="8" a="1"/>
  <c r="T627" i="8" s="1"/>
  <c r="T628" i="8" a="1"/>
  <c r="T628" i="8" s="1"/>
  <c r="T629" i="8" a="1"/>
  <c r="T629" i="8" s="1"/>
  <c r="T630" i="8" a="1"/>
  <c r="T630" i="8" s="1"/>
  <c r="T631" i="8" a="1"/>
  <c r="T631" i="8" s="1"/>
  <c r="T632" i="8" a="1"/>
  <c r="T632" i="8" s="1"/>
  <c r="T633" i="8" a="1"/>
  <c r="T633" i="8" s="1"/>
  <c r="T634" i="8" a="1"/>
  <c r="T634" i="8" s="1"/>
  <c r="T635" i="8" a="1"/>
  <c r="T635" i="8" s="1"/>
  <c r="T636" i="8" a="1"/>
  <c r="T636" i="8" s="1"/>
  <c r="T637" i="8" a="1"/>
  <c r="T637" i="8" s="1"/>
  <c r="T638" i="8" a="1"/>
  <c r="T638" i="8" s="1"/>
  <c r="T639" i="8" a="1"/>
  <c r="T639" i="8" s="1"/>
  <c r="T640" i="8" a="1"/>
  <c r="T640" i="8" s="1"/>
  <c r="T641" i="8" a="1"/>
  <c r="T641" i="8" s="1"/>
  <c r="T642" i="8" a="1"/>
  <c r="T642" i="8" s="1"/>
  <c r="T643" i="8" a="1"/>
  <c r="T643" i="8" s="1"/>
  <c r="T644" i="8" a="1"/>
  <c r="T644" i="8" s="1"/>
  <c r="T645" i="8" a="1"/>
  <c r="T645" i="8" s="1"/>
  <c r="T646" i="8" a="1"/>
  <c r="T646" i="8" s="1"/>
  <c r="T647" i="8" a="1"/>
  <c r="T647" i="8" s="1"/>
  <c r="T648" i="8" a="1"/>
  <c r="T648" i="8" s="1"/>
  <c r="T649" i="8" a="1"/>
  <c r="T649" i="8" s="1"/>
  <c r="T650" i="8" a="1"/>
  <c r="T650" i="8" s="1"/>
  <c r="T651" i="8" a="1"/>
  <c r="T651" i="8" s="1"/>
  <c r="T652" i="8" a="1"/>
  <c r="T652" i="8" s="1"/>
  <c r="T653" i="8" a="1"/>
  <c r="T653" i="8" s="1"/>
  <c r="T654" i="8" a="1"/>
  <c r="T654" i="8" s="1"/>
  <c r="T655" i="8" a="1"/>
  <c r="T655" i="8" s="1"/>
  <c r="T656" i="8" a="1"/>
  <c r="T656" i="8" s="1"/>
  <c r="T657" i="8" a="1"/>
  <c r="T657" i="8" s="1"/>
  <c r="T658" i="8" a="1"/>
  <c r="T658" i="8" s="1"/>
  <c r="T659" i="8" a="1"/>
  <c r="T659" i="8" s="1"/>
  <c r="T660" i="8" a="1"/>
  <c r="T660" i="8" s="1"/>
  <c r="T661" i="8" a="1"/>
  <c r="T661" i="8" s="1"/>
  <c r="T662" i="8" a="1"/>
  <c r="T662" i="8" s="1"/>
  <c r="T663" i="8" a="1"/>
  <c r="T663" i="8" s="1"/>
  <c r="T664" i="8" a="1"/>
  <c r="T664" i="8" s="1"/>
  <c r="T665" i="8" a="1"/>
  <c r="T665" i="8" s="1"/>
  <c r="T666" i="8" a="1"/>
  <c r="T666" i="8" s="1"/>
  <c r="T667" i="8" a="1"/>
  <c r="T667" i="8" s="1"/>
  <c r="T668" i="8" a="1"/>
  <c r="T668" i="8" s="1"/>
  <c r="T669" i="8" a="1"/>
  <c r="T669" i="8" s="1"/>
  <c r="T670" i="8" a="1"/>
  <c r="T670" i="8" s="1"/>
  <c r="T671" i="8" a="1"/>
  <c r="T671" i="8" s="1"/>
  <c r="T672" i="8" a="1"/>
  <c r="T672" i="8" s="1"/>
  <c r="T673" i="8" a="1"/>
  <c r="T673" i="8" s="1"/>
  <c r="T674" i="8" a="1"/>
  <c r="T674" i="8" s="1"/>
  <c r="T675" i="8" a="1"/>
  <c r="T675" i="8" s="1"/>
  <c r="T676" i="8" a="1"/>
  <c r="T676" i="8" s="1"/>
  <c r="T677" i="8" a="1"/>
  <c r="T677" i="8" s="1"/>
  <c r="T678" i="8" a="1"/>
  <c r="T678" i="8" s="1"/>
  <c r="T679" i="8" a="1"/>
  <c r="T679" i="8" s="1"/>
  <c r="T680" i="8" a="1"/>
  <c r="T680" i="8" s="1"/>
  <c r="T681" i="8" a="1"/>
  <c r="T681" i="8" s="1"/>
  <c r="T682" i="8" a="1"/>
  <c r="T682" i="8" s="1"/>
  <c r="T683" i="8" a="1"/>
  <c r="T683" i="8" s="1"/>
  <c r="T684" i="8" a="1"/>
  <c r="T684" i="8" s="1"/>
  <c r="T685" i="8" a="1"/>
  <c r="T685" i="8" s="1"/>
  <c r="T686" i="8" a="1"/>
  <c r="T686" i="8" s="1"/>
  <c r="T687" i="8" a="1"/>
  <c r="T687" i="8" s="1"/>
  <c r="T688" i="8" a="1"/>
  <c r="T688" i="8" s="1"/>
  <c r="T689" i="8" a="1"/>
  <c r="T689" i="8" s="1"/>
  <c r="T690" i="8" a="1"/>
  <c r="T690" i="8" s="1"/>
  <c r="T691" i="8" a="1"/>
  <c r="T691" i="8" s="1"/>
  <c r="T692" i="8" a="1"/>
  <c r="T692" i="8" s="1"/>
  <c r="T693" i="8" a="1"/>
  <c r="T693" i="8" s="1"/>
  <c r="T694" i="8" a="1"/>
  <c r="T694" i="8" s="1"/>
  <c r="T695" i="8" a="1"/>
  <c r="T695" i="8" s="1"/>
  <c r="T696" i="8" a="1"/>
  <c r="T696" i="8" s="1"/>
  <c r="T697" i="8" a="1"/>
  <c r="T697" i="8" s="1"/>
  <c r="T698" i="8" a="1"/>
  <c r="T698" i="8" s="1"/>
  <c r="T699" i="8" a="1"/>
  <c r="T699" i="8" s="1"/>
  <c r="T700" i="8" a="1"/>
  <c r="T700" i="8" s="1"/>
  <c r="T701" i="8" a="1"/>
  <c r="T701" i="8" s="1"/>
  <c r="T702" i="8" a="1"/>
  <c r="T702" i="8" s="1"/>
  <c r="T703" i="8" a="1"/>
  <c r="T703" i="8" s="1"/>
  <c r="T704" i="8" a="1"/>
  <c r="T704" i="8" s="1"/>
  <c r="T705" i="8" a="1"/>
  <c r="T705" i="8" s="1"/>
  <c r="T706" i="8" a="1"/>
  <c r="T706" i="8" s="1"/>
  <c r="T707" i="8" a="1"/>
  <c r="T707" i="8" s="1"/>
  <c r="T708" i="8" a="1"/>
  <c r="T708" i="8" s="1"/>
  <c r="T709" i="8" a="1"/>
  <c r="T709" i="8" s="1"/>
  <c r="T710" i="8" a="1"/>
  <c r="T710" i="8" s="1"/>
  <c r="T711" i="8" a="1"/>
  <c r="T711" i="8" s="1"/>
  <c r="T712" i="8" a="1"/>
  <c r="T712" i="8" s="1"/>
  <c r="T713" i="8" a="1"/>
  <c r="T713" i="8" s="1"/>
  <c r="T714" i="8" a="1"/>
  <c r="T714" i="8" s="1"/>
  <c r="T715" i="8" a="1"/>
  <c r="T715" i="8" s="1"/>
  <c r="T716" i="8" a="1"/>
  <c r="T716" i="8" s="1"/>
  <c r="T717" i="8" a="1"/>
  <c r="T717" i="8" s="1"/>
  <c r="T718" i="8" a="1"/>
  <c r="T718" i="8" s="1"/>
  <c r="T719" i="8" a="1"/>
  <c r="T719" i="8" s="1"/>
  <c r="T720" i="8" a="1"/>
  <c r="T720" i="8" s="1"/>
  <c r="T721" i="8" a="1"/>
  <c r="T721" i="8" s="1"/>
  <c r="T722" i="8" a="1"/>
  <c r="T722" i="8" s="1"/>
  <c r="T723" i="8" a="1"/>
  <c r="T723" i="8" s="1"/>
  <c r="T724" i="8" a="1"/>
  <c r="T724" i="8" s="1"/>
  <c r="T725" i="8" a="1"/>
  <c r="T725" i="8" s="1"/>
  <c r="T726" i="8" a="1"/>
  <c r="T726" i="8" s="1"/>
  <c r="T727" i="8" a="1"/>
  <c r="T727" i="8" s="1"/>
  <c r="T728" i="8" a="1"/>
  <c r="T728" i="8" s="1"/>
  <c r="T729" i="8" a="1"/>
  <c r="T729" i="8" s="1"/>
  <c r="T730" i="8" a="1"/>
  <c r="T730" i="8" s="1"/>
  <c r="T731" i="8" a="1"/>
  <c r="T731" i="8" s="1"/>
  <c r="T732" i="8" a="1"/>
  <c r="T732" i="8" s="1"/>
  <c r="T733" i="8" a="1"/>
  <c r="T733" i="8" s="1"/>
  <c r="T734" i="8" a="1"/>
  <c r="T734" i="8" s="1"/>
  <c r="T735" i="8" a="1"/>
  <c r="T735" i="8" s="1"/>
  <c r="T736" i="8" a="1"/>
  <c r="T736" i="8" s="1"/>
  <c r="T737" i="8" a="1"/>
  <c r="T737" i="8" s="1"/>
  <c r="T738" i="8" a="1"/>
  <c r="T738" i="8" s="1"/>
  <c r="T739" i="8" a="1"/>
  <c r="T739" i="8" s="1"/>
  <c r="T740" i="8" a="1"/>
  <c r="T740" i="8" s="1"/>
  <c r="T741" i="8" a="1"/>
  <c r="T741" i="8" s="1"/>
  <c r="T742" i="8" a="1"/>
  <c r="T742" i="8" s="1"/>
  <c r="T743" i="8" a="1"/>
  <c r="T743" i="8" s="1"/>
  <c r="T744" i="8" a="1"/>
  <c r="T744" i="8" s="1"/>
  <c r="T745" i="8" a="1"/>
  <c r="T745" i="8" s="1"/>
  <c r="T746" i="8" a="1"/>
  <c r="T746" i="8" s="1"/>
  <c r="T747" i="8" a="1"/>
  <c r="T747" i="8" s="1"/>
  <c r="T748" i="8" a="1"/>
  <c r="T748" i="8" s="1"/>
  <c r="T749" i="8" a="1"/>
  <c r="T749" i="8" s="1"/>
  <c r="T750" i="8" a="1"/>
  <c r="T750" i="8" s="1"/>
  <c r="T751" i="8" a="1"/>
  <c r="T751" i="8" s="1"/>
  <c r="T752" i="8" a="1"/>
  <c r="T752" i="8" s="1"/>
  <c r="T753" i="8" a="1"/>
  <c r="T753" i="8" s="1"/>
  <c r="T754" i="8" a="1"/>
  <c r="T754" i="8" s="1"/>
  <c r="T755" i="8" a="1"/>
  <c r="T755" i="8" s="1"/>
  <c r="T756" i="8" a="1"/>
  <c r="T756" i="8" s="1"/>
  <c r="T757" i="8" a="1"/>
  <c r="T757" i="8" s="1"/>
  <c r="T758" i="8" a="1"/>
  <c r="T758" i="8" s="1"/>
  <c r="T759" i="8" a="1"/>
  <c r="T759" i="8" s="1"/>
  <c r="T760" i="8" a="1"/>
  <c r="T760" i="8" s="1"/>
  <c r="T761" i="8" a="1"/>
  <c r="T761" i="8" s="1"/>
  <c r="T762" i="8" a="1"/>
  <c r="T762" i="8" s="1"/>
  <c r="T763" i="8" a="1"/>
  <c r="T763" i="8" s="1"/>
  <c r="T764" i="8" a="1"/>
  <c r="T764" i="8" s="1"/>
  <c r="T765" i="8" a="1"/>
  <c r="T765" i="8" s="1"/>
  <c r="T766" i="8" a="1"/>
  <c r="T766" i="8" s="1"/>
  <c r="T767" i="8" a="1"/>
  <c r="T767" i="8" s="1"/>
  <c r="T768" i="8" a="1"/>
  <c r="T768" i="8" s="1"/>
  <c r="T769" i="8" a="1"/>
  <c r="T769" i="8" s="1"/>
  <c r="T770" i="8" a="1"/>
  <c r="T770" i="8" s="1"/>
  <c r="T771" i="8" a="1"/>
  <c r="T771" i="8" s="1"/>
  <c r="T772" i="8" a="1"/>
  <c r="T772" i="8" s="1"/>
  <c r="T773" i="8" a="1"/>
  <c r="T773" i="8" s="1"/>
  <c r="T774" i="8" a="1"/>
  <c r="T774" i="8" s="1"/>
  <c r="T775" i="8" a="1"/>
  <c r="T775" i="8" s="1"/>
  <c r="T776" i="8" a="1"/>
  <c r="T776" i="8" s="1"/>
  <c r="T777" i="8" a="1"/>
  <c r="T777" i="8" s="1"/>
  <c r="T778" i="8" a="1"/>
  <c r="T778" i="8" s="1"/>
  <c r="T779" i="8" a="1"/>
  <c r="T779" i="8" s="1"/>
  <c r="T780" i="8" a="1"/>
  <c r="T780" i="8" s="1"/>
  <c r="T781" i="8" a="1"/>
  <c r="T781" i="8" s="1"/>
  <c r="T782" i="8" a="1"/>
  <c r="T782" i="8" s="1"/>
  <c r="T783" i="8" a="1"/>
  <c r="T783" i="8" s="1"/>
  <c r="T784" i="8" a="1"/>
  <c r="T784" i="8" s="1"/>
  <c r="T785" i="8" a="1"/>
  <c r="T785" i="8" s="1"/>
  <c r="T786" i="8" a="1"/>
  <c r="T786" i="8" s="1"/>
  <c r="T787" i="8" a="1"/>
  <c r="T787" i="8" s="1"/>
  <c r="T788" i="8" a="1"/>
  <c r="T788" i="8" s="1"/>
  <c r="AF586" i="8"/>
  <c r="AF587" i="8"/>
  <c r="AF588" i="8"/>
  <c r="AF589" i="8"/>
  <c r="AF590" i="8"/>
  <c r="AF591" i="8"/>
  <c r="AF592" i="8"/>
  <c r="AF593" i="8"/>
  <c r="AF594" i="8"/>
  <c r="AF595" i="8"/>
  <c r="AF596" i="8"/>
  <c r="AF597" i="8"/>
  <c r="AF598" i="8"/>
  <c r="AF599" i="8"/>
  <c r="AF600" i="8"/>
  <c r="AF601" i="8"/>
  <c r="AF602" i="8"/>
  <c r="AF603" i="8"/>
  <c r="AF604" i="8"/>
  <c r="AF605" i="8"/>
  <c r="AF606" i="8"/>
  <c r="AF607" i="8"/>
  <c r="AF608" i="8"/>
  <c r="AF609" i="8"/>
  <c r="AF610" i="8"/>
  <c r="AF611" i="8"/>
  <c r="AF612" i="8"/>
  <c r="AF613" i="8"/>
  <c r="AF614" i="8"/>
  <c r="AF615" i="8"/>
  <c r="AF616" i="8"/>
  <c r="AF617" i="8"/>
  <c r="AF618" i="8"/>
  <c r="AF619" i="8"/>
  <c r="AF620" i="8"/>
  <c r="AF621" i="8"/>
  <c r="AF622" i="8"/>
  <c r="AF623" i="8"/>
  <c r="AF624" i="8"/>
  <c r="AF625" i="8"/>
  <c r="AF626" i="8"/>
  <c r="AF627" i="8"/>
  <c r="AF628" i="8"/>
  <c r="AF629" i="8"/>
  <c r="AF630" i="8"/>
  <c r="AF631" i="8"/>
  <c r="AF632" i="8"/>
  <c r="AF633" i="8"/>
  <c r="AF634" i="8"/>
  <c r="AF635" i="8"/>
  <c r="AF636" i="8"/>
  <c r="AF637" i="8"/>
  <c r="AF638" i="8"/>
  <c r="AF639" i="8"/>
  <c r="AF640" i="8"/>
  <c r="AF641" i="8"/>
  <c r="AF642" i="8"/>
  <c r="AF643" i="8"/>
  <c r="AF644" i="8"/>
  <c r="AF645" i="8"/>
  <c r="AF646" i="8"/>
  <c r="AF647" i="8"/>
  <c r="AF648" i="8"/>
  <c r="AF649" i="8"/>
  <c r="AF650" i="8"/>
  <c r="AF651" i="8"/>
  <c r="AF652" i="8"/>
  <c r="AF653" i="8"/>
  <c r="AF654" i="8"/>
  <c r="AF655" i="8"/>
  <c r="AF656" i="8"/>
  <c r="AF657" i="8"/>
  <c r="AF658" i="8"/>
  <c r="AF659" i="8"/>
  <c r="AF660" i="8"/>
  <c r="AF661" i="8"/>
  <c r="AF662" i="8"/>
  <c r="AF663" i="8"/>
  <c r="AF664" i="8"/>
  <c r="AF665" i="8"/>
  <c r="AF666" i="8"/>
  <c r="AF667" i="8"/>
  <c r="AF668" i="8"/>
  <c r="AF669" i="8"/>
  <c r="AF670" i="8"/>
  <c r="AF671" i="8"/>
  <c r="AF672" i="8"/>
  <c r="AF673" i="8"/>
  <c r="AF674" i="8"/>
  <c r="AF675" i="8"/>
  <c r="AF676" i="8"/>
  <c r="AF677" i="8"/>
  <c r="AF678" i="8"/>
  <c r="AF679" i="8"/>
  <c r="AF680" i="8"/>
  <c r="AF681" i="8"/>
  <c r="AF682" i="8"/>
  <c r="AF683" i="8"/>
  <c r="AF684" i="8"/>
  <c r="AF685" i="8"/>
  <c r="AF686" i="8"/>
  <c r="AF687" i="8"/>
  <c r="AF688" i="8"/>
  <c r="AF689" i="8"/>
  <c r="AF690" i="8"/>
  <c r="AF691" i="8"/>
  <c r="AF692" i="8"/>
  <c r="AF693" i="8"/>
  <c r="AF694" i="8"/>
  <c r="AF695" i="8"/>
  <c r="AF696" i="8"/>
  <c r="AF697" i="8"/>
  <c r="AF698" i="8"/>
  <c r="AF699" i="8"/>
  <c r="AF700" i="8"/>
  <c r="AF701" i="8"/>
  <c r="AF702" i="8"/>
  <c r="AF703" i="8"/>
  <c r="AF704" i="8"/>
  <c r="AF705" i="8"/>
  <c r="AF706" i="8"/>
  <c r="AF707" i="8"/>
  <c r="AF708" i="8"/>
  <c r="AF709" i="8"/>
  <c r="AF710" i="8"/>
  <c r="AF711" i="8"/>
  <c r="AF712" i="8"/>
  <c r="AF713" i="8"/>
  <c r="AF714" i="8"/>
  <c r="AF715" i="8"/>
  <c r="AF716" i="8"/>
  <c r="AF717" i="8"/>
  <c r="AF718" i="8"/>
  <c r="AF719" i="8"/>
  <c r="AF720" i="8"/>
  <c r="AF721" i="8"/>
  <c r="AF722" i="8"/>
  <c r="AF723" i="8"/>
  <c r="AF724" i="8"/>
  <c r="AF725" i="8"/>
  <c r="AF726" i="8"/>
  <c r="AF727" i="8"/>
  <c r="AF728" i="8"/>
  <c r="AF729" i="8"/>
  <c r="AF730" i="8"/>
  <c r="AF731" i="8"/>
  <c r="AF732" i="8"/>
  <c r="AF733" i="8"/>
  <c r="AF734" i="8"/>
  <c r="AF735" i="8"/>
  <c r="AF736" i="8"/>
  <c r="AF737" i="8"/>
  <c r="AF738" i="8"/>
  <c r="AF739" i="8"/>
  <c r="AF740" i="8"/>
  <c r="AF741" i="8"/>
  <c r="AF742" i="8"/>
  <c r="AF743" i="8"/>
  <c r="AF744" i="8"/>
  <c r="AF745" i="8"/>
  <c r="AF746" i="8"/>
  <c r="AF747" i="8"/>
  <c r="AF748" i="8"/>
  <c r="AF749" i="8"/>
  <c r="AF750" i="8"/>
  <c r="AF751" i="8"/>
  <c r="AF752" i="8"/>
  <c r="AF753" i="8"/>
  <c r="AF754" i="8"/>
  <c r="AF755" i="8"/>
  <c r="AF756" i="8"/>
  <c r="AF757" i="8"/>
  <c r="AF758" i="8"/>
  <c r="AF759" i="8"/>
  <c r="AF760" i="8"/>
  <c r="AF761" i="8"/>
  <c r="AF762" i="8"/>
  <c r="AF763" i="8"/>
  <c r="AF764" i="8"/>
  <c r="AF765" i="8"/>
  <c r="AF766" i="8"/>
  <c r="AF767" i="8"/>
  <c r="AF768" i="8"/>
  <c r="AF769" i="8"/>
  <c r="AF770" i="8"/>
  <c r="AF771" i="8"/>
  <c r="AF772" i="8"/>
  <c r="AF773" i="8"/>
  <c r="AF774" i="8"/>
  <c r="AF775" i="8"/>
  <c r="AF776" i="8"/>
  <c r="AF777" i="8"/>
  <c r="AF778" i="8"/>
  <c r="AF779" i="8"/>
  <c r="AF780" i="8"/>
  <c r="AF781" i="8"/>
  <c r="AF782" i="8"/>
  <c r="AF783" i="8"/>
  <c r="AF784" i="8"/>
  <c r="AF785" i="8"/>
  <c r="AF786" i="8"/>
  <c r="AF787" i="8"/>
  <c r="AF788" i="8"/>
  <c r="AI586" i="8"/>
  <c r="AJ586" i="8" s="1"/>
  <c r="AI587" i="8"/>
  <c r="AJ587" i="8" s="1"/>
  <c r="AI588" i="8"/>
  <c r="AJ588" i="8" s="1"/>
  <c r="AI589" i="8"/>
  <c r="AJ589" i="8" s="1"/>
  <c r="AI590" i="8"/>
  <c r="AJ590" i="8" s="1"/>
  <c r="AI591" i="8"/>
  <c r="AJ591" i="8" s="1"/>
  <c r="AI592" i="8"/>
  <c r="AJ592" i="8" s="1"/>
  <c r="AI593" i="8"/>
  <c r="AJ593" i="8" s="1"/>
  <c r="AI594" i="8"/>
  <c r="AJ594" i="8" s="1"/>
  <c r="AI595" i="8"/>
  <c r="AJ595" i="8" s="1"/>
  <c r="AI596" i="8"/>
  <c r="AJ596" i="8" s="1"/>
  <c r="AI597" i="8"/>
  <c r="AJ597" i="8" s="1"/>
  <c r="AI598" i="8"/>
  <c r="AJ598" i="8" s="1"/>
  <c r="AI599" i="8"/>
  <c r="AJ599" i="8" s="1"/>
  <c r="AI600" i="8"/>
  <c r="AJ600" i="8" s="1"/>
  <c r="AI601" i="8"/>
  <c r="AJ601" i="8" s="1"/>
  <c r="AI602" i="8"/>
  <c r="AJ602" i="8" s="1"/>
  <c r="AI603" i="8"/>
  <c r="AJ603" i="8" s="1"/>
  <c r="AI604" i="8"/>
  <c r="AJ604" i="8" s="1"/>
  <c r="AI605" i="8"/>
  <c r="AJ605" i="8" s="1"/>
  <c r="AI606" i="8"/>
  <c r="AJ606" i="8" s="1"/>
  <c r="AI607" i="8"/>
  <c r="AJ607" i="8" s="1"/>
  <c r="AI608" i="8"/>
  <c r="AJ608" i="8" s="1"/>
  <c r="AI609" i="8"/>
  <c r="AJ609" i="8" s="1"/>
  <c r="AI610" i="8"/>
  <c r="AJ610" i="8" s="1"/>
  <c r="AI611" i="8"/>
  <c r="AJ611" i="8" s="1"/>
  <c r="AI612" i="8"/>
  <c r="AJ612" i="8" s="1"/>
  <c r="AI613" i="8"/>
  <c r="AJ613" i="8" s="1"/>
  <c r="AI614" i="8"/>
  <c r="AJ614" i="8" s="1"/>
  <c r="AI615" i="8"/>
  <c r="AJ615" i="8" s="1"/>
  <c r="AI616" i="8"/>
  <c r="AJ616" i="8" s="1"/>
  <c r="AI617" i="8"/>
  <c r="AJ617" i="8" s="1"/>
  <c r="AI618" i="8"/>
  <c r="AJ618" i="8" s="1"/>
  <c r="AI619" i="8"/>
  <c r="AJ619" i="8" s="1"/>
  <c r="AI620" i="8"/>
  <c r="AJ620" i="8" s="1"/>
  <c r="AI621" i="8"/>
  <c r="AJ621" i="8" s="1"/>
  <c r="AI622" i="8"/>
  <c r="AJ622" i="8" s="1"/>
  <c r="AI623" i="8"/>
  <c r="AJ623" i="8" s="1"/>
  <c r="AI624" i="8"/>
  <c r="AJ624" i="8" s="1"/>
  <c r="AI625" i="8"/>
  <c r="AJ625" i="8" s="1"/>
  <c r="AI626" i="8"/>
  <c r="AJ626" i="8" s="1"/>
  <c r="AI627" i="8"/>
  <c r="AJ627" i="8" s="1"/>
  <c r="AI628" i="8"/>
  <c r="AJ628" i="8" s="1"/>
  <c r="AI629" i="8"/>
  <c r="AJ629" i="8" s="1"/>
  <c r="AI630" i="8"/>
  <c r="AJ630" i="8" s="1"/>
  <c r="AI631" i="8"/>
  <c r="AJ631" i="8" s="1"/>
  <c r="AI632" i="8"/>
  <c r="AJ632" i="8" s="1"/>
  <c r="AI633" i="8"/>
  <c r="AJ633" i="8" s="1"/>
  <c r="AI634" i="8"/>
  <c r="AJ634" i="8" s="1"/>
  <c r="AI635" i="8"/>
  <c r="AJ635" i="8" s="1"/>
  <c r="AI636" i="8"/>
  <c r="AJ636" i="8" s="1"/>
  <c r="AI637" i="8"/>
  <c r="AJ637" i="8" s="1"/>
  <c r="AI638" i="8"/>
  <c r="AJ638" i="8" s="1"/>
  <c r="AI639" i="8"/>
  <c r="AJ639" i="8" s="1"/>
  <c r="AI640" i="8"/>
  <c r="AJ640" i="8" s="1"/>
  <c r="AI641" i="8"/>
  <c r="AJ641" i="8" s="1"/>
  <c r="AI642" i="8"/>
  <c r="AJ642" i="8" s="1"/>
  <c r="AI643" i="8"/>
  <c r="AJ643" i="8" s="1"/>
  <c r="AI644" i="8"/>
  <c r="AJ644" i="8" s="1"/>
  <c r="AI645" i="8"/>
  <c r="AJ645" i="8" s="1"/>
  <c r="AI646" i="8"/>
  <c r="AJ646" i="8" s="1"/>
  <c r="AI647" i="8"/>
  <c r="AJ647" i="8" s="1"/>
  <c r="AI648" i="8"/>
  <c r="AJ648" i="8" s="1"/>
  <c r="AI649" i="8"/>
  <c r="AJ649" i="8" s="1"/>
  <c r="AI650" i="8"/>
  <c r="AJ650" i="8" s="1"/>
  <c r="AI651" i="8"/>
  <c r="AJ651" i="8" s="1"/>
  <c r="AI652" i="8"/>
  <c r="AJ652" i="8" s="1"/>
  <c r="AI653" i="8"/>
  <c r="AJ653" i="8" s="1"/>
  <c r="AI654" i="8"/>
  <c r="AJ654" i="8" s="1"/>
  <c r="AI655" i="8"/>
  <c r="AJ655" i="8" s="1"/>
  <c r="AI656" i="8"/>
  <c r="AJ656" i="8" s="1"/>
  <c r="AI657" i="8"/>
  <c r="AJ657" i="8" s="1"/>
  <c r="AI658" i="8"/>
  <c r="AJ658" i="8" s="1"/>
  <c r="AI659" i="8"/>
  <c r="AJ659" i="8" s="1"/>
  <c r="AI660" i="8"/>
  <c r="AJ660" i="8" s="1"/>
  <c r="AI661" i="8"/>
  <c r="AJ661" i="8" s="1"/>
  <c r="AI662" i="8"/>
  <c r="AJ662" i="8" s="1"/>
  <c r="AI663" i="8"/>
  <c r="AJ663" i="8" s="1"/>
  <c r="AI664" i="8"/>
  <c r="AJ664" i="8" s="1"/>
  <c r="AI665" i="8"/>
  <c r="AJ665" i="8" s="1"/>
  <c r="AI666" i="8"/>
  <c r="AJ666" i="8" s="1"/>
  <c r="AI667" i="8"/>
  <c r="AJ667" i="8" s="1"/>
  <c r="AI668" i="8"/>
  <c r="AJ668" i="8" s="1"/>
  <c r="AI669" i="8"/>
  <c r="AJ669" i="8" s="1"/>
  <c r="AI670" i="8"/>
  <c r="AJ670" i="8" s="1"/>
  <c r="AI671" i="8"/>
  <c r="AJ671" i="8" s="1"/>
  <c r="AI672" i="8"/>
  <c r="AJ672" i="8" s="1"/>
  <c r="AI673" i="8"/>
  <c r="AJ673" i="8" s="1"/>
  <c r="AI674" i="8"/>
  <c r="AJ674" i="8" s="1"/>
  <c r="AI675" i="8"/>
  <c r="AJ675" i="8" s="1"/>
  <c r="AI676" i="8"/>
  <c r="AJ676" i="8" s="1"/>
  <c r="AI677" i="8"/>
  <c r="AJ677" i="8" s="1"/>
  <c r="AI678" i="8"/>
  <c r="AJ678" i="8" s="1"/>
  <c r="AI679" i="8"/>
  <c r="AJ679" i="8" s="1"/>
  <c r="AI680" i="8"/>
  <c r="AJ680" i="8" s="1"/>
  <c r="AI681" i="8"/>
  <c r="AJ681" i="8" s="1"/>
  <c r="AI682" i="8"/>
  <c r="AJ682" i="8" s="1"/>
  <c r="AI683" i="8"/>
  <c r="AJ683" i="8" s="1"/>
  <c r="AI684" i="8"/>
  <c r="AJ684" i="8" s="1"/>
  <c r="AI685" i="8"/>
  <c r="AJ685" i="8" s="1"/>
  <c r="AI686" i="8"/>
  <c r="AJ686" i="8" s="1"/>
  <c r="AI687" i="8"/>
  <c r="AJ687" i="8" s="1"/>
  <c r="AI688" i="8"/>
  <c r="AJ688" i="8" s="1"/>
  <c r="AI689" i="8"/>
  <c r="AJ689" i="8" s="1"/>
  <c r="AI690" i="8"/>
  <c r="AJ690" i="8" s="1"/>
  <c r="AI691" i="8"/>
  <c r="AJ691" i="8" s="1"/>
  <c r="AI692" i="8"/>
  <c r="AJ692" i="8" s="1"/>
  <c r="AI693" i="8"/>
  <c r="AJ693" i="8" s="1"/>
  <c r="AI694" i="8"/>
  <c r="AJ694" i="8" s="1"/>
  <c r="AI695" i="8"/>
  <c r="AJ695" i="8" s="1"/>
  <c r="AI696" i="8"/>
  <c r="AJ696" i="8" s="1"/>
  <c r="AI697" i="8"/>
  <c r="AJ697" i="8" s="1"/>
  <c r="AI698" i="8"/>
  <c r="AJ698" i="8" s="1"/>
  <c r="AI699" i="8"/>
  <c r="AJ699" i="8" s="1"/>
  <c r="AI700" i="8"/>
  <c r="AJ700" i="8" s="1"/>
  <c r="AI701" i="8"/>
  <c r="AJ701" i="8" s="1"/>
  <c r="AI702" i="8"/>
  <c r="AJ702" i="8" s="1"/>
  <c r="AI703" i="8"/>
  <c r="AJ703" i="8" s="1"/>
  <c r="AI704" i="8"/>
  <c r="AJ704" i="8" s="1"/>
  <c r="AI705" i="8"/>
  <c r="AJ705" i="8" s="1"/>
  <c r="AI706" i="8"/>
  <c r="AJ706" i="8" s="1"/>
  <c r="AI707" i="8"/>
  <c r="AJ707" i="8" s="1"/>
  <c r="AI708" i="8"/>
  <c r="AJ708" i="8" s="1"/>
  <c r="AI709" i="8"/>
  <c r="AJ709" i="8" s="1"/>
  <c r="AI710" i="8"/>
  <c r="AJ710" i="8" s="1"/>
  <c r="AI711" i="8"/>
  <c r="AJ711" i="8" s="1"/>
  <c r="AI712" i="8"/>
  <c r="AJ712" i="8" s="1"/>
  <c r="AI713" i="8"/>
  <c r="AJ713" i="8" s="1"/>
  <c r="AI714" i="8"/>
  <c r="AJ714" i="8" s="1"/>
  <c r="AI715" i="8"/>
  <c r="AJ715" i="8" s="1"/>
  <c r="AI716" i="8"/>
  <c r="AJ716" i="8" s="1"/>
  <c r="AI717" i="8"/>
  <c r="AJ717" i="8" s="1"/>
  <c r="AI718" i="8"/>
  <c r="AJ718" i="8" s="1"/>
  <c r="AI719" i="8"/>
  <c r="AJ719" i="8" s="1"/>
  <c r="AI720" i="8"/>
  <c r="AJ720" i="8" s="1"/>
  <c r="AI721" i="8"/>
  <c r="AJ721" i="8" s="1"/>
  <c r="AI722" i="8"/>
  <c r="AJ722" i="8" s="1"/>
  <c r="AI723" i="8"/>
  <c r="AJ723" i="8" s="1"/>
  <c r="AI724" i="8"/>
  <c r="AJ724" i="8" s="1"/>
  <c r="AI725" i="8"/>
  <c r="AJ725" i="8" s="1"/>
  <c r="AI726" i="8"/>
  <c r="AJ726" i="8" s="1"/>
  <c r="AI727" i="8"/>
  <c r="AJ727" i="8" s="1"/>
  <c r="AI728" i="8"/>
  <c r="AJ728" i="8" s="1"/>
  <c r="AI729" i="8"/>
  <c r="AJ729" i="8" s="1"/>
  <c r="AI730" i="8"/>
  <c r="AJ730" i="8" s="1"/>
  <c r="AI731" i="8"/>
  <c r="AJ731" i="8" s="1"/>
  <c r="AI732" i="8"/>
  <c r="AJ732" i="8" s="1"/>
  <c r="AI733" i="8"/>
  <c r="AJ733" i="8" s="1"/>
  <c r="AI734" i="8"/>
  <c r="AJ734" i="8" s="1"/>
  <c r="AI735" i="8"/>
  <c r="AJ735" i="8" s="1"/>
  <c r="AI736" i="8"/>
  <c r="AJ736" i="8" s="1"/>
  <c r="AI737" i="8"/>
  <c r="AJ737" i="8" s="1"/>
  <c r="AI738" i="8"/>
  <c r="AJ738" i="8" s="1"/>
  <c r="AI739" i="8"/>
  <c r="AJ739" i="8" s="1"/>
  <c r="AI740" i="8"/>
  <c r="AJ740" i="8" s="1"/>
  <c r="AI741" i="8"/>
  <c r="AJ741" i="8" s="1"/>
  <c r="AI742" i="8"/>
  <c r="AJ742" i="8" s="1"/>
  <c r="AI743" i="8"/>
  <c r="AJ743" i="8" s="1"/>
  <c r="AI744" i="8"/>
  <c r="AJ744" i="8" s="1"/>
  <c r="AI745" i="8"/>
  <c r="AJ745" i="8" s="1"/>
  <c r="AI746" i="8"/>
  <c r="AJ746" i="8" s="1"/>
  <c r="AI747" i="8"/>
  <c r="AJ747" i="8" s="1"/>
  <c r="AI748" i="8"/>
  <c r="AJ748" i="8" s="1"/>
  <c r="AI749" i="8"/>
  <c r="AJ749" i="8" s="1"/>
  <c r="AI750" i="8"/>
  <c r="AJ750" i="8" s="1"/>
  <c r="AI751" i="8"/>
  <c r="AJ751" i="8" s="1"/>
  <c r="AI752" i="8"/>
  <c r="AJ752" i="8" s="1"/>
  <c r="AI753" i="8"/>
  <c r="AJ753" i="8" s="1"/>
  <c r="AI754" i="8"/>
  <c r="AJ754" i="8" s="1"/>
  <c r="AI755" i="8"/>
  <c r="AJ755" i="8" s="1"/>
  <c r="AI756" i="8"/>
  <c r="AJ756" i="8" s="1"/>
  <c r="AI757" i="8"/>
  <c r="AJ757" i="8" s="1"/>
  <c r="AI758" i="8"/>
  <c r="AJ758" i="8" s="1"/>
  <c r="AI759" i="8"/>
  <c r="AJ759" i="8" s="1"/>
  <c r="AI760" i="8"/>
  <c r="AJ760" i="8" s="1"/>
  <c r="AI761" i="8"/>
  <c r="AJ761" i="8" s="1"/>
  <c r="AI762" i="8"/>
  <c r="AJ762" i="8" s="1"/>
  <c r="AI763" i="8"/>
  <c r="AJ763" i="8" s="1"/>
  <c r="AI764" i="8"/>
  <c r="AJ764" i="8" s="1"/>
  <c r="AI765" i="8"/>
  <c r="AJ765" i="8" s="1"/>
  <c r="AI766" i="8"/>
  <c r="AJ766" i="8" s="1"/>
  <c r="AI767" i="8"/>
  <c r="AJ767" i="8" s="1"/>
  <c r="AI768" i="8"/>
  <c r="AJ768" i="8" s="1"/>
  <c r="AI769" i="8"/>
  <c r="AJ769" i="8" s="1"/>
  <c r="AI770" i="8"/>
  <c r="AJ770" i="8" s="1"/>
  <c r="AI771" i="8"/>
  <c r="AJ771" i="8" s="1"/>
  <c r="AI772" i="8"/>
  <c r="AJ772" i="8" s="1"/>
  <c r="AI773" i="8"/>
  <c r="AJ773" i="8" s="1"/>
  <c r="AI774" i="8"/>
  <c r="AJ774" i="8" s="1"/>
  <c r="AI775" i="8"/>
  <c r="AJ775" i="8" s="1"/>
  <c r="AI776" i="8"/>
  <c r="AJ776" i="8" s="1"/>
  <c r="AI777" i="8"/>
  <c r="AJ777" i="8" s="1"/>
  <c r="AI778" i="8"/>
  <c r="AJ778" i="8" s="1"/>
  <c r="AI779" i="8"/>
  <c r="AJ779" i="8" s="1"/>
  <c r="AI780" i="8"/>
  <c r="AJ780" i="8" s="1"/>
  <c r="AI781" i="8"/>
  <c r="AJ781" i="8" s="1"/>
  <c r="AI782" i="8"/>
  <c r="AJ782" i="8" s="1"/>
  <c r="AI783" i="8"/>
  <c r="AJ783" i="8" s="1"/>
  <c r="AI784" i="8"/>
  <c r="AJ784" i="8" s="1"/>
  <c r="AI785" i="8"/>
  <c r="AJ785" i="8" s="1"/>
  <c r="AI786" i="8"/>
  <c r="AJ786" i="8" s="1"/>
  <c r="AI787" i="8"/>
  <c r="AJ787" i="8" s="1"/>
  <c r="AI788" i="8"/>
  <c r="AJ788" i="8" s="1"/>
  <c r="S507" i="8" a="1"/>
  <c r="S507" i="8" s="1"/>
  <c r="V507" i="8" s="1"/>
  <c r="S508" i="8" a="1"/>
  <c r="S508" i="8" s="1"/>
  <c r="V508" i="8" s="1"/>
  <c r="S509" i="8" a="1"/>
  <c r="S509" i="8" s="1"/>
  <c r="V509" i="8" s="1"/>
  <c r="S510" i="8" a="1"/>
  <c r="S510" i="8" s="1"/>
  <c r="V510" i="8" s="1"/>
  <c r="S511" i="8" a="1"/>
  <c r="S511" i="8" s="1"/>
  <c r="V511" i="8" s="1"/>
  <c r="S512" i="8" a="1"/>
  <c r="S512" i="8" s="1"/>
  <c r="V512" i="8" s="1"/>
  <c r="S513" i="8" a="1"/>
  <c r="S513" i="8" s="1"/>
  <c r="V513" i="8" s="1"/>
  <c r="S514" i="8" a="1"/>
  <c r="S514" i="8" s="1"/>
  <c r="V514" i="8" s="1"/>
  <c r="S515" i="8" a="1"/>
  <c r="S515" i="8" s="1"/>
  <c r="V515" i="8" s="1"/>
  <c r="S516" i="8" a="1"/>
  <c r="S516" i="8" s="1"/>
  <c r="V516" i="8" s="1"/>
  <c r="S517" i="8" a="1"/>
  <c r="S517" i="8" s="1"/>
  <c r="V517" i="8" s="1"/>
  <c r="S518" i="8" a="1"/>
  <c r="S518" i="8" s="1"/>
  <c r="V518" i="8" s="1"/>
  <c r="S519" i="8" a="1"/>
  <c r="S519" i="8" s="1"/>
  <c r="V519" i="8" s="1"/>
  <c r="S520" i="8" a="1"/>
  <c r="S520" i="8" s="1"/>
  <c r="V520" i="8" s="1"/>
  <c r="S521" i="8" a="1"/>
  <c r="S521" i="8" s="1"/>
  <c r="V521" i="8" s="1"/>
  <c r="S522" i="8" a="1"/>
  <c r="S522" i="8" s="1"/>
  <c r="V522" i="8" s="1"/>
  <c r="S523" i="8" a="1"/>
  <c r="S523" i="8" s="1"/>
  <c r="V523" i="8" s="1"/>
  <c r="S524" i="8" a="1"/>
  <c r="S524" i="8" s="1"/>
  <c r="V524" i="8" s="1"/>
  <c r="S525" i="8" a="1"/>
  <c r="S525" i="8" s="1"/>
  <c r="V525" i="8" s="1"/>
  <c r="S526" i="8" a="1"/>
  <c r="S526" i="8" s="1"/>
  <c r="V526" i="8" s="1"/>
  <c r="S527" i="8" a="1"/>
  <c r="S527" i="8" s="1"/>
  <c r="V527" i="8" s="1"/>
  <c r="S528" i="8" a="1"/>
  <c r="S528" i="8" s="1"/>
  <c r="V528" i="8" s="1"/>
  <c r="S529" i="8" a="1"/>
  <c r="S529" i="8" s="1"/>
  <c r="V529" i="8" s="1"/>
  <c r="S530" i="8" a="1"/>
  <c r="S530" i="8" s="1"/>
  <c r="V530" i="8" s="1"/>
  <c r="S531" i="8" a="1"/>
  <c r="S531" i="8" s="1"/>
  <c r="V531" i="8" s="1"/>
  <c r="S532" i="8" a="1"/>
  <c r="S532" i="8" s="1"/>
  <c r="V532" i="8" s="1"/>
  <c r="S533" i="8" a="1"/>
  <c r="S533" i="8" s="1"/>
  <c r="V533" i="8" s="1"/>
  <c r="S534" i="8" a="1"/>
  <c r="S534" i="8" s="1"/>
  <c r="V534" i="8" s="1"/>
  <c r="S535" i="8" a="1"/>
  <c r="S535" i="8" s="1"/>
  <c r="V535" i="8" s="1"/>
  <c r="S536" i="8" a="1"/>
  <c r="S536" i="8" s="1"/>
  <c r="V536" i="8" s="1"/>
  <c r="S537" i="8" a="1"/>
  <c r="S537" i="8" s="1"/>
  <c r="V537" i="8" s="1"/>
  <c r="S538" i="8" a="1"/>
  <c r="S538" i="8" s="1"/>
  <c r="V538" i="8" s="1"/>
  <c r="S539" i="8" a="1"/>
  <c r="S539" i="8" s="1"/>
  <c r="V539" i="8" s="1"/>
  <c r="S540" i="8" a="1"/>
  <c r="S540" i="8" s="1"/>
  <c r="V540" i="8" s="1"/>
  <c r="S541" i="8" a="1"/>
  <c r="S541" i="8" s="1"/>
  <c r="V541" i="8" s="1"/>
  <c r="S542" i="8" a="1"/>
  <c r="S542" i="8" s="1"/>
  <c r="V542" i="8" s="1"/>
  <c r="S543" i="8" a="1"/>
  <c r="S543" i="8" s="1"/>
  <c r="V543" i="8" s="1"/>
  <c r="S544" i="8" a="1"/>
  <c r="S544" i="8" s="1"/>
  <c r="V544" i="8" s="1"/>
  <c r="S545" i="8" a="1"/>
  <c r="S545" i="8" s="1"/>
  <c r="V545" i="8" s="1"/>
  <c r="S546" i="8" a="1"/>
  <c r="S546" i="8" s="1"/>
  <c r="V546" i="8" s="1"/>
  <c r="S547" i="8" a="1"/>
  <c r="S547" i="8" s="1"/>
  <c r="V547" i="8" s="1"/>
  <c r="S548" i="8" a="1"/>
  <c r="S548" i="8" s="1"/>
  <c r="V548" i="8" s="1"/>
  <c r="S549" i="8" a="1"/>
  <c r="S549" i="8" s="1"/>
  <c r="V549" i="8" s="1"/>
  <c r="S550" i="8" a="1"/>
  <c r="S550" i="8" s="1"/>
  <c r="V550" i="8" s="1"/>
  <c r="S551" i="8" a="1"/>
  <c r="S551" i="8" s="1"/>
  <c r="V551" i="8" s="1"/>
  <c r="S552" i="8" a="1"/>
  <c r="S552" i="8" s="1"/>
  <c r="V552" i="8" s="1"/>
  <c r="S553" i="8" a="1"/>
  <c r="S553" i="8" s="1"/>
  <c r="V553" i="8" s="1"/>
  <c r="S554" i="8" a="1"/>
  <c r="S554" i="8" s="1"/>
  <c r="V554" i="8" s="1"/>
  <c r="S555" i="8" a="1"/>
  <c r="S555" i="8" s="1"/>
  <c r="V555" i="8" s="1"/>
  <c r="S556" i="8" a="1"/>
  <c r="S556" i="8" s="1"/>
  <c r="V556" i="8" s="1"/>
  <c r="S557" i="8" a="1"/>
  <c r="S557" i="8" s="1"/>
  <c r="V557" i="8" s="1"/>
  <c r="S558" i="8" a="1"/>
  <c r="S558" i="8" s="1"/>
  <c r="V558" i="8" s="1"/>
  <c r="S559" i="8" a="1"/>
  <c r="S559" i="8" s="1"/>
  <c r="V559" i="8" s="1"/>
  <c r="S560" i="8" a="1"/>
  <c r="S560" i="8" s="1"/>
  <c r="V560" i="8" s="1"/>
  <c r="S561" i="8" a="1"/>
  <c r="S561" i="8" s="1"/>
  <c r="V561" i="8" s="1"/>
  <c r="S562" i="8" a="1"/>
  <c r="S562" i="8" s="1"/>
  <c r="V562" i="8" s="1"/>
  <c r="S563" i="8" a="1"/>
  <c r="S563" i="8" s="1"/>
  <c r="V563" i="8" s="1"/>
  <c r="S564" i="8" a="1"/>
  <c r="S564" i="8" s="1"/>
  <c r="V564" i="8" s="1"/>
  <c r="S565" i="8" a="1"/>
  <c r="S565" i="8" s="1"/>
  <c r="V565" i="8" s="1"/>
  <c r="S566" i="8" a="1"/>
  <c r="S566" i="8" s="1"/>
  <c r="V566" i="8" s="1"/>
  <c r="S567" i="8" a="1"/>
  <c r="S567" i="8" s="1"/>
  <c r="V567" i="8" s="1"/>
  <c r="S568" i="8" a="1"/>
  <c r="S568" i="8" s="1"/>
  <c r="V568" i="8" s="1"/>
  <c r="S569" i="8" a="1"/>
  <c r="S569" i="8" s="1"/>
  <c r="V569" i="8" s="1"/>
  <c r="S570" i="8" a="1"/>
  <c r="S570" i="8" s="1"/>
  <c r="V570" i="8" s="1"/>
  <c r="S571" i="8" a="1"/>
  <c r="S571" i="8" s="1"/>
  <c r="V571" i="8" s="1"/>
  <c r="S572" i="8" a="1"/>
  <c r="S572" i="8" s="1"/>
  <c r="V572" i="8" s="1"/>
  <c r="S573" i="8" a="1"/>
  <c r="S573" i="8" s="1"/>
  <c r="V573" i="8" s="1"/>
  <c r="S574" i="8" a="1"/>
  <c r="S574" i="8" s="1"/>
  <c r="V574" i="8" s="1"/>
  <c r="S575" i="8" a="1"/>
  <c r="S575" i="8" s="1"/>
  <c r="V575" i="8" s="1"/>
  <c r="S576" i="8" a="1"/>
  <c r="S576" i="8" s="1"/>
  <c r="V576" i="8" s="1"/>
  <c r="S577" i="8" a="1"/>
  <c r="S577" i="8" s="1"/>
  <c r="V577" i="8" s="1"/>
  <c r="S578" i="8" a="1"/>
  <c r="S578" i="8" s="1"/>
  <c r="V578" i="8" s="1"/>
  <c r="S579" i="8" a="1"/>
  <c r="S579" i="8" s="1"/>
  <c r="V579" i="8" s="1"/>
  <c r="S580" i="8" a="1"/>
  <c r="S580" i="8" s="1"/>
  <c r="V580" i="8" s="1"/>
  <c r="S581" i="8" a="1"/>
  <c r="S581" i="8" s="1"/>
  <c r="V581" i="8" s="1"/>
  <c r="S582" i="8" a="1"/>
  <c r="S582" i="8" s="1"/>
  <c r="V582" i="8" s="1"/>
  <c r="S583" i="8" a="1"/>
  <c r="S583" i="8" s="1"/>
  <c r="V583" i="8" s="1"/>
  <c r="S584" i="8" a="1"/>
  <c r="S584" i="8" s="1"/>
  <c r="V584" i="8" s="1"/>
  <c r="T507" i="8" a="1"/>
  <c r="T507" i="8" s="1"/>
  <c r="T508" i="8" a="1"/>
  <c r="T508" i="8" s="1"/>
  <c r="T509" i="8" a="1"/>
  <c r="T509" i="8" s="1"/>
  <c r="T510" i="8" a="1"/>
  <c r="T510" i="8" s="1"/>
  <c r="T511" i="8" a="1"/>
  <c r="T511" i="8" s="1"/>
  <c r="T512" i="8" a="1"/>
  <c r="T512" i="8" s="1"/>
  <c r="T513" i="8" a="1"/>
  <c r="T513" i="8" s="1"/>
  <c r="T514" i="8" a="1"/>
  <c r="T514" i="8" s="1"/>
  <c r="T515" i="8" a="1"/>
  <c r="T515" i="8" s="1"/>
  <c r="T516" i="8" a="1"/>
  <c r="T516" i="8" s="1"/>
  <c r="T517" i="8" a="1"/>
  <c r="T517" i="8" s="1"/>
  <c r="T518" i="8" a="1"/>
  <c r="T518" i="8" s="1"/>
  <c r="T519" i="8" a="1"/>
  <c r="T519" i="8" s="1"/>
  <c r="T520" i="8" a="1"/>
  <c r="T520" i="8" s="1"/>
  <c r="T521" i="8" a="1"/>
  <c r="T521" i="8" s="1"/>
  <c r="T522" i="8" a="1"/>
  <c r="T522" i="8" s="1"/>
  <c r="T523" i="8" a="1"/>
  <c r="T523" i="8" s="1"/>
  <c r="T524" i="8" a="1"/>
  <c r="T524" i="8" s="1"/>
  <c r="T525" i="8" a="1"/>
  <c r="T525" i="8" s="1"/>
  <c r="T526" i="8" a="1"/>
  <c r="T526" i="8" s="1"/>
  <c r="T527" i="8" a="1"/>
  <c r="T527" i="8" s="1"/>
  <c r="T528" i="8" a="1"/>
  <c r="T528" i="8" s="1"/>
  <c r="T529" i="8" a="1"/>
  <c r="T529" i="8" s="1"/>
  <c r="T530" i="8" a="1"/>
  <c r="T530" i="8" s="1"/>
  <c r="T531" i="8" a="1"/>
  <c r="T531" i="8" s="1"/>
  <c r="T532" i="8" a="1"/>
  <c r="T532" i="8" s="1"/>
  <c r="T533" i="8" a="1"/>
  <c r="T533" i="8" s="1"/>
  <c r="T534" i="8" a="1"/>
  <c r="T534" i="8" s="1"/>
  <c r="T535" i="8" a="1"/>
  <c r="T535" i="8" s="1"/>
  <c r="T536" i="8" a="1"/>
  <c r="T536" i="8" s="1"/>
  <c r="T537" i="8" a="1"/>
  <c r="T537" i="8" s="1"/>
  <c r="T538" i="8" a="1"/>
  <c r="T538" i="8" s="1"/>
  <c r="T539" i="8" a="1"/>
  <c r="T539" i="8" s="1"/>
  <c r="T540" i="8" a="1"/>
  <c r="T540" i="8" s="1"/>
  <c r="T541" i="8" a="1"/>
  <c r="T541" i="8" s="1"/>
  <c r="T542" i="8" a="1"/>
  <c r="T542" i="8" s="1"/>
  <c r="T543" i="8" a="1"/>
  <c r="T543" i="8" s="1"/>
  <c r="T544" i="8" a="1"/>
  <c r="T544" i="8" s="1"/>
  <c r="T545" i="8" a="1"/>
  <c r="T545" i="8" s="1"/>
  <c r="T546" i="8" a="1"/>
  <c r="T546" i="8" s="1"/>
  <c r="T547" i="8" a="1"/>
  <c r="T547" i="8" s="1"/>
  <c r="T548" i="8" a="1"/>
  <c r="T548" i="8" s="1"/>
  <c r="T549" i="8" a="1"/>
  <c r="T549" i="8" s="1"/>
  <c r="T550" i="8" a="1"/>
  <c r="T550" i="8" s="1"/>
  <c r="T551" i="8" a="1"/>
  <c r="T551" i="8" s="1"/>
  <c r="T552" i="8" a="1"/>
  <c r="T552" i="8" s="1"/>
  <c r="T553" i="8" a="1"/>
  <c r="T553" i="8" s="1"/>
  <c r="T554" i="8" a="1"/>
  <c r="T554" i="8" s="1"/>
  <c r="T555" i="8" a="1"/>
  <c r="T555" i="8" s="1"/>
  <c r="T556" i="8" a="1"/>
  <c r="T556" i="8" s="1"/>
  <c r="T557" i="8" a="1"/>
  <c r="T557" i="8" s="1"/>
  <c r="T558" i="8" a="1"/>
  <c r="T558" i="8" s="1"/>
  <c r="T559" i="8" a="1"/>
  <c r="T559" i="8" s="1"/>
  <c r="T560" i="8" a="1"/>
  <c r="T560" i="8" s="1"/>
  <c r="T561" i="8" a="1"/>
  <c r="T561" i="8" s="1"/>
  <c r="T562" i="8" a="1"/>
  <c r="T562" i="8" s="1"/>
  <c r="T563" i="8" a="1"/>
  <c r="T563" i="8" s="1"/>
  <c r="T564" i="8" a="1"/>
  <c r="T564" i="8" s="1"/>
  <c r="T565" i="8" a="1"/>
  <c r="T565" i="8" s="1"/>
  <c r="T566" i="8" a="1"/>
  <c r="T566" i="8" s="1"/>
  <c r="T567" i="8" a="1"/>
  <c r="T567" i="8" s="1"/>
  <c r="T568" i="8" a="1"/>
  <c r="T568" i="8" s="1"/>
  <c r="T569" i="8" a="1"/>
  <c r="T569" i="8" s="1"/>
  <c r="T570" i="8" a="1"/>
  <c r="T570" i="8" s="1"/>
  <c r="T571" i="8" a="1"/>
  <c r="T571" i="8" s="1"/>
  <c r="T572" i="8" a="1"/>
  <c r="T572" i="8" s="1"/>
  <c r="T573" i="8" a="1"/>
  <c r="T573" i="8" s="1"/>
  <c r="T574" i="8" a="1"/>
  <c r="T574" i="8" s="1"/>
  <c r="T575" i="8" a="1"/>
  <c r="T575" i="8" s="1"/>
  <c r="T576" i="8" a="1"/>
  <c r="T576" i="8" s="1"/>
  <c r="T577" i="8" a="1"/>
  <c r="T577" i="8" s="1"/>
  <c r="T578" i="8" a="1"/>
  <c r="T578" i="8" s="1"/>
  <c r="T579" i="8" a="1"/>
  <c r="T579" i="8" s="1"/>
  <c r="T580" i="8" a="1"/>
  <c r="T580" i="8" s="1"/>
  <c r="T581" i="8" a="1"/>
  <c r="T581" i="8" s="1"/>
  <c r="T582" i="8" a="1"/>
  <c r="T582" i="8" s="1"/>
  <c r="T583" i="8" a="1"/>
  <c r="T583" i="8" s="1"/>
  <c r="T584" i="8" a="1"/>
  <c r="T584" i="8" s="1"/>
  <c r="AF507" i="8"/>
  <c r="AF508" i="8"/>
  <c r="AF509" i="8"/>
  <c r="AF510" i="8"/>
  <c r="AF511" i="8"/>
  <c r="AF512" i="8"/>
  <c r="AF513" i="8"/>
  <c r="AF514" i="8"/>
  <c r="AF515" i="8"/>
  <c r="AF516" i="8"/>
  <c r="AF517" i="8"/>
  <c r="AF518" i="8"/>
  <c r="AF519" i="8"/>
  <c r="AF520" i="8"/>
  <c r="AF521" i="8"/>
  <c r="AF522" i="8"/>
  <c r="AF523" i="8"/>
  <c r="AF524" i="8"/>
  <c r="AF525" i="8"/>
  <c r="AF526" i="8"/>
  <c r="AF527" i="8"/>
  <c r="AF528" i="8"/>
  <c r="AF529" i="8"/>
  <c r="AF530" i="8"/>
  <c r="AF531" i="8"/>
  <c r="AF532" i="8"/>
  <c r="AF533" i="8"/>
  <c r="AF534" i="8"/>
  <c r="AF535" i="8"/>
  <c r="AF536" i="8"/>
  <c r="AF537" i="8"/>
  <c r="AF538" i="8"/>
  <c r="AF539" i="8"/>
  <c r="AF540" i="8"/>
  <c r="AF541" i="8"/>
  <c r="AF542" i="8"/>
  <c r="AF543" i="8"/>
  <c r="AF544" i="8"/>
  <c r="AF545" i="8"/>
  <c r="AF546" i="8"/>
  <c r="AF547" i="8"/>
  <c r="AF548" i="8"/>
  <c r="AF549" i="8"/>
  <c r="AF550" i="8"/>
  <c r="AF551" i="8"/>
  <c r="AF552" i="8"/>
  <c r="AF553" i="8"/>
  <c r="AF554" i="8"/>
  <c r="AF555" i="8"/>
  <c r="AF556" i="8"/>
  <c r="AF557" i="8"/>
  <c r="AF558" i="8"/>
  <c r="AF559" i="8"/>
  <c r="AF560" i="8"/>
  <c r="AF561" i="8"/>
  <c r="AF562" i="8"/>
  <c r="AF563" i="8"/>
  <c r="AF564" i="8"/>
  <c r="AF565" i="8"/>
  <c r="AF566" i="8"/>
  <c r="AF567" i="8"/>
  <c r="AF568" i="8"/>
  <c r="AF569" i="8"/>
  <c r="AF570" i="8"/>
  <c r="AF571" i="8"/>
  <c r="AF572" i="8"/>
  <c r="AF573" i="8"/>
  <c r="AF574" i="8"/>
  <c r="AF575" i="8"/>
  <c r="AF576" i="8"/>
  <c r="AF577" i="8"/>
  <c r="AF578" i="8"/>
  <c r="AF579" i="8"/>
  <c r="AF580" i="8"/>
  <c r="AF581" i="8"/>
  <c r="AF582" i="8"/>
  <c r="AF583" i="8"/>
  <c r="AF584" i="8"/>
  <c r="AI507" i="8"/>
  <c r="AJ507" i="8" s="1"/>
  <c r="AI508" i="8"/>
  <c r="AJ508" i="8" s="1"/>
  <c r="AI509" i="8"/>
  <c r="AJ509" i="8" s="1"/>
  <c r="AI510" i="8"/>
  <c r="AJ510" i="8" s="1"/>
  <c r="AI511" i="8"/>
  <c r="AJ511" i="8" s="1"/>
  <c r="AI512" i="8"/>
  <c r="AJ512" i="8" s="1"/>
  <c r="AI513" i="8"/>
  <c r="AJ513" i="8" s="1"/>
  <c r="AI514" i="8"/>
  <c r="AJ514" i="8" s="1"/>
  <c r="AI515" i="8"/>
  <c r="AJ515" i="8" s="1"/>
  <c r="AI516" i="8"/>
  <c r="AJ516" i="8" s="1"/>
  <c r="AI517" i="8"/>
  <c r="AJ517" i="8" s="1"/>
  <c r="AI518" i="8"/>
  <c r="AJ518" i="8" s="1"/>
  <c r="AI519" i="8"/>
  <c r="AJ519" i="8" s="1"/>
  <c r="AI520" i="8"/>
  <c r="AJ520" i="8" s="1"/>
  <c r="AI521" i="8"/>
  <c r="AJ521" i="8" s="1"/>
  <c r="AI522" i="8"/>
  <c r="AJ522" i="8" s="1"/>
  <c r="AI523" i="8"/>
  <c r="AJ523" i="8" s="1"/>
  <c r="AI524" i="8"/>
  <c r="AJ524" i="8" s="1"/>
  <c r="AI525" i="8"/>
  <c r="AJ525" i="8" s="1"/>
  <c r="AI526" i="8"/>
  <c r="AJ526" i="8" s="1"/>
  <c r="AI527" i="8"/>
  <c r="AJ527" i="8" s="1"/>
  <c r="AI528" i="8"/>
  <c r="AJ528" i="8" s="1"/>
  <c r="AI529" i="8"/>
  <c r="AJ529" i="8" s="1"/>
  <c r="AI530" i="8"/>
  <c r="AJ530" i="8" s="1"/>
  <c r="AI531" i="8"/>
  <c r="AJ531" i="8" s="1"/>
  <c r="AI532" i="8"/>
  <c r="AJ532" i="8" s="1"/>
  <c r="AI533" i="8"/>
  <c r="AJ533" i="8" s="1"/>
  <c r="AI534" i="8"/>
  <c r="AJ534" i="8" s="1"/>
  <c r="AI535" i="8"/>
  <c r="AJ535" i="8" s="1"/>
  <c r="AI536" i="8"/>
  <c r="AJ536" i="8" s="1"/>
  <c r="AI537" i="8"/>
  <c r="AJ537" i="8" s="1"/>
  <c r="AI538" i="8"/>
  <c r="AJ538" i="8" s="1"/>
  <c r="AI539" i="8"/>
  <c r="AJ539" i="8" s="1"/>
  <c r="AI540" i="8"/>
  <c r="AJ540" i="8" s="1"/>
  <c r="AI541" i="8"/>
  <c r="AJ541" i="8" s="1"/>
  <c r="AI542" i="8"/>
  <c r="AJ542" i="8" s="1"/>
  <c r="AI543" i="8"/>
  <c r="AJ543" i="8" s="1"/>
  <c r="AI544" i="8"/>
  <c r="AJ544" i="8" s="1"/>
  <c r="AI545" i="8"/>
  <c r="AJ545" i="8" s="1"/>
  <c r="AI546" i="8"/>
  <c r="AJ546" i="8" s="1"/>
  <c r="AI547" i="8"/>
  <c r="AJ547" i="8" s="1"/>
  <c r="AI548" i="8"/>
  <c r="AJ548" i="8" s="1"/>
  <c r="AI549" i="8"/>
  <c r="AJ549" i="8" s="1"/>
  <c r="AI550" i="8"/>
  <c r="AJ550" i="8" s="1"/>
  <c r="AI551" i="8"/>
  <c r="AJ551" i="8" s="1"/>
  <c r="AI552" i="8"/>
  <c r="AJ552" i="8" s="1"/>
  <c r="AI553" i="8"/>
  <c r="AJ553" i="8" s="1"/>
  <c r="AI554" i="8"/>
  <c r="AJ554" i="8" s="1"/>
  <c r="AI555" i="8"/>
  <c r="AJ555" i="8" s="1"/>
  <c r="AI556" i="8"/>
  <c r="AJ556" i="8" s="1"/>
  <c r="AI557" i="8"/>
  <c r="AJ557" i="8" s="1"/>
  <c r="AI558" i="8"/>
  <c r="AJ558" i="8" s="1"/>
  <c r="AI559" i="8"/>
  <c r="AJ559" i="8" s="1"/>
  <c r="AI560" i="8"/>
  <c r="AJ560" i="8" s="1"/>
  <c r="AI561" i="8"/>
  <c r="AJ561" i="8" s="1"/>
  <c r="AI562" i="8"/>
  <c r="AJ562" i="8" s="1"/>
  <c r="AI563" i="8"/>
  <c r="AJ563" i="8" s="1"/>
  <c r="AI564" i="8"/>
  <c r="AJ564" i="8" s="1"/>
  <c r="AI565" i="8"/>
  <c r="AJ565" i="8" s="1"/>
  <c r="AI566" i="8"/>
  <c r="AJ566" i="8" s="1"/>
  <c r="AI567" i="8"/>
  <c r="AJ567" i="8" s="1"/>
  <c r="AI568" i="8"/>
  <c r="AJ568" i="8" s="1"/>
  <c r="AI569" i="8"/>
  <c r="AJ569" i="8" s="1"/>
  <c r="AI570" i="8"/>
  <c r="AJ570" i="8" s="1"/>
  <c r="AI571" i="8"/>
  <c r="AJ571" i="8" s="1"/>
  <c r="AI572" i="8"/>
  <c r="AJ572" i="8" s="1"/>
  <c r="AI573" i="8"/>
  <c r="AJ573" i="8" s="1"/>
  <c r="AI574" i="8"/>
  <c r="AJ574" i="8" s="1"/>
  <c r="AI575" i="8"/>
  <c r="AJ575" i="8" s="1"/>
  <c r="AI576" i="8"/>
  <c r="AJ576" i="8" s="1"/>
  <c r="AI577" i="8"/>
  <c r="AJ577" i="8" s="1"/>
  <c r="AI578" i="8"/>
  <c r="AJ578" i="8" s="1"/>
  <c r="AI579" i="8"/>
  <c r="AJ579" i="8" s="1"/>
  <c r="AI580" i="8"/>
  <c r="AJ580" i="8" s="1"/>
  <c r="AI581" i="8"/>
  <c r="AJ581" i="8" s="1"/>
  <c r="AI582" i="8"/>
  <c r="AJ582" i="8" s="1"/>
  <c r="AI583" i="8"/>
  <c r="AJ583" i="8" s="1"/>
  <c r="AI584" i="8"/>
  <c r="S340" i="8" a="1"/>
  <c r="S340" i="8" s="1"/>
  <c r="V340" i="8" s="1"/>
  <c r="S341" i="8" a="1"/>
  <c r="S341" i="8" s="1"/>
  <c r="V341" i="8" s="1"/>
  <c r="S342" i="8" a="1"/>
  <c r="S342" i="8" s="1"/>
  <c r="V342" i="8" s="1"/>
  <c r="S343" i="8" a="1"/>
  <c r="S343" i="8" s="1"/>
  <c r="V343" i="8" s="1"/>
  <c r="S344" i="8" a="1"/>
  <c r="S344" i="8" s="1"/>
  <c r="V344" i="8" s="1"/>
  <c r="S345" i="8" a="1"/>
  <c r="S345" i="8" s="1"/>
  <c r="V345" i="8" s="1"/>
  <c r="S346" i="8" a="1"/>
  <c r="S346" i="8" s="1"/>
  <c r="V346" i="8" s="1"/>
  <c r="S347" i="8" a="1"/>
  <c r="S347" i="8" s="1"/>
  <c r="V347" i="8" s="1"/>
  <c r="S348" i="8" a="1"/>
  <c r="S348" i="8" s="1"/>
  <c r="V348" i="8" s="1"/>
  <c r="S349" i="8" a="1"/>
  <c r="S349" i="8" s="1"/>
  <c r="V349" i="8" s="1"/>
  <c r="S350" i="8" a="1"/>
  <c r="S350" i="8" s="1"/>
  <c r="V350" i="8" s="1"/>
  <c r="S351" i="8" a="1"/>
  <c r="S351" i="8" s="1"/>
  <c r="V351" i="8" s="1"/>
  <c r="S352" i="8" a="1"/>
  <c r="S352" i="8" s="1"/>
  <c r="V352" i="8" s="1"/>
  <c r="S353" i="8" a="1"/>
  <c r="S353" i="8" s="1"/>
  <c r="V353" i="8" s="1"/>
  <c r="S354" i="8" a="1"/>
  <c r="S354" i="8" s="1"/>
  <c r="V354" i="8" s="1"/>
  <c r="S355" i="8" a="1"/>
  <c r="S355" i="8" s="1"/>
  <c r="V355" i="8" s="1"/>
  <c r="S356" i="8" a="1"/>
  <c r="S356" i="8" s="1"/>
  <c r="V356" i="8" s="1"/>
  <c r="S357" i="8" a="1"/>
  <c r="S357" i="8" s="1"/>
  <c r="V357" i="8" s="1"/>
  <c r="S358" i="8" a="1"/>
  <c r="S358" i="8" s="1"/>
  <c r="V358" i="8" s="1"/>
  <c r="S359" i="8" a="1"/>
  <c r="S359" i="8" s="1"/>
  <c r="V359" i="8" s="1"/>
  <c r="S360" i="8" a="1"/>
  <c r="S360" i="8" s="1"/>
  <c r="V360" i="8" s="1"/>
  <c r="S361" i="8" a="1"/>
  <c r="S361" i="8" s="1"/>
  <c r="V361" i="8" s="1"/>
  <c r="S362" i="8" a="1"/>
  <c r="S362" i="8" s="1"/>
  <c r="V362" i="8" s="1"/>
  <c r="S363" i="8" a="1"/>
  <c r="S363" i="8" s="1"/>
  <c r="V363" i="8" s="1"/>
  <c r="S364" i="8" a="1"/>
  <c r="S364" i="8" s="1"/>
  <c r="V364" i="8" s="1"/>
  <c r="S365" i="8" a="1"/>
  <c r="S365" i="8" s="1"/>
  <c r="V365" i="8" s="1"/>
  <c r="S366" i="8" a="1"/>
  <c r="S366" i="8" s="1"/>
  <c r="V366" i="8" s="1"/>
  <c r="S367" i="8" a="1"/>
  <c r="S367" i="8" s="1"/>
  <c r="V367" i="8" s="1"/>
  <c r="S368" i="8" a="1"/>
  <c r="S368" i="8" s="1"/>
  <c r="V368" i="8" s="1"/>
  <c r="S369" i="8" a="1"/>
  <c r="S369" i="8" s="1"/>
  <c r="V369" i="8" s="1"/>
  <c r="S370" i="8" a="1"/>
  <c r="S370" i="8" s="1"/>
  <c r="V370" i="8" s="1"/>
  <c r="S371" i="8" a="1"/>
  <c r="S371" i="8" s="1"/>
  <c r="V371" i="8" s="1"/>
  <c r="S372" i="8" a="1"/>
  <c r="S372" i="8" s="1"/>
  <c r="V372" i="8" s="1"/>
  <c r="S373" i="8" a="1"/>
  <c r="S373" i="8" s="1"/>
  <c r="V373" i="8" s="1"/>
  <c r="S374" i="8" a="1"/>
  <c r="S374" i="8" s="1"/>
  <c r="V374" i="8" s="1"/>
  <c r="S375" i="8" a="1"/>
  <c r="S375" i="8" s="1"/>
  <c r="V375" i="8" s="1"/>
  <c r="S376" i="8" a="1"/>
  <c r="S376" i="8" s="1"/>
  <c r="V376" i="8" s="1"/>
  <c r="S377" i="8" a="1"/>
  <c r="S377" i="8" s="1"/>
  <c r="V377" i="8" s="1"/>
  <c r="S378" i="8" a="1"/>
  <c r="S378" i="8" s="1"/>
  <c r="V378" i="8" s="1"/>
  <c r="S379" i="8" a="1"/>
  <c r="S379" i="8" s="1"/>
  <c r="V379" i="8" s="1"/>
  <c r="S380" i="8" a="1"/>
  <c r="S380" i="8" s="1"/>
  <c r="V380" i="8" s="1"/>
  <c r="S381" i="8" a="1"/>
  <c r="S381" i="8" s="1"/>
  <c r="V381" i="8" s="1"/>
  <c r="S382" i="8" a="1"/>
  <c r="S382" i="8" s="1"/>
  <c r="V382" i="8" s="1"/>
  <c r="S383" i="8" a="1"/>
  <c r="S383" i="8" s="1"/>
  <c r="V383" i="8" s="1"/>
  <c r="S384" i="8" a="1"/>
  <c r="S384" i="8" s="1"/>
  <c r="V384" i="8" s="1"/>
  <c r="S385" i="8" a="1"/>
  <c r="S385" i="8" s="1"/>
  <c r="V385" i="8" s="1"/>
  <c r="S386" i="8" a="1"/>
  <c r="S386" i="8" s="1"/>
  <c r="V386" i="8" s="1"/>
  <c r="S387" i="8" a="1"/>
  <c r="S387" i="8" s="1"/>
  <c r="V387" i="8" s="1"/>
  <c r="S388" i="8" a="1"/>
  <c r="S388" i="8" s="1"/>
  <c r="V388" i="8" s="1"/>
  <c r="S389" i="8" a="1"/>
  <c r="S389" i="8" s="1"/>
  <c r="V389" i="8" s="1"/>
  <c r="S390" i="8" a="1"/>
  <c r="S390" i="8" s="1"/>
  <c r="V390" i="8" s="1"/>
  <c r="S391" i="8" a="1"/>
  <c r="S391" i="8" s="1"/>
  <c r="V391" i="8" s="1"/>
  <c r="S392" i="8" a="1"/>
  <c r="S392" i="8" s="1"/>
  <c r="V392" i="8" s="1"/>
  <c r="S393" i="8" a="1"/>
  <c r="S393" i="8" s="1"/>
  <c r="V393" i="8" s="1"/>
  <c r="S394" i="8" a="1"/>
  <c r="S394" i="8" s="1"/>
  <c r="V394" i="8" s="1"/>
  <c r="S395" i="8" a="1"/>
  <c r="S395" i="8" s="1"/>
  <c r="V395" i="8" s="1"/>
  <c r="S396" i="8" a="1"/>
  <c r="S396" i="8" s="1"/>
  <c r="V396" i="8" s="1"/>
  <c r="S397" i="8" a="1"/>
  <c r="S397" i="8" s="1"/>
  <c r="V397" i="8" s="1"/>
  <c r="S398" i="8" a="1"/>
  <c r="S398" i="8" s="1"/>
  <c r="V398" i="8" s="1"/>
  <c r="S399" i="8" a="1"/>
  <c r="S399" i="8" s="1"/>
  <c r="V399" i="8" s="1"/>
  <c r="S400" i="8" a="1"/>
  <c r="S400" i="8" s="1"/>
  <c r="V400" i="8" s="1"/>
  <c r="S401" i="8" a="1"/>
  <c r="S401" i="8" s="1"/>
  <c r="V401" i="8" s="1"/>
  <c r="S402" i="8" a="1"/>
  <c r="S402" i="8" s="1"/>
  <c r="V402" i="8" s="1"/>
  <c r="S403" i="8" a="1"/>
  <c r="S403" i="8" s="1"/>
  <c r="V403" i="8" s="1"/>
  <c r="S404" i="8" a="1"/>
  <c r="S404" i="8" s="1"/>
  <c r="V404" i="8" s="1"/>
  <c r="S405" i="8" a="1"/>
  <c r="S405" i="8" s="1"/>
  <c r="V405" i="8" s="1"/>
  <c r="S406" i="8" a="1"/>
  <c r="S406" i="8" s="1"/>
  <c r="V406" i="8" s="1"/>
  <c r="S407" i="8" a="1"/>
  <c r="S407" i="8" s="1"/>
  <c r="V407" i="8" s="1"/>
  <c r="S408" i="8" a="1"/>
  <c r="S408" i="8" s="1"/>
  <c r="V408" i="8" s="1"/>
  <c r="S409" i="8" a="1"/>
  <c r="S409" i="8" s="1"/>
  <c r="V409" i="8" s="1"/>
  <c r="S410" i="8" a="1"/>
  <c r="S410" i="8" s="1"/>
  <c r="V410" i="8" s="1"/>
  <c r="S411" i="8" a="1"/>
  <c r="S411" i="8" s="1"/>
  <c r="V411" i="8" s="1"/>
  <c r="S412" i="8" a="1"/>
  <c r="S412" i="8" s="1"/>
  <c r="V412" i="8" s="1"/>
  <c r="S413" i="8" a="1"/>
  <c r="S413" i="8" s="1"/>
  <c r="V413" i="8" s="1"/>
  <c r="S414" i="8" a="1"/>
  <c r="S414" i="8" s="1"/>
  <c r="V414" i="8" s="1"/>
  <c r="S415" i="8" a="1"/>
  <c r="S415" i="8" s="1"/>
  <c r="V415" i="8" s="1"/>
  <c r="S416" i="8" a="1"/>
  <c r="S416" i="8" s="1"/>
  <c r="V416" i="8" s="1"/>
  <c r="S417" i="8" a="1"/>
  <c r="S417" i="8" s="1"/>
  <c r="V417" i="8" s="1"/>
  <c r="S418" i="8" a="1"/>
  <c r="S418" i="8" s="1"/>
  <c r="V418" i="8" s="1"/>
  <c r="S419" i="8" a="1"/>
  <c r="S419" i="8" s="1"/>
  <c r="V419" i="8" s="1"/>
  <c r="S420" i="8" a="1"/>
  <c r="S420" i="8" s="1"/>
  <c r="V420" i="8" s="1"/>
  <c r="S421" i="8" a="1"/>
  <c r="S421" i="8" s="1"/>
  <c r="V421" i="8" s="1"/>
  <c r="S422" i="8" a="1"/>
  <c r="S422" i="8" s="1"/>
  <c r="V422" i="8" s="1"/>
  <c r="S423" i="8" a="1"/>
  <c r="S423" i="8" s="1"/>
  <c r="V423" i="8" s="1"/>
  <c r="S424" i="8" a="1"/>
  <c r="S424" i="8" s="1"/>
  <c r="V424" i="8" s="1"/>
  <c r="S425" i="8" a="1"/>
  <c r="S425" i="8" s="1"/>
  <c r="V425" i="8" s="1"/>
  <c r="S426" i="8" a="1"/>
  <c r="S426" i="8" s="1"/>
  <c r="V426" i="8" s="1"/>
  <c r="S427" i="8" a="1"/>
  <c r="S427" i="8" s="1"/>
  <c r="V427" i="8" s="1"/>
  <c r="S428" i="8" a="1"/>
  <c r="S428" i="8" s="1"/>
  <c r="V428" i="8" s="1"/>
  <c r="S429" i="8" a="1"/>
  <c r="S429" i="8" s="1"/>
  <c r="V429" i="8" s="1"/>
  <c r="S430" i="8" a="1"/>
  <c r="S430" i="8" s="1"/>
  <c r="V430" i="8" s="1"/>
  <c r="S431" i="8" a="1"/>
  <c r="S431" i="8" s="1"/>
  <c r="V431" i="8" s="1"/>
  <c r="S432" i="8" a="1"/>
  <c r="S432" i="8" s="1"/>
  <c r="V432" i="8" s="1"/>
  <c r="S433" i="8" a="1"/>
  <c r="S433" i="8" s="1"/>
  <c r="V433" i="8" s="1"/>
  <c r="S434" i="8" a="1"/>
  <c r="S434" i="8" s="1"/>
  <c r="V434" i="8" s="1"/>
  <c r="S435" i="8" a="1"/>
  <c r="S435" i="8" s="1"/>
  <c r="V435" i="8" s="1"/>
  <c r="S436" i="8" a="1"/>
  <c r="S436" i="8" s="1"/>
  <c r="V436" i="8" s="1"/>
  <c r="S437" i="8" a="1"/>
  <c r="S437" i="8" s="1"/>
  <c r="V437" i="8" s="1"/>
  <c r="S438" i="8" a="1"/>
  <c r="S438" i="8" s="1"/>
  <c r="V438" i="8" s="1"/>
  <c r="S439" i="8" a="1"/>
  <c r="S439" i="8" s="1"/>
  <c r="V439" i="8" s="1"/>
  <c r="S440" i="8" a="1"/>
  <c r="S440" i="8" s="1"/>
  <c r="V440" i="8" s="1"/>
  <c r="S441" i="8" a="1"/>
  <c r="S441" i="8" s="1"/>
  <c r="V441" i="8" s="1"/>
  <c r="S442" i="8" a="1"/>
  <c r="S442" i="8" s="1"/>
  <c r="V442" i="8" s="1"/>
  <c r="S443" i="8" a="1"/>
  <c r="S443" i="8" s="1"/>
  <c r="V443" i="8" s="1"/>
  <c r="S444" i="8" a="1"/>
  <c r="S444" i="8" s="1"/>
  <c r="V444" i="8" s="1"/>
  <c r="S445" i="8" a="1"/>
  <c r="S445" i="8" s="1"/>
  <c r="V445" i="8" s="1"/>
  <c r="S446" i="8" a="1"/>
  <c r="S446" i="8" s="1"/>
  <c r="V446" i="8" s="1"/>
  <c r="S447" i="8" a="1"/>
  <c r="S447" i="8" s="1"/>
  <c r="V447" i="8" s="1"/>
  <c r="S448" i="8" a="1"/>
  <c r="S448" i="8" s="1"/>
  <c r="V448" i="8" s="1"/>
  <c r="S449" i="8" a="1"/>
  <c r="S449" i="8" s="1"/>
  <c r="V449" i="8" s="1"/>
  <c r="S450" i="8" a="1"/>
  <c r="S450" i="8" s="1"/>
  <c r="V450" i="8" s="1"/>
  <c r="S451" i="8" a="1"/>
  <c r="S451" i="8" s="1"/>
  <c r="V451" i="8" s="1"/>
  <c r="S452" i="8" a="1"/>
  <c r="S452" i="8" s="1"/>
  <c r="V452" i="8" s="1"/>
  <c r="S453" i="8" a="1"/>
  <c r="S453" i="8" s="1"/>
  <c r="V453" i="8" s="1"/>
  <c r="S454" i="8" a="1"/>
  <c r="S454" i="8" s="1"/>
  <c r="V454" i="8" s="1"/>
  <c r="S455" i="8" a="1"/>
  <c r="S455" i="8" s="1"/>
  <c r="V455" i="8" s="1"/>
  <c r="S456" i="8" a="1"/>
  <c r="S456" i="8" s="1"/>
  <c r="V456" i="8" s="1"/>
  <c r="S457" i="8" a="1"/>
  <c r="S457" i="8" s="1"/>
  <c r="V457" i="8" s="1"/>
  <c r="S458" i="8" a="1"/>
  <c r="S458" i="8" s="1"/>
  <c r="V458" i="8" s="1"/>
  <c r="S459" i="8" a="1"/>
  <c r="S459" i="8" s="1"/>
  <c r="V459" i="8" s="1"/>
  <c r="S460" i="8" a="1"/>
  <c r="S460" i="8" s="1"/>
  <c r="V460" i="8" s="1"/>
  <c r="S461" i="8" a="1"/>
  <c r="S461" i="8" s="1"/>
  <c r="V461" i="8" s="1"/>
  <c r="S462" i="8" a="1"/>
  <c r="S462" i="8" s="1"/>
  <c r="V462" i="8" s="1"/>
  <c r="S463" i="8" a="1"/>
  <c r="S463" i="8" s="1"/>
  <c r="V463" i="8" s="1"/>
  <c r="S464" i="8" a="1"/>
  <c r="S464" i="8" s="1"/>
  <c r="V464" i="8" s="1"/>
  <c r="S465" i="8" a="1"/>
  <c r="S465" i="8" s="1"/>
  <c r="V465" i="8" s="1"/>
  <c r="S466" i="8" a="1"/>
  <c r="S466" i="8" s="1"/>
  <c r="V466" i="8" s="1"/>
  <c r="S467" i="8" a="1"/>
  <c r="S467" i="8" s="1"/>
  <c r="V467" i="8" s="1"/>
  <c r="S468" i="8" a="1"/>
  <c r="S468" i="8" s="1"/>
  <c r="V468" i="8" s="1"/>
  <c r="S469" i="8" a="1"/>
  <c r="S469" i="8" s="1"/>
  <c r="V469" i="8" s="1"/>
  <c r="S470" i="8" a="1"/>
  <c r="S470" i="8" s="1"/>
  <c r="V470" i="8" s="1"/>
  <c r="S471" i="8" a="1"/>
  <c r="S471" i="8" s="1"/>
  <c r="V471" i="8" s="1"/>
  <c r="S472" i="8" a="1"/>
  <c r="S472" i="8" s="1"/>
  <c r="V472" i="8" s="1"/>
  <c r="S473" i="8" a="1"/>
  <c r="S473" i="8" s="1"/>
  <c r="V473" i="8" s="1"/>
  <c r="S474" i="8" a="1"/>
  <c r="S474" i="8" s="1"/>
  <c r="V474" i="8" s="1"/>
  <c r="S475" i="8" a="1"/>
  <c r="S475" i="8" s="1"/>
  <c r="V475" i="8" s="1"/>
  <c r="S476" i="8" a="1"/>
  <c r="S476" i="8" s="1"/>
  <c r="V476" i="8" s="1"/>
  <c r="S477" i="8" a="1"/>
  <c r="S477" i="8" s="1"/>
  <c r="V477" i="8" s="1"/>
  <c r="S478" i="8" a="1"/>
  <c r="S478" i="8" s="1"/>
  <c r="V478" i="8" s="1"/>
  <c r="S479" i="8" a="1"/>
  <c r="S479" i="8" s="1"/>
  <c r="V479" i="8" s="1"/>
  <c r="S480" i="8" a="1"/>
  <c r="S480" i="8" s="1"/>
  <c r="V480" i="8" s="1"/>
  <c r="S481" i="8" a="1"/>
  <c r="S481" i="8" s="1"/>
  <c r="V481" i="8" s="1"/>
  <c r="S482" i="8" a="1"/>
  <c r="S482" i="8" s="1"/>
  <c r="V482" i="8" s="1"/>
  <c r="S483" i="8" a="1"/>
  <c r="S483" i="8" s="1"/>
  <c r="V483" i="8" s="1"/>
  <c r="S484" i="8" a="1"/>
  <c r="S484" i="8" s="1"/>
  <c r="V484" i="8" s="1"/>
  <c r="S485" i="8" a="1"/>
  <c r="S485" i="8" s="1"/>
  <c r="V485" i="8" s="1"/>
  <c r="S486" i="8" a="1"/>
  <c r="S486" i="8" s="1"/>
  <c r="V486" i="8" s="1"/>
  <c r="S487" i="8" a="1"/>
  <c r="S487" i="8" s="1"/>
  <c r="V487" i="8" s="1"/>
  <c r="S488" i="8" a="1"/>
  <c r="S488" i="8" s="1"/>
  <c r="V488" i="8" s="1"/>
  <c r="S489" i="8" a="1"/>
  <c r="S489" i="8" s="1"/>
  <c r="V489" i="8" s="1"/>
  <c r="S490" i="8" a="1"/>
  <c r="S490" i="8" s="1"/>
  <c r="V490" i="8" s="1"/>
  <c r="S491" i="8" a="1"/>
  <c r="S491" i="8" s="1"/>
  <c r="V491" i="8" s="1"/>
  <c r="S492" i="8" a="1"/>
  <c r="S492" i="8" s="1"/>
  <c r="V492" i="8" s="1"/>
  <c r="S493" i="8" a="1"/>
  <c r="S493" i="8" s="1"/>
  <c r="V493" i="8" s="1"/>
  <c r="S494" i="8" a="1"/>
  <c r="S494" i="8" s="1"/>
  <c r="V494" i="8" s="1"/>
  <c r="S495" i="8" a="1"/>
  <c r="S495" i="8" s="1"/>
  <c r="V495" i="8" s="1"/>
  <c r="S496" i="8" a="1"/>
  <c r="S496" i="8" s="1"/>
  <c r="V496" i="8" s="1"/>
  <c r="S497" i="8" a="1"/>
  <c r="S497" i="8" s="1"/>
  <c r="V497" i="8" s="1"/>
  <c r="S498" i="8" a="1"/>
  <c r="S498" i="8" s="1"/>
  <c r="V498" i="8" s="1"/>
  <c r="S499" i="8" a="1"/>
  <c r="S499" i="8" s="1"/>
  <c r="V499" i="8" s="1"/>
  <c r="S500" i="8" a="1"/>
  <c r="S500" i="8" s="1"/>
  <c r="V500" i="8" s="1"/>
  <c r="T340" i="8" a="1"/>
  <c r="T340" i="8" s="1"/>
  <c r="T341" i="8" a="1"/>
  <c r="T341" i="8" s="1"/>
  <c r="T342" i="8" a="1"/>
  <c r="T342" i="8" s="1"/>
  <c r="T343" i="8" a="1"/>
  <c r="T343" i="8" s="1"/>
  <c r="T344" i="8" a="1"/>
  <c r="T344" i="8" s="1"/>
  <c r="T345" i="8" a="1"/>
  <c r="T345" i="8" s="1"/>
  <c r="T346" i="8" a="1"/>
  <c r="T346" i="8" s="1"/>
  <c r="T347" i="8" a="1"/>
  <c r="T347" i="8" s="1"/>
  <c r="T348" i="8" a="1"/>
  <c r="T348" i="8" s="1"/>
  <c r="T349" i="8" a="1"/>
  <c r="T349" i="8" s="1"/>
  <c r="T350" i="8" a="1"/>
  <c r="T350" i="8" s="1"/>
  <c r="T351" i="8" a="1"/>
  <c r="T351" i="8" s="1"/>
  <c r="T352" i="8" a="1"/>
  <c r="T352" i="8" s="1"/>
  <c r="T353" i="8" a="1"/>
  <c r="T353" i="8" s="1"/>
  <c r="T354" i="8" a="1"/>
  <c r="T354" i="8" s="1"/>
  <c r="T355" i="8" a="1"/>
  <c r="T355" i="8" s="1"/>
  <c r="T356" i="8" a="1"/>
  <c r="T356" i="8" s="1"/>
  <c r="T357" i="8" a="1"/>
  <c r="T357" i="8" s="1"/>
  <c r="T358" i="8" a="1"/>
  <c r="T358" i="8" s="1"/>
  <c r="T359" i="8" a="1"/>
  <c r="T359" i="8" s="1"/>
  <c r="T360" i="8" a="1"/>
  <c r="T360" i="8" s="1"/>
  <c r="T361" i="8" a="1"/>
  <c r="T361" i="8" s="1"/>
  <c r="T362" i="8" a="1"/>
  <c r="T362" i="8" s="1"/>
  <c r="T363" i="8" a="1"/>
  <c r="T363" i="8" s="1"/>
  <c r="T364" i="8" a="1"/>
  <c r="T364" i="8" s="1"/>
  <c r="T365" i="8" a="1"/>
  <c r="T365" i="8" s="1"/>
  <c r="T366" i="8" a="1"/>
  <c r="T366" i="8" s="1"/>
  <c r="T367" i="8" a="1"/>
  <c r="T367" i="8" s="1"/>
  <c r="T368" i="8" a="1"/>
  <c r="T368" i="8" s="1"/>
  <c r="T369" i="8" a="1"/>
  <c r="T369" i="8" s="1"/>
  <c r="T370" i="8" a="1"/>
  <c r="T370" i="8" s="1"/>
  <c r="T371" i="8" a="1"/>
  <c r="T371" i="8" s="1"/>
  <c r="T372" i="8" a="1"/>
  <c r="T372" i="8" s="1"/>
  <c r="T373" i="8" a="1"/>
  <c r="T373" i="8" s="1"/>
  <c r="T374" i="8" a="1"/>
  <c r="T374" i="8" s="1"/>
  <c r="T375" i="8" a="1"/>
  <c r="T375" i="8" s="1"/>
  <c r="T376" i="8" a="1"/>
  <c r="T376" i="8" s="1"/>
  <c r="T377" i="8" a="1"/>
  <c r="T377" i="8" s="1"/>
  <c r="T378" i="8" a="1"/>
  <c r="T378" i="8" s="1"/>
  <c r="T379" i="8" a="1"/>
  <c r="T379" i="8" s="1"/>
  <c r="T380" i="8" a="1"/>
  <c r="T380" i="8" s="1"/>
  <c r="T381" i="8" a="1"/>
  <c r="T381" i="8" s="1"/>
  <c r="T382" i="8" a="1"/>
  <c r="T382" i="8" s="1"/>
  <c r="T383" i="8" a="1"/>
  <c r="T383" i="8" s="1"/>
  <c r="T384" i="8" a="1"/>
  <c r="T384" i="8" s="1"/>
  <c r="T385" i="8" a="1"/>
  <c r="T385" i="8" s="1"/>
  <c r="T386" i="8" a="1"/>
  <c r="T386" i="8" s="1"/>
  <c r="T387" i="8" a="1"/>
  <c r="T387" i="8" s="1"/>
  <c r="T388" i="8" a="1"/>
  <c r="T388" i="8" s="1"/>
  <c r="T389" i="8" a="1"/>
  <c r="T389" i="8" s="1"/>
  <c r="T390" i="8" a="1"/>
  <c r="T390" i="8" s="1"/>
  <c r="T391" i="8" a="1"/>
  <c r="T391" i="8" s="1"/>
  <c r="T392" i="8" a="1"/>
  <c r="T392" i="8" s="1"/>
  <c r="T393" i="8" a="1"/>
  <c r="T393" i="8" s="1"/>
  <c r="T394" i="8" a="1"/>
  <c r="T394" i="8" s="1"/>
  <c r="T395" i="8" a="1"/>
  <c r="T395" i="8" s="1"/>
  <c r="T396" i="8" a="1"/>
  <c r="T396" i="8" s="1"/>
  <c r="T397" i="8" a="1"/>
  <c r="T397" i="8" s="1"/>
  <c r="T398" i="8" a="1"/>
  <c r="T398" i="8" s="1"/>
  <c r="T399" i="8" a="1"/>
  <c r="T399" i="8" s="1"/>
  <c r="T400" i="8" a="1"/>
  <c r="T400" i="8" s="1"/>
  <c r="T401" i="8" a="1"/>
  <c r="T401" i="8" s="1"/>
  <c r="T402" i="8" a="1"/>
  <c r="T402" i="8" s="1"/>
  <c r="T403" i="8" a="1"/>
  <c r="T403" i="8" s="1"/>
  <c r="T404" i="8" a="1"/>
  <c r="T404" i="8" s="1"/>
  <c r="T405" i="8" a="1"/>
  <c r="T405" i="8" s="1"/>
  <c r="T406" i="8" a="1"/>
  <c r="T406" i="8" s="1"/>
  <c r="T407" i="8" a="1"/>
  <c r="T407" i="8" s="1"/>
  <c r="T408" i="8" a="1"/>
  <c r="T408" i="8" s="1"/>
  <c r="T409" i="8" a="1"/>
  <c r="T409" i="8" s="1"/>
  <c r="T410" i="8" a="1"/>
  <c r="T410" i="8" s="1"/>
  <c r="T411" i="8" a="1"/>
  <c r="T411" i="8" s="1"/>
  <c r="T412" i="8" a="1"/>
  <c r="T412" i="8" s="1"/>
  <c r="T413" i="8" a="1"/>
  <c r="T413" i="8" s="1"/>
  <c r="T414" i="8" a="1"/>
  <c r="T414" i="8" s="1"/>
  <c r="T415" i="8" a="1"/>
  <c r="T415" i="8" s="1"/>
  <c r="T416" i="8" a="1"/>
  <c r="T416" i="8" s="1"/>
  <c r="T417" i="8" a="1"/>
  <c r="T417" i="8" s="1"/>
  <c r="T418" i="8" a="1"/>
  <c r="T418" i="8" s="1"/>
  <c r="T419" i="8" a="1"/>
  <c r="T419" i="8" s="1"/>
  <c r="T420" i="8" a="1"/>
  <c r="T420" i="8" s="1"/>
  <c r="T421" i="8" a="1"/>
  <c r="T421" i="8" s="1"/>
  <c r="T422" i="8" a="1"/>
  <c r="T422" i="8" s="1"/>
  <c r="T423" i="8" a="1"/>
  <c r="T423" i="8" s="1"/>
  <c r="T424" i="8" a="1"/>
  <c r="T424" i="8" s="1"/>
  <c r="T425" i="8" a="1"/>
  <c r="T425" i="8" s="1"/>
  <c r="T426" i="8" a="1"/>
  <c r="T426" i="8" s="1"/>
  <c r="T427" i="8" a="1"/>
  <c r="T427" i="8" s="1"/>
  <c r="T428" i="8" a="1"/>
  <c r="T428" i="8" s="1"/>
  <c r="T429" i="8" a="1"/>
  <c r="T429" i="8" s="1"/>
  <c r="T430" i="8" a="1"/>
  <c r="T430" i="8" s="1"/>
  <c r="T431" i="8" a="1"/>
  <c r="T431" i="8" s="1"/>
  <c r="T432" i="8" a="1"/>
  <c r="T432" i="8" s="1"/>
  <c r="T433" i="8" a="1"/>
  <c r="T433" i="8" s="1"/>
  <c r="T434" i="8" a="1"/>
  <c r="T434" i="8" s="1"/>
  <c r="T435" i="8" a="1"/>
  <c r="T435" i="8" s="1"/>
  <c r="T436" i="8" a="1"/>
  <c r="T436" i="8" s="1"/>
  <c r="T437" i="8" a="1"/>
  <c r="T437" i="8" s="1"/>
  <c r="T438" i="8" a="1"/>
  <c r="T438" i="8" s="1"/>
  <c r="T439" i="8" a="1"/>
  <c r="T439" i="8" s="1"/>
  <c r="T440" i="8" a="1"/>
  <c r="T440" i="8" s="1"/>
  <c r="T441" i="8" a="1"/>
  <c r="T441" i="8" s="1"/>
  <c r="T442" i="8" a="1"/>
  <c r="T442" i="8" s="1"/>
  <c r="T443" i="8" a="1"/>
  <c r="T443" i="8" s="1"/>
  <c r="T444" i="8" a="1"/>
  <c r="T444" i="8" s="1"/>
  <c r="T445" i="8" a="1"/>
  <c r="T445" i="8" s="1"/>
  <c r="T446" i="8" a="1"/>
  <c r="T446" i="8" s="1"/>
  <c r="T447" i="8" a="1"/>
  <c r="T447" i="8" s="1"/>
  <c r="T448" i="8" a="1"/>
  <c r="T448" i="8" s="1"/>
  <c r="T449" i="8" a="1"/>
  <c r="T449" i="8" s="1"/>
  <c r="T450" i="8" a="1"/>
  <c r="T450" i="8" s="1"/>
  <c r="T451" i="8" a="1"/>
  <c r="T451" i="8" s="1"/>
  <c r="T452" i="8" a="1"/>
  <c r="T452" i="8" s="1"/>
  <c r="T453" i="8" a="1"/>
  <c r="T453" i="8" s="1"/>
  <c r="T454" i="8" a="1"/>
  <c r="T454" i="8" s="1"/>
  <c r="T455" i="8" a="1"/>
  <c r="T455" i="8" s="1"/>
  <c r="T456" i="8" a="1"/>
  <c r="T456" i="8" s="1"/>
  <c r="T457" i="8" a="1"/>
  <c r="T457" i="8" s="1"/>
  <c r="T458" i="8" a="1"/>
  <c r="T458" i="8" s="1"/>
  <c r="T459" i="8" a="1"/>
  <c r="T459" i="8" s="1"/>
  <c r="T460" i="8" a="1"/>
  <c r="T460" i="8" s="1"/>
  <c r="T461" i="8" a="1"/>
  <c r="T461" i="8" s="1"/>
  <c r="T462" i="8" a="1"/>
  <c r="T462" i="8" s="1"/>
  <c r="T463" i="8" a="1"/>
  <c r="T463" i="8" s="1"/>
  <c r="T464" i="8" a="1"/>
  <c r="T464" i="8" s="1"/>
  <c r="T465" i="8" a="1"/>
  <c r="T465" i="8" s="1"/>
  <c r="T466" i="8" a="1"/>
  <c r="T466" i="8" s="1"/>
  <c r="T467" i="8" a="1"/>
  <c r="T467" i="8" s="1"/>
  <c r="T468" i="8" a="1"/>
  <c r="T468" i="8" s="1"/>
  <c r="T469" i="8" a="1"/>
  <c r="T469" i="8" s="1"/>
  <c r="T470" i="8" a="1"/>
  <c r="T470" i="8" s="1"/>
  <c r="T471" i="8" a="1"/>
  <c r="T471" i="8" s="1"/>
  <c r="T472" i="8" a="1"/>
  <c r="T472" i="8" s="1"/>
  <c r="T473" i="8" a="1"/>
  <c r="T473" i="8" s="1"/>
  <c r="T474" i="8" a="1"/>
  <c r="T474" i="8" s="1"/>
  <c r="T475" i="8" a="1"/>
  <c r="T475" i="8" s="1"/>
  <c r="T476" i="8" a="1"/>
  <c r="T476" i="8" s="1"/>
  <c r="T477" i="8" a="1"/>
  <c r="T477" i="8" s="1"/>
  <c r="T478" i="8" a="1"/>
  <c r="T478" i="8" s="1"/>
  <c r="T479" i="8" a="1"/>
  <c r="T479" i="8" s="1"/>
  <c r="T480" i="8" a="1"/>
  <c r="T480" i="8" s="1"/>
  <c r="T481" i="8" a="1"/>
  <c r="T481" i="8" s="1"/>
  <c r="T482" i="8" a="1"/>
  <c r="T482" i="8" s="1"/>
  <c r="T483" i="8" a="1"/>
  <c r="T483" i="8" s="1"/>
  <c r="T484" i="8" a="1"/>
  <c r="T484" i="8" s="1"/>
  <c r="T485" i="8" a="1"/>
  <c r="T485" i="8" s="1"/>
  <c r="T486" i="8" a="1"/>
  <c r="T486" i="8" s="1"/>
  <c r="T487" i="8" a="1"/>
  <c r="T487" i="8" s="1"/>
  <c r="T488" i="8" a="1"/>
  <c r="T488" i="8" s="1"/>
  <c r="T489" i="8" a="1"/>
  <c r="T489" i="8" s="1"/>
  <c r="T490" i="8" a="1"/>
  <c r="T490" i="8" s="1"/>
  <c r="T491" i="8" a="1"/>
  <c r="T491" i="8" s="1"/>
  <c r="T492" i="8" a="1"/>
  <c r="T492" i="8" s="1"/>
  <c r="T493" i="8" a="1"/>
  <c r="T493" i="8" s="1"/>
  <c r="T494" i="8" a="1"/>
  <c r="T494" i="8" s="1"/>
  <c r="T495" i="8" a="1"/>
  <c r="T495" i="8" s="1"/>
  <c r="T496" i="8" a="1"/>
  <c r="T496" i="8" s="1"/>
  <c r="T497" i="8" a="1"/>
  <c r="T497" i="8" s="1"/>
  <c r="T498" i="8" a="1"/>
  <c r="T498" i="8" s="1"/>
  <c r="T499" i="8" a="1"/>
  <c r="T499" i="8" s="1"/>
  <c r="T500" i="8" a="1"/>
  <c r="T500" i="8" s="1"/>
  <c r="AF340" i="8"/>
  <c r="AF341" i="8"/>
  <c r="AF342" i="8"/>
  <c r="AF343" i="8"/>
  <c r="AF344" i="8"/>
  <c r="AF345" i="8"/>
  <c r="AF346" i="8"/>
  <c r="AF347" i="8"/>
  <c r="AF348" i="8"/>
  <c r="AF349" i="8"/>
  <c r="AF350" i="8"/>
  <c r="AF351" i="8"/>
  <c r="AF352" i="8"/>
  <c r="AF353" i="8"/>
  <c r="AF354" i="8"/>
  <c r="AF355" i="8"/>
  <c r="AF356" i="8"/>
  <c r="AF357" i="8"/>
  <c r="AF358" i="8"/>
  <c r="AF359" i="8"/>
  <c r="AF360" i="8"/>
  <c r="AF361" i="8"/>
  <c r="AF362" i="8"/>
  <c r="AF363" i="8"/>
  <c r="AF364" i="8"/>
  <c r="AF365" i="8"/>
  <c r="AF366" i="8"/>
  <c r="AF367" i="8"/>
  <c r="AF368" i="8"/>
  <c r="AF369" i="8"/>
  <c r="AF370" i="8"/>
  <c r="AF371" i="8"/>
  <c r="AF372" i="8"/>
  <c r="AF373" i="8"/>
  <c r="AF374" i="8"/>
  <c r="AF375" i="8"/>
  <c r="AF376" i="8"/>
  <c r="AF377" i="8"/>
  <c r="AF378" i="8"/>
  <c r="AF379" i="8"/>
  <c r="AF380" i="8"/>
  <c r="AF381" i="8"/>
  <c r="AF382" i="8"/>
  <c r="AF383" i="8"/>
  <c r="AF384" i="8"/>
  <c r="AF385" i="8"/>
  <c r="AF386" i="8"/>
  <c r="AF387" i="8"/>
  <c r="AF388" i="8"/>
  <c r="AF389" i="8"/>
  <c r="AF390" i="8"/>
  <c r="AF391" i="8"/>
  <c r="AF392" i="8"/>
  <c r="AF393" i="8"/>
  <c r="AF394" i="8"/>
  <c r="AF395" i="8"/>
  <c r="AF396" i="8"/>
  <c r="AF397" i="8"/>
  <c r="AF398" i="8"/>
  <c r="AF399" i="8"/>
  <c r="AF400" i="8"/>
  <c r="AF401" i="8"/>
  <c r="AF402" i="8"/>
  <c r="AF403" i="8"/>
  <c r="AF404" i="8"/>
  <c r="AF405" i="8"/>
  <c r="AF406" i="8"/>
  <c r="AF407" i="8"/>
  <c r="AF408" i="8"/>
  <c r="AF409" i="8"/>
  <c r="AF410" i="8"/>
  <c r="AF411" i="8"/>
  <c r="AF412" i="8"/>
  <c r="AF413" i="8"/>
  <c r="AF414" i="8"/>
  <c r="AF415" i="8"/>
  <c r="AF416" i="8"/>
  <c r="AF417" i="8"/>
  <c r="AF418" i="8"/>
  <c r="AF419" i="8"/>
  <c r="AF420" i="8"/>
  <c r="AF421" i="8"/>
  <c r="AF422" i="8"/>
  <c r="AF423" i="8"/>
  <c r="AF424" i="8"/>
  <c r="AF425" i="8"/>
  <c r="AF426" i="8"/>
  <c r="AF427" i="8"/>
  <c r="AF428" i="8"/>
  <c r="AF429" i="8"/>
  <c r="AF430" i="8"/>
  <c r="AF431" i="8"/>
  <c r="AF432" i="8"/>
  <c r="AF433" i="8"/>
  <c r="AF434" i="8"/>
  <c r="AF435" i="8"/>
  <c r="AF436" i="8"/>
  <c r="AF437" i="8"/>
  <c r="AF438" i="8"/>
  <c r="AF439" i="8"/>
  <c r="AF440" i="8"/>
  <c r="AF441" i="8"/>
  <c r="AF442" i="8"/>
  <c r="AF443" i="8"/>
  <c r="AF444" i="8"/>
  <c r="AF445" i="8"/>
  <c r="AF446" i="8"/>
  <c r="AF447" i="8"/>
  <c r="AF448" i="8"/>
  <c r="AF449" i="8"/>
  <c r="AF450" i="8"/>
  <c r="AF451" i="8"/>
  <c r="AF452" i="8"/>
  <c r="AF453" i="8"/>
  <c r="AF454" i="8"/>
  <c r="AF455" i="8"/>
  <c r="AF456" i="8"/>
  <c r="AF457" i="8"/>
  <c r="AF458" i="8"/>
  <c r="AF459" i="8"/>
  <c r="AF460" i="8"/>
  <c r="AF461" i="8"/>
  <c r="AF462" i="8"/>
  <c r="AF463" i="8"/>
  <c r="AF464" i="8"/>
  <c r="AF465" i="8"/>
  <c r="AF466" i="8"/>
  <c r="AF467" i="8"/>
  <c r="AF468" i="8"/>
  <c r="AF469" i="8"/>
  <c r="AF470" i="8"/>
  <c r="AF471" i="8"/>
  <c r="AF472" i="8"/>
  <c r="AF473" i="8"/>
  <c r="AF474" i="8"/>
  <c r="AF475" i="8"/>
  <c r="AF476" i="8"/>
  <c r="AF477" i="8"/>
  <c r="AF478" i="8"/>
  <c r="AF479" i="8"/>
  <c r="AF480" i="8"/>
  <c r="AF481" i="8"/>
  <c r="AF482" i="8"/>
  <c r="AF483" i="8"/>
  <c r="AF484" i="8"/>
  <c r="AF485" i="8"/>
  <c r="AF486" i="8"/>
  <c r="AF487" i="8"/>
  <c r="AF488" i="8"/>
  <c r="AF489" i="8"/>
  <c r="AF490" i="8"/>
  <c r="AF491" i="8"/>
  <c r="AF492" i="8"/>
  <c r="AF493" i="8"/>
  <c r="AF494" i="8"/>
  <c r="AF495" i="8"/>
  <c r="AF496" i="8"/>
  <c r="AF497" i="8"/>
  <c r="AF498" i="8"/>
  <c r="AF499" i="8"/>
  <c r="AF500" i="8"/>
  <c r="AI340" i="8"/>
  <c r="AJ340" i="8" s="1"/>
  <c r="AI341" i="8"/>
  <c r="AJ341" i="8" s="1"/>
  <c r="AI342" i="8"/>
  <c r="AJ342" i="8" s="1"/>
  <c r="AI343" i="8"/>
  <c r="AJ343" i="8" s="1"/>
  <c r="AI344" i="8"/>
  <c r="AJ344" i="8" s="1"/>
  <c r="AI345" i="8"/>
  <c r="AJ345" i="8" s="1"/>
  <c r="AI346" i="8"/>
  <c r="AJ346" i="8" s="1"/>
  <c r="AI347" i="8"/>
  <c r="AJ347" i="8" s="1"/>
  <c r="AI348" i="8"/>
  <c r="AJ348" i="8" s="1"/>
  <c r="AI349" i="8"/>
  <c r="AJ349" i="8" s="1"/>
  <c r="AI350" i="8"/>
  <c r="AJ350" i="8" s="1"/>
  <c r="AI351" i="8"/>
  <c r="AJ351" i="8" s="1"/>
  <c r="AI352" i="8"/>
  <c r="AJ352" i="8" s="1"/>
  <c r="AI353" i="8"/>
  <c r="AJ353" i="8" s="1"/>
  <c r="AI354" i="8"/>
  <c r="AJ354" i="8" s="1"/>
  <c r="AI355" i="8"/>
  <c r="AJ355" i="8" s="1"/>
  <c r="AI356" i="8"/>
  <c r="AJ356" i="8" s="1"/>
  <c r="AI357" i="8"/>
  <c r="AJ357" i="8" s="1"/>
  <c r="AI358" i="8"/>
  <c r="AJ358" i="8" s="1"/>
  <c r="AI359" i="8"/>
  <c r="AJ359" i="8" s="1"/>
  <c r="AI360" i="8"/>
  <c r="AJ360" i="8" s="1"/>
  <c r="AI361" i="8"/>
  <c r="AJ361" i="8" s="1"/>
  <c r="AI362" i="8"/>
  <c r="AJ362" i="8" s="1"/>
  <c r="AI363" i="8"/>
  <c r="AJ363" i="8" s="1"/>
  <c r="AI364" i="8"/>
  <c r="AJ364" i="8" s="1"/>
  <c r="AI365" i="8"/>
  <c r="AJ365" i="8" s="1"/>
  <c r="AI366" i="8"/>
  <c r="AJ366" i="8" s="1"/>
  <c r="AI367" i="8"/>
  <c r="AJ367" i="8" s="1"/>
  <c r="AI368" i="8"/>
  <c r="AJ368" i="8" s="1"/>
  <c r="AI369" i="8"/>
  <c r="AJ369" i="8" s="1"/>
  <c r="AI370" i="8"/>
  <c r="AJ370" i="8" s="1"/>
  <c r="AI371" i="8"/>
  <c r="AJ371" i="8" s="1"/>
  <c r="AI372" i="8"/>
  <c r="AJ372" i="8" s="1"/>
  <c r="AI373" i="8"/>
  <c r="AJ373" i="8" s="1"/>
  <c r="AI374" i="8"/>
  <c r="AJ374" i="8" s="1"/>
  <c r="AI375" i="8"/>
  <c r="AJ375" i="8" s="1"/>
  <c r="AI376" i="8"/>
  <c r="AJ376" i="8" s="1"/>
  <c r="AI377" i="8"/>
  <c r="AJ377" i="8" s="1"/>
  <c r="AI378" i="8"/>
  <c r="AJ378" i="8" s="1"/>
  <c r="AI379" i="8"/>
  <c r="AJ379" i="8" s="1"/>
  <c r="AI380" i="8"/>
  <c r="AJ380" i="8" s="1"/>
  <c r="AI381" i="8"/>
  <c r="AJ381" i="8" s="1"/>
  <c r="AI382" i="8"/>
  <c r="AJ382" i="8" s="1"/>
  <c r="AI383" i="8"/>
  <c r="AJ383" i="8" s="1"/>
  <c r="AI384" i="8"/>
  <c r="AJ384" i="8" s="1"/>
  <c r="AI385" i="8"/>
  <c r="AJ385" i="8" s="1"/>
  <c r="AI386" i="8"/>
  <c r="AJ386" i="8" s="1"/>
  <c r="AI387" i="8"/>
  <c r="AJ387" i="8" s="1"/>
  <c r="AI388" i="8"/>
  <c r="AJ388" i="8" s="1"/>
  <c r="AI389" i="8"/>
  <c r="AJ389" i="8" s="1"/>
  <c r="AI390" i="8"/>
  <c r="AJ390" i="8" s="1"/>
  <c r="AI391" i="8"/>
  <c r="AJ391" i="8" s="1"/>
  <c r="AI392" i="8"/>
  <c r="AJ392" i="8" s="1"/>
  <c r="AI393" i="8"/>
  <c r="AJ393" i="8" s="1"/>
  <c r="AI394" i="8"/>
  <c r="AJ394" i="8" s="1"/>
  <c r="AI395" i="8"/>
  <c r="AJ395" i="8" s="1"/>
  <c r="AI396" i="8"/>
  <c r="AJ396" i="8" s="1"/>
  <c r="AI397" i="8"/>
  <c r="AJ397" i="8" s="1"/>
  <c r="AI398" i="8"/>
  <c r="AJ398" i="8" s="1"/>
  <c r="AI399" i="8"/>
  <c r="AJ399" i="8" s="1"/>
  <c r="AI400" i="8"/>
  <c r="AJ400" i="8" s="1"/>
  <c r="AI401" i="8"/>
  <c r="AJ401" i="8" s="1"/>
  <c r="AI402" i="8"/>
  <c r="AJ402" i="8" s="1"/>
  <c r="AI403" i="8"/>
  <c r="AJ403" i="8" s="1"/>
  <c r="AI404" i="8"/>
  <c r="AJ404" i="8" s="1"/>
  <c r="AI405" i="8"/>
  <c r="AJ405" i="8" s="1"/>
  <c r="AI406" i="8"/>
  <c r="AJ406" i="8" s="1"/>
  <c r="AI407" i="8"/>
  <c r="AJ407" i="8" s="1"/>
  <c r="AI408" i="8"/>
  <c r="AJ408" i="8" s="1"/>
  <c r="AI409" i="8"/>
  <c r="AJ409" i="8" s="1"/>
  <c r="AI410" i="8"/>
  <c r="AJ410" i="8" s="1"/>
  <c r="AI411" i="8"/>
  <c r="AJ411" i="8" s="1"/>
  <c r="AI412" i="8"/>
  <c r="AJ412" i="8" s="1"/>
  <c r="AI413" i="8"/>
  <c r="AJ413" i="8" s="1"/>
  <c r="AI414" i="8"/>
  <c r="AJ414" i="8" s="1"/>
  <c r="AI415" i="8"/>
  <c r="AJ415" i="8" s="1"/>
  <c r="AI416" i="8"/>
  <c r="AJ416" i="8" s="1"/>
  <c r="AI417" i="8"/>
  <c r="AJ417" i="8" s="1"/>
  <c r="AI418" i="8"/>
  <c r="AJ418" i="8" s="1"/>
  <c r="AI419" i="8"/>
  <c r="AJ419" i="8" s="1"/>
  <c r="AI420" i="8"/>
  <c r="AJ420" i="8" s="1"/>
  <c r="AI421" i="8"/>
  <c r="AJ421" i="8" s="1"/>
  <c r="AI422" i="8"/>
  <c r="AJ422" i="8" s="1"/>
  <c r="AI423" i="8"/>
  <c r="AJ423" i="8" s="1"/>
  <c r="AI424" i="8"/>
  <c r="AJ424" i="8" s="1"/>
  <c r="AI425" i="8"/>
  <c r="AJ425" i="8" s="1"/>
  <c r="AI426" i="8"/>
  <c r="AJ426" i="8" s="1"/>
  <c r="AI427" i="8"/>
  <c r="AJ427" i="8" s="1"/>
  <c r="AI428" i="8"/>
  <c r="AJ428" i="8" s="1"/>
  <c r="AI429" i="8"/>
  <c r="AJ429" i="8" s="1"/>
  <c r="AI430" i="8"/>
  <c r="AJ430" i="8" s="1"/>
  <c r="AI431" i="8"/>
  <c r="AJ431" i="8" s="1"/>
  <c r="AI432" i="8"/>
  <c r="AJ432" i="8" s="1"/>
  <c r="AI433" i="8"/>
  <c r="AJ433" i="8" s="1"/>
  <c r="AI434" i="8"/>
  <c r="AJ434" i="8" s="1"/>
  <c r="AI435" i="8"/>
  <c r="AJ435" i="8" s="1"/>
  <c r="AI436" i="8"/>
  <c r="AJ436" i="8" s="1"/>
  <c r="AI437" i="8"/>
  <c r="AJ437" i="8" s="1"/>
  <c r="AI438" i="8"/>
  <c r="AJ438" i="8" s="1"/>
  <c r="AI439" i="8"/>
  <c r="AJ439" i="8" s="1"/>
  <c r="AI440" i="8"/>
  <c r="AJ440" i="8" s="1"/>
  <c r="AI441" i="8"/>
  <c r="AJ441" i="8" s="1"/>
  <c r="AI442" i="8"/>
  <c r="AJ442" i="8" s="1"/>
  <c r="AI443" i="8"/>
  <c r="AJ443" i="8" s="1"/>
  <c r="AI444" i="8"/>
  <c r="AJ444" i="8" s="1"/>
  <c r="AI445" i="8"/>
  <c r="AJ445" i="8" s="1"/>
  <c r="AI446" i="8"/>
  <c r="AJ446" i="8" s="1"/>
  <c r="AI447" i="8"/>
  <c r="AJ447" i="8" s="1"/>
  <c r="AI448" i="8"/>
  <c r="AJ448" i="8" s="1"/>
  <c r="AI449" i="8"/>
  <c r="AJ449" i="8" s="1"/>
  <c r="AI450" i="8"/>
  <c r="AJ450" i="8" s="1"/>
  <c r="AI451" i="8"/>
  <c r="AJ451" i="8" s="1"/>
  <c r="AI452" i="8"/>
  <c r="AJ452" i="8" s="1"/>
  <c r="AI453" i="8"/>
  <c r="AJ453" i="8" s="1"/>
  <c r="AI454" i="8"/>
  <c r="AJ454" i="8" s="1"/>
  <c r="AI455" i="8"/>
  <c r="AJ455" i="8" s="1"/>
  <c r="AI456" i="8"/>
  <c r="AJ456" i="8" s="1"/>
  <c r="AI457" i="8"/>
  <c r="AJ457" i="8" s="1"/>
  <c r="AI458" i="8"/>
  <c r="AJ458" i="8" s="1"/>
  <c r="AI459" i="8"/>
  <c r="AJ459" i="8" s="1"/>
  <c r="AI460" i="8"/>
  <c r="AJ460" i="8" s="1"/>
  <c r="AI461" i="8"/>
  <c r="AJ461" i="8" s="1"/>
  <c r="AI462" i="8"/>
  <c r="AJ462" i="8" s="1"/>
  <c r="AI463" i="8"/>
  <c r="AJ463" i="8" s="1"/>
  <c r="AI464" i="8"/>
  <c r="AJ464" i="8" s="1"/>
  <c r="AI465" i="8"/>
  <c r="AJ465" i="8" s="1"/>
  <c r="AI466" i="8"/>
  <c r="AJ466" i="8" s="1"/>
  <c r="AI467" i="8"/>
  <c r="AJ467" i="8" s="1"/>
  <c r="AI468" i="8"/>
  <c r="AJ468" i="8" s="1"/>
  <c r="AI469" i="8"/>
  <c r="AJ469" i="8" s="1"/>
  <c r="AI470" i="8"/>
  <c r="AJ470" i="8" s="1"/>
  <c r="AI471" i="8"/>
  <c r="AJ471" i="8" s="1"/>
  <c r="AI472" i="8"/>
  <c r="AJ472" i="8" s="1"/>
  <c r="AI473" i="8"/>
  <c r="AJ473" i="8" s="1"/>
  <c r="AI474" i="8"/>
  <c r="AJ474" i="8" s="1"/>
  <c r="AI475" i="8"/>
  <c r="AJ475" i="8" s="1"/>
  <c r="AI476" i="8"/>
  <c r="AJ476" i="8" s="1"/>
  <c r="AI477" i="8"/>
  <c r="AJ477" i="8" s="1"/>
  <c r="AI478" i="8"/>
  <c r="AJ478" i="8" s="1"/>
  <c r="AI479" i="8"/>
  <c r="AJ479" i="8" s="1"/>
  <c r="AI480" i="8"/>
  <c r="AJ480" i="8" s="1"/>
  <c r="AI481" i="8"/>
  <c r="AJ481" i="8" s="1"/>
  <c r="AI482" i="8"/>
  <c r="AJ482" i="8" s="1"/>
  <c r="AI483" i="8"/>
  <c r="AJ483" i="8" s="1"/>
  <c r="AI484" i="8"/>
  <c r="AJ484" i="8" s="1"/>
  <c r="AI485" i="8"/>
  <c r="AJ485" i="8" s="1"/>
  <c r="AI486" i="8"/>
  <c r="AJ486" i="8" s="1"/>
  <c r="AI487" i="8"/>
  <c r="AJ487" i="8" s="1"/>
  <c r="AI488" i="8"/>
  <c r="AJ488" i="8" s="1"/>
  <c r="AI489" i="8"/>
  <c r="AJ489" i="8" s="1"/>
  <c r="AI490" i="8"/>
  <c r="AJ490" i="8" s="1"/>
  <c r="AI491" i="8"/>
  <c r="AJ491" i="8" s="1"/>
  <c r="AI492" i="8"/>
  <c r="AJ492" i="8" s="1"/>
  <c r="AI493" i="8"/>
  <c r="AJ493" i="8" s="1"/>
  <c r="AI494" i="8"/>
  <c r="AJ494" i="8" s="1"/>
  <c r="AI495" i="8"/>
  <c r="AJ495" i="8" s="1"/>
  <c r="AI496" i="8"/>
  <c r="AJ496" i="8" s="1"/>
  <c r="AI497" i="8"/>
  <c r="AJ497" i="8" s="1"/>
  <c r="AI498" i="8"/>
  <c r="AJ498" i="8" s="1"/>
  <c r="AI499" i="8"/>
  <c r="AJ499" i="8" s="1"/>
  <c r="AI500" i="8"/>
  <c r="AJ500" i="8" s="1"/>
  <c r="S308" i="8" a="1"/>
  <c r="S308" i="8" s="1"/>
  <c r="V308" i="8" s="1"/>
  <c r="S309" i="8" a="1"/>
  <c r="S309" i="8" s="1"/>
  <c r="V309" i="8" s="1"/>
  <c r="S310" i="8" a="1"/>
  <c r="S310" i="8" s="1"/>
  <c r="V310" i="8" s="1"/>
  <c r="S311" i="8" a="1"/>
  <c r="S311" i="8" s="1"/>
  <c r="V311" i="8" s="1"/>
  <c r="S312" i="8" a="1"/>
  <c r="S312" i="8" s="1"/>
  <c r="V312" i="8" s="1"/>
  <c r="S313" i="8" a="1"/>
  <c r="S313" i="8" s="1"/>
  <c r="V313" i="8" s="1"/>
  <c r="S314" i="8" a="1"/>
  <c r="S314" i="8" s="1"/>
  <c r="V314" i="8" s="1"/>
  <c r="S315" i="8" a="1"/>
  <c r="S315" i="8" s="1"/>
  <c r="V315" i="8" s="1"/>
  <c r="S316" i="8" a="1"/>
  <c r="S316" i="8" s="1"/>
  <c r="V316" i="8" s="1"/>
  <c r="S317" i="8" a="1"/>
  <c r="S317" i="8" s="1"/>
  <c r="V317" i="8" s="1"/>
  <c r="S318" i="8" a="1"/>
  <c r="S318" i="8" s="1"/>
  <c r="V318" i="8" s="1"/>
  <c r="S319" i="8" a="1"/>
  <c r="S319" i="8" s="1"/>
  <c r="V319" i="8" s="1"/>
  <c r="S320" i="8" a="1"/>
  <c r="S320" i="8" s="1"/>
  <c r="V320" i="8" s="1"/>
  <c r="S321" i="8" a="1"/>
  <c r="S321" i="8" s="1"/>
  <c r="V321" i="8" s="1"/>
  <c r="S322" i="8" a="1"/>
  <c r="S322" i="8" s="1"/>
  <c r="V322" i="8" s="1"/>
  <c r="S323" i="8" a="1"/>
  <c r="S323" i="8" s="1"/>
  <c r="V323" i="8" s="1"/>
  <c r="S324" i="8" a="1"/>
  <c r="S324" i="8" s="1"/>
  <c r="V324" i="8" s="1"/>
  <c r="S325" i="8" a="1"/>
  <c r="S325" i="8" s="1"/>
  <c r="V325" i="8" s="1"/>
  <c r="S326" i="8" a="1"/>
  <c r="S326" i="8" s="1"/>
  <c r="V326" i="8" s="1"/>
  <c r="S327" i="8" a="1"/>
  <c r="S327" i="8" s="1"/>
  <c r="V327" i="8" s="1"/>
  <c r="S328" i="8" a="1"/>
  <c r="S328" i="8" s="1"/>
  <c r="V328" i="8" s="1"/>
  <c r="S329" i="8" a="1"/>
  <c r="S329" i="8" s="1"/>
  <c r="V329" i="8" s="1"/>
  <c r="S330" i="8" a="1"/>
  <c r="S330" i="8" s="1"/>
  <c r="V330" i="8" s="1"/>
  <c r="S331" i="8" a="1"/>
  <c r="S331" i="8" s="1"/>
  <c r="V331" i="8" s="1"/>
  <c r="S332" i="8" a="1"/>
  <c r="S332" i="8" s="1"/>
  <c r="V332" i="8" s="1"/>
  <c r="S333" i="8" a="1"/>
  <c r="S333" i="8" s="1"/>
  <c r="V333" i="8" s="1"/>
  <c r="S334" i="8" a="1"/>
  <c r="S334" i="8" s="1"/>
  <c r="V334" i="8" s="1"/>
  <c r="S335" i="8" a="1"/>
  <c r="S335" i="8" s="1"/>
  <c r="V335" i="8" s="1"/>
  <c r="S336" i="8" a="1"/>
  <c r="S336" i="8" s="1"/>
  <c r="V336" i="8" s="1"/>
  <c r="S337" i="8" a="1"/>
  <c r="S337" i="8" s="1"/>
  <c r="V337" i="8" s="1"/>
  <c r="S338" i="8" a="1"/>
  <c r="S338" i="8" s="1"/>
  <c r="V338" i="8" s="1"/>
  <c r="T308" i="8" a="1"/>
  <c r="T308" i="8" s="1"/>
  <c r="T309" i="8" a="1"/>
  <c r="T309" i="8" s="1"/>
  <c r="T310" i="8" a="1"/>
  <c r="T310" i="8" s="1"/>
  <c r="T311" i="8" a="1"/>
  <c r="T311" i="8" s="1"/>
  <c r="T312" i="8" a="1"/>
  <c r="T312" i="8" s="1"/>
  <c r="T313" i="8" a="1"/>
  <c r="T313" i="8" s="1"/>
  <c r="T314" i="8" a="1"/>
  <c r="T314" i="8" s="1"/>
  <c r="T315" i="8" a="1"/>
  <c r="T315" i="8" s="1"/>
  <c r="T316" i="8" a="1"/>
  <c r="T316" i="8" s="1"/>
  <c r="T317" i="8" a="1"/>
  <c r="T317" i="8" s="1"/>
  <c r="T318" i="8" a="1"/>
  <c r="T318" i="8" s="1"/>
  <c r="T319" i="8" a="1"/>
  <c r="T319" i="8" s="1"/>
  <c r="T320" i="8" a="1"/>
  <c r="T320" i="8" s="1"/>
  <c r="T321" i="8" a="1"/>
  <c r="T321" i="8" s="1"/>
  <c r="T322" i="8" a="1"/>
  <c r="T322" i="8" s="1"/>
  <c r="T323" i="8" a="1"/>
  <c r="T323" i="8" s="1"/>
  <c r="T324" i="8" a="1"/>
  <c r="T324" i="8" s="1"/>
  <c r="T325" i="8" a="1"/>
  <c r="T325" i="8" s="1"/>
  <c r="T326" i="8" a="1"/>
  <c r="T326" i="8" s="1"/>
  <c r="T327" i="8" a="1"/>
  <c r="T327" i="8" s="1"/>
  <c r="T328" i="8" a="1"/>
  <c r="T328" i="8" s="1"/>
  <c r="T329" i="8" a="1"/>
  <c r="T329" i="8" s="1"/>
  <c r="T330" i="8" a="1"/>
  <c r="T330" i="8" s="1"/>
  <c r="T331" i="8" a="1"/>
  <c r="T331" i="8" s="1"/>
  <c r="T332" i="8" a="1"/>
  <c r="T332" i="8" s="1"/>
  <c r="T333" i="8" a="1"/>
  <c r="T333" i="8" s="1"/>
  <c r="T334" i="8" a="1"/>
  <c r="T334" i="8" s="1"/>
  <c r="T335" i="8" a="1"/>
  <c r="T335" i="8" s="1"/>
  <c r="T336" i="8" a="1"/>
  <c r="T336" i="8" s="1"/>
  <c r="T337" i="8" a="1"/>
  <c r="T337" i="8" s="1"/>
  <c r="T338" i="8" a="1"/>
  <c r="T338" i="8" s="1"/>
  <c r="AF308" i="8"/>
  <c r="AF309" i="8"/>
  <c r="AF310" i="8"/>
  <c r="AF311" i="8"/>
  <c r="AF312" i="8"/>
  <c r="AF313" i="8"/>
  <c r="AF314" i="8"/>
  <c r="AF315" i="8"/>
  <c r="AF316" i="8"/>
  <c r="AF317" i="8"/>
  <c r="AF318" i="8"/>
  <c r="AF319" i="8"/>
  <c r="AF320" i="8"/>
  <c r="AF321" i="8"/>
  <c r="AF322" i="8"/>
  <c r="AF323" i="8"/>
  <c r="AF324" i="8"/>
  <c r="AF325" i="8"/>
  <c r="AF326" i="8"/>
  <c r="AF327" i="8"/>
  <c r="AF328" i="8"/>
  <c r="AF329" i="8"/>
  <c r="AF330" i="8"/>
  <c r="AF331" i="8"/>
  <c r="AF332" i="8"/>
  <c r="AF333" i="8"/>
  <c r="AF334" i="8"/>
  <c r="AF335" i="8"/>
  <c r="AF336" i="8"/>
  <c r="AF337" i="8"/>
  <c r="AF338" i="8"/>
  <c r="AI308" i="8"/>
  <c r="AJ308" i="8" s="1"/>
  <c r="AI309" i="8"/>
  <c r="AJ309" i="8" s="1"/>
  <c r="AI310" i="8"/>
  <c r="AJ310" i="8" s="1"/>
  <c r="AI311" i="8"/>
  <c r="AJ311" i="8" s="1"/>
  <c r="AI312" i="8"/>
  <c r="AJ312" i="8" s="1"/>
  <c r="AI313" i="8"/>
  <c r="AJ313" i="8" s="1"/>
  <c r="AI314" i="8"/>
  <c r="AJ314" i="8" s="1"/>
  <c r="AI315" i="8"/>
  <c r="AJ315" i="8" s="1"/>
  <c r="AI316" i="8"/>
  <c r="AJ316" i="8" s="1"/>
  <c r="AI317" i="8"/>
  <c r="AJ317" i="8" s="1"/>
  <c r="AI318" i="8"/>
  <c r="AJ318" i="8" s="1"/>
  <c r="AI319" i="8"/>
  <c r="AJ319" i="8" s="1"/>
  <c r="AI320" i="8"/>
  <c r="AJ320" i="8" s="1"/>
  <c r="AI321" i="8"/>
  <c r="AJ321" i="8" s="1"/>
  <c r="AI322" i="8"/>
  <c r="AJ322" i="8" s="1"/>
  <c r="AI323" i="8"/>
  <c r="AJ323" i="8" s="1"/>
  <c r="AI324" i="8"/>
  <c r="AJ324" i="8" s="1"/>
  <c r="AI325" i="8"/>
  <c r="AJ325" i="8" s="1"/>
  <c r="AI326" i="8"/>
  <c r="AJ326" i="8" s="1"/>
  <c r="AI327" i="8"/>
  <c r="AJ327" i="8" s="1"/>
  <c r="AI328" i="8"/>
  <c r="AJ328" i="8" s="1"/>
  <c r="AI329" i="8"/>
  <c r="AI330" i="8"/>
  <c r="AJ330" i="8" s="1"/>
  <c r="AI331" i="8"/>
  <c r="AJ331" i="8" s="1"/>
  <c r="AI332" i="8"/>
  <c r="AJ332" i="8" s="1"/>
  <c r="AI333" i="8"/>
  <c r="AJ333" i="8" s="1"/>
  <c r="AI334" i="8"/>
  <c r="AJ334" i="8" s="1"/>
  <c r="AI335" i="8"/>
  <c r="AJ335" i="8" s="1"/>
  <c r="AI336" i="8"/>
  <c r="AI337" i="8"/>
  <c r="AJ337" i="8" s="1"/>
  <c r="AI338" i="8"/>
  <c r="AJ338" i="8" s="1"/>
  <c r="S231" i="8" a="1"/>
  <c r="S231" i="8" s="1"/>
  <c r="V231" i="8" s="1"/>
  <c r="S232" i="8" a="1"/>
  <c r="S232" i="8" s="1"/>
  <c r="V232" i="8" s="1"/>
  <c r="S233" i="8" a="1"/>
  <c r="S233" i="8" s="1"/>
  <c r="V233" i="8" s="1"/>
  <c r="S234" i="8" a="1"/>
  <c r="S234" i="8" s="1"/>
  <c r="V234" i="8" s="1"/>
  <c r="S235" i="8" a="1"/>
  <c r="S235" i="8" s="1"/>
  <c r="V235" i="8" s="1"/>
  <c r="S236" i="8" a="1"/>
  <c r="S236" i="8" s="1"/>
  <c r="V236" i="8" s="1"/>
  <c r="S237" i="8" a="1"/>
  <c r="S237" i="8" s="1"/>
  <c r="V237" i="8" s="1"/>
  <c r="S238" i="8" a="1"/>
  <c r="S238" i="8" s="1"/>
  <c r="V238" i="8" s="1"/>
  <c r="S239" i="8" a="1"/>
  <c r="S239" i="8" s="1"/>
  <c r="V239" i="8" s="1"/>
  <c r="S240" i="8" a="1"/>
  <c r="S240" i="8" s="1"/>
  <c r="V240" i="8" s="1"/>
  <c r="S241" i="8" a="1"/>
  <c r="S241" i="8" s="1"/>
  <c r="V241" i="8" s="1"/>
  <c r="S242" i="8" a="1"/>
  <c r="S242" i="8" s="1"/>
  <c r="V242" i="8" s="1"/>
  <c r="S243" i="8" a="1"/>
  <c r="S243" i="8" s="1"/>
  <c r="V243" i="8" s="1"/>
  <c r="S244" i="8" a="1"/>
  <c r="S244" i="8" s="1"/>
  <c r="V244" i="8" s="1"/>
  <c r="S245" i="8" a="1"/>
  <c r="S245" i="8" s="1"/>
  <c r="V245" i="8" s="1"/>
  <c r="S246" i="8" a="1"/>
  <c r="S246" i="8" s="1"/>
  <c r="V246" i="8" s="1"/>
  <c r="S247" i="8" a="1"/>
  <c r="S247" i="8" s="1"/>
  <c r="V247" i="8" s="1"/>
  <c r="S248" i="8" a="1"/>
  <c r="S248" i="8" s="1"/>
  <c r="V248" i="8" s="1"/>
  <c r="S249" i="8" a="1"/>
  <c r="S249" i="8" s="1"/>
  <c r="V249" i="8" s="1"/>
  <c r="S250" i="8" a="1"/>
  <c r="S250" i="8" s="1"/>
  <c r="V250" i="8" s="1"/>
  <c r="S251" i="8" a="1"/>
  <c r="S251" i="8" s="1"/>
  <c r="V251" i="8" s="1"/>
  <c r="S252" i="8" a="1"/>
  <c r="S252" i="8" s="1"/>
  <c r="V252" i="8" s="1"/>
  <c r="S253" i="8" a="1"/>
  <c r="S253" i="8" s="1"/>
  <c r="V253" i="8" s="1"/>
  <c r="S254" i="8" a="1"/>
  <c r="S254" i="8" s="1"/>
  <c r="V254" i="8" s="1"/>
  <c r="S255" i="8" a="1"/>
  <c r="S255" i="8" s="1"/>
  <c r="V255" i="8" s="1"/>
  <c r="S256" i="8" a="1"/>
  <c r="S256" i="8" s="1"/>
  <c r="V256" i="8" s="1"/>
  <c r="S257" i="8" a="1"/>
  <c r="S257" i="8" s="1"/>
  <c r="V257" i="8" s="1"/>
  <c r="S258" i="8" a="1"/>
  <c r="S258" i="8" s="1"/>
  <c r="V258" i="8" s="1"/>
  <c r="S259" i="8" a="1"/>
  <c r="S259" i="8" s="1"/>
  <c r="V259" i="8" s="1"/>
  <c r="S260" i="8" a="1"/>
  <c r="S260" i="8" s="1"/>
  <c r="V260" i="8" s="1"/>
  <c r="S261" i="8" a="1"/>
  <c r="S261" i="8" s="1"/>
  <c r="V261" i="8" s="1"/>
  <c r="S262" i="8" a="1"/>
  <c r="S262" i="8" s="1"/>
  <c r="V262" i="8" s="1"/>
  <c r="S263" i="8" a="1"/>
  <c r="S263" i="8" s="1"/>
  <c r="V263" i="8" s="1"/>
  <c r="S264" i="8" a="1"/>
  <c r="S264" i="8" s="1"/>
  <c r="V264" i="8" s="1"/>
  <c r="S265" i="8" a="1"/>
  <c r="S265" i="8" s="1"/>
  <c r="V265" i="8" s="1"/>
  <c r="S266" i="8" a="1"/>
  <c r="S266" i="8" s="1"/>
  <c r="V266" i="8" s="1"/>
  <c r="S267" i="8" a="1"/>
  <c r="S267" i="8" s="1"/>
  <c r="V267" i="8" s="1"/>
  <c r="S268" i="8" a="1"/>
  <c r="S268" i="8" s="1"/>
  <c r="V268" i="8" s="1"/>
  <c r="S269" i="8" a="1"/>
  <c r="S269" i="8" s="1"/>
  <c r="V269" i="8" s="1"/>
  <c r="S270" i="8" a="1"/>
  <c r="S270" i="8" s="1"/>
  <c r="V270" i="8" s="1"/>
  <c r="S271" i="8" a="1"/>
  <c r="S271" i="8" s="1"/>
  <c r="V271" i="8" s="1"/>
  <c r="S272" i="8" a="1"/>
  <c r="S272" i="8" s="1"/>
  <c r="V272" i="8" s="1"/>
  <c r="S273" i="8" a="1"/>
  <c r="S273" i="8" s="1"/>
  <c r="V273" i="8" s="1"/>
  <c r="S274" i="8" a="1"/>
  <c r="S274" i="8" s="1"/>
  <c r="V274" i="8" s="1"/>
  <c r="S275" i="8" a="1"/>
  <c r="S275" i="8" s="1"/>
  <c r="V275" i="8" s="1"/>
  <c r="S276" i="8" a="1"/>
  <c r="S276" i="8" s="1"/>
  <c r="V276" i="8" s="1"/>
  <c r="S277" i="8" a="1"/>
  <c r="S277" i="8" s="1"/>
  <c r="V277" i="8" s="1"/>
  <c r="S278" i="8" a="1"/>
  <c r="S278" i="8" s="1"/>
  <c r="V278" i="8" s="1"/>
  <c r="S279" i="8" a="1"/>
  <c r="S279" i="8" s="1"/>
  <c r="V279" i="8" s="1"/>
  <c r="S280" i="8" a="1"/>
  <c r="S280" i="8" s="1"/>
  <c r="V280" i="8" s="1"/>
  <c r="S281" i="8" a="1"/>
  <c r="S281" i="8" s="1"/>
  <c r="V281" i="8" s="1"/>
  <c r="S282" i="8" a="1"/>
  <c r="S282" i="8" s="1"/>
  <c r="V282" i="8" s="1"/>
  <c r="S283" i="8" a="1"/>
  <c r="S283" i="8" s="1"/>
  <c r="V283" i="8" s="1"/>
  <c r="S284" i="8" a="1"/>
  <c r="S284" i="8" s="1"/>
  <c r="V284" i="8" s="1"/>
  <c r="S285" i="8" a="1"/>
  <c r="S285" i="8" s="1"/>
  <c r="V285" i="8" s="1"/>
  <c r="S286" i="8" a="1"/>
  <c r="S286" i="8" s="1"/>
  <c r="V286" i="8" s="1"/>
  <c r="S287" i="8" a="1"/>
  <c r="S287" i="8" s="1"/>
  <c r="V287" i="8" s="1"/>
  <c r="S288" i="8" a="1"/>
  <c r="S288" i="8" s="1"/>
  <c r="V288" i="8" s="1"/>
  <c r="S289" i="8" a="1"/>
  <c r="S289" i="8" s="1"/>
  <c r="V289" i="8" s="1"/>
  <c r="S290" i="8" a="1"/>
  <c r="S290" i="8" s="1"/>
  <c r="V290" i="8" s="1"/>
  <c r="S291" i="8" a="1"/>
  <c r="S291" i="8" s="1"/>
  <c r="V291" i="8" s="1"/>
  <c r="S292" i="8" a="1"/>
  <c r="S292" i="8" s="1"/>
  <c r="V292" i="8" s="1"/>
  <c r="S293" i="8" a="1"/>
  <c r="S293" i="8" s="1"/>
  <c r="V293" i="8" s="1"/>
  <c r="S294" i="8" a="1"/>
  <c r="S294" i="8" s="1"/>
  <c r="V294" i="8" s="1"/>
  <c r="S295" i="8" a="1"/>
  <c r="S295" i="8" s="1"/>
  <c r="V295" i="8" s="1"/>
  <c r="S296" i="8" a="1"/>
  <c r="S296" i="8" s="1"/>
  <c r="V296" i="8" s="1"/>
  <c r="S297" i="8" a="1"/>
  <c r="S297" i="8" s="1"/>
  <c r="V297" i="8" s="1"/>
  <c r="S298" i="8" a="1"/>
  <c r="S298" i="8" s="1"/>
  <c r="V298" i="8" s="1"/>
  <c r="S299" i="8" a="1"/>
  <c r="S299" i="8" s="1"/>
  <c r="V299" i="8" s="1"/>
  <c r="S300" i="8" a="1"/>
  <c r="S300" i="8" s="1"/>
  <c r="V300" i="8" s="1"/>
  <c r="S301" i="8" a="1"/>
  <c r="S301" i="8" s="1"/>
  <c r="V301" i="8" s="1"/>
  <c r="S302" i="8" a="1"/>
  <c r="S302" i="8" s="1"/>
  <c r="V302" i="8" s="1"/>
  <c r="S303" i="8" a="1"/>
  <c r="S303" i="8" s="1"/>
  <c r="V303" i="8" s="1"/>
  <c r="S304" i="8" a="1"/>
  <c r="S304" i="8" s="1"/>
  <c r="V304" i="8" s="1"/>
  <c r="S305" i="8" a="1"/>
  <c r="S305" i="8" s="1"/>
  <c r="V305" i="8" s="1"/>
  <c r="S306" i="8" a="1"/>
  <c r="S306" i="8" s="1"/>
  <c r="V306" i="8" s="1"/>
  <c r="T231" i="8" a="1"/>
  <c r="T231" i="8" s="1"/>
  <c r="T232" i="8" a="1"/>
  <c r="T232" i="8" s="1"/>
  <c r="T233" i="8" a="1"/>
  <c r="T233" i="8" s="1"/>
  <c r="T234" i="8" a="1"/>
  <c r="T234" i="8" s="1"/>
  <c r="T235" i="8" a="1"/>
  <c r="T235" i="8" s="1"/>
  <c r="T236" i="8" a="1"/>
  <c r="T236" i="8" s="1"/>
  <c r="T237" i="8" a="1"/>
  <c r="T237" i="8" s="1"/>
  <c r="T238" i="8" a="1"/>
  <c r="T238" i="8" s="1"/>
  <c r="T239" i="8" a="1"/>
  <c r="T239" i="8" s="1"/>
  <c r="T240" i="8" a="1"/>
  <c r="T240" i="8" s="1"/>
  <c r="T241" i="8" a="1"/>
  <c r="T241" i="8" s="1"/>
  <c r="T242" i="8" a="1"/>
  <c r="T242" i="8" s="1"/>
  <c r="T243" i="8" a="1"/>
  <c r="T243" i="8" s="1"/>
  <c r="T244" i="8" a="1"/>
  <c r="T244" i="8" s="1"/>
  <c r="T245" i="8" a="1"/>
  <c r="T245" i="8" s="1"/>
  <c r="T246" i="8" a="1"/>
  <c r="T246" i="8" s="1"/>
  <c r="T247" i="8" a="1"/>
  <c r="T247" i="8" s="1"/>
  <c r="T248" i="8" a="1"/>
  <c r="T248" i="8" s="1"/>
  <c r="T249" i="8" a="1"/>
  <c r="T249" i="8" s="1"/>
  <c r="T250" i="8" a="1"/>
  <c r="T250" i="8" s="1"/>
  <c r="T251" i="8" a="1"/>
  <c r="T251" i="8" s="1"/>
  <c r="T252" i="8" a="1"/>
  <c r="T252" i="8" s="1"/>
  <c r="T253" i="8" a="1"/>
  <c r="T253" i="8" s="1"/>
  <c r="T254" i="8" a="1"/>
  <c r="T254" i="8" s="1"/>
  <c r="T255" i="8" a="1"/>
  <c r="T255" i="8" s="1"/>
  <c r="T256" i="8" a="1"/>
  <c r="T256" i="8" s="1"/>
  <c r="T257" i="8" a="1"/>
  <c r="T257" i="8" s="1"/>
  <c r="T258" i="8" a="1"/>
  <c r="T258" i="8" s="1"/>
  <c r="T259" i="8" a="1"/>
  <c r="T259" i="8" s="1"/>
  <c r="T260" i="8" a="1"/>
  <c r="T260" i="8" s="1"/>
  <c r="T261" i="8" a="1"/>
  <c r="T261" i="8" s="1"/>
  <c r="T262" i="8" a="1"/>
  <c r="T262" i="8" s="1"/>
  <c r="T263" i="8" a="1"/>
  <c r="T263" i="8" s="1"/>
  <c r="T264" i="8" a="1"/>
  <c r="T264" i="8" s="1"/>
  <c r="T265" i="8" a="1"/>
  <c r="T265" i="8" s="1"/>
  <c r="T266" i="8" a="1"/>
  <c r="T266" i="8" s="1"/>
  <c r="T267" i="8" a="1"/>
  <c r="T267" i="8" s="1"/>
  <c r="T268" i="8" a="1"/>
  <c r="T268" i="8" s="1"/>
  <c r="T269" i="8" a="1"/>
  <c r="T269" i="8" s="1"/>
  <c r="T270" i="8" a="1"/>
  <c r="T270" i="8" s="1"/>
  <c r="T271" i="8" a="1"/>
  <c r="T271" i="8" s="1"/>
  <c r="T272" i="8" a="1"/>
  <c r="T272" i="8" s="1"/>
  <c r="T273" i="8" a="1"/>
  <c r="T273" i="8" s="1"/>
  <c r="T274" i="8" a="1"/>
  <c r="T274" i="8" s="1"/>
  <c r="T275" i="8" a="1"/>
  <c r="T275" i="8" s="1"/>
  <c r="T276" i="8" a="1"/>
  <c r="T276" i="8" s="1"/>
  <c r="T277" i="8" a="1"/>
  <c r="T277" i="8" s="1"/>
  <c r="T278" i="8" a="1"/>
  <c r="T278" i="8" s="1"/>
  <c r="T279" i="8" a="1"/>
  <c r="T279" i="8" s="1"/>
  <c r="T280" i="8" a="1"/>
  <c r="T280" i="8" s="1"/>
  <c r="T281" i="8" a="1"/>
  <c r="T281" i="8" s="1"/>
  <c r="T282" i="8" a="1"/>
  <c r="T282" i="8" s="1"/>
  <c r="T283" i="8" a="1"/>
  <c r="T283" i="8" s="1"/>
  <c r="T284" i="8" a="1"/>
  <c r="T284" i="8" s="1"/>
  <c r="T285" i="8" a="1"/>
  <c r="T285" i="8" s="1"/>
  <c r="T286" i="8" a="1"/>
  <c r="T286" i="8" s="1"/>
  <c r="T287" i="8" a="1"/>
  <c r="T287" i="8" s="1"/>
  <c r="T288" i="8" a="1"/>
  <c r="T288" i="8" s="1"/>
  <c r="T289" i="8" a="1"/>
  <c r="T289" i="8" s="1"/>
  <c r="T290" i="8" a="1"/>
  <c r="T290" i="8" s="1"/>
  <c r="T291" i="8" a="1"/>
  <c r="T291" i="8" s="1"/>
  <c r="T292" i="8" a="1"/>
  <c r="T292" i="8" s="1"/>
  <c r="T293" i="8" a="1"/>
  <c r="T293" i="8" s="1"/>
  <c r="T294" i="8" a="1"/>
  <c r="T294" i="8" s="1"/>
  <c r="T295" i="8" a="1"/>
  <c r="T295" i="8" s="1"/>
  <c r="T296" i="8" a="1"/>
  <c r="T296" i="8" s="1"/>
  <c r="T297" i="8" a="1"/>
  <c r="T297" i="8" s="1"/>
  <c r="T298" i="8" a="1"/>
  <c r="T298" i="8" s="1"/>
  <c r="T299" i="8" a="1"/>
  <c r="T299" i="8" s="1"/>
  <c r="T300" i="8" a="1"/>
  <c r="T300" i="8" s="1"/>
  <c r="T301" i="8" a="1"/>
  <c r="T301" i="8" s="1"/>
  <c r="T302" i="8" a="1"/>
  <c r="T302" i="8" s="1"/>
  <c r="T303" i="8" a="1"/>
  <c r="T303" i="8" s="1"/>
  <c r="T304" i="8" a="1"/>
  <c r="T304" i="8" s="1"/>
  <c r="T305" i="8" a="1"/>
  <c r="T305" i="8" s="1"/>
  <c r="T306" i="8" a="1"/>
  <c r="T306" i="8" s="1"/>
  <c r="AF231" i="8"/>
  <c r="AM231" i="8" s="1"/>
  <c r="AF232" i="8"/>
  <c r="AM232" i="8" s="1"/>
  <c r="AF233" i="8"/>
  <c r="AF234" i="8"/>
  <c r="AM234" i="8" s="1"/>
  <c r="AF235" i="8"/>
  <c r="AM235" i="8" s="1"/>
  <c r="AF236" i="8"/>
  <c r="AM236" i="8" s="1"/>
  <c r="AF237" i="8"/>
  <c r="AM237" i="8" s="1"/>
  <c r="AF238" i="8"/>
  <c r="AM238" i="8" s="1"/>
  <c r="AF239" i="8"/>
  <c r="AM239" i="8" s="1"/>
  <c r="AF240" i="8"/>
  <c r="AM240" i="8" s="1"/>
  <c r="AF241" i="8"/>
  <c r="AM241" i="8" s="1"/>
  <c r="AF242" i="8"/>
  <c r="AM242" i="8" s="1"/>
  <c r="AF243" i="8"/>
  <c r="AF244" i="8"/>
  <c r="AF245" i="8"/>
  <c r="AF246" i="8"/>
  <c r="AF247" i="8"/>
  <c r="AF248" i="8"/>
  <c r="AF249" i="8"/>
  <c r="AF250" i="8"/>
  <c r="AF251" i="8"/>
  <c r="AF252" i="8"/>
  <c r="AF253" i="8"/>
  <c r="AF254" i="8"/>
  <c r="AF255" i="8"/>
  <c r="AF256" i="8"/>
  <c r="AF257" i="8"/>
  <c r="AF258" i="8"/>
  <c r="AF259" i="8"/>
  <c r="AF260" i="8"/>
  <c r="AF261" i="8"/>
  <c r="AF262" i="8"/>
  <c r="AF263" i="8"/>
  <c r="AF264" i="8"/>
  <c r="AF265" i="8"/>
  <c r="AF266" i="8"/>
  <c r="AF267" i="8"/>
  <c r="AF268" i="8"/>
  <c r="AF269" i="8"/>
  <c r="AF270" i="8"/>
  <c r="AF271" i="8"/>
  <c r="AF272" i="8"/>
  <c r="AF273" i="8"/>
  <c r="AF274" i="8"/>
  <c r="AF275" i="8"/>
  <c r="AF276" i="8"/>
  <c r="AF277" i="8"/>
  <c r="AF278" i="8"/>
  <c r="AF279" i="8"/>
  <c r="AF280" i="8"/>
  <c r="AF281" i="8"/>
  <c r="AF282" i="8"/>
  <c r="AF283" i="8"/>
  <c r="AF284" i="8"/>
  <c r="AF285" i="8"/>
  <c r="AF286" i="8"/>
  <c r="AF287" i="8"/>
  <c r="AF288" i="8"/>
  <c r="AF289" i="8"/>
  <c r="AF290" i="8"/>
  <c r="AF291" i="8"/>
  <c r="AF292" i="8"/>
  <c r="AF293" i="8"/>
  <c r="AF294" i="8"/>
  <c r="AF295" i="8"/>
  <c r="AF296" i="8"/>
  <c r="AF297" i="8"/>
  <c r="AF298" i="8"/>
  <c r="AF299" i="8"/>
  <c r="AF300" i="8"/>
  <c r="AF301" i="8"/>
  <c r="AF302" i="8"/>
  <c r="AF303" i="8"/>
  <c r="AF304" i="8"/>
  <c r="AF305" i="8"/>
  <c r="AF306" i="8"/>
  <c r="AG235" i="8"/>
  <c r="AI231" i="8"/>
  <c r="AJ231" i="8" s="1"/>
  <c r="AI232" i="8"/>
  <c r="AJ232" i="8" s="1"/>
  <c r="AI233" i="8"/>
  <c r="AI234" i="8"/>
  <c r="AJ234" i="8" s="1"/>
  <c r="AI235" i="8"/>
  <c r="AJ235" i="8" s="1"/>
  <c r="AI236" i="8"/>
  <c r="AJ236" i="8" s="1"/>
  <c r="AI237" i="8"/>
  <c r="AJ237" i="8" s="1"/>
  <c r="AI238" i="8"/>
  <c r="AJ238" i="8" s="1"/>
  <c r="AI239" i="8"/>
  <c r="AJ239" i="8" s="1"/>
  <c r="AI240" i="8"/>
  <c r="AJ240" i="8" s="1"/>
  <c r="AI241" i="8"/>
  <c r="AJ241" i="8" s="1"/>
  <c r="AI242" i="8"/>
  <c r="AJ242" i="8" s="1"/>
  <c r="AI243" i="8"/>
  <c r="AJ243" i="8" s="1"/>
  <c r="AI244" i="8"/>
  <c r="AJ244" i="8" s="1"/>
  <c r="AI245" i="8"/>
  <c r="AJ245" i="8" s="1"/>
  <c r="AI246" i="8"/>
  <c r="AJ246" i="8" s="1"/>
  <c r="AI247" i="8"/>
  <c r="AJ247" i="8" s="1"/>
  <c r="AI248" i="8"/>
  <c r="AJ248" i="8" s="1"/>
  <c r="AI249" i="8"/>
  <c r="AJ249" i="8" s="1"/>
  <c r="AI250" i="8"/>
  <c r="AJ250" i="8" s="1"/>
  <c r="AI251" i="8"/>
  <c r="AJ251" i="8" s="1"/>
  <c r="AI252" i="8"/>
  <c r="AJ252" i="8" s="1"/>
  <c r="AI253" i="8"/>
  <c r="AJ253" i="8" s="1"/>
  <c r="AI254" i="8"/>
  <c r="AJ254" i="8" s="1"/>
  <c r="AI255" i="8"/>
  <c r="AJ255" i="8" s="1"/>
  <c r="AI256" i="8"/>
  <c r="AJ256" i="8" s="1"/>
  <c r="AI257" i="8"/>
  <c r="AJ257" i="8" s="1"/>
  <c r="AI258" i="8"/>
  <c r="AJ258" i="8" s="1"/>
  <c r="AI259" i="8"/>
  <c r="AJ259" i="8" s="1"/>
  <c r="AI260" i="8"/>
  <c r="AJ260" i="8" s="1"/>
  <c r="AI261" i="8"/>
  <c r="AJ261" i="8" s="1"/>
  <c r="AI262" i="8"/>
  <c r="AJ262" i="8" s="1"/>
  <c r="AI263" i="8"/>
  <c r="AJ263" i="8" s="1"/>
  <c r="AI264" i="8"/>
  <c r="AJ264" i="8" s="1"/>
  <c r="AI265" i="8"/>
  <c r="AJ265" i="8" s="1"/>
  <c r="AI266" i="8"/>
  <c r="AJ266" i="8" s="1"/>
  <c r="AI267" i="8"/>
  <c r="AJ267" i="8" s="1"/>
  <c r="AI268" i="8"/>
  <c r="AJ268" i="8" s="1"/>
  <c r="AI269" i="8"/>
  <c r="AJ269" i="8" s="1"/>
  <c r="AI270" i="8"/>
  <c r="AJ270" i="8" s="1"/>
  <c r="AI271" i="8"/>
  <c r="AJ271" i="8" s="1"/>
  <c r="AI272" i="8"/>
  <c r="AJ272" i="8" s="1"/>
  <c r="AI273" i="8"/>
  <c r="AJ273" i="8" s="1"/>
  <c r="AI274" i="8"/>
  <c r="AJ274" i="8" s="1"/>
  <c r="AI275" i="8"/>
  <c r="AJ275" i="8" s="1"/>
  <c r="AI276" i="8"/>
  <c r="AJ276" i="8" s="1"/>
  <c r="AI277" i="8"/>
  <c r="AJ277" i="8" s="1"/>
  <c r="AI278" i="8"/>
  <c r="AJ278" i="8" s="1"/>
  <c r="AI279" i="8"/>
  <c r="AJ279" i="8" s="1"/>
  <c r="AI280" i="8"/>
  <c r="AJ280" i="8" s="1"/>
  <c r="AI281" i="8"/>
  <c r="AJ281" i="8" s="1"/>
  <c r="AI282" i="8"/>
  <c r="AJ282" i="8" s="1"/>
  <c r="AI283" i="8"/>
  <c r="AJ283" i="8" s="1"/>
  <c r="AI284" i="8"/>
  <c r="AJ284" i="8" s="1"/>
  <c r="AI285" i="8"/>
  <c r="AJ285" i="8" s="1"/>
  <c r="AI286" i="8"/>
  <c r="AJ286" i="8" s="1"/>
  <c r="AI287" i="8"/>
  <c r="AJ287" i="8" s="1"/>
  <c r="AI288" i="8"/>
  <c r="AJ288" i="8" s="1"/>
  <c r="AI289" i="8"/>
  <c r="AJ289" i="8" s="1"/>
  <c r="AI290" i="8"/>
  <c r="AJ290" i="8" s="1"/>
  <c r="AI291" i="8"/>
  <c r="AJ291" i="8" s="1"/>
  <c r="AI292" i="8"/>
  <c r="AJ292" i="8" s="1"/>
  <c r="AI293" i="8"/>
  <c r="AJ293" i="8" s="1"/>
  <c r="AI294" i="8"/>
  <c r="AJ294" i="8" s="1"/>
  <c r="AI295" i="8"/>
  <c r="AJ295" i="8" s="1"/>
  <c r="AI296" i="8"/>
  <c r="AJ296" i="8" s="1"/>
  <c r="AI297" i="8"/>
  <c r="AJ297" i="8" s="1"/>
  <c r="AI298" i="8"/>
  <c r="AJ298" i="8" s="1"/>
  <c r="AI299" i="8"/>
  <c r="AI300" i="8"/>
  <c r="AJ300" i="8" s="1"/>
  <c r="AI301" i="8"/>
  <c r="AJ301" i="8" s="1"/>
  <c r="AI302" i="8"/>
  <c r="AJ302" i="8" s="1"/>
  <c r="AI303" i="8"/>
  <c r="AJ303" i="8" s="1"/>
  <c r="AI304" i="8"/>
  <c r="AJ304" i="8" s="1"/>
  <c r="AI305" i="8"/>
  <c r="AJ305" i="8" s="1"/>
  <c r="AI306" i="8"/>
  <c r="AJ306" i="8" s="1"/>
  <c r="S30" i="8" a="1"/>
  <c r="S30" i="8" s="1"/>
  <c r="V30" i="8" s="1"/>
  <c r="S31" i="8" a="1"/>
  <c r="S31" i="8" s="1"/>
  <c r="V31" i="8" s="1"/>
  <c r="S32" i="8" a="1"/>
  <c r="S32" i="8" s="1"/>
  <c r="V32" i="8" s="1"/>
  <c r="S33" i="8" a="1"/>
  <c r="S33" i="8" s="1"/>
  <c r="V33" i="8" s="1"/>
  <c r="S34" i="8" a="1"/>
  <c r="S34" i="8" s="1"/>
  <c r="V34" i="8" s="1"/>
  <c r="S35" i="8" a="1"/>
  <c r="S35" i="8" s="1"/>
  <c r="V35" i="8" s="1"/>
  <c r="S36" i="8" a="1"/>
  <c r="S36" i="8" s="1"/>
  <c r="V36" i="8" s="1"/>
  <c r="S37" i="8" a="1"/>
  <c r="S37" i="8" s="1"/>
  <c r="V37" i="8" s="1"/>
  <c r="S38" i="8" a="1"/>
  <c r="S38" i="8" s="1"/>
  <c r="V38" i="8" s="1"/>
  <c r="S39" i="8" a="1"/>
  <c r="S39" i="8" s="1"/>
  <c r="V39" i="8" s="1"/>
  <c r="S40" i="8" a="1"/>
  <c r="S40" i="8" s="1"/>
  <c r="V40" i="8" s="1"/>
  <c r="S41" i="8" a="1"/>
  <c r="S41" i="8" s="1"/>
  <c r="V41" i="8" s="1"/>
  <c r="S42" i="8" a="1"/>
  <c r="S42" i="8" s="1"/>
  <c r="V42" i="8" s="1"/>
  <c r="S43" i="8" a="1"/>
  <c r="S43" i="8" s="1"/>
  <c r="V43" i="8" s="1"/>
  <c r="S44" i="8" a="1"/>
  <c r="S44" i="8" s="1"/>
  <c r="V44" i="8" s="1"/>
  <c r="S45" i="8" a="1"/>
  <c r="S45" i="8" s="1"/>
  <c r="V45" i="8" s="1"/>
  <c r="S46" i="8" a="1"/>
  <c r="S46" i="8" s="1"/>
  <c r="V46" i="8" s="1"/>
  <c r="S47" i="8" a="1"/>
  <c r="S47" i="8" s="1"/>
  <c r="V47" i="8" s="1"/>
  <c r="S48" i="8" a="1"/>
  <c r="S48" i="8" s="1"/>
  <c r="V48" i="8" s="1"/>
  <c r="S49" i="8" a="1"/>
  <c r="S49" i="8" s="1"/>
  <c r="V49" i="8" s="1"/>
  <c r="S50" i="8" a="1"/>
  <c r="S50" i="8" s="1"/>
  <c r="V50" i="8" s="1"/>
  <c r="S51" i="8" a="1"/>
  <c r="S51" i="8" s="1"/>
  <c r="V51" i="8" s="1"/>
  <c r="S52" i="8" a="1"/>
  <c r="S52" i="8" s="1"/>
  <c r="V52" i="8" s="1"/>
  <c r="S53" i="8" a="1"/>
  <c r="S53" i="8" s="1"/>
  <c r="V53" i="8" s="1"/>
  <c r="S54" i="8" a="1"/>
  <c r="S54" i="8" s="1"/>
  <c r="V54" i="8" s="1"/>
  <c r="S55" i="8" a="1"/>
  <c r="S55" i="8" s="1"/>
  <c r="V55" i="8" s="1"/>
  <c r="S56" i="8" a="1"/>
  <c r="S56" i="8" s="1"/>
  <c r="V56" i="8" s="1"/>
  <c r="S57" i="8" a="1"/>
  <c r="S57" i="8" s="1"/>
  <c r="V57" i="8" s="1"/>
  <c r="S58" i="8" a="1"/>
  <c r="S58" i="8" s="1"/>
  <c r="V58" i="8" s="1"/>
  <c r="S59" i="8" a="1"/>
  <c r="S59" i="8" s="1"/>
  <c r="V59" i="8" s="1"/>
  <c r="S60" i="8" a="1"/>
  <c r="S60" i="8" s="1"/>
  <c r="V60" i="8" s="1"/>
  <c r="S61" i="8" a="1"/>
  <c r="S61" i="8" s="1"/>
  <c r="V61" i="8" s="1"/>
  <c r="S62" i="8" a="1"/>
  <c r="S62" i="8" s="1"/>
  <c r="V62" i="8" s="1"/>
  <c r="S63" i="8" a="1"/>
  <c r="S63" i="8" s="1"/>
  <c r="V63" i="8" s="1"/>
  <c r="S64" i="8" a="1"/>
  <c r="S64" i="8" s="1"/>
  <c r="V64" i="8" s="1"/>
  <c r="S65" i="8" a="1"/>
  <c r="S65" i="8" s="1"/>
  <c r="V65" i="8" s="1"/>
  <c r="S66" i="8" a="1"/>
  <c r="S66" i="8" s="1"/>
  <c r="V66" i="8" s="1"/>
  <c r="S67" i="8" a="1"/>
  <c r="S67" i="8" s="1"/>
  <c r="V67" i="8" s="1"/>
  <c r="S68" i="8" a="1"/>
  <c r="S68" i="8" s="1"/>
  <c r="V68" i="8" s="1"/>
  <c r="S69" i="8" a="1"/>
  <c r="S69" i="8" s="1"/>
  <c r="V69" i="8" s="1"/>
  <c r="S70" i="8" a="1"/>
  <c r="S70" i="8" s="1"/>
  <c r="V70" i="8" s="1"/>
  <c r="S71" i="8" a="1"/>
  <c r="S71" i="8" s="1"/>
  <c r="V71" i="8" s="1"/>
  <c r="S72" i="8" a="1"/>
  <c r="S72" i="8" s="1"/>
  <c r="V72" i="8" s="1"/>
  <c r="S73" i="8" a="1"/>
  <c r="S73" i="8" s="1"/>
  <c r="V73" i="8" s="1"/>
  <c r="S74" i="8" a="1"/>
  <c r="S74" i="8" s="1"/>
  <c r="V74" i="8" s="1"/>
  <c r="S75" i="8" a="1"/>
  <c r="S75" i="8" s="1"/>
  <c r="V75" i="8" s="1"/>
  <c r="S76" i="8" a="1"/>
  <c r="S76" i="8" s="1"/>
  <c r="V76" i="8" s="1"/>
  <c r="S77" i="8" a="1"/>
  <c r="S77" i="8" s="1"/>
  <c r="V77" i="8" s="1"/>
  <c r="S78" i="8" a="1"/>
  <c r="S78" i="8" s="1"/>
  <c r="V78" i="8" s="1"/>
  <c r="S79" i="8" a="1"/>
  <c r="S79" i="8" s="1"/>
  <c r="V79" i="8" s="1"/>
  <c r="S80" i="8" a="1"/>
  <c r="S80" i="8" s="1"/>
  <c r="V80" i="8" s="1"/>
  <c r="S81" i="8" a="1"/>
  <c r="S81" i="8" s="1"/>
  <c r="V81" i="8" s="1"/>
  <c r="S82" i="8" a="1"/>
  <c r="S82" i="8" s="1"/>
  <c r="V82" i="8" s="1"/>
  <c r="S83" i="8" a="1"/>
  <c r="S83" i="8" s="1"/>
  <c r="V83" i="8" s="1"/>
  <c r="S84" i="8" a="1"/>
  <c r="S84" i="8" s="1"/>
  <c r="V84" i="8" s="1"/>
  <c r="S85" i="8" a="1"/>
  <c r="S85" i="8" s="1"/>
  <c r="V85" i="8" s="1"/>
  <c r="S86" i="8" a="1"/>
  <c r="S86" i="8" s="1"/>
  <c r="V86" i="8" s="1"/>
  <c r="S87" i="8" a="1"/>
  <c r="S87" i="8" s="1"/>
  <c r="V87" i="8" s="1"/>
  <c r="S88" i="8" a="1"/>
  <c r="S88" i="8" s="1"/>
  <c r="V88" i="8" s="1"/>
  <c r="S89" i="8" a="1"/>
  <c r="S89" i="8" s="1"/>
  <c r="V89" i="8" s="1"/>
  <c r="S90" i="8" a="1"/>
  <c r="S90" i="8" s="1"/>
  <c r="V90" i="8" s="1"/>
  <c r="S91" i="8" a="1"/>
  <c r="S91" i="8" s="1"/>
  <c r="V91" i="8" s="1"/>
  <c r="S92" i="8" a="1"/>
  <c r="S92" i="8" s="1"/>
  <c r="V92" i="8" s="1"/>
  <c r="S93" i="8" a="1"/>
  <c r="S93" i="8" s="1"/>
  <c r="V93" i="8" s="1"/>
  <c r="S94" i="8" a="1"/>
  <c r="S94" i="8" s="1"/>
  <c r="V94" i="8" s="1"/>
  <c r="S95" i="8" a="1"/>
  <c r="S95" i="8" s="1"/>
  <c r="V95" i="8" s="1"/>
  <c r="S96" i="8" a="1"/>
  <c r="S96" i="8" s="1"/>
  <c r="V96" i="8" s="1"/>
  <c r="S97" i="8" a="1"/>
  <c r="S97" i="8" s="1"/>
  <c r="V97" i="8" s="1"/>
  <c r="S98" i="8" a="1"/>
  <c r="S98" i="8" s="1"/>
  <c r="V98" i="8" s="1"/>
  <c r="S99" i="8" a="1"/>
  <c r="S99" i="8" s="1"/>
  <c r="V99" i="8" s="1"/>
  <c r="S100" i="8" a="1"/>
  <c r="S100" i="8" s="1"/>
  <c r="V100" i="8" s="1"/>
  <c r="S101" i="8" a="1"/>
  <c r="S101" i="8" s="1"/>
  <c r="V101" i="8" s="1"/>
  <c r="S102" i="8" a="1"/>
  <c r="S102" i="8" s="1"/>
  <c r="V102" i="8" s="1"/>
  <c r="S103" i="8" a="1"/>
  <c r="S103" i="8" s="1"/>
  <c r="V103" i="8" s="1"/>
  <c r="S104" i="8" a="1"/>
  <c r="S104" i="8" s="1"/>
  <c r="V104" i="8" s="1"/>
  <c r="S105" i="8" a="1"/>
  <c r="S105" i="8" s="1"/>
  <c r="V105" i="8" s="1"/>
  <c r="S106" i="8" a="1"/>
  <c r="S106" i="8" s="1"/>
  <c r="V106" i="8" s="1"/>
  <c r="S107" i="8" a="1"/>
  <c r="S107" i="8" s="1"/>
  <c r="V107" i="8" s="1"/>
  <c r="S108" i="8" a="1"/>
  <c r="S108" i="8" s="1"/>
  <c r="V108" i="8" s="1"/>
  <c r="S109" i="8" a="1"/>
  <c r="S109" i="8" s="1"/>
  <c r="V109" i="8" s="1"/>
  <c r="S110" i="8" a="1"/>
  <c r="S110" i="8" s="1"/>
  <c r="V110" i="8" s="1"/>
  <c r="S111" i="8" a="1"/>
  <c r="S111" i="8" s="1"/>
  <c r="V111" i="8" s="1"/>
  <c r="S112" i="8" a="1"/>
  <c r="S112" i="8" s="1"/>
  <c r="V112" i="8" s="1"/>
  <c r="S113" i="8" a="1"/>
  <c r="S113" i="8" s="1"/>
  <c r="V113" i="8" s="1"/>
  <c r="S114" i="8" a="1"/>
  <c r="S114" i="8" s="1"/>
  <c r="V114" i="8" s="1"/>
  <c r="S115" i="8" a="1"/>
  <c r="S115" i="8" s="1"/>
  <c r="V115" i="8" s="1"/>
  <c r="S116" i="8" a="1"/>
  <c r="S116" i="8" s="1"/>
  <c r="V116" i="8" s="1"/>
  <c r="S117" i="8" a="1"/>
  <c r="S117" i="8" s="1"/>
  <c r="V117" i="8" s="1"/>
  <c r="S118" i="8" a="1"/>
  <c r="S118" i="8" s="1"/>
  <c r="V118" i="8" s="1"/>
  <c r="S119" i="8" a="1"/>
  <c r="S119" i="8" s="1"/>
  <c r="V119" i="8" s="1"/>
  <c r="S120" i="8" a="1"/>
  <c r="S120" i="8" s="1"/>
  <c r="V120" i="8" s="1"/>
  <c r="S121" i="8" a="1"/>
  <c r="S121" i="8" s="1"/>
  <c r="V121" i="8" s="1"/>
  <c r="S122" i="8" a="1"/>
  <c r="S122" i="8" s="1"/>
  <c r="V122" i="8" s="1"/>
  <c r="S123" i="8" a="1"/>
  <c r="S123" i="8" s="1"/>
  <c r="V123" i="8" s="1"/>
  <c r="S124" i="8" a="1"/>
  <c r="S124" i="8" s="1"/>
  <c r="V124" i="8" s="1"/>
  <c r="S125" i="8" a="1"/>
  <c r="S125" i="8" s="1"/>
  <c r="V125" i="8" s="1"/>
  <c r="S126" i="8" a="1"/>
  <c r="S126" i="8" s="1"/>
  <c r="V126" i="8" s="1"/>
  <c r="S127" i="8" a="1"/>
  <c r="S127" i="8" s="1"/>
  <c r="V127" i="8" s="1"/>
  <c r="S128" i="8" a="1"/>
  <c r="S128" i="8" s="1"/>
  <c r="V128" i="8" s="1"/>
  <c r="S129" i="8" a="1"/>
  <c r="S129" i="8" s="1"/>
  <c r="V129" i="8" s="1"/>
  <c r="S130" i="8" a="1"/>
  <c r="S130" i="8" s="1"/>
  <c r="V130" i="8" s="1"/>
  <c r="S131" i="8" a="1"/>
  <c r="S131" i="8" s="1"/>
  <c r="V131" i="8" s="1"/>
  <c r="S132" i="8" a="1"/>
  <c r="S132" i="8" s="1"/>
  <c r="V132" i="8" s="1"/>
  <c r="S133" i="8" a="1"/>
  <c r="S133" i="8" s="1"/>
  <c r="V133" i="8" s="1"/>
  <c r="S134" i="8" a="1"/>
  <c r="S134" i="8" s="1"/>
  <c r="V134" i="8" s="1"/>
  <c r="S135" i="8" a="1"/>
  <c r="S135" i="8" s="1"/>
  <c r="V135" i="8" s="1"/>
  <c r="S136" i="8" a="1"/>
  <c r="S136" i="8" s="1"/>
  <c r="V136" i="8" s="1"/>
  <c r="S137" i="8" a="1"/>
  <c r="S137" i="8" s="1"/>
  <c r="V137" i="8" s="1"/>
  <c r="S138" i="8" a="1"/>
  <c r="S138" i="8" s="1"/>
  <c r="V138" i="8" s="1"/>
  <c r="S139" i="8" a="1"/>
  <c r="S139" i="8" s="1"/>
  <c r="V139" i="8" s="1"/>
  <c r="S140" i="8" a="1"/>
  <c r="S140" i="8" s="1"/>
  <c r="V140" i="8" s="1"/>
  <c r="S141" i="8" a="1"/>
  <c r="S141" i="8" s="1"/>
  <c r="V141" i="8" s="1"/>
  <c r="S142" i="8" a="1"/>
  <c r="S142" i="8" s="1"/>
  <c r="V142" i="8" s="1"/>
  <c r="S143" i="8" a="1"/>
  <c r="S143" i="8" s="1"/>
  <c r="V143" i="8" s="1"/>
  <c r="S144" i="8" a="1"/>
  <c r="S144" i="8" s="1"/>
  <c r="V144" i="8" s="1"/>
  <c r="S145" i="8" a="1"/>
  <c r="S145" i="8" s="1"/>
  <c r="V145" i="8" s="1"/>
  <c r="S146" i="8" a="1"/>
  <c r="S146" i="8" s="1"/>
  <c r="V146" i="8" s="1"/>
  <c r="S147" i="8" a="1"/>
  <c r="S147" i="8" s="1"/>
  <c r="V147" i="8" s="1"/>
  <c r="S148" i="8" a="1"/>
  <c r="S148" i="8" s="1"/>
  <c r="V148" i="8" s="1"/>
  <c r="S149" i="8" a="1"/>
  <c r="S149" i="8" s="1"/>
  <c r="V149" i="8" s="1"/>
  <c r="S150" i="8" a="1"/>
  <c r="S150" i="8" s="1"/>
  <c r="V150" i="8" s="1"/>
  <c r="S151" i="8" a="1"/>
  <c r="S151" i="8" s="1"/>
  <c r="V151" i="8" s="1"/>
  <c r="S152" i="8" a="1"/>
  <c r="S152" i="8" s="1"/>
  <c r="V152" i="8" s="1"/>
  <c r="S153" i="8" a="1"/>
  <c r="S153" i="8" s="1"/>
  <c r="V153" i="8" s="1"/>
  <c r="S154" i="8" a="1"/>
  <c r="S154" i="8" s="1"/>
  <c r="V154" i="8" s="1"/>
  <c r="S155" i="8" a="1"/>
  <c r="S155" i="8" s="1"/>
  <c r="V155" i="8" s="1"/>
  <c r="S156" i="8" a="1"/>
  <c r="S156" i="8" s="1"/>
  <c r="V156" i="8" s="1"/>
  <c r="S157" i="8" a="1"/>
  <c r="S157" i="8" s="1"/>
  <c r="V157" i="8" s="1"/>
  <c r="S158" i="8" a="1"/>
  <c r="S158" i="8" s="1"/>
  <c r="V158" i="8" s="1"/>
  <c r="S159" i="8" a="1"/>
  <c r="S159" i="8" s="1"/>
  <c r="V159" i="8" s="1"/>
  <c r="S160" i="8" a="1"/>
  <c r="S160" i="8" s="1"/>
  <c r="V160" i="8" s="1"/>
  <c r="S161" i="8" a="1"/>
  <c r="S161" i="8" s="1"/>
  <c r="V161" i="8" s="1"/>
  <c r="S162" i="8" a="1"/>
  <c r="S162" i="8" s="1"/>
  <c r="V162" i="8" s="1"/>
  <c r="S163" i="8" a="1"/>
  <c r="S163" i="8" s="1"/>
  <c r="V163" i="8" s="1"/>
  <c r="S164" i="8" a="1"/>
  <c r="S164" i="8" s="1"/>
  <c r="V164" i="8" s="1"/>
  <c r="S165" i="8" a="1"/>
  <c r="S165" i="8" s="1"/>
  <c r="V165" i="8" s="1"/>
  <c r="S166" i="8" a="1"/>
  <c r="S166" i="8" s="1"/>
  <c r="V166" i="8" s="1"/>
  <c r="S167" i="8" a="1"/>
  <c r="S167" i="8" s="1"/>
  <c r="V167" i="8" s="1"/>
  <c r="S168" i="8" a="1"/>
  <c r="S168" i="8" s="1"/>
  <c r="V168" i="8" s="1"/>
  <c r="S169" i="8" a="1"/>
  <c r="S169" i="8" s="1"/>
  <c r="V169" i="8" s="1"/>
  <c r="S170" i="8" a="1"/>
  <c r="S170" i="8" s="1"/>
  <c r="V170" i="8" s="1"/>
  <c r="S171" i="8" a="1"/>
  <c r="S171" i="8" s="1"/>
  <c r="V171" i="8" s="1"/>
  <c r="S172" i="8" a="1"/>
  <c r="S172" i="8" s="1"/>
  <c r="V172" i="8" s="1"/>
  <c r="S173" i="8" a="1"/>
  <c r="S173" i="8" s="1"/>
  <c r="V173" i="8" s="1"/>
  <c r="S174" i="8" a="1"/>
  <c r="S174" i="8" s="1"/>
  <c r="V174" i="8" s="1"/>
  <c r="S175" i="8" a="1"/>
  <c r="S175" i="8" s="1"/>
  <c r="V175" i="8" s="1"/>
  <c r="S176" i="8" a="1"/>
  <c r="S176" i="8" s="1"/>
  <c r="V176" i="8" s="1"/>
  <c r="S177" i="8" a="1"/>
  <c r="S177" i="8" s="1"/>
  <c r="V177" i="8" s="1"/>
  <c r="S178" i="8" a="1"/>
  <c r="S178" i="8" s="1"/>
  <c r="V178" i="8" s="1"/>
  <c r="S179" i="8" a="1"/>
  <c r="S179" i="8" s="1"/>
  <c r="V179" i="8" s="1"/>
  <c r="S180" i="8" a="1"/>
  <c r="S180" i="8" s="1"/>
  <c r="V180" i="8" s="1"/>
  <c r="S181" i="8" a="1"/>
  <c r="S181" i="8" s="1"/>
  <c r="V181" i="8" s="1"/>
  <c r="S182" i="8" a="1"/>
  <c r="S182" i="8" s="1"/>
  <c r="V182" i="8" s="1"/>
  <c r="S183" i="8" a="1"/>
  <c r="S183" i="8" s="1"/>
  <c r="V183" i="8" s="1"/>
  <c r="S184" i="8" a="1"/>
  <c r="S184" i="8" s="1"/>
  <c r="V184" i="8" s="1"/>
  <c r="S185" i="8" a="1"/>
  <c r="S185" i="8" s="1"/>
  <c r="V185" i="8" s="1"/>
  <c r="S186" i="8" a="1"/>
  <c r="S186" i="8" s="1"/>
  <c r="V186" i="8" s="1"/>
  <c r="S187" i="8" a="1"/>
  <c r="S187" i="8" s="1"/>
  <c r="V187" i="8" s="1"/>
  <c r="S188" i="8" a="1"/>
  <c r="S188" i="8" s="1"/>
  <c r="V188" i="8" s="1"/>
  <c r="S189" i="8" a="1"/>
  <c r="S189" i="8" s="1"/>
  <c r="V189" i="8" s="1"/>
  <c r="S190" i="8" a="1"/>
  <c r="S190" i="8" s="1"/>
  <c r="V190" i="8" s="1"/>
  <c r="S191" i="8" a="1"/>
  <c r="S191" i="8" s="1"/>
  <c r="V191" i="8" s="1"/>
  <c r="S192" i="8" a="1"/>
  <c r="S192" i="8" s="1"/>
  <c r="V192" i="8" s="1"/>
  <c r="S193" i="8" a="1"/>
  <c r="S193" i="8" s="1"/>
  <c r="V193" i="8" s="1"/>
  <c r="S194" i="8" a="1"/>
  <c r="S194" i="8" s="1"/>
  <c r="V194" i="8" s="1"/>
  <c r="S195" i="8" a="1"/>
  <c r="S195" i="8" s="1"/>
  <c r="V195" i="8" s="1"/>
  <c r="S196" i="8" a="1"/>
  <c r="S196" i="8" s="1"/>
  <c r="V196" i="8" s="1"/>
  <c r="S197" i="8" a="1"/>
  <c r="S197" i="8" s="1"/>
  <c r="V197" i="8" s="1"/>
  <c r="S198" i="8" a="1"/>
  <c r="S198" i="8" s="1"/>
  <c r="V198" i="8" s="1"/>
  <c r="S199" i="8" a="1"/>
  <c r="S199" i="8" s="1"/>
  <c r="V199" i="8" s="1"/>
  <c r="S200" i="8" a="1"/>
  <c r="S200" i="8" s="1"/>
  <c r="V200" i="8" s="1"/>
  <c r="S201" i="8" a="1"/>
  <c r="S201" i="8" s="1"/>
  <c r="V201" i="8" s="1"/>
  <c r="S202" i="8" a="1"/>
  <c r="S202" i="8" s="1"/>
  <c r="V202" i="8" s="1"/>
  <c r="S203" i="8" a="1"/>
  <c r="S203" i="8" s="1"/>
  <c r="V203" i="8" s="1"/>
  <c r="S204" i="8" a="1"/>
  <c r="S204" i="8" s="1"/>
  <c r="V204" i="8" s="1"/>
  <c r="S205" i="8" a="1"/>
  <c r="S205" i="8" s="1"/>
  <c r="V205" i="8" s="1"/>
  <c r="S206" i="8" a="1"/>
  <c r="S206" i="8" s="1"/>
  <c r="V206" i="8" s="1"/>
  <c r="S207" i="8" a="1"/>
  <c r="S207" i="8" s="1"/>
  <c r="V207" i="8" s="1"/>
  <c r="S208" i="8" a="1"/>
  <c r="S208" i="8" s="1"/>
  <c r="V208" i="8" s="1"/>
  <c r="S209" i="8" a="1"/>
  <c r="S209" i="8" s="1"/>
  <c r="V209" i="8" s="1"/>
  <c r="S210" i="8" a="1"/>
  <c r="S210" i="8" s="1"/>
  <c r="V210" i="8" s="1"/>
  <c r="S211" i="8" a="1"/>
  <c r="S211" i="8" s="1"/>
  <c r="V211" i="8" s="1"/>
  <c r="S212" i="8" a="1"/>
  <c r="S212" i="8" s="1"/>
  <c r="V212" i="8" s="1"/>
  <c r="S213" i="8" a="1"/>
  <c r="S213" i="8" s="1"/>
  <c r="V213" i="8" s="1"/>
  <c r="S214" i="8" a="1"/>
  <c r="S214" i="8" s="1"/>
  <c r="V214" i="8" s="1"/>
  <c r="S215" i="8" a="1"/>
  <c r="S215" i="8" s="1"/>
  <c r="V215" i="8" s="1"/>
  <c r="S216" i="8" a="1"/>
  <c r="S216" i="8" s="1"/>
  <c r="V216" i="8" s="1"/>
  <c r="S217" i="8" a="1"/>
  <c r="S217" i="8" s="1"/>
  <c r="V217" i="8" s="1"/>
  <c r="S218" i="8" a="1"/>
  <c r="S218" i="8" s="1"/>
  <c r="V218" i="8" s="1"/>
  <c r="S219" i="8" a="1"/>
  <c r="S219" i="8" s="1"/>
  <c r="V219" i="8" s="1"/>
  <c r="S220" i="8" a="1"/>
  <c r="S220" i="8" s="1"/>
  <c r="V220" i="8" s="1"/>
  <c r="S221" i="8" a="1"/>
  <c r="S221" i="8" s="1"/>
  <c r="V221" i="8" s="1"/>
  <c r="S222" i="8" a="1"/>
  <c r="S222" i="8" s="1"/>
  <c r="V222" i="8" s="1"/>
  <c r="S223" i="8" a="1"/>
  <c r="S223" i="8" s="1"/>
  <c r="V223" i="8" s="1"/>
  <c r="S224" i="8" a="1"/>
  <c r="S224" i="8" s="1"/>
  <c r="V224" i="8" s="1"/>
  <c r="S225" i="8" a="1"/>
  <c r="S225" i="8" s="1"/>
  <c r="V225" i="8" s="1"/>
  <c r="S226" i="8" a="1"/>
  <c r="S226" i="8" s="1"/>
  <c r="V226" i="8" s="1"/>
  <c r="T30" i="8" a="1"/>
  <c r="T30" i="8" s="1"/>
  <c r="T31" i="8" a="1"/>
  <c r="T31" i="8" s="1"/>
  <c r="T32" i="8" a="1"/>
  <c r="T32" i="8" s="1"/>
  <c r="T33" i="8" a="1"/>
  <c r="T33" i="8" s="1"/>
  <c r="T34" i="8" a="1"/>
  <c r="T34" i="8" s="1"/>
  <c r="T35" i="8" a="1"/>
  <c r="T35" i="8" s="1"/>
  <c r="T36" i="8" a="1"/>
  <c r="T36" i="8" s="1"/>
  <c r="T37" i="8" a="1"/>
  <c r="T37" i="8" s="1"/>
  <c r="T38" i="8" a="1"/>
  <c r="T38" i="8" s="1"/>
  <c r="T39" i="8" a="1"/>
  <c r="T39" i="8" s="1"/>
  <c r="T40" i="8" a="1"/>
  <c r="T40" i="8" s="1"/>
  <c r="T41" i="8" a="1"/>
  <c r="T41" i="8" s="1"/>
  <c r="T42" i="8" a="1"/>
  <c r="T42" i="8" s="1"/>
  <c r="T43" i="8" a="1"/>
  <c r="T43" i="8" s="1"/>
  <c r="T44" i="8" a="1"/>
  <c r="T44" i="8" s="1"/>
  <c r="T45" i="8" a="1"/>
  <c r="T45" i="8" s="1"/>
  <c r="T46" i="8" a="1"/>
  <c r="T46" i="8" s="1"/>
  <c r="T47" i="8" a="1"/>
  <c r="T47" i="8" s="1"/>
  <c r="T48" i="8" a="1"/>
  <c r="T48" i="8" s="1"/>
  <c r="T49" i="8" a="1"/>
  <c r="T49" i="8" s="1"/>
  <c r="T50" i="8" a="1"/>
  <c r="T50" i="8" s="1"/>
  <c r="T51" i="8" a="1"/>
  <c r="T51" i="8" s="1"/>
  <c r="T52" i="8" a="1"/>
  <c r="T52" i="8" s="1"/>
  <c r="T53" i="8" a="1"/>
  <c r="T53" i="8" s="1"/>
  <c r="T54" i="8" a="1"/>
  <c r="T54" i="8" s="1"/>
  <c r="T55" i="8" a="1"/>
  <c r="T55" i="8" s="1"/>
  <c r="T56" i="8" a="1"/>
  <c r="T56" i="8" s="1"/>
  <c r="T57" i="8" a="1"/>
  <c r="T57" i="8" s="1"/>
  <c r="T58" i="8" a="1"/>
  <c r="T58" i="8" s="1"/>
  <c r="T59" i="8" a="1"/>
  <c r="T59" i="8" s="1"/>
  <c r="T60" i="8" a="1"/>
  <c r="T60" i="8" s="1"/>
  <c r="T61" i="8" a="1"/>
  <c r="T61" i="8" s="1"/>
  <c r="T62" i="8" a="1"/>
  <c r="T62" i="8" s="1"/>
  <c r="T63" i="8" a="1"/>
  <c r="T63" i="8" s="1"/>
  <c r="T64" i="8" a="1"/>
  <c r="T64" i="8" s="1"/>
  <c r="T65" i="8" a="1"/>
  <c r="T65" i="8" s="1"/>
  <c r="T66" i="8" a="1"/>
  <c r="T66" i="8" s="1"/>
  <c r="T67" i="8" a="1"/>
  <c r="T67" i="8" s="1"/>
  <c r="T68" i="8" a="1"/>
  <c r="T68" i="8" s="1"/>
  <c r="T69" i="8" a="1"/>
  <c r="T69" i="8" s="1"/>
  <c r="T70" i="8" a="1"/>
  <c r="T70" i="8" s="1"/>
  <c r="T71" i="8" a="1"/>
  <c r="T71" i="8" s="1"/>
  <c r="T72" i="8" a="1"/>
  <c r="T72" i="8" s="1"/>
  <c r="T73" i="8" a="1"/>
  <c r="T73" i="8" s="1"/>
  <c r="T74" i="8" a="1"/>
  <c r="T74" i="8" s="1"/>
  <c r="T75" i="8" a="1"/>
  <c r="T75" i="8" s="1"/>
  <c r="T76" i="8" a="1"/>
  <c r="T76" i="8" s="1"/>
  <c r="T77" i="8" a="1"/>
  <c r="T77" i="8" s="1"/>
  <c r="T78" i="8" a="1"/>
  <c r="T78" i="8" s="1"/>
  <c r="T79" i="8" a="1"/>
  <c r="T79" i="8" s="1"/>
  <c r="T80" i="8" a="1"/>
  <c r="T80" i="8" s="1"/>
  <c r="T81" i="8" a="1"/>
  <c r="T81" i="8" s="1"/>
  <c r="T82" i="8" a="1"/>
  <c r="T82" i="8" s="1"/>
  <c r="T83" i="8" a="1"/>
  <c r="T83" i="8" s="1"/>
  <c r="T84" i="8" a="1"/>
  <c r="T84" i="8" s="1"/>
  <c r="T85" i="8" a="1"/>
  <c r="T85" i="8" s="1"/>
  <c r="T86" i="8" a="1"/>
  <c r="T86" i="8" s="1"/>
  <c r="T87" i="8" a="1"/>
  <c r="T87" i="8" s="1"/>
  <c r="T88" i="8" a="1"/>
  <c r="T88" i="8" s="1"/>
  <c r="T89" i="8" a="1"/>
  <c r="T89" i="8" s="1"/>
  <c r="T90" i="8" a="1"/>
  <c r="T90" i="8" s="1"/>
  <c r="T91" i="8" a="1"/>
  <c r="T91" i="8" s="1"/>
  <c r="T92" i="8" a="1"/>
  <c r="T92" i="8" s="1"/>
  <c r="T93" i="8" a="1"/>
  <c r="T93" i="8" s="1"/>
  <c r="T94" i="8" a="1"/>
  <c r="T94" i="8" s="1"/>
  <c r="T95" i="8" a="1"/>
  <c r="T95" i="8" s="1"/>
  <c r="T96" i="8" a="1"/>
  <c r="T96" i="8" s="1"/>
  <c r="T97" i="8" a="1"/>
  <c r="T97" i="8" s="1"/>
  <c r="T98" i="8" a="1"/>
  <c r="T98" i="8" s="1"/>
  <c r="T99" i="8" a="1"/>
  <c r="T99" i="8" s="1"/>
  <c r="T100" i="8" a="1"/>
  <c r="T100" i="8" s="1"/>
  <c r="T101" i="8" a="1"/>
  <c r="T101" i="8" s="1"/>
  <c r="T102" i="8" a="1"/>
  <c r="T102" i="8" s="1"/>
  <c r="T103" i="8" a="1"/>
  <c r="T103" i="8" s="1"/>
  <c r="T104" i="8" a="1"/>
  <c r="T104" i="8" s="1"/>
  <c r="T105" i="8" a="1"/>
  <c r="T105" i="8" s="1"/>
  <c r="T106" i="8" a="1"/>
  <c r="T106" i="8" s="1"/>
  <c r="T107" i="8" a="1"/>
  <c r="T107" i="8" s="1"/>
  <c r="T108" i="8" a="1"/>
  <c r="T108" i="8" s="1"/>
  <c r="T109" i="8" a="1"/>
  <c r="T109" i="8" s="1"/>
  <c r="T110" i="8" a="1"/>
  <c r="T110" i="8" s="1"/>
  <c r="T111" i="8" a="1"/>
  <c r="T111" i="8" s="1"/>
  <c r="T112" i="8" a="1"/>
  <c r="T112" i="8" s="1"/>
  <c r="T113" i="8" a="1"/>
  <c r="T113" i="8" s="1"/>
  <c r="T114" i="8" a="1"/>
  <c r="T114" i="8" s="1"/>
  <c r="T115" i="8" a="1"/>
  <c r="T115" i="8" s="1"/>
  <c r="T116" i="8" a="1"/>
  <c r="T116" i="8" s="1"/>
  <c r="T117" i="8" a="1"/>
  <c r="T117" i="8" s="1"/>
  <c r="T118" i="8" a="1"/>
  <c r="T118" i="8" s="1"/>
  <c r="T119" i="8" a="1"/>
  <c r="T119" i="8" s="1"/>
  <c r="T120" i="8" a="1"/>
  <c r="T120" i="8" s="1"/>
  <c r="T121" i="8" a="1"/>
  <c r="T121" i="8" s="1"/>
  <c r="T122" i="8" a="1"/>
  <c r="T122" i="8" s="1"/>
  <c r="T123" i="8" a="1"/>
  <c r="T123" i="8" s="1"/>
  <c r="T124" i="8" a="1"/>
  <c r="T124" i="8" s="1"/>
  <c r="T125" i="8" a="1"/>
  <c r="T125" i="8" s="1"/>
  <c r="T126" i="8" a="1"/>
  <c r="T126" i="8" s="1"/>
  <c r="T127" i="8" a="1"/>
  <c r="T127" i="8" s="1"/>
  <c r="T128" i="8" a="1"/>
  <c r="T128" i="8" s="1"/>
  <c r="T129" i="8" a="1"/>
  <c r="T129" i="8" s="1"/>
  <c r="T130" i="8" a="1"/>
  <c r="T130" i="8" s="1"/>
  <c r="T131" i="8" a="1"/>
  <c r="T131" i="8" s="1"/>
  <c r="T132" i="8" a="1"/>
  <c r="T132" i="8" s="1"/>
  <c r="T133" i="8" a="1"/>
  <c r="T133" i="8" s="1"/>
  <c r="T134" i="8" a="1"/>
  <c r="T134" i="8" s="1"/>
  <c r="T135" i="8" a="1"/>
  <c r="T135" i="8" s="1"/>
  <c r="T136" i="8" a="1"/>
  <c r="T136" i="8" s="1"/>
  <c r="T137" i="8" a="1"/>
  <c r="T137" i="8" s="1"/>
  <c r="T138" i="8" a="1"/>
  <c r="T138" i="8" s="1"/>
  <c r="T139" i="8" a="1"/>
  <c r="T139" i="8" s="1"/>
  <c r="T140" i="8" a="1"/>
  <c r="T140" i="8" s="1"/>
  <c r="T141" i="8" a="1"/>
  <c r="T141" i="8" s="1"/>
  <c r="T142" i="8" a="1"/>
  <c r="T142" i="8" s="1"/>
  <c r="T143" i="8" a="1"/>
  <c r="T143" i="8" s="1"/>
  <c r="T144" i="8" a="1"/>
  <c r="T144" i="8" s="1"/>
  <c r="T145" i="8" a="1"/>
  <c r="T145" i="8" s="1"/>
  <c r="T146" i="8" a="1"/>
  <c r="T146" i="8" s="1"/>
  <c r="T147" i="8" a="1"/>
  <c r="T147" i="8" s="1"/>
  <c r="T148" i="8" a="1"/>
  <c r="T148" i="8" s="1"/>
  <c r="T149" i="8" a="1"/>
  <c r="T149" i="8" s="1"/>
  <c r="T150" i="8" a="1"/>
  <c r="T150" i="8" s="1"/>
  <c r="T151" i="8" a="1"/>
  <c r="T151" i="8" s="1"/>
  <c r="T152" i="8" a="1"/>
  <c r="T152" i="8" s="1"/>
  <c r="T153" i="8" a="1"/>
  <c r="T153" i="8" s="1"/>
  <c r="T154" i="8" a="1"/>
  <c r="T154" i="8" s="1"/>
  <c r="T155" i="8" a="1"/>
  <c r="T155" i="8" s="1"/>
  <c r="T156" i="8" a="1"/>
  <c r="T156" i="8" s="1"/>
  <c r="T157" i="8" a="1"/>
  <c r="T157" i="8" s="1"/>
  <c r="T158" i="8" a="1"/>
  <c r="T158" i="8" s="1"/>
  <c r="T159" i="8" a="1"/>
  <c r="T159" i="8" s="1"/>
  <c r="T160" i="8" a="1"/>
  <c r="T160" i="8" s="1"/>
  <c r="T161" i="8" a="1"/>
  <c r="T161" i="8" s="1"/>
  <c r="T162" i="8" a="1"/>
  <c r="T162" i="8" s="1"/>
  <c r="T163" i="8" a="1"/>
  <c r="T163" i="8" s="1"/>
  <c r="T164" i="8" a="1"/>
  <c r="T164" i="8" s="1"/>
  <c r="T165" i="8" a="1"/>
  <c r="T165" i="8" s="1"/>
  <c r="T166" i="8" a="1"/>
  <c r="T166" i="8" s="1"/>
  <c r="T167" i="8" a="1"/>
  <c r="T167" i="8" s="1"/>
  <c r="T168" i="8" a="1"/>
  <c r="T168" i="8" s="1"/>
  <c r="T169" i="8" a="1"/>
  <c r="T169" i="8" s="1"/>
  <c r="T170" i="8" a="1"/>
  <c r="T170" i="8" s="1"/>
  <c r="T171" i="8" a="1"/>
  <c r="T171" i="8" s="1"/>
  <c r="T172" i="8" a="1"/>
  <c r="T172" i="8" s="1"/>
  <c r="T173" i="8" a="1"/>
  <c r="T173" i="8" s="1"/>
  <c r="T174" i="8" a="1"/>
  <c r="T174" i="8" s="1"/>
  <c r="T175" i="8" a="1"/>
  <c r="T175" i="8" s="1"/>
  <c r="T176" i="8" a="1"/>
  <c r="T176" i="8" s="1"/>
  <c r="T177" i="8" a="1"/>
  <c r="T177" i="8" s="1"/>
  <c r="T178" i="8" a="1"/>
  <c r="T178" i="8" s="1"/>
  <c r="T179" i="8" a="1"/>
  <c r="T179" i="8" s="1"/>
  <c r="T180" i="8" a="1"/>
  <c r="T180" i="8" s="1"/>
  <c r="T181" i="8" a="1"/>
  <c r="T181" i="8" s="1"/>
  <c r="T182" i="8" a="1"/>
  <c r="T182" i="8" s="1"/>
  <c r="T183" i="8" a="1"/>
  <c r="T183" i="8" s="1"/>
  <c r="T184" i="8" a="1"/>
  <c r="T184" i="8" s="1"/>
  <c r="T185" i="8" a="1"/>
  <c r="T185" i="8" s="1"/>
  <c r="T186" i="8" a="1"/>
  <c r="T186" i="8" s="1"/>
  <c r="T187" i="8" a="1"/>
  <c r="T187" i="8" s="1"/>
  <c r="T188" i="8" a="1"/>
  <c r="T188" i="8" s="1"/>
  <c r="T189" i="8" a="1"/>
  <c r="T189" i="8" s="1"/>
  <c r="T190" i="8" a="1"/>
  <c r="T190" i="8" s="1"/>
  <c r="T191" i="8" a="1"/>
  <c r="T191" i="8" s="1"/>
  <c r="T192" i="8" a="1"/>
  <c r="T192" i="8" s="1"/>
  <c r="T193" i="8" a="1"/>
  <c r="T193" i="8" s="1"/>
  <c r="T194" i="8" a="1"/>
  <c r="T194" i="8" s="1"/>
  <c r="T195" i="8" a="1"/>
  <c r="T195" i="8" s="1"/>
  <c r="T196" i="8" a="1"/>
  <c r="T196" i="8" s="1"/>
  <c r="T197" i="8" a="1"/>
  <c r="T197" i="8" s="1"/>
  <c r="T198" i="8" a="1"/>
  <c r="T198" i="8" s="1"/>
  <c r="T199" i="8" a="1"/>
  <c r="T199" i="8" s="1"/>
  <c r="T200" i="8" a="1"/>
  <c r="T200" i="8" s="1"/>
  <c r="T201" i="8" a="1"/>
  <c r="T201" i="8" s="1"/>
  <c r="T202" i="8" a="1"/>
  <c r="T202" i="8" s="1"/>
  <c r="T203" i="8" a="1"/>
  <c r="T203" i="8" s="1"/>
  <c r="T204" i="8" a="1"/>
  <c r="T204" i="8" s="1"/>
  <c r="T205" i="8" a="1"/>
  <c r="T205" i="8" s="1"/>
  <c r="T206" i="8" a="1"/>
  <c r="T206" i="8" s="1"/>
  <c r="T207" i="8" a="1"/>
  <c r="T207" i="8" s="1"/>
  <c r="T208" i="8" a="1"/>
  <c r="T208" i="8" s="1"/>
  <c r="T209" i="8" a="1"/>
  <c r="T209" i="8" s="1"/>
  <c r="T210" i="8" a="1"/>
  <c r="T210" i="8" s="1"/>
  <c r="T211" i="8" a="1"/>
  <c r="T211" i="8" s="1"/>
  <c r="T212" i="8" a="1"/>
  <c r="T212" i="8" s="1"/>
  <c r="T213" i="8" a="1"/>
  <c r="T213" i="8" s="1"/>
  <c r="T214" i="8" a="1"/>
  <c r="T214" i="8" s="1"/>
  <c r="T215" i="8" a="1"/>
  <c r="T215" i="8" s="1"/>
  <c r="T216" i="8" a="1"/>
  <c r="T216" i="8" s="1"/>
  <c r="T217" i="8" a="1"/>
  <c r="T217" i="8" s="1"/>
  <c r="T218" i="8" a="1"/>
  <c r="T218" i="8" s="1"/>
  <c r="T219" i="8" a="1"/>
  <c r="T219" i="8" s="1"/>
  <c r="T220" i="8" a="1"/>
  <c r="T220" i="8" s="1"/>
  <c r="T221" i="8" a="1"/>
  <c r="T221" i="8" s="1"/>
  <c r="T222" i="8" a="1"/>
  <c r="T222" i="8" s="1"/>
  <c r="T223" i="8" a="1"/>
  <c r="T223" i="8" s="1"/>
  <c r="T224" i="8" a="1"/>
  <c r="T224" i="8" s="1"/>
  <c r="T225" i="8" a="1"/>
  <c r="T225" i="8" s="1"/>
  <c r="T226" i="8" a="1"/>
  <c r="T226" i="8" s="1"/>
  <c r="AF30" i="8"/>
  <c r="AM30" i="8" s="1"/>
  <c r="AF31" i="8"/>
  <c r="AM31" i="8" s="1"/>
  <c r="AF32" i="8"/>
  <c r="AM32" i="8" s="1"/>
  <c r="AF33" i="8"/>
  <c r="AM33" i="8" s="1"/>
  <c r="AF34" i="8"/>
  <c r="AM34" i="8" s="1"/>
  <c r="AF35" i="8"/>
  <c r="AM35" i="8" s="1"/>
  <c r="AF36" i="8"/>
  <c r="AM36" i="8" s="1"/>
  <c r="AF37" i="8"/>
  <c r="AM37" i="8" s="1"/>
  <c r="AF38" i="8"/>
  <c r="AM38" i="8" s="1"/>
  <c r="AF39" i="8"/>
  <c r="AM39" i="8" s="1"/>
  <c r="AF40" i="8"/>
  <c r="AM40" i="8" s="1"/>
  <c r="AF41" i="8"/>
  <c r="AM41" i="8" s="1"/>
  <c r="AF42" i="8"/>
  <c r="AM42" i="8" s="1"/>
  <c r="AF43" i="8"/>
  <c r="AM43" i="8" s="1"/>
  <c r="AF44" i="8"/>
  <c r="AM44" i="8" s="1"/>
  <c r="AF45" i="8"/>
  <c r="AM45" i="8" s="1"/>
  <c r="AF46" i="8"/>
  <c r="AM46" i="8" s="1"/>
  <c r="AF47" i="8"/>
  <c r="AM47" i="8" s="1"/>
  <c r="AF48" i="8"/>
  <c r="AM48" i="8" s="1"/>
  <c r="AF49" i="8"/>
  <c r="AM49" i="8" s="1"/>
  <c r="AF50" i="8"/>
  <c r="AM50" i="8" s="1"/>
  <c r="AF51" i="8"/>
  <c r="AM51" i="8" s="1"/>
  <c r="AF52" i="8"/>
  <c r="AM52" i="8" s="1"/>
  <c r="AF53" i="8"/>
  <c r="AM53" i="8" s="1"/>
  <c r="AF54" i="8"/>
  <c r="AM54" i="8" s="1"/>
  <c r="AF55" i="8"/>
  <c r="AM55" i="8" s="1"/>
  <c r="AF56" i="8"/>
  <c r="AM56" i="8" s="1"/>
  <c r="AF57" i="8"/>
  <c r="AM57" i="8" s="1"/>
  <c r="AF58" i="8"/>
  <c r="AM58" i="8" s="1"/>
  <c r="AF59" i="8"/>
  <c r="AM59" i="8" s="1"/>
  <c r="AF60" i="8"/>
  <c r="AM60" i="8" s="1"/>
  <c r="AF61" i="8"/>
  <c r="AM61" i="8" s="1"/>
  <c r="AF62" i="8"/>
  <c r="AM62" i="8" s="1"/>
  <c r="AF63" i="8"/>
  <c r="AM63" i="8" s="1"/>
  <c r="AF64" i="8"/>
  <c r="AM64" i="8" s="1"/>
  <c r="AF65" i="8"/>
  <c r="AM65" i="8" s="1"/>
  <c r="AF66" i="8"/>
  <c r="AM66" i="8" s="1"/>
  <c r="AF67" i="8"/>
  <c r="AM67" i="8" s="1"/>
  <c r="AF68" i="8"/>
  <c r="AM68" i="8" s="1"/>
  <c r="AF69" i="8"/>
  <c r="AM69" i="8" s="1"/>
  <c r="AF70" i="8"/>
  <c r="AM70" i="8" s="1"/>
  <c r="AF71" i="8"/>
  <c r="AM71" i="8" s="1"/>
  <c r="AF72" i="8"/>
  <c r="AM72" i="8" s="1"/>
  <c r="AF73" i="8"/>
  <c r="AM73" i="8" s="1"/>
  <c r="AF74" i="8"/>
  <c r="AM74" i="8" s="1"/>
  <c r="AF75" i="8"/>
  <c r="AM75" i="8" s="1"/>
  <c r="AF76" i="8"/>
  <c r="AM76" i="8" s="1"/>
  <c r="AF77" i="8"/>
  <c r="AM77" i="8" s="1"/>
  <c r="AF78" i="8"/>
  <c r="AM78" i="8" s="1"/>
  <c r="AF79" i="8"/>
  <c r="AM79" i="8" s="1"/>
  <c r="AF80" i="8"/>
  <c r="AM80" i="8" s="1"/>
  <c r="AF81" i="8"/>
  <c r="AM81" i="8" s="1"/>
  <c r="AF82" i="8"/>
  <c r="AM82" i="8" s="1"/>
  <c r="AF83" i="8"/>
  <c r="AM83" i="8" s="1"/>
  <c r="AF84" i="8"/>
  <c r="AM84" i="8" s="1"/>
  <c r="AF85" i="8"/>
  <c r="AM85" i="8" s="1"/>
  <c r="AF86" i="8"/>
  <c r="AM86" i="8" s="1"/>
  <c r="AF87" i="8"/>
  <c r="AM87" i="8" s="1"/>
  <c r="AF88" i="8"/>
  <c r="AM88" i="8" s="1"/>
  <c r="AF89" i="8"/>
  <c r="AM89" i="8" s="1"/>
  <c r="AF90" i="8"/>
  <c r="AM90" i="8" s="1"/>
  <c r="AF91" i="8"/>
  <c r="AM91" i="8" s="1"/>
  <c r="AF92" i="8"/>
  <c r="AM92" i="8" s="1"/>
  <c r="AF93" i="8"/>
  <c r="AM93" i="8" s="1"/>
  <c r="AF94" i="8"/>
  <c r="AM94" i="8" s="1"/>
  <c r="AF95" i="8"/>
  <c r="AM95" i="8" s="1"/>
  <c r="AF96" i="8"/>
  <c r="AM96" i="8" s="1"/>
  <c r="AF97" i="8"/>
  <c r="AM97" i="8" s="1"/>
  <c r="AF98" i="8"/>
  <c r="AM98" i="8" s="1"/>
  <c r="AF99" i="8"/>
  <c r="AM99" i="8" s="1"/>
  <c r="AF100" i="8"/>
  <c r="AM100" i="8" s="1"/>
  <c r="AF101" i="8"/>
  <c r="AM101" i="8" s="1"/>
  <c r="AF102" i="8"/>
  <c r="AM102" i="8" s="1"/>
  <c r="AF103" i="8"/>
  <c r="AM103" i="8" s="1"/>
  <c r="AF104" i="8"/>
  <c r="AM104" i="8" s="1"/>
  <c r="AF105" i="8"/>
  <c r="AM105" i="8" s="1"/>
  <c r="AF106" i="8"/>
  <c r="AM106" i="8" s="1"/>
  <c r="AF107" i="8"/>
  <c r="AM107" i="8" s="1"/>
  <c r="AF108" i="8"/>
  <c r="AM108" i="8" s="1"/>
  <c r="AF109" i="8"/>
  <c r="AM109" i="8" s="1"/>
  <c r="AF110" i="8"/>
  <c r="AM110" i="8" s="1"/>
  <c r="AF111" i="8"/>
  <c r="AM111" i="8" s="1"/>
  <c r="AF112" i="8"/>
  <c r="AM112" i="8" s="1"/>
  <c r="AF113" i="8"/>
  <c r="AM113" i="8" s="1"/>
  <c r="AF114" i="8"/>
  <c r="AM114" i="8" s="1"/>
  <c r="AF115" i="8"/>
  <c r="AM115" i="8" s="1"/>
  <c r="AF116" i="8"/>
  <c r="AM116" i="8" s="1"/>
  <c r="AF117" i="8"/>
  <c r="AM117" i="8" s="1"/>
  <c r="AF118" i="8"/>
  <c r="AM118" i="8" s="1"/>
  <c r="AF119" i="8"/>
  <c r="AM119" i="8" s="1"/>
  <c r="AF120" i="8"/>
  <c r="AM120" i="8" s="1"/>
  <c r="AF121" i="8"/>
  <c r="AM121" i="8" s="1"/>
  <c r="AF122" i="8"/>
  <c r="AM122" i="8" s="1"/>
  <c r="AF123" i="8"/>
  <c r="AM123" i="8" s="1"/>
  <c r="AF124" i="8"/>
  <c r="AM124" i="8" s="1"/>
  <c r="AF125" i="8"/>
  <c r="AM125" i="8" s="1"/>
  <c r="AF126" i="8"/>
  <c r="AM126" i="8" s="1"/>
  <c r="AF127" i="8"/>
  <c r="AM127" i="8" s="1"/>
  <c r="AF128" i="8"/>
  <c r="AM128" i="8" s="1"/>
  <c r="AF129" i="8"/>
  <c r="AM129" i="8" s="1"/>
  <c r="AF130" i="8"/>
  <c r="AM130" i="8" s="1"/>
  <c r="AF131" i="8"/>
  <c r="AM131" i="8" s="1"/>
  <c r="AF132" i="8"/>
  <c r="AM132" i="8" s="1"/>
  <c r="AF133" i="8"/>
  <c r="AM133" i="8" s="1"/>
  <c r="AF134" i="8"/>
  <c r="AM134" i="8" s="1"/>
  <c r="AF135" i="8"/>
  <c r="AM135" i="8" s="1"/>
  <c r="AF136" i="8"/>
  <c r="AM136" i="8" s="1"/>
  <c r="AF137" i="8"/>
  <c r="AM137" i="8" s="1"/>
  <c r="AF138" i="8"/>
  <c r="AM138" i="8" s="1"/>
  <c r="AF139" i="8"/>
  <c r="AM139" i="8" s="1"/>
  <c r="AF140" i="8"/>
  <c r="AM140" i="8" s="1"/>
  <c r="AF141" i="8"/>
  <c r="AM141" i="8" s="1"/>
  <c r="AF142" i="8"/>
  <c r="AM142" i="8" s="1"/>
  <c r="AF143" i="8"/>
  <c r="AM143" i="8" s="1"/>
  <c r="AF144" i="8"/>
  <c r="AM144" i="8" s="1"/>
  <c r="AF145" i="8"/>
  <c r="AM145" i="8" s="1"/>
  <c r="AF146" i="8"/>
  <c r="AM146" i="8" s="1"/>
  <c r="AF147" i="8"/>
  <c r="AM147" i="8" s="1"/>
  <c r="AF148" i="8"/>
  <c r="AM148" i="8" s="1"/>
  <c r="AF149" i="8"/>
  <c r="AM149" i="8" s="1"/>
  <c r="AF150" i="8"/>
  <c r="AM150" i="8" s="1"/>
  <c r="AF151" i="8"/>
  <c r="AM151" i="8" s="1"/>
  <c r="AF152" i="8"/>
  <c r="AM152" i="8" s="1"/>
  <c r="AF153" i="8"/>
  <c r="AM153" i="8" s="1"/>
  <c r="AF154" i="8"/>
  <c r="AM154" i="8" s="1"/>
  <c r="AF155" i="8"/>
  <c r="AM155" i="8" s="1"/>
  <c r="AF156" i="8"/>
  <c r="AM156" i="8" s="1"/>
  <c r="AF157" i="8"/>
  <c r="AM157" i="8" s="1"/>
  <c r="AF158" i="8"/>
  <c r="AM158" i="8" s="1"/>
  <c r="AF159" i="8"/>
  <c r="AM159" i="8" s="1"/>
  <c r="AF160" i="8"/>
  <c r="AM160" i="8" s="1"/>
  <c r="AF161" i="8"/>
  <c r="AM161" i="8" s="1"/>
  <c r="AF162" i="8"/>
  <c r="AM162" i="8" s="1"/>
  <c r="AF163" i="8"/>
  <c r="AM163" i="8" s="1"/>
  <c r="AF164" i="8"/>
  <c r="AM164" i="8" s="1"/>
  <c r="AF165" i="8"/>
  <c r="AM165" i="8" s="1"/>
  <c r="AF166" i="8"/>
  <c r="AM166" i="8" s="1"/>
  <c r="AF167" i="8"/>
  <c r="AM167" i="8" s="1"/>
  <c r="AF168" i="8"/>
  <c r="AM168" i="8" s="1"/>
  <c r="AF169" i="8"/>
  <c r="AM169" i="8" s="1"/>
  <c r="AF170" i="8"/>
  <c r="AM170" i="8" s="1"/>
  <c r="AF171" i="8"/>
  <c r="AM171" i="8" s="1"/>
  <c r="AF172" i="8"/>
  <c r="AM172" i="8" s="1"/>
  <c r="AF173" i="8"/>
  <c r="AM173" i="8" s="1"/>
  <c r="AF174" i="8"/>
  <c r="AM174" i="8" s="1"/>
  <c r="AF175" i="8"/>
  <c r="AM175" i="8" s="1"/>
  <c r="AF176" i="8"/>
  <c r="AM176" i="8" s="1"/>
  <c r="AF177" i="8"/>
  <c r="AM177" i="8" s="1"/>
  <c r="AF178" i="8"/>
  <c r="AM178" i="8" s="1"/>
  <c r="AF179" i="8"/>
  <c r="AM179" i="8" s="1"/>
  <c r="AF180" i="8"/>
  <c r="AM180" i="8" s="1"/>
  <c r="AF181" i="8"/>
  <c r="AM181" i="8" s="1"/>
  <c r="AF182" i="8"/>
  <c r="AM182" i="8" s="1"/>
  <c r="AF183" i="8"/>
  <c r="AM183" i="8" s="1"/>
  <c r="AF184" i="8"/>
  <c r="AM184" i="8" s="1"/>
  <c r="AF185" i="8"/>
  <c r="AM185" i="8" s="1"/>
  <c r="AF186" i="8"/>
  <c r="AM186" i="8" s="1"/>
  <c r="AF187" i="8"/>
  <c r="AM187" i="8" s="1"/>
  <c r="AF188" i="8"/>
  <c r="AM188" i="8" s="1"/>
  <c r="AF189" i="8"/>
  <c r="AM189" i="8" s="1"/>
  <c r="AF190" i="8"/>
  <c r="AM190" i="8" s="1"/>
  <c r="AF191" i="8"/>
  <c r="AM191" i="8" s="1"/>
  <c r="AF192" i="8"/>
  <c r="AM192" i="8" s="1"/>
  <c r="AF193" i="8"/>
  <c r="AM193" i="8" s="1"/>
  <c r="AF194" i="8"/>
  <c r="AM194" i="8" s="1"/>
  <c r="AF195" i="8"/>
  <c r="AM195" i="8" s="1"/>
  <c r="AF196" i="8"/>
  <c r="AM196" i="8" s="1"/>
  <c r="AF197" i="8"/>
  <c r="AM197" i="8" s="1"/>
  <c r="AF198" i="8"/>
  <c r="AM198" i="8" s="1"/>
  <c r="AF199" i="8"/>
  <c r="AM199" i="8" s="1"/>
  <c r="AF200" i="8"/>
  <c r="AM200" i="8" s="1"/>
  <c r="AF201" i="8"/>
  <c r="AM201" i="8" s="1"/>
  <c r="AF202" i="8"/>
  <c r="AM202" i="8" s="1"/>
  <c r="AF203" i="8"/>
  <c r="AM203" i="8" s="1"/>
  <c r="AF204" i="8"/>
  <c r="AM204" i="8" s="1"/>
  <c r="AF205" i="8"/>
  <c r="AM205" i="8" s="1"/>
  <c r="AF206" i="8"/>
  <c r="AM206" i="8" s="1"/>
  <c r="AF207" i="8"/>
  <c r="AM207" i="8" s="1"/>
  <c r="AF208" i="8"/>
  <c r="AM208" i="8" s="1"/>
  <c r="AF209" i="8"/>
  <c r="AM209" i="8" s="1"/>
  <c r="AF210" i="8"/>
  <c r="AM210" i="8" s="1"/>
  <c r="AF211" i="8"/>
  <c r="AM211" i="8" s="1"/>
  <c r="AF212" i="8"/>
  <c r="AM212" i="8" s="1"/>
  <c r="AF213" i="8"/>
  <c r="AM213" i="8" s="1"/>
  <c r="AF214" i="8"/>
  <c r="AM214" i="8" s="1"/>
  <c r="AF215" i="8"/>
  <c r="AM215" i="8" s="1"/>
  <c r="AF216" i="8"/>
  <c r="AM216" i="8" s="1"/>
  <c r="AF217" i="8"/>
  <c r="AM217" i="8" s="1"/>
  <c r="AF218" i="8"/>
  <c r="AM218" i="8" s="1"/>
  <c r="AF219" i="8"/>
  <c r="AM219" i="8" s="1"/>
  <c r="AF220" i="8"/>
  <c r="AM220" i="8" s="1"/>
  <c r="AF221" i="8"/>
  <c r="AM221" i="8" s="1"/>
  <c r="AF222" i="8"/>
  <c r="AM222" i="8" s="1"/>
  <c r="AF223" i="8"/>
  <c r="AM223" i="8" s="1"/>
  <c r="AF224" i="8"/>
  <c r="AM224" i="8" s="1"/>
  <c r="AF225" i="8"/>
  <c r="AM225" i="8" s="1"/>
  <c r="AF226" i="8"/>
  <c r="AM226" i="8" s="1"/>
  <c r="AG35" i="8"/>
  <c r="AG36" i="8"/>
  <c r="AI30" i="8"/>
  <c r="AJ30" i="8" s="1"/>
  <c r="AI31" i="8"/>
  <c r="AJ31" i="8" s="1"/>
  <c r="AI32" i="8"/>
  <c r="AJ32" i="8" s="1"/>
  <c r="AI33" i="8"/>
  <c r="AI34" i="8"/>
  <c r="AJ34" i="8" s="1"/>
  <c r="AI35" i="8"/>
  <c r="AJ35" i="8" s="1"/>
  <c r="AI36" i="8"/>
  <c r="AJ36" i="8" s="1"/>
  <c r="AI37" i="8"/>
  <c r="AJ37" i="8" s="1"/>
  <c r="AI38" i="8"/>
  <c r="AJ38" i="8" s="1"/>
  <c r="AI39" i="8"/>
  <c r="AI40" i="8"/>
  <c r="AI41" i="8"/>
  <c r="AJ41" i="8" s="1"/>
  <c r="AI42" i="8"/>
  <c r="AJ42" i="8" s="1"/>
  <c r="AI43" i="8"/>
  <c r="AJ43" i="8" s="1"/>
  <c r="AI44" i="8"/>
  <c r="AI45" i="8"/>
  <c r="AI46" i="8"/>
  <c r="AI47" i="8"/>
  <c r="AJ47" i="8" s="1"/>
  <c r="AI48" i="8"/>
  <c r="AJ48" i="8" s="1"/>
  <c r="AI49" i="8"/>
  <c r="AJ49" i="8" s="1"/>
  <c r="AI50" i="8"/>
  <c r="AJ50" i="8" s="1"/>
  <c r="AI51" i="8"/>
  <c r="AJ51" i="8" s="1"/>
  <c r="AI52" i="8"/>
  <c r="AI53" i="8"/>
  <c r="AJ53" i="8" s="1"/>
  <c r="AI54" i="8"/>
  <c r="AJ54" i="8" s="1"/>
  <c r="AI55" i="8"/>
  <c r="AJ55" i="8" s="1"/>
  <c r="AI56" i="8"/>
  <c r="AJ56" i="8" s="1"/>
  <c r="AI57" i="8"/>
  <c r="AJ57" i="8" s="1"/>
  <c r="AI58" i="8"/>
  <c r="AJ58" i="8" s="1"/>
  <c r="AI59" i="8"/>
  <c r="AJ59" i="8" s="1"/>
  <c r="AI60" i="8"/>
  <c r="AI61" i="8"/>
  <c r="AJ61" i="8" s="1"/>
  <c r="AI62" i="8"/>
  <c r="AJ62" i="8" s="1"/>
  <c r="AI63" i="8"/>
  <c r="AJ63" i="8" s="1"/>
  <c r="AI64" i="8"/>
  <c r="AJ64" i="8" s="1"/>
  <c r="AI65" i="8"/>
  <c r="AJ65" i="8" s="1"/>
  <c r="AI66" i="8"/>
  <c r="AJ66" i="8" s="1"/>
  <c r="AI67" i="8"/>
  <c r="AJ67" i="8" s="1"/>
  <c r="AI68" i="8"/>
  <c r="AJ68" i="8" s="1"/>
  <c r="AI69" i="8"/>
  <c r="AJ69" i="8" s="1"/>
  <c r="AI70" i="8"/>
  <c r="AI71" i="8"/>
  <c r="AJ71" i="8" s="1"/>
  <c r="AI72" i="8"/>
  <c r="AI73" i="8"/>
  <c r="AJ73" i="8" s="1"/>
  <c r="AI74" i="8"/>
  <c r="AJ74" i="8" s="1"/>
  <c r="AI75" i="8"/>
  <c r="AI76" i="8"/>
  <c r="AJ76" i="8" s="1"/>
  <c r="AI77" i="8"/>
  <c r="AI78" i="8"/>
  <c r="AJ78" i="8" s="1"/>
  <c r="AI79" i="8"/>
  <c r="AI80" i="8"/>
  <c r="AI81" i="8"/>
  <c r="AI82" i="8"/>
  <c r="AI83" i="8"/>
  <c r="AI84" i="8"/>
  <c r="AI85" i="8"/>
  <c r="AI86" i="8"/>
  <c r="AI87" i="8"/>
  <c r="AI88" i="8"/>
  <c r="AJ88" i="8" s="1"/>
  <c r="AI89" i="8"/>
  <c r="AI90" i="8"/>
  <c r="AJ90" i="8" s="1"/>
  <c r="AI91" i="8"/>
  <c r="AI92" i="8"/>
  <c r="AI93" i="8"/>
  <c r="AI94" i="8"/>
  <c r="AI95" i="8"/>
  <c r="AI96" i="8"/>
  <c r="AI97" i="8"/>
  <c r="AI98" i="8"/>
  <c r="AJ98" i="8" s="1"/>
  <c r="AI99" i="8"/>
  <c r="AJ99" i="8" s="1"/>
  <c r="AI100" i="8"/>
  <c r="AJ100" i="8" s="1"/>
  <c r="AI101" i="8"/>
  <c r="AI102" i="8"/>
  <c r="AI103" i="8"/>
  <c r="C70" i="21" s="1"/>
  <c r="AI104" i="8"/>
  <c r="AJ104" i="8" s="1"/>
  <c r="AI105" i="8"/>
  <c r="AI106" i="8"/>
  <c r="AI107" i="8"/>
  <c r="AI108" i="8"/>
  <c r="AI109" i="8"/>
  <c r="AI110" i="8"/>
  <c r="AJ110" i="8" s="1"/>
  <c r="AI111" i="8"/>
  <c r="AI112" i="8"/>
  <c r="AI113" i="8"/>
  <c r="AI114" i="8"/>
  <c r="AI115" i="8"/>
  <c r="AJ115" i="8" s="1"/>
  <c r="AI116" i="8"/>
  <c r="AI117" i="8"/>
  <c r="AJ117" i="8" s="1"/>
  <c r="AI118" i="8"/>
  <c r="AI119" i="8"/>
  <c r="AJ119" i="8" s="1"/>
  <c r="AI120" i="8"/>
  <c r="AI121" i="8"/>
  <c r="AJ121" i="8" s="1"/>
  <c r="AI122" i="8"/>
  <c r="AI123" i="8"/>
  <c r="AI124" i="8"/>
  <c r="AI125" i="8"/>
  <c r="AI126" i="8"/>
  <c r="AJ126" i="8" s="1"/>
  <c r="AI127" i="8"/>
  <c r="AJ127" i="8" s="1"/>
  <c r="AI128" i="8"/>
  <c r="AI129" i="8"/>
  <c r="AI130" i="8"/>
  <c r="AJ130" i="8" s="1"/>
  <c r="AI131" i="8"/>
  <c r="AJ131" i="8" s="1"/>
  <c r="AI132" i="8"/>
  <c r="AJ132" i="8" s="1"/>
  <c r="AI133" i="8"/>
  <c r="AJ133" i="8" s="1"/>
  <c r="AI134" i="8"/>
  <c r="AI135" i="8"/>
  <c r="AI136" i="8"/>
  <c r="AI137" i="8"/>
  <c r="AI138" i="8"/>
  <c r="AI139" i="8"/>
  <c r="AI140" i="8"/>
  <c r="AI141" i="8"/>
  <c r="AJ141" i="8" s="1"/>
  <c r="AI142" i="8"/>
  <c r="AI143" i="8"/>
  <c r="AJ143" i="8" s="1"/>
  <c r="AI144" i="8"/>
  <c r="AI145" i="8"/>
  <c r="C136" i="21" s="1"/>
  <c r="AI146" i="8"/>
  <c r="AI147" i="8"/>
  <c r="AI148" i="8"/>
  <c r="AJ148" i="8" s="1"/>
  <c r="AI149" i="8"/>
  <c r="F115" i="19" s="1"/>
  <c r="AI150" i="8"/>
  <c r="AI151" i="8"/>
  <c r="AI152" i="8"/>
  <c r="AI153" i="8"/>
  <c r="AI154" i="8"/>
  <c r="AI155" i="8"/>
  <c r="AJ155" i="8" s="1"/>
  <c r="AI156" i="8"/>
  <c r="AI157" i="8"/>
  <c r="AJ157" i="8" s="1"/>
  <c r="AI158" i="8"/>
  <c r="AI159" i="8"/>
  <c r="AI160" i="8"/>
  <c r="AJ160" i="8" s="1"/>
  <c r="AI161" i="8"/>
  <c r="AI162" i="8"/>
  <c r="AI163" i="8"/>
  <c r="AJ163" i="8" s="1"/>
  <c r="AI164" i="8"/>
  <c r="AI165" i="8"/>
  <c r="AJ165" i="8" s="1"/>
  <c r="AI166" i="8"/>
  <c r="AI167" i="8"/>
  <c r="AI168" i="8"/>
  <c r="AI169" i="8"/>
  <c r="F272" i="19" s="1"/>
  <c r="AI170" i="8"/>
  <c r="AI171" i="8"/>
  <c r="AJ171" i="8" s="1"/>
  <c r="AI172" i="8"/>
  <c r="AI173" i="8"/>
  <c r="AI174" i="8"/>
  <c r="AJ174" i="8" s="1"/>
  <c r="AI175" i="8"/>
  <c r="AI176" i="8"/>
  <c r="AJ176" i="8" s="1"/>
  <c r="AI177" i="8"/>
  <c r="AJ177" i="8" s="1"/>
  <c r="AI178" i="8"/>
  <c r="AJ178" i="8" s="1"/>
  <c r="AI179" i="8"/>
  <c r="AI180" i="8"/>
  <c r="AI181" i="8"/>
  <c r="AI182" i="8"/>
  <c r="AI183" i="8"/>
  <c r="AJ183" i="8" s="1"/>
  <c r="AI184" i="8"/>
  <c r="AI185" i="8"/>
  <c r="AI186" i="8"/>
  <c r="AJ186" i="8" s="1"/>
  <c r="AI187" i="8"/>
  <c r="F40" i="19" s="1"/>
  <c r="AI188" i="8"/>
  <c r="AI189" i="8"/>
  <c r="AI190" i="8"/>
  <c r="AI191" i="8"/>
  <c r="AI192" i="8"/>
  <c r="AI193" i="8"/>
  <c r="F13" i="19" s="1"/>
  <c r="AI194" i="8"/>
  <c r="AJ194" i="8" s="1"/>
  <c r="AI195" i="8"/>
  <c r="AI196" i="8"/>
  <c r="AI197" i="8"/>
  <c r="AI198" i="8"/>
  <c r="AI199" i="8"/>
  <c r="AJ199" i="8" s="1"/>
  <c r="AI200" i="8"/>
  <c r="AJ200" i="8" s="1"/>
  <c r="AI201" i="8"/>
  <c r="AI202" i="8"/>
  <c r="AJ202" i="8" s="1"/>
  <c r="AI203" i="8"/>
  <c r="AJ203" i="8" s="1"/>
  <c r="AI204" i="8"/>
  <c r="AJ204" i="8" s="1"/>
  <c r="AI205" i="8"/>
  <c r="AI206" i="8"/>
  <c r="AI207" i="8"/>
  <c r="AJ207" i="8" s="1"/>
  <c r="AI208" i="8"/>
  <c r="AI209" i="8"/>
  <c r="AI210" i="8"/>
  <c r="AJ210" i="8" s="1"/>
  <c r="AI211" i="8"/>
  <c r="AJ211" i="8" s="1"/>
  <c r="AI212" i="8"/>
  <c r="AI213" i="8"/>
  <c r="AI214" i="8"/>
  <c r="AJ214" i="8" s="1"/>
  <c r="AI215" i="8"/>
  <c r="AJ215" i="8" s="1"/>
  <c r="AI216" i="8"/>
  <c r="AI217" i="8"/>
  <c r="AJ217" i="8" s="1"/>
  <c r="AI218" i="8"/>
  <c r="AJ218" i="8" s="1"/>
  <c r="AI219" i="8"/>
  <c r="AJ219" i="8" s="1"/>
  <c r="AI220" i="8"/>
  <c r="AJ220" i="8" s="1"/>
  <c r="AI221" i="8"/>
  <c r="AJ221" i="8" s="1"/>
  <c r="AI222" i="8"/>
  <c r="AJ222" i="8" s="1"/>
  <c r="AI223" i="8"/>
  <c r="AJ223" i="8" s="1"/>
  <c r="AI224" i="8"/>
  <c r="AJ224" i="8" s="1"/>
  <c r="AI225" i="8"/>
  <c r="AJ225" i="8" s="1"/>
  <c r="AI226" i="8"/>
  <c r="AJ226" i="8" s="1"/>
  <c r="S23" i="8" a="1"/>
  <c r="S23" i="8" s="1"/>
  <c r="V23" i="8" s="1"/>
  <c r="S24" i="8" a="1"/>
  <c r="S24" i="8" s="1"/>
  <c r="V24" i="8" s="1"/>
  <c r="S25" i="8" a="1"/>
  <c r="S25" i="8" s="1"/>
  <c r="V25" i="8" s="1"/>
  <c r="S26" i="8" a="1"/>
  <c r="S26" i="8" s="1"/>
  <c r="V26" i="8" s="1"/>
  <c r="S27" i="8" a="1"/>
  <c r="S27" i="8" s="1"/>
  <c r="V27" i="8" s="1"/>
  <c r="S28" i="8" a="1"/>
  <c r="S28" i="8" s="1"/>
  <c r="V28" i="8" s="1"/>
  <c r="T23" i="8" a="1"/>
  <c r="T23" i="8" s="1"/>
  <c r="T24" i="8" a="1"/>
  <c r="T24" i="8" s="1"/>
  <c r="T25" i="8" a="1"/>
  <c r="T25" i="8" s="1"/>
  <c r="T26" i="8" a="1"/>
  <c r="T26" i="8" s="1"/>
  <c r="T27" i="8" a="1"/>
  <c r="T27" i="8" s="1"/>
  <c r="T28" i="8" a="1"/>
  <c r="T28" i="8" s="1"/>
  <c r="AF23" i="8"/>
  <c r="AM23" i="8" s="1"/>
  <c r="AF24" i="8"/>
  <c r="AM24" i="8" s="1"/>
  <c r="AF25" i="8"/>
  <c r="AM25" i="8" s="1"/>
  <c r="AF26" i="8"/>
  <c r="AM26" i="8" s="1"/>
  <c r="AF27" i="8"/>
  <c r="AM27" i="8" s="1"/>
  <c r="AF28" i="8"/>
  <c r="AM28" i="8" s="1"/>
  <c r="AI23" i="8"/>
  <c r="AI24" i="8"/>
  <c r="AI25" i="8"/>
  <c r="AJ25" i="8" s="1"/>
  <c r="AI26" i="8"/>
  <c r="AJ26" i="8" s="1"/>
  <c r="AI27" i="8"/>
  <c r="AJ27" i="8" s="1"/>
  <c r="AI28" i="8"/>
  <c r="S907" i="8" a="1"/>
  <c r="S907" i="8" s="1"/>
  <c r="V907" i="8" s="1"/>
  <c r="T907" i="8" a="1"/>
  <c r="T907" i="8" s="1"/>
  <c r="AF907" i="8"/>
  <c r="AI907" i="8"/>
  <c r="S7" i="8" a="1"/>
  <c r="S7" i="8" s="1"/>
  <c r="V7" i="8" s="1"/>
  <c r="T7" i="8" a="1"/>
  <c r="T7" i="8" s="1"/>
  <c r="AF7" i="8"/>
  <c r="AM7" i="8" s="1"/>
  <c r="AI7" i="8"/>
  <c r="S18" i="8" a="1"/>
  <c r="S18" i="8" s="1"/>
  <c r="V18" i="8" s="1"/>
  <c r="S19" i="8" a="1"/>
  <c r="S19" i="8" s="1"/>
  <c r="V19" i="8" s="1"/>
  <c r="S20" i="8" a="1"/>
  <c r="S20" i="8" s="1"/>
  <c r="V20" i="8" s="1"/>
  <c r="S21" i="8" a="1"/>
  <c r="S21" i="8" s="1"/>
  <c r="V21" i="8" s="1"/>
  <c r="S22" i="8" a="1"/>
  <c r="S22" i="8" s="1"/>
  <c r="V22" i="8" s="1"/>
  <c r="T18" i="8" a="1"/>
  <c r="T18" i="8" s="1"/>
  <c r="T19" i="8" a="1"/>
  <c r="T19" i="8" s="1"/>
  <c r="T20" i="8" a="1"/>
  <c r="T20" i="8" s="1"/>
  <c r="T21" i="8" a="1"/>
  <c r="T21" i="8" s="1"/>
  <c r="T22" i="8" a="1"/>
  <c r="T22" i="8" s="1"/>
  <c r="AF18" i="8"/>
  <c r="AM18" i="8" s="1"/>
  <c r="AF19" i="8"/>
  <c r="AM19" i="8" s="1"/>
  <c r="AF20" i="8"/>
  <c r="AM20" i="8" s="1"/>
  <c r="AF21" i="8"/>
  <c r="AM21" i="8" s="1"/>
  <c r="AF22" i="8"/>
  <c r="AM22" i="8" s="1"/>
  <c r="AI18" i="8"/>
  <c r="AJ18" i="8" s="1"/>
  <c r="AI19" i="8"/>
  <c r="AJ19" i="8" s="1"/>
  <c r="AI20" i="8"/>
  <c r="AI21" i="8"/>
  <c r="AJ21" i="8" s="1"/>
  <c r="AI22" i="8"/>
  <c r="S16" i="8" a="1"/>
  <c r="S16" i="8" s="1"/>
  <c r="V16" i="8" s="1"/>
  <c r="T16" i="8" a="1"/>
  <c r="T16" i="8" s="1"/>
  <c r="AF16" i="8"/>
  <c r="AM16" i="8" s="1"/>
  <c r="AI16" i="8"/>
  <c r="AJ16" i="8" s="1"/>
  <c r="S2" i="8" a="1"/>
  <c r="S2" i="8" s="1"/>
  <c r="V2" i="8" s="1"/>
  <c r="S3" i="8" a="1"/>
  <c r="S3" i="8" s="1"/>
  <c r="V3" i="8" s="1"/>
  <c r="S4" i="8" a="1"/>
  <c r="S4" i="8" s="1"/>
  <c r="V4" i="8" s="1"/>
  <c r="S5" i="8" a="1"/>
  <c r="S5" i="8" s="1"/>
  <c r="V5" i="8" s="1"/>
  <c r="S6" i="8" a="1"/>
  <c r="S6" i="8" s="1"/>
  <c r="V6" i="8" s="1"/>
  <c r="S8" i="8" a="1"/>
  <c r="S8" i="8" s="1"/>
  <c r="V8" i="8" s="1"/>
  <c r="S9" i="8" a="1"/>
  <c r="S9" i="8" s="1"/>
  <c r="V9" i="8" s="1"/>
  <c r="S10" i="8" a="1"/>
  <c r="S10" i="8" s="1"/>
  <c r="V10" i="8" s="1"/>
  <c r="S11" i="8" a="1"/>
  <c r="S11" i="8" s="1"/>
  <c r="V11" i="8" s="1"/>
  <c r="S12" i="8" a="1"/>
  <c r="S12" i="8" s="1"/>
  <c r="V12" i="8" s="1"/>
  <c r="S13" i="8" a="1"/>
  <c r="S13" i="8" s="1"/>
  <c r="V13" i="8" s="1"/>
  <c r="S14" i="8" a="1"/>
  <c r="S14" i="8" s="1"/>
  <c r="V14" i="8" s="1"/>
  <c r="S15" i="8" a="1"/>
  <c r="S15" i="8" s="1"/>
  <c r="V15" i="8" s="1"/>
  <c r="T2" i="8" a="1"/>
  <c r="T2" i="8" s="1"/>
  <c r="T3" i="8" a="1"/>
  <c r="T3" i="8" s="1"/>
  <c r="T4" i="8" a="1"/>
  <c r="T4" i="8" s="1"/>
  <c r="T5" i="8" a="1"/>
  <c r="T5" i="8" s="1"/>
  <c r="T6" i="8" a="1"/>
  <c r="T6" i="8" s="1"/>
  <c r="T8" i="8" a="1"/>
  <c r="T8" i="8" s="1"/>
  <c r="T9" i="8" a="1"/>
  <c r="T9" i="8" s="1"/>
  <c r="T10" i="8" a="1"/>
  <c r="T10" i="8" s="1"/>
  <c r="T11" i="8" a="1"/>
  <c r="T11" i="8" s="1"/>
  <c r="T12" i="8" a="1"/>
  <c r="T12" i="8" s="1"/>
  <c r="T13" i="8" a="1"/>
  <c r="T13" i="8" s="1"/>
  <c r="T14" i="8" a="1"/>
  <c r="T14" i="8" s="1"/>
  <c r="T15" i="8" a="1"/>
  <c r="T15" i="8" s="1"/>
  <c r="AF2" i="8"/>
  <c r="AM2" i="8" s="1"/>
  <c r="AF3" i="8"/>
  <c r="AM3" i="8" s="1"/>
  <c r="AF4" i="8"/>
  <c r="AM4" i="8" s="1"/>
  <c r="AF5" i="8"/>
  <c r="AM5" i="8" s="1"/>
  <c r="AF6" i="8"/>
  <c r="AM6" i="8" s="1"/>
  <c r="AF8" i="8"/>
  <c r="AM8" i="8" s="1"/>
  <c r="AF9" i="8"/>
  <c r="AM9" i="8" s="1"/>
  <c r="AF10" i="8"/>
  <c r="AM10" i="8" s="1"/>
  <c r="AF11" i="8"/>
  <c r="AM11" i="8" s="1"/>
  <c r="AF12" i="8"/>
  <c r="AM12" i="8" s="1"/>
  <c r="AF13" i="8"/>
  <c r="AM13" i="8" s="1"/>
  <c r="AF14" i="8"/>
  <c r="AM14" i="8" s="1"/>
  <c r="AF15" i="8"/>
  <c r="AM15" i="8" s="1"/>
  <c r="AI2" i="8"/>
  <c r="AI3" i="8"/>
  <c r="AJ3" i="8" s="1"/>
  <c r="AI4" i="8"/>
  <c r="AI5" i="8"/>
  <c r="AI6" i="8"/>
  <c r="AI8" i="8"/>
  <c r="AJ8" i="8" s="1"/>
  <c r="AI9" i="8"/>
  <c r="AI10" i="8"/>
  <c r="AI11" i="8"/>
  <c r="AJ11" i="8" s="1"/>
  <c r="AI12" i="8"/>
  <c r="AI13" i="8"/>
  <c r="AJ13" i="8" s="1"/>
  <c r="AI14" i="8"/>
  <c r="AJ14" i="8" s="1"/>
  <c r="AI15" i="8"/>
  <c r="S585" i="8" a="1"/>
  <c r="S585" i="8" s="1"/>
  <c r="V585" i="8" s="1"/>
  <c r="T585" i="8" a="1"/>
  <c r="T585" i="8" s="1"/>
  <c r="AF585" i="8"/>
  <c r="AI585" i="8"/>
  <c r="S29" i="8" a="1"/>
  <c r="S29" i="8" s="1"/>
  <c r="V29" i="8" s="1"/>
  <c r="T29" i="8" a="1"/>
  <c r="T29" i="8" s="1"/>
  <c r="AF29" i="8"/>
  <c r="AM29" i="8" s="1"/>
  <c r="AI29" i="8"/>
  <c r="S17" i="8" a="1"/>
  <c r="S17" i="8" s="1"/>
  <c r="V17" i="8" s="1"/>
  <c r="T17" i="8" a="1"/>
  <c r="T17" i="8" s="1"/>
  <c r="AF17" i="8"/>
  <c r="AM17" i="8" s="1"/>
  <c r="AI17" i="8"/>
  <c r="F7" i="16" l="1"/>
  <c r="J7" i="16"/>
  <c r="K7" i="16"/>
  <c r="M7" i="16"/>
  <c r="N7" i="16"/>
  <c r="O7" i="16"/>
  <c r="P7" i="16"/>
  <c r="J10" i="16"/>
  <c r="K10" i="16"/>
  <c r="O10" i="16"/>
  <c r="P10" i="16"/>
  <c r="M10" i="16"/>
  <c r="F10" i="16"/>
  <c r="N10" i="16"/>
  <c r="F4" i="16"/>
  <c r="J4" i="16"/>
  <c r="K4" i="16"/>
  <c r="M4" i="16"/>
  <c r="N4" i="16"/>
  <c r="O4" i="16"/>
  <c r="P4" i="16"/>
  <c r="F3" i="16"/>
  <c r="J3" i="16"/>
  <c r="K3" i="16"/>
  <c r="M3" i="16"/>
  <c r="N3" i="16"/>
  <c r="O3" i="16"/>
  <c r="P3" i="16"/>
  <c r="M6" i="16"/>
  <c r="O6" i="16"/>
  <c r="F6" i="16"/>
  <c r="J6" i="16"/>
  <c r="K6" i="16"/>
  <c r="N6" i="16"/>
  <c r="P6" i="16"/>
  <c r="F17" i="16"/>
  <c r="J17" i="16"/>
  <c r="K17" i="16"/>
  <c r="M17" i="16"/>
  <c r="N17" i="16"/>
  <c r="O17" i="16"/>
  <c r="P17" i="16"/>
  <c r="K14" i="16"/>
  <c r="P14" i="16"/>
  <c r="F14" i="16"/>
  <c r="J14" i="16"/>
  <c r="M14" i="16"/>
  <c r="O14" i="16"/>
  <c r="N14" i="16"/>
  <c r="P13" i="16"/>
  <c r="K13" i="16"/>
  <c r="N13" i="16"/>
  <c r="F13" i="16"/>
  <c r="J13" i="16"/>
  <c r="M13" i="16"/>
  <c r="O13" i="16"/>
  <c r="K5" i="16"/>
  <c r="N5" i="16"/>
  <c r="P5" i="16"/>
  <c r="F5" i="16"/>
  <c r="J5" i="16"/>
  <c r="M5" i="16"/>
  <c r="O5" i="16"/>
  <c r="F9" i="16"/>
  <c r="J9" i="16"/>
  <c r="K9" i="16"/>
  <c r="M9" i="16"/>
  <c r="N9" i="16"/>
  <c r="O9" i="16"/>
  <c r="P9" i="16"/>
  <c r="M2" i="16"/>
  <c r="N2" i="16"/>
  <c r="O2" i="16"/>
  <c r="F2" i="16"/>
  <c r="J2" i="16"/>
  <c r="K2" i="16"/>
  <c r="P2" i="16"/>
  <c r="F11" i="16"/>
  <c r="J11" i="16"/>
  <c r="K11" i="16"/>
  <c r="M11" i="16"/>
  <c r="N11" i="16"/>
  <c r="O11" i="16"/>
  <c r="P11" i="16"/>
  <c r="F12" i="16"/>
  <c r="J12" i="16"/>
  <c r="K12" i="16"/>
  <c r="M12" i="16"/>
  <c r="N12" i="16"/>
  <c r="O12" i="16"/>
  <c r="P12" i="16"/>
  <c r="F8" i="16"/>
  <c r="J8" i="16"/>
  <c r="K8" i="16"/>
  <c r="M8" i="16"/>
  <c r="N8" i="16"/>
  <c r="O8" i="16"/>
  <c r="P8" i="16"/>
  <c r="M16" i="16"/>
  <c r="N16" i="16"/>
  <c r="O16" i="16"/>
  <c r="P16" i="16"/>
  <c r="F16" i="16"/>
  <c r="J16" i="16"/>
  <c r="K16" i="16"/>
  <c r="F15" i="16"/>
  <c r="J15" i="16"/>
  <c r="K15" i="16"/>
  <c r="M15" i="16"/>
  <c r="N15" i="16"/>
  <c r="O15" i="16"/>
  <c r="P15" i="16"/>
  <c r="F253" i="19"/>
  <c r="C140" i="21"/>
  <c r="AJ233" i="8"/>
  <c r="C112" i="21"/>
  <c r="AJ212" i="8"/>
  <c r="AJ216" i="8"/>
  <c r="C115" i="21"/>
  <c r="AJ201" i="8"/>
  <c r="AJ198" i="8"/>
  <c r="AJ205" i="8"/>
  <c r="AJ213" i="8"/>
  <c r="C129" i="21"/>
  <c r="AJ209" i="8"/>
  <c r="C117" i="21"/>
  <c r="AJ208" i="8"/>
  <c r="F256" i="19"/>
  <c r="AJ206" i="8"/>
  <c r="AJ197" i="8"/>
  <c r="F168" i="19"/>
  <c r="AJ196" i="8"/>
  <c r="F343" i="19"/>
  <c r="AJ195" i="8"/>
  <c r="C52" i="21"/>
  <c r="AJ193" i="8"/>
  <c r="F249" i="19"/>
  <c r="AJ192" i="8"/>
  <c r="F160" i="19"/>
  <c r="AJ191" i="8"/>
  <c r="C28" i="21"/>
  <c r="AJ190" i="8"/>
  <c r="C88" i="21"/>
  <c r="AJ189" i="8"/>
  <c r="C12" i="21"/>
  <c r="AJ188" i="8"/>
  <c r="C91" i="21"/>
  <c r="AJ187" i="8"/>
  <c r="C93" i="21"/>
  <c r="AJ185" i="8"/>
  <c r="F370" i="19"/>
  <c r="AJ184" i="8"/>
  <c r="AJ182" i="8"/>
  <c r="F220" i="19"/>
  <c r="F143" i="19"/>
  <c r="AJ181" i="8"/>
  <c r="C134" i="21"/>
  <c r="AJ10" i="8"/>
  <c r="AJ180" i="8"/>
  <c r="F237" i="19"/>
  <c r="AJ175" i="8"/>
  <c r="C107" i="21"/>
  <c r="AJ173" i="8"/>
  <c r="F125" i="19"/>
  <c r="AJ172" i="8"/>
  <c r="C113" i="21"/>
  <c r="AJ169" i="8"/>
  <c r="F210" i="19"/>
  <c r="AJ168" i="8"/>
  <c r="C10" i="21"/>
  <c r="AJ146" i="8"/>
  <c r="AJ60" i="8"/>
  <c r="AJ167" i="8"/>
  <c r="F216" i="19"/>
  <c r="AJ166" i="8"/>
  <c r="C55" i="21"/>
  <c r="AJ164" i="8"/>
  <c r="C95" i="21"/>
  <c r="F176" i="19"/>
  <c r="AJ162" i="8"/>
  <c r="C101" i="21"/>
  <c r="AJ161" i="8"/>
  <c r="C92" i="21"/>
  <c r="AJ159" i="8"/>
  <c r="AJ158" i="8"/>
  <c r="F96" i="19"/>
  <c r="AJ156" i="8"/>
  <c r="C71" i="21"/>
  <c r="AJ154" i="8"/>
  <c r="C139" i="21"/>
  <c r="AJ153" i="8"/>
  <c r="F163" i="19"/>
  <c r="AJ152" i="8"/>
  <c r="F119" i="19"/>
  <c r="AJ151" i="8"/>
  <c r="C80" i="21"/>
  <c r="AJ150" i="8"/>
  <c r="AJ149" i="8"/>
  <c r="C23" i="21"/>
  <c r="AJ147" i="8"/>
  <c r="C25" i="21"/>
  <c r="AJ145" i="8"/>
  <c r="C2" i="21"/>
  <c r="AJ144" i="8"/>
  <c r="F191" i="19"/>
  <c r="F145" i="19"/>
  <c r="AJ142" i="8"/>
  <c r="L14" i="16" s="1"/>
  <c r="AJ138" i="8"/>
  <c r="F136" i="19"/>
  <c r="AJ139" i="8"/>
  <c r="C135" i="21"/>
  <c r="AJ140" i="8"/>
  <c r="L15" i="16" s="1"/>
  <c r="C53" i="21"/>
  <c r="AJ137" i="8"/>
  <c r="AJ136" i="8"/>
  <c r="AJ44" i="8"/>
  <c r="AJ135" i="8"/>
  <c r="C79" i="21"/>
  <c r="AJ134" i="8"/>
  <c r="AJ129" i="8"/>
  <c r="F202" i="19"/>
  <c r="C18" i="21"/>
  <c r="AJ128" i="8"/>
  <c r="F26" i="19"/>
  <c r="C110" i="21"/>
  <c r="AJ107" i="8"/>
  <c r="F128" i="19"/>
  <c r="C86" i="21"/>
  <c r="F264" i="19"/>
  <c r="AJ28" i="8"/>
  <c r="C138" i="21"/>
  <c r="AJ122" i="8"/>
  <c r="F371" i="19"/>
  <c r="AJ114" i="8"/>
  <c r="F126" i="19"/>
  <c r="AJ106" i="8"/>
  <c r="F91" i="19"/>
  <c r="C14" i="21"/>
  <c r="AJ82" i="8"/>
  <c r="F172" i="19"/>
  <c r="AJ83" i="8"/>
  <c r="C81" i="21"/>
  <c r="AJ113" i="8"/>
  <c r="F348" i="19"/>
  <c r="AJ105" i="8"/>
  <c r="C65" i="21"/>
  <c r="AJ97" i="8"/>
  <c r="F303" i="19"/>
  <c r="AJ89" i="8"/>
  <c r="F27" i="19"/>
  <c r="AJ81" i="8"/>
  <c r="F170" i="19"/>
  <c r="C83" i="21"/>
  <c r="AJ112" i="8"/>
  <c r="C104" i="21"/>
  <c r="AJ96" i="8"/>
  <c r="C102" i="21"/>
  <c r="AJ80" i="8"/>
  <c r="F186" i="19"/>
  <c r="C94" i="21"/>
  <c r="AJ40" i="8"/>
  <c r="C116" i="21"/>
  <c r="AJ123" i="8"/>
  <c r="F221" i="19"/>
  <c r="AJ91" i="8"/>
  <c r="F252" i="19"/>
  <c r="C127" i="21"/>
  <c r="AJ111" i="8"/>
  <c r="F283" i="19"/>
  <c r="AJ95" i="8"/>
  <c r="F251" i="19"/>
  <c r="AJ87" i="8"/>
  <c r="F218" i="19"/>
  <c r="C120" i="21"/>
  <c r="AJ79" i="8"/>
  <c r="C124" i="21"/>
  <c r="F29" i="19"/>
  <c r="AJ39" i="8"/>
  <c r="C57" i="21"/>
  <c r="AJ6" i="8"/>
  <c r="C126" i="21"/>
  <c r="AJ118" i="8"/>
  <c r="F173" i="19"/>
  <c r="AJ94" i="8"/>
  <c r="F197" i="19"/>
  <c r="AJ86" i="8"/>
  <c r="F41" i="19"/>
  <c r="C22" i="21"/>
  <c r="C137" i="21"/>
  <c r="AJ125" i="8"/>
  <c r="C72" i="21"/>
  <c r="F276" i="19"/>
  <c r="C13" i="21"/>
  <c r="F288" i="19"/>
  <c r="AJ101" i="8"/>
  <c r="C109" i="21"/>
  <c r="AJ93" i="8"/>
  <c r="F346" i="19"/>
  <c r="C130" i="21"/>
  <c r="F102" i="19"/>
  <c r="AJ20" i="8"/>
  <c r="C128" i="21"/>
  <c r="AJ124" i="8"/>
  <c r="C121" i="21"/>
  <c r="AJ116" i="8"/>
  <c r="F310" i="19"/>
  <c r="AJ108" i="8"/>
  <c r="F89" i="19"/>
  <c r="AJ92" i="8"/>
  <c r="F49" i="19"/>
  <c r="AJ84" i="8"/>
  <c r="F37" i="19"/>
  <c r="AJ109" i="8"/>
  <c r="L11" i="16" s="1"/>
  <c r="AJ103" i="8"/>
  <c r="AJ85" i="8"/>
  <c r="AJ77" i="8"/>
  <c r="L8" i="16" s="1"/>
  <c r="AJ75" i="8"/>
  <c r="AJ72" i="8"/>
  <c r="L9" i="16" s="1"/>
  <c r="AJ70" i="8"/>
  <c r="L5" i="16" s="1"/>
  <c r="AJ33" i="8"/>
  <c r="L3" i="16" s="1"/>
  <c r="AJ24" i="8"/>
  <c r="AJ22" i="8"/>
  <c r="AJ15" i="8"/>
  <c r="AJ12" i="8"/>
  <c r="L7" i="16" s="1"/>
  <c r="AJ5" i="8"/>
  <c r="AJ2" i="8"/>
  <c r="AJ102" i="8"/>
  <c r="AJ46" i="8"/>
  <c r="AJ584" i="8"/>
  <c r="AJ329" i="8"/>
  <c r="AJ23" i="8"/>
  <c r="AJ9" i="8"/>
  <c r="AG221" i="8"/>
  <c r="AH213" i="8"/>
  <c r="AH205" i="8"/>
  <c r="AG197" i="8"/>
  <c r="AH189" i="8"/>
  <c r="AH181" i="8"/>
  <c r="AH173" i="8"/>
  <c r="AG165" i="8"/>
  <c r="AH157" i="8"/>
  <c r="AH149" i="8"/>
  <c r="AG141" i="8"/>
  <c r="AH125" i="8"/>
  <c r="AH117" i="8"/>
  <c r="AG109" i="8"/>
  <c r="AG101" i="8"/>
  <c r="AG93" i="8"/>
  <c r="AG85" i="8"/>
  <c r="AG77" i="8"/>
  <c r="AH61" i="8"/>
  <c r="AH53" i="8"/>
  <c r="AG45" i="8"/>
  <c r="AG305" i="8"/>
  <c r="AG297" i="8"/>
  <c r="AG289" i="8"/>
  <c r="AH281" i="8"/>
  <c r="AG273" i="8"/>
  <c r="AG265" i="8"/>
  <c r="AG257" i="8"/>
  <c r="AG249" i="8"/>
  <c r="AG241" i="8"/>
  <c r="AG233" i="8"/>
  <c r="AH332" i="8"/>
  <c r="AH324" i="8"/>
  <c r="AH316" i="8"/>
  <c r="AH308" i="8"/>
  <c r="AG500" i="8"/>
  <c r="AG492" i="8"/>
  <c r="AG484" i="8"/>
  <c r="AH476" i="8"/>
  <c r="AG468" i="8"/>
  <c r="AH460" i="8"/>
  <c r="AG452" i="8"/>
  <c r="AH444" i="8"/>
  <c r="AH436" i="8"/>
  <c r="AG428" i="8"/>
  <c r="AG412" i="8"/>
  <c r="AG404" i="8"/>
  <c r="AG396" i="8"/>
  <c r="AH388" i="8"/>
  <c r="AG380" i="8"/>
  <c r="AH372" i="8"/>
  <c r="AH364" i="8"/>
  <c r="AH356" i="8"/>
  <c r="AG348" i="8"/>
  <c r="AG340" i="8"/>
  <c r="AH577" i="8"/>
  <c r="AG561" i="8"/>
  <c r="AH553" i="8"/>
  <c r="AH545" i="8"/>
  <c r="AG537" i="8"/>
  <c r="AH529" i="8"/>
  <c r="AG513" i="8"/>
  <c r="AG778" i="8"/>
  <c r="AG770" i="8"/>
  <c r="AG762" i="8"/>
  <c r="AG754" i="8"/>
  <c r="AG746" i="8"/>
  <c r="AG738" i="8"/>
  <c r="AG730" i="8"/>
  <c r="AG722" i="8"/>
  <c r="AG714" i="8"/>
  <c r="AG706" i="8"/>
  <c r="AG698" i="8"/>
  <c r="AG690" i="8"/>
  <c r="AG682" i="8"/>
  <c r="AG674" i="8"/>
  <c r="AG666" i="8"/>
  <c r="AG658" i="8"/>
  <c r="AG650" i="8"/>
  <c r="AG642" i="8"/>
  <c r="AG634" i="8"/>
  <c r="AG626" i="8"/>
  <c r="AG618" i="8"/>
  <c r="AG610" i="8"/>
  <c r="AG602" i="8"/>
  <c r="AG594" i="8"/>
  <c r="AG586" i="8"/>
  <c r="AH864" i="8"/>
  <c r="AH856" i="8"/>
  <c r="AH848" i="8"/>
  <c r="AG11" i="8"/>
  <c r="AH2" i="8"/>
  <c r="AG907" i="8"/>
  <c r="AG156" i="8"/>
  <c r="AG76" i="8"/>
  <c r="AG304" i="8"/>
  <c r="AG296" i="8"/>
  <c r="AG288" i="8"/>
  <c r="AG280" i="8"/>
  <c r="AG272" i="8"/>
  <c r="AG264" i="8"/>
  <c r="AG256" i="8"/>
  <c r="AG248" i="8"/>
  <c r="AG240" i="8"/>
  <c r="AG232" i="8"/>
  <c r="AH331" i="8"/>
  <c r="AH323" i="8"/>
  <c r="AH315" i="8"/>
  <c r="AG499" i="8"/>
  <c r="AG491" i="8"/>
  <c r="AG483" i="8"/>
  <c r="AG475" i="8"/>
  <c r="AG467" i="8"/>
  <c r="AG459" i="8"/>
  <c r="AG451" i="8"/>
  <c r="AG443" i="8"/>
  <c r="AG435" i="8"/>
  <c r="AG427" i="8"/>
  <c r="AG419" i="8"/>
  <c r="AG411" i="8"/>
  <c r="AG395" i="8"/>
  <c r="AG387" i="8"/>
  <c r="AG379" i="8"/>
  <c r="AG371" i="8"/>
  <c r="AG363" i="8"/>
  <c r="AG355" i="8"/>
  <c r="AG347" i="8"/>
  <c r="AH584" i="8"/>
  <c r="AH576" i="8"/>
  <c r="AH568" i="8"/>
  <c r="AG552" i="8"/>
  <c r="AG544" i="8"/>
  <c r="AH536" i="8"/>
  <c r="AG528" i="8"/>
  <c r="AH520" i="8"/>
  <c r="AH512" i="8"/>
  <c r="AG785" i="8"/>
  <c r="AG777" i="8"/>
  <c r="AG769" i="8"/>
  <c r="AG761" i="8"/>
  <c r="AG753" i="8"/>
  <c r="AG745" i="8"/>
  <c r="AG737" i="8"/>
  <c r="AG729" i="8"/>
  <c r="AG721" i="8"/>
  <c r="AG713" i="8"/>
  <c r="AG705" i="8"/>
  <c r="AG697" i="8"/>
  <c r="AG689" i="8"/>
  <c r="AG681" i="8"/>
  <c r="AG673" i="8"/>
  <c r="AG665" i="8"/>
  <c r="AG657" i="8"/>
  <c r="AG649" i="8"/>
  <c r="AG641" i="8"/>
  <c r="AG633" i="8"/>
  <c r="AG625" i="8"/>
  <c r="AG617" i="8"/>
  <c r="AG601" i="8"/>
  <c r="AH593" i="8"/>
  <c r="AH863" i="8"/>
  <c r="AH855" i="8"/>
  <c r="AH847" i="8"/>
  <c r="AH839" i="8"/>
  <c r="AH831" i="8"/>
  <c r="AH823" i="8"/>
  <c r="AG815" i="8"/>
  <c r="AG807" i="8"/>
  <c r="AG799" i="8"/>
  <c r="AG10" i="8"/>
  <c r="AH28" i="8"/>
  <c r="AG219" i="8"/>
  <c r="AG211" i="8"/>
  <c r="AH203" i="8"/>
  <c r="AG195" i="8"/>
  <c r="AH187" i="8"/>
  <c r="AG179" i="8"/>
  <c r="AH171" i="8"/>
  <c r="AG163" i="8"/>
  <c r="AG155" i="8"/>
  <c r="AG147" i="8"/>
  <c r="AG139" i="8"/>
  <c r="AG123" i="8"/>
  <c r="AG115" i="8"/>
  <c r="AG107" i="8"/>
  <c r="AH99" i="8"/>
  <c r="AH91" i="8"/>
  <c r="AG83" i="8"/>
  <c r="AG75" i="8"/>
  <c r="AH59" i="8"/>
  <c r="AG51" i="8"/>
  <c r="AH43" i="8"/>
  <c r="AH35" i="8"/>
  <c r="AH303" i="8"/>
  <c r="AG295" i="8"/>
  <c r="AG287" i="8"/>
  <c r="AG279" i="8"/>
  <c r="AH271" i="8"/>
  <c r="AG263" i="8"/>
  <c r="AG255" i="8"/>
  <c r="AG247" i="8"/>
  <c r="AG239" i="8"/>
  <c r="AG231" i="8"/>
  <c r="AH338" i="8"/>
  <c r="AH330" i="8"/>
  <c r="AH314" i="8"/>
  <c r="AG498" i="8"/>
  <c r="AG490" i="8"/>
  <c r="AG482" i="8"/>
  <c r="AG474" i="8"/>
  <c r="AG466" i="8"/>
  <c r="AG458" i="8"/>
  <c r="AG450" i="8"/>
  <c r="AG442" i="8"/>
  <c r="AG434" i="8"/>
  <c r="AG426" i="8"/>
  <c r="AG418" i="8"/>
  <c r="AG410" i="8"/>
  <c r="AG402" i="8"/>
  <c r="AG394" i="8"/>
  <c r="AG386" i="8"/>
  <c r="AG378" i="8"/>
  <c r="AG370" i="8"/>
  <c r="AG362" i="8"/>
  <c r="AG354" i="8"/>
  <c r="AG346" i="8"/>
  <c r="AG583" i="8"/>
  <c r="AH575" i="8"/>
  <c r="AH567" i="8"/>
  <c r="AH559" i="8"/>
  <c r="AH551" i="8"/>
  <c r="AH535" i="8"/>
  <c r="AG527" i="8"/>
  <c r="AG519" i="8"/>
  <c r="AG784" i="8"/>
  <c r="AG776" i="8"/>
  <c r="AG768" i="8"/>
  <c r="AG760" i="8"/>
  <c r="AH752" i="8"/>
  <c r="AG744" i="8"/>
  <c r="AG736" i="8"/>
  <c r="AG728" i="8"/>
  <c r="AG720" i="8"/>
  <c r="AH712" i="8"/>
  <c r="AH704" i="8"/>
  <c r="AH696" i="8"/>
  <c r="AH688" i="8"/>
  <c r="AH680" i="8"/>
  <c r="AH672" i="8"/>
  <c r="AH664" i="8"/>
  <c r="AH648" i="8"/>
  <c r="AG640" i="8"/>
  <c r="AG632" i="8"/>
  <c r="AG616" i="8"/>
  <c r="AG608" i="8"/>
  <c r="AH600" i="8"/>
  <c r="AG592" i="8"/>
  <c r="AG862" i="8"/>
  <c r="AG854" i="8"/>
  <c r="AH846" i="8"/>
  <c r="AH838" i="8"/>
  <c r="AH830" i="8"/>
  <c r="AG822" i="8"/>
  <c r="AG806" i="8"/>
  <c r="AG908" i="8"/>
  <c r="AH294" i="8"/>
  <c r="AH270" i="8"/>
  <c r="AH262" i="8"/>
  <c r="AH246" i="8"/>
  <c r="AG238" i="8"/>
  <c r="AH329" i="8"/>
  <c r="AH321" i="8"/>
  <c r="AG497" i="8"/>
  <c r="AG489" i="8"/>
  <c r="AG473" i="8"/>
  <c r="AH465" i="8"/>
  <c r="AG449" i="8"/>
  <c r="AG441" i="8"/>
  <c r="AG425" i="8"/>
  <c r="AG417" i="8"/>
  <c r="AH409" i="8"/>
  <c r="AH401" i="8"/>
  <c r="AH393" i="8"/>
  <c r="AG385" i="8"/>
  <c r="AG377" i="8"/>
  <c r="AG369" i="8"/>
  <c r="AG361" i="8"/>
  <c r="AG353" i="8"/>
  <c r="AG345" i="8"/>
  <c r="AG582" i="8"/>
  <c r="AH574" i="8"/>
  <c r="AG566" i="8"/>
  <c r="AG558" i="8"/>
  <c r="AH550" i="8"/>
  <c r="AH542" i="8"/>
  <c r="AH534" i="8"/>
  <c r="AH526" i="8"/>
  <c r="AG518" i="8"/>
  <c r="AH510" i="8"/>
  <c r="AH783" i="8"/>
  <c r="AG775" i="8"/>
  <c r="AG759" i="8"/>
  <c r="AG751" i="8"/>
  <c r="AG743" i="8"/>
  <c r="AH735" i="8"/>
  <c r="AG711" i="8"/>
  <c r="AH703" i="8"/>
  <c r="AG695" i="8"/>
  <c r="AH687" i="8"/>
  <c r="AH679" i="8"/>
  <c r="AH671" i="8"/>
  <c r="AH663" i="8"/>
  <c r="AG655" i="8"/>
  <c r="AH647" i="8"/>
  <c r="AG631" i="8"/>
  <c r="AH623" i="8"/>
  <c r="AH615" i="8"/>
  <c r="AH607" i="8"/>
  <c r="AH599" i="8"/>
  <c r="AG861" i="8"/>
  <c r="AG853" i="8"/>
  <c r="AG845" i="8"/>
  <c r="AG837" i="8"/>
  <c r="AG829" i="8"/>
  <c r="AG821" i="8"/>
  <c r="AG813" i="8"/>
  <c r="AG805" i="8"/>
  <c r="AG797" i="8"/>
  <c r="AG27" i="8"/>
  <c r="AG26" i="8"/>
  <c r="AH225" i="8"/>
  <c r="AH209" i="8"/>
  <c r="AH201" i="8"/>
  <c r="AH193" i="8"/>
  <c r="AH185" i="8"/>
  <c r="AH177" i="8"/>
  <c r="AH161" i="8"/>
  <c r="AH145" i="8"/>
  <c r="AH137" i="8"/>
  <c r="AH129" i="8"/>
  <c r="AG121" i="8"/>
  <c r="AH113" i="8"/>
  <c r="AG89" i="8"/>
  <c r="AG57" i="8"/>
  <c r="AH49" i="8"/>
  <c r="AG41" i="8"/>
  <c r="AH33" i="8"/>
  <c r="AH301" i="8"/>
  <c r="AH261" i="8"/>
  <c r="AH253" i="8"/>
  <c r="AH245" i="8"/>
  <c r="AH237" i="8"/>
  <c r="AH336" i="8"/>
  <c r="AH328" i="8"/>
  <c r="AH320" i="8"/>
  <c r="AH312" i="8"/>
  <c r="AG496" i="8"/>
  <c r="AG488" i="8"/>
  <c r="AG480" i="8"/>
  <c r="AG464" i="8"/>
  <c r="AH456" i="8"/>
  <c r="AG448" i="8"/>
  <c r="AG440" i="8"/>
  <c r="AH432" i="8"/>
  <c r="AH424" i="8"/>
  <c r="AG416" i="8"/>
  <c r="AG400" i="8"/>
  <c r="AG392" i="8"/>
  <c r="AH376" i="8"/>
  <c r="AH368" i="8"/>
  <c r="AG360" i="8"/>
  <c r="AG573" i="8"/>
  <c r="AG565" i="8"/>
  <c r="AG557" i="8"/>
  <c r="AG549" i="8"/>
  <c r="AH541" i="8"/>
  <c r="AH525" i="8"/>
  <c r="AG517" i="8"/>
  <c r="AG509" i="8"/>
  <c r="AH782" i="8"/>
  <c r="AG774" i="8"/>
  <c r="AH766" i="8"/>
  <c r="AG758" i="8"/>
  <c r="AH750" i="8"/>
  <c r="AG742" i="8"/>
  <c r="AG734" i="8"/>
  <c r="AG726" i="8"/>
  <c r="AG718" i="8"/>
  <c r="AH710" i="8"/>
  <c r="AG702" i="8"/>
  <c r="AH694" i="8"/>
  <c r="AG686" i="8"/>
  <c r="AH678" i="8"/>
  <c r="AG670" i="8"/>
  <c r="AH662" i="8"/>
  <c r="AG654" i="8"/>
  <c r="AH646" i="8"/>
  <c r="AH638" i="8"/>
  <c r="AG630" i="8"/>
  <c r="AH622" i="8"/>
  <c r="AG614" i="8"/>
  <c r="AG606" i="8"/>
  <c r="AG590" i="8"/>
  <c r="AH860" i="8"/>
  <c r="AH852" i="8"/>
  <c r="AH836" i="8"/>
  <c r="AG820" i="8"/>
  <c r="AG804" i="8"/>
  <c r="AH13" i="8"/>
  <c r="AG585" i="8"/>
  <c r="AH15" i="8"/>
  <c r="AG6" i="8"/>
  <c r="AH16" i="8"/>
  <c r="AH22" i="8"/>
  <c r="AH7" i="8"/>
  <c r="AG25" i="8"/>
  <c r="AH216" i="8"/>
  <c r="AH208" i="8"/>
  <c r="AG200" i="8"/>
  <c r="AG192" i="8"/>
  <c r="AG184" i="8"/>
  <c r="AG176" i="8"/>
  <c r="AG168" i="8"/>
  <c r="AH160" i="8"/>
  <c r="AG152" i="8"/>
  <c r="AH144" i="8"/>
  <c r="AG136" i="8"/>
  <c r="AG128" i="8"/>
  <c r="AG120" i="8"/>
  <c r="AH112" i="8"/>
  <c r="AG104" i="8"/>
  <c r="AG96" i="8"/>
  <c r="AG88" i="8"/>
  <c r="AH80" i="8"/>
  <c r="AH72" i="8"/>
  <c r="AH64" i="8"/>
  <c r="AG56" i="8"/>
  <c r="AH48" i="8"/>
  <c r="AG40" i="8"/>
  <c r="AG32" i="8"/>
  <c r="AH300" i="8"/>
  <c r="AH292" i="8"/>
  <c r="AH284" i="8"/>
  <c r="AG276" i="8"/>
  <c r="AH268" i="8"/>
  <c r="AH260" i="8"/>
  <c r="AG252" i="8"/>
  <c r="AG244" i="8"/>
  <c r="AG236" i="8"/>
  <c r="AH335" i="8"/>
  <c r="AH311" i="8"/>
  <c r="AG495" i="8"/>
  <c r="AH487" i="8"/>
  <c r="AH479" i="8"/>
  <c r="AG471" i="8"/>
  <c r="AG463" i="8"/>
  <c r="AH455" i="8"/>
  <c r="AH447" i="8"/>
  <c r="AG439" i="8"/>
  <c r="AG431" i="8"/>
  <c r="AG423" i="8"/>
  <c r="AG415" i="8"/>
  <c r="AG407" i="8"/>
  <c r="AG399" i="8"/>
  <c r="AH391" i="8"/>
  <c r="AH383" i="8"/>
  <c r="AG375" i="8"/>
  <c r="AG367" i="8"/>
  <c r="AH359" i="8"/>
  <c r="AH351" i="8"/>
  <c r="AG343" i="8"/>
  <c r="AH580" i="8"/>
  <c r="AH572" i="8"/>
  <c r="AH564" i="8"/>
  <c r="AH548" i="8"/>
  <c r="AH540" i="8"/>
  <c r="AH532" i="8"/>
  <c r="AH524" i="8"/>
  <c r="AH516" i="8"/>
  <c r="AH508" i="8"/>
  <c r="AG781" i="8"/>
  <c r="AG773" i="8"/>
  <c r="AG765" i="8"/>
  <c r="AG757" i="8"/>
  <c r="AH749" i="8"/>
  <c r="AG741" i="8"/>
  <c r="AG733" i="8"/>
  <c r="AH725" i="8"/>
  <c r="AH709" i="8"/>
  <c r="AG701" i="8"/>
  <c r="AH693" i="8"/>
  <c r="AH685" i="8"/>
  <c r="AG677" i="8"/>
  <c r="AG669" i="8"/>
  <c r="AH661" i="8"/>
  <c r="AG653" i="8"/>
  <c r="AH645" i="8"/>
  <c r="AG637" i="8"/>
  <c r="AH629" i="8"/>
  <c r="AH621" i="8"/>
  <c r="AH613" i="8"/>
  <c r="AG605" i="8"/>
  <c r="AH597" i="8"/>
  <c r="AH589" i="8"/>
  <c r="AH859" i="8"/>
  <c r="AH851" i="8"/>
  <c r="AG843" i="8"/>
  <c r="AG835" i="8"/>
  <c r="AH827" i="8"/>
  <c r="AH819" i="8"/>
  <c r="AG811" i="8"/>
  <c r="AH803" i="8"/>
  <c r="AH14" i="8"/>
  <c r="AH5" i="8"/>
  <c r="AH24" i="8"/>
  <c r="AH223" i="8"/>
  <c r="AH215" i="8"/>
  <c r="AH207" i="8"/>
  <c r="AH199" i="8"/>
  <c r="AH191" i="8"/>
  <c r="AG183" i="8"/>
  <c r="AG175" i="8"/>
  <c r="AG167" i="8"/>
  <c r="AH159" i="8"/>
  <c r="AG143" i="8"/>
  <c r="AG135" i="8"/>
  <c r="AH127" i="8"/>
  <c r="AG119" i="8"/>
  <c r="AG111" i="8"/>
  <c r="AG103" i="8"/>
  <c r="AG95" i="8"/>
  <c r="AG87" i="8"/>
  <c r="AH79" i="8"/>
  <c r="AG71" i="8"/>
  <c r="AH63" i="8"/>
  <c r="AG55" i="8"/>
  <c r="AG47" i="8"/>
  <c r="AG39" i="8"/>
  <c r="AG31" i="8"/>
  <c r="AG299" i="8"/>
  <c r="AH291" i="8"/>
  <c r="AH283" i="8"/>
  <c r="AG275" i="8"/>
  <c r="AG267" i="8"/>
  <c r="AH259" i="8"/>
  <c r="AH251" i="8"/>
  <c r="AG243" i="8"/>
  <c r="AH235" i="8"/>
  <c r="AH334" i="8"/>
  <c r="AG326" i="8"/>
  <c r="AG318" i="8"/>
  <c r="AH310" i="8"/>
  <c r="AH494" i="8"/>
  <c r="AG486" i="8"/>
  <c r="AH478" i="8"/>
  <c r="AH470" i="8"/>
  <c r="AG462" i="8"/>
  <c r="AG454" i="8"/>
  <c r="AH446" i="8"/>
  <c r="AH438" i="8"/>
  <c r="AG430" i="8"/>
  <c r="AG422" i="8"/>
  <c r="AG414" i="8"/>
  <c r="AG398" i="8"/>
  <c r="AG390" i="8"/>
  <c r="AH382" i="8"/>
  <c r="AH374" i="8"/>
  <c r="AG366" i="8"/>
  <c r="AH358" i="8"/>
  <c r="AG350" i="8"/>
  <c r="AH342" i="8"/>
  <c r="AG579" i="8"/>
  <c r="AG571" i="8"/>
  <c r="AG563" i="8"/>
  <c r="AG555" i="8"/>
  <c r="AG547" i="8"/>
  <c r="AG539" i="8"/>
  <c r="AG531" i="8"/>
  <c r="AG523" i="8"/>
  <c r="AG515" i="8"/>
  <c r="AG507" i="8"/>
  <c r="AG788" i="8"/>
  <c r="AH780" i="8"/>
  <c r="AG772" i="8"/>
  <c r="AH764" i="8"/>
  <c r="AG756" i="8"/>
  <c r="AG748" i="8"/>
  <c r="AG740" i="8"/>
  <c r="AH732" i="8"/>
  <c r="AG724" i="8"/>
  <c r="AG716" i="8"/>
  <c r="AH708" i="8"/>
  <c r="AH700" i="8"/>
  <c r="AH692" i="8"/>
  <c r="AG684" i="8"/>
  <c r="AH676" i="8"/>
  <c r="AH668" i="8"/>
  <c r="AH660" i="8"/>
  <c r="AG652" i="8"/>
  <c r="AH644" i="8"/>
  <c r="AH636" i="8"/>
  <c r="AG628" i="8"/>
  <c r="AH620" i="8"/>
  <c r="AH612" i="8"/>
  <c r="AG604" i="8"/>
  <c r="AG596" i="8"/>
  <c r="AG588" i="8"/>
  <c r="AG858" i="8"/>
  <c r="AG850" i="8"/>
  <c r="AH842" i="8"/>
  <c r="AG834" i="8"/>
  <c r="AG826" i="8"/>
  <c r="AG818" i="8"/>
  <c r="AG810" i="8"/>
  <c r="AH802" i="8"/>
  <c r="AH20" i="8"/>
  <c r="AG222" i="8"/>
  <c r="AG214" i="8"/>
  <c r="AG206" i="8"/>
  <c r="AG198" i="8"/>
  <c r="AG190" i="8"/>
  <c r="AG182" i="8"/>
  <c r="AG174" i="8"/>
  <c r="AG166" i="8"/>
  <c r="AG158" i="8"/>
  <c r="AH142" i="8"/>
  <c r="AG134" i="8"/>
  <c r="AH102" i="8"/>
  <c r="AG94" i="8"/>
  <c r="AG86" i="8"/>
  <c r="AH78" i="8"/>
  <c r="AH70" i="8"/>
  <c r="AG46" i="8"/>
  <c r="AH38" i="8"/>
  <c r="AH30" i="8"/>
  <c r="AG306" i="8"/>
  <c r="AG298" i="8"/>
  <c r="AG290" i="8"/>
  <c r="AH282" i="8"/>
  <c r="AG274" i="8"/>
  <c r="AH258" i="8"/>
  <c r="AG250" i="8"/>
  <c r="AG242" i="8"/>
  <c r="AG234" i="8"/>
  <c r="AH333" i="8"/>
  <c r="AH325" i="8"/>
  <c r="AH317" i="8"/>
  <c r="AG493" i="8"/>
  <c r="AG485" i="8"/>
  <c r="AG469" i="8"/>
  <c r="AG461" i="8"/>
  <c r="AH453" i="8"/>
  <c r="AH445" i="8"/>
  <c r="AG437" i="8"/>
  <c r="AG429" i="8"/>
  <c r="AG421" i="8"/>
  <c r="AG405" i="8"/>
  <c r="AG397" i="8"/>
  <c r="AH389" i="8"/>
  <c r="AH381" i="8"/>
  <c r="AG373" i="8"/>
  <c r="AG365" i="8"/>
  <c r="AG357" i="8"/>
  <c r="AG341" i="8"/>
  <c r="AG787" i="8"/>
  <c r="AG779" i="8"/>
  <c r="AH771" i="8"/>
  <c r="AG763" i="8"/>
  <c r="AH755" i="8"/>
  <c r="AH747" i="8"/>
  <c r="AH739" i="8"/>
  <c r="AH731" i="8"/>
  <c r="AH723" i="8"/>
  <c r="AG715" i="8"/>
  <c r="AG707" i="8"/>
  <c r="AH699" i="8"/>
  <c r="AG691" i="8"/>
  <c r="AG683" i="8"/>
  <c r="AG675" i="8"/>
  <c r="AG667" i="8"/>
  <c r="AH659" i="8"/>
  <c r="AG643" i="8"/>
  <c r="AG635" i="8"/>
  <c r="AG619" i="8"/>
  <c r="AH611" i="8"/>
  <c r="AH603" i="8"/>
  <c r="AH595" i="8"/>
  <c r="AH587" i="8"/>
  <c r="AH857" i="8"/>
  <c r="AG849" i="8"/>
  <c r="AG841" i="8"/>
  <c r="AG825" i="8"/>
  <c r="AH817" i="8"/>
  <c r="AG809" i="8"/>
  <c r="AH801" i="8"/>
  <c r="AJ120" i="8"/>
  <c r="AJ45" i="8"/>
  <c r="AJ52" i="8"/>
  <c r="AJ29" i="8"/>
  <c r="AJ336" i="8"/>
  <c r="AJ907" i="8"/>
  <c r="AJ585" i="8"/>
  <c r="AJ299" i="8"/>
  <c r="U45" i="8" a="1"/>
  <c r="U45" i="8" s="1"/>
  <c r="U865" i="8" a="1"/>
  <c r="U865" i="8" s="1"/>
  <c r="U361" i="8" a="1"/>
  <c r="U361" i="8" s="1"/>
  <c r="U232" i="8" a="1"/>
  <c r="U232" i="8" s="1"/>
  <c r="U233" i="8" a="1"/>
  <c r="U233" i="8" s="1"/>
  <c r="U359" i="8" a="1"/>
  <c r="U359" i="8" s="1"/>
  <c r="U578" i="8" a="1"/>
  <c r="U578" i="8" s="1"/>
  <c r="U231" i="8" a="1"/>
  <c r="U231" i="8" s="1"/>
  <c r="U866" i="8" a="1"/>
  <c r="U866" i="8" s="1"/>
  <c r="U360" i="8" a="1"/>
  <c r="U360" i="8" s="1"/>
  <c r="U577" i="8" a="1"/>
  <c r="U577" i="8" s="1"/>
  <c r="U867" i="8" a="1"/>
  <c r="U867" i="8" s="1"/>
  <c r="U576" i="8" a="1"/>
  <c r="U576" i="8" s="1"/>
  <c r="U118" i="8" a="1"/>
  <c r="U118" i="8" s="1"/>
  <c r="U33" i="8" a="1"/>
  <c r="U33" i="8" s="1"/>
  <c r="U49" i="8" a="1"/>
  <c r="U49" i="8" s="1"/>
  <c r="U168" i="8" a="1"/>
  <c r="U168" i="8" s="1"/>
  <c r="U177" i="8" a="1"/>
  <c r="U177" i="8" s="1"/>
  <c r="U384" i="8" a="1"/>
  <c r="U384" i="8" s="1"/>
  <c r="U533" i="8" a="1"/>
  <c r="U533" i="8" s="1"/>
  <c r="U679" i="8" a="1"/>
  <c r="U679" i="8" s="1"/>
  <c r="U34" i="8" a="1"/>
  <c r="U34" i="8" s="1"/>
  <c r="U50" i="8" a="1"/>
  <c r="U50" i="8" s="1"/>
  <c r="U88" i="8" a="1"/>
  <c r="U88" i="8" s="1"/>
  <c r="U302" i="8" a="1"/>
  <c r="U302" i="8" s="1"/>
  <c r="U453" i="8" a="1"/>
  <c r="U453" i="8" s="1"/>
  <c r="U100" i="8" a="1"/>
  <c r="U100" i="8" s="1"/>
  <c r="U284" i="8" a="1"/>
  <c r="U284" i="8" s="1"/>
  <c r="U385" i="8" a="1"/>
  <c r="U385" i="8" s="1"/>
  <c r="U444" i="8" a="1"/>
  <c r="U444" i="8" s="1"/>
  <c r="U732" i="8" a="1"/>
  <c r="U732" i="8" s="1"/>
  <c r="U821" i="8" a="1"/>
  <c r="U821" i="8" s="1"/>
  <c r="U99" i="8" a="1"/>
  <c r="U99" i="8" s="1"/>
  <c r="U303" i="8" a="1"/>
  <c r="U303" i="8" s="1"/>
  <c r="U454" i="8" a="1"/>
  <c r="U454" i="8" s="1"/>
  <c r="U237" i="8" a="1"/>
  <c r="U237" i="8" s="1"/>
  <c r="U445" i="8" a="1"/>
  <c r="U445" i="8" s="1"/>
  <c r="U561" i="8" a="1"/>
  <c r="U561" i="8" s="1"/>
  <c r="U16" i="8" a="1"/>
  <c r="U16" i="8" s="1"/>
  <c r="U108" i="8" a="1"/>
  <c r="U108" i="8" s="1"/>
  <c r="U740" i="8" a="1"/>
  <c r="U740" i="8" s="1"/>
  <c r="U311" i="8" a="1"/>
  <c r="U311" i="8" s="1"/>
  <c r="U15" i="8" a="1"/>
  <c r="U15" i="8" s="1"/>
  <c r="U109" i="8" a="1"/>
  <c r="U109" i="8" s="1"/>
  <c r="U145" i="8" a="1"/>
  <c r="U145" i="8" s="1"/>
  <c r="U56" i="8" a="1"/>
  <c r="U56" i="8" s="1"/>
  <c r="U146" i="8" a="1"/>
  <c r="U146" i="8" s="1"/>
  <c r="U211" i="8" a="1"/>
  <c r="U211" i="8" s="1"/>
  <c r="U238" i="8" a="1"/>
  <c r="U238" i="8" s="1"/>
  <c r="U312" i="8" a="1"/>
  <c r="U312" i="8" s="1"/>
  <c r="U366" i="8" a="1"/>
  <c r="U366" i="8" s="1"/>
  <c r="U320" i="8" a="1"/>
  <c r="U320" i="8" s="1"/>
  <c r="U748" i="8" a="1"/>
  <c r="U748" i="8" s="1"/>
  <c r="U57" i="8" a="1"/>
  <c r="U57" i="8" s="1"/>
  <c r="U65" i="8" a="1"/>
  <c r="U65" i="8" s="1"/>
  <c r="U117" i="8" a="1"/>
  <c r="U117" i="8" s="1"/>
  <c r="U212" i="8" a="1"/>
  <c r="U212" i="8" s="1"/>
  <c r="U246" i="8" a="1"/>
  <c r="U246" i="8" s="1"/>
  <c r="U343" i="8" a="1"/>
  <c r="U343" i="8" s="1"/>
  <c r="U375" i="8" a="1"/>
  <c r="U375" i="8" s="1"/>
  <c r="U413" i="8" a="1"/>
  <c r="U413" i="8" s="1"/>
  <c r="U435" i="8" a="1"/>
  <c r="U435" i="8" s="1"/>
  <c r="U367" i="8" a="1"/>
  <c r="U367" i="8" s="1"/>
  <c r="U634" i="8" a="1"/>
  <c r="U634" i="8" s="1"/>
  <c r="U803" i="8" a="1"/>
  <c r="U803" i="8" s="1"/>
  <c r="U812" i="8" a="1"/>
  <c r="U812" i="8" s="1"/>
  <c r="U822" i="8" a="1"/>
  <c r="U822" i="8" s="1"/>
  <c r="U850" i="8" a="1"/>
  <c r="U850" i="8" s="1"/>
  <c r="U873" i="8" a="1"/>
  <c r="U873" i="8" s="1"/>
  <c r="U515" i="8" a="1"/>
  <c r="U515" i="8" s="1"/>
  <c r="U593" i="8" a="1"/>
  <c r="U593" i="8" s="1"/>
  <c r="U670" i="8" a="1"/>
  <c r="U670" i="8" s="1"/>
  <c r="U710" i="8" a="1"/>
  <c r="U710" i="8" s="1"/>
  <c r="U376" i="8" a="1"/>
  <c r="U376" i="8" s="1"/>
  <c r="U484" i="8" a="1"/>
  <c r="U484" i="8" s="1"/>
  <c r="U661" i="8" a="1"/>
  <c r="U661" i="8" s="1"/>
  <c r="U524" i="8" a="1"/>
  <c r="U524" i="8" s="1"/>
  <c r="U776" i="8" a="1"/>
  <c r="U776" i="8" s="1"/>
  <c r="U804" i="8" a="1"/>
  <c r="U804" i="8" s="1"/>
  <c r="U813" i="8" a="1"/>
  <c r="U813" i="8" s="1"/>
  <c r="U851" i="8" a="1"/>
  <c r="U851" i="8" s="1"/>
  <c r="U247" i="8" a="1"/>
  <c r="U247" i="8" s="1"/>
  <c r="U603" i="8" a="1"/>
  <c r="U603" i="8" s="1"/>
  <c r="U741" i="8" a="1"/>
  <c r="U741" i="8" s="1"/>
  <c r="U874" i="8" a="1"/>
  <c r="U874" i="8" s="1"/>
  <c r="U883" i="8" a="1"/>
  <c r="U883" i="8" s="1"/>
  <c r="U255" i="8" a="1"/>
  <c r="U255" i="8" s="1"/>
  <c r="U256" i="8" a="1"/>
  <c r="U256" i="8" s="1"/>
  <c r="U436" i="8" a="1"/>
  <c r="U436" i="8" s="1"/>
  <c r="U532" i="8" a="1"/>
  <c r="U532" i="8" s="1"/>
  <c r="U892" i="8" a="1"/>
  <c r="U892" i="8" s="1"/>
  <c r="U321" i="8" a="1"/>
  <c r="U321" i="8" s="1"/>
  <c r="U87" i="8" a="1"/>
  <c r="U87" i="8" s="1"/>
  <c r="U66" i="8" a="1"/>
  <c r="U66" i="8" s="1"/>
  <c r="U285" i="8" a="1"/>
  <c r="U285" i="8" s="1"/>
  <c r="U344" i="8" a="1"/>
  <c r="U344" i="8" s="1"/>
  <c r="U560" i="8" a="1"/>
  <c r="U560" i="8" s="1"/>
  <c r="U678" i="8" a="1"/>
  <c r="U678" i="8" s="1"/>
  <c r="U777" i="8" a="1"/>
  <c r="U777" i="8" s="1"/>
  <c r="U882" i="8" a="1"/>
  <c r="U882" i="8" s="1"/>
  <c r="U660" i="8" a="1"/>
  <c r="U660" i="8" s="1"/>
  <c r="U414" i="8" a="1"/>
  <c r="U414" i="8" s="1"/>
  <c r="U749" i="8" a="1"/>
  <c r="U749" i="8" s="1"/>
  <c r="U594" i="8" a="1"/>
  <c r="U594" i="8" s="1"/>
  <c r="U633" i="8" a="1"/>
  <c r="U633" i="8" s="1"/>
  <c r="U585" i="8" a="1"/>
  <c r="U585" i="8" s="1"/>
  <c r="U167" i="8" a="1"/>
  <c r="U167" i="8" s="1"/>
  <c r="U514" i="8" a="1"/>
  <c r="U514" i="8" s="1"/>
  <c r="U602" i="8" a="1"/>
  <c r="U602" i="8" s="1"/>
  <c r="U669" i="8" a="1"/>
  <c r="U669" i="8" s="1"/>
  <c r="U709" i="8" a="1"/>
  <c r="U709" i="8" s="1"/>
  <c r="U176" i="8" a="1"/>
  <c r="U176" i="8" s="1"/>
  <c r="U891" i="8" a="1"/>
  <c r="U891" i="8" s="1"/>
  <c r="U523" i="8" a="1"/>
  <c r="U523" i="8" s="1"/>
  <c r="U584" i="8" a="1"/>
  <c r="U584" i="8" s="1"/>
  <c r="U731" i="8" a="1"/>
  <c r="U731" i="8" s="1"/>
  <c r="U485" i="8" a="1"/>
  <c r="U485" i="8" s="1"/>
  <c r="U186" i="8" a="1"/>
  <c r="U186" i="8" s="1"/>
  <c r="U331" i="8" a="1"/>
  <c r="U331" i="8" s="1"/>
  <c r="U469" i="8" a="1"/>
  <c r="U469" i="8" s="1"/>
  <c r="U472" i="8" a="1"/>
  <c r="U472" i="8" s="1"/>
  <c r="U550" i="8" a="1"/>
  <c r="U550" i="8" s="1"/>
  <c r="U694" i="8" a="1"/>
  <c r="U694" i="8" s="1"/>
  <c r="U704" i="8" a="1"/>
  <c r="U704" i="8" s="1"/>
  <c r="U765" i="8" a="1"/>
  <c r="U765" i="8" s="1"/>
  <c r="U907" i="8" a="1"/>
  <c r="U907" i="8" s="1"/>
  <c r="U547" i="8" a="1"/>
  <c r="U547" i="8" s="1"/>
  <c r="U400" i="8" a="1"/>
  <c r="U400" i="8" s="1"/>
  <c r="U479" i="8" a="1"/>
  <c r="U479" i="8" s="1"/>
  <c r="U618" i="8" a="1"/>
  <c r="U618" i="8" s="1"/>
  <c r="U717" i="8" a="1"/>
  <c r="U717" i="8" s="1"/>
  <c r="U845" i="8" a="1"/>
  <c r="U845" i="8" s="1"/>
  <c r="U556" i="8" a="1"/>
  <c r="U556" i="8" s="1"/>
  <c r="U628" i="8" a="1"/>
  <c r="U628" i="8" s="1"/>
  <c r="U648" i="8" a="1"/>
  <c r="U648" i="8" s="1"/>
  <c r="U697" i="8" a="1"/>
  <c r="U697" i="8" s="1"/>
  <c r="U706" i="8" a="1"/>
  <c r="U706" i="8" s="1"/>
  <c r="U786" i="8" a="1"/>
  <c r="U786" i="8" s="1"/>
  <c r="U482" i="8" a="1"/>
  <c r="U482" i="8" s="1"/>
  <c r="U621" i="8" a="1"/>
  <c r="U621" i="8" s="1"/>
  <c r="U631" i="8" a="1"/>
  <c r="U631" i="8" s="1"/>
  <c r="U642" i="8" a="1"/>
  <c r="U642" i="8" s="1"/>
  <c r="U839" i="8" a="1"/>
  <c r="U839" i="8" s="1"/>
  <c r="U721" i="8" a="1"/>
  <c r="U721" i="8" s="1"/>
  <c r="U770" i="8" a="1"/>
  <c r="U770" i="8" s="1"/>
  <c r="U836" i="8" a="1"/>
  <c r="U836" i="8" s="1"/>
  <c r="U762" i="8" a="1"/>
  <c r="U762" i="8" s="1"/>
  <c r="U782" i="8" a="1"/>
  <c r="U782" i="8" s="1"/>
  <c r="U773" i="8" a="1"/>
  <c r="U773" i="8" s="1"/>
  <c r="U140" i="8" a="1"/>
  <c r="U140" i="8" s="1"/>
  <c r="U271" i="8" a="1"/>
  <c r="U271" i="8" s="1"/>
  <c r="U131" i="8" a="1"/>
  <c r="U131" i="8" s="1"/>
  <c r="U272" i="8" a="1"/>
  <c r="U272" i="8" s="1"/>
  <c r="U132" i="8" a="1"/>
  <c r="U132" i="8" s="1"/>
  <c r="U153" i="8" a="1"/>
  <c r="U153" i="8" s="1"/>
  <c r="U199" i="8" a="1"/>
  <c r="U199" i="8" s="1"/>
  <c r="U279" i="8" a="1"/>
  <c r="U279" i="8" s="1"/>
  <c r="U133" i="8" a="1"/>
  <c r="U133" i="8" s="1"/>
  <c r="U200" i="8" a="1"/>
  <c r="U200" i="8" s="1"/>
  <c r="U201" i="8" a="1"/>
  <c r="U201" i="8" s="1"/>
  <c r="U274" i="8" a="1"/>
  <c r="U274" i="8" s="1"/>
  <c r="U135" i="8" a="1"/>
  <c r="U135" i="8" s="1"/>
  <c r="U290" i="8" a="1"/>
  <c r="U290" i="8" s="1"/>
  <c r="U270" i="8" a="1"/>
  <c r="U270" i="8" s="1"/>
  <c r="U336" i="8" a="1"/>
  <c r="U336" i="8" s="1"/>
  <c r="U368" i="8" a="1"/>
  <c r="U368" i="8" s="1"/>
  <c r="U433" i="8" a="1"/>
  <c r="U433" i="8" s="1"/>
  <c r="U489" i="8" a="1"/>
  <c r="U489" i="8" s="1"/>
  <c r="U588" i="8" a="1"/>
  <c r="U588" i="8" s="1"/>
  <c r="U638" i="8" a="1"/>
  <c r="U638" i="8" s="1"/>
  <c r="U677" i="8" a="1"/>
  <c r="U677" i="8" s="1"/>
  <c r="U716" i="8" a="1"/>
  <c r="U716" i="8" s="1"/>
  <c r="U756" i="8" a="1"/>
  <c r="U756" i="8" s="1"/>
  <c r="U811" i="8" a="1"/>
  <c r="U811" i="8" s="1"/>
  <c r="U329" i="8" a="1"/>
  <c r="U329" i="8" s="1"/>
  <c r="U345" i="8" a="1"/>
  <c r="U345" i="8" s="1"/>
  <c r="U370" i="8" a="1"/>
  <c r="U370" i="8" s="1"/>
  <c r="U392" i="8" a="1"/>
  <c r="U392" i="8" s="1"/>
  <c r="U401" i="8" a="1"/>
  <c r="U401" i="8" s="1"/>
  <c r="U407" i="8" a="1"/>
  <c r="U407" i="8" s="1"/>
  <c r="U422" i="8" a="1"/>
  <c r="U422" i="8" s="1"/>
  <c r="U437" i="8" a="1"/>
  <c r="U437" i="8" s="1"/>
  <c r="U443" i="8" a="1"/>
  <c r="U443" i="8" s="1"/>
  <c r="U467" i="8" a="1"/>
  <c r="U467" i="8" s="1"/>
  <c r="U474" i="8" a="1"/>
  <c r="U474" i="8" s="1"/>
  <c r="U339" i="8" a="1"/>
  <c r="U339" i="8" s="1"/>
  <c r="U377" i="8" a="1"/>
  <c r="U377" i="8" s="1"/>
  <c r="U434" i="8" a="1"/>
  <c r="U434" i="8" s="1"/>
  <c r="U491" i="8" a="1"/>
  <c r="U491" i="8" s="1"/>
  <c r="U599" i="8" a="1"/>
  <c r="U599" i="8" s="1"/>
  <c r="U718" i="8" a="1"/>
  <c r="U718" i="8" s="1"/>
  <c r="U757" i="8" a="1"/>
  <c r="U757" i="8" s="1"/>
  <c r="U816" i="8" a="1"/>
  <c r="U816" i="8" s="1"/>
  <c r="U870" i="8" a="1"/>
  <c r="U870" i="8" s="1"/>
  <c r="U337" i="8" a="1"/>
  <c r="U337" i="8" s="1"/>
  <c r="U346" i="8" a="1"/>
  <c r="U346" i="8" s="1"/>
  <c r="U354" i="8" a="1"/>
  <c r="U354" i="8" s="1"/>
  <c r="U393" i="8" a="1"/>
  <c r="U393" i="8" s="1"/>
  <c r="U408" i="8" a="1"/>
  <c r="U408" i="8" s="1"/>
  <c r="U446" i="8" a="1"/>
  <c r="U446" i="8" s="1"/>
  <c r="U461" i="8" a="1"/>
  <c r="U461" i="8" s="1"/>
  <c r="U492" i="8" a="1"/>
  <c r="U492" i="8" s="1"/>
  <c r="U534" i="8" a="1"/>
  <c r="U534" i="8" s="1"/>
  <c r="U601" i="8" a="1"/>
  <c r="U601" i="8" s="1"/>
  <c r="U646" i="8" a="1"/>
  <c r="U646" i="8" s="1"/>
  <c r="U688" i="8" a="1"/>
  <c r="U688" i="8" s="1"/>
  <c r="U768" i="8" a="1"/>
  <c r="U768" i="8" s="1"/>
  <c r="U363" i="8" a="1"/>
  <c r="U363" i="8" s="1"/>
  <c r="U372" i="8" a="1"/>
  <c r="U372" i="8" s="1"/>
  <c r="U379" i="8" a="1"/>
  <c r="U379" i="8" s="1"/>
  <c r="U402" i="8" a="1"/>
  <c r="U402" i="8" s="1"/>
  <c r="U417" i="8" a="1"/>
  <c r="U417" i="8" s="1"/>
  <c r="U475" i="8" a="1"/>
  <c r="U475" i="8" s="1"/>
  <c r="U350" i="8" a="1"/>
  <c r="U350" i="8" s="1"/>
  <c r="U386" i="8" a="1"/>
  <c r="U386" i="8" s="1"/>
  <c r="U606" i="8" a="1"/>
  <c r="U606" i="8" s="1"/>
  <c r="U649" i="8" a="1"/>
  <c r="U649" i="8" s="1"/>
  <c r="U696" i="8" a="1"/>
  <c r="U696" i="8" s="1"/>
  <c r="U739" i="8" a="1"/>
  <c r="U739" i="8" s="1"/>
  <c r="U775" i="8" a="1"/>
  <c r="U775" i="8" s="1"/>
  <c r="U356" i="8" a="1"/>
  <c r="U356" i="8" s="1"/>
  <c r="U388" i="8" a="1"/>
  <c r="U388" i="8" s="1"/>
  <c r="U396" i="8" a="1"/>
  <c r="U396" i="8" s="1"/>
  <c r="U424" i="8" a="1"/>
  <c r="U424" i="8" s="1"/>
  <c r="U439" i="8" a="1"/>
  <c r="U439" i="8" s="1"/>
  <c r="U455" i="8" a="1"/>
  <c r="U455" i="8" s="1"/>
  <c r="U462" i="8" a="1"/>
  <c r="U462" i="8" s="1"/>
  <c r="U352" i="8" a="1"/>
  <c r="U352" i="8" s="1"/>
  <c r="U394" i="8" a="1"/>
  <c r="U394" i="8" s="1"/>
  <c r="U564" i="8" a="1"/>
  <c r="U564" i="8" s="1"/>
  <c r="U610" i="8" a="1"/>
  <c r="U610" i="8" s="1"/>
  <c r="U779" i="8" a="1"/>
  <c r="U779" i="8" s="1"/>
  <c r="U829" i="8" a="1"/>
  <c r="U829" i="8" s="1"/>
  <c r="U895" i="8" a="1"/>
  <c r="U895" i="8" s="1"/>
  <c r="U332" i="8" a="1"/>
  <c r="U332" i="8" s="1"/>
  <c r="U342" i="8" a="1"/>
  <c r="U342" i="8" s="1"/>
  <c r="U348" i="8" a="1"/>
  <c r="U348" i="8" s="1"/>
  <c r="U365" i="8" a="1"/>
  <c r="U365" i="8" s="1"/>
  <c r="U381" i="8" a="1"/>
  <c r="U381" i="8" s="1"/>
  <c r="U389" i="8" a="1"/>
  <c r="U389" i="8" s="1"/>
  <c r="U404" i="8" a="1"/>
  <c r="U404" i="8" s="1"/>
  <c r="U410" i="8" a="1"/>
  <c r="U410" i="8" s="1"/>
  <c r="U419" i="8" a="1"/>
  <c r="U419" i="8" s="1"/>
  <c r="U425" i="8" a="1"/>
  <c r="U425" i="8" s="1"/>
  <c r="U448" i="8" a="1"/>
  <c r="U448" i="8" s="1"/>
  <c r="U477" i="8" a="1"/>
  <c r="U477" i="8" s="1"/>
  <c r="U357" i="8" a="1"/>
  <c r="U357" i="8" s="1"/>
  <c r="U458" i="8" a="1"/>
  <c r="U458" i="8" s="1"/>
  <c r="U512" i="8" a="1"/>
  <c r="U512" i="8" s="1"/>
  <c r="U615" i="8" a="1"/>
  <c r="U615" i="8" s="1"/>
  <c r="U664" i="8" a="1"/>
  <c r="U664" i="8" s="1"/>
  <c r="U708" i="8" a="1"/>
  <c r="U708" i="8" s="1"/>
  <c r="U744" i="8" a="1"/>
  <c r="U744" i="8" s="1"/>
  <c r="U838" i="8" a="1"/>
  <c r="U838" i="8" s="1"/>
  <c r="U896" i="8" a="1"/>
  <c r="U896" i="8" s="1"/>
  <c r="U333" i="8" a="1"/>
  <c r="U333" i="8" s="1"/>
  <c r="U358" i="8" a="1"/>
  <c r="U358" i="8" s="1"/>
  <c r="U374" i="8" a="1"/>
  <c r="U374" i="8" s="1"/>
  <c r="U390" i="8" a="1"/>
  <c r="U390" i="8" s="1"/>
  <c r="U397" i="8" a="1"/>
  <c r="U397" i="8" s="1"/>
  <c r="U405" i="8" a="1"/>
  <c r="U405" i="8" s="1"/>
  <c r="U426" i="8" a="1"/>
  <c r="U426" i="8" s="1"/>
  <c r="U432" i="8" a="1"/>
  <c r="U432" i="8" s="1"/>
  <c r="U441" i="8" a="1"/>
  <c r="U441" i="8" s="1"/>
  <c r="U465" i="8" a="1"/>
  <c r="U465" i="8" s="1"/>
  <c r="U362" i="8" a="1"/>
  <c r="U362" i="8" s="1"/>
  <c r="U412" i="8" a="1"/>
  <c r="U412" i="8" s="1"/>
  <c r="U463" i="8" a="1"/>
  <c r="U463" i="8" s="1"/>
  <c r="U518" i="8" a="1"/>
  <c r="U518" i="8" s="1"/>
  <c r="U569" i="8" a="1"/>
  <c r="U569" i="8" s="1"/>
  <c r="U619" i="8" a="1"/>
  <c r="U619" i="8" s="1"/>
  <c r="U671" i="8" a="1"/>
  <c r="U671" i="8" s="1"/>
  <c r="U800" i="8" a="1"/>
  <c r="U800" i="8" s="1"/>
  <c r="U844" i="8" a="1"/>
  <c r="U844" i="8" s="1"/>
  <c r="U897" i="8" a="1"/>
  <c r="U897" i="8" s="1"/>
  <c r="U351" i="8" a="1"/>
  <c r="U351" i="8" s="1"/>
  <c r="U398" i="8" a="1"/>
  <c r="U398" i="8" s="1"/>
  <c r="U420" i="8" a="1"/>
  <c r="U420" i="8" s="1"/>
  <c r="U450" i="8" a="1"/>
  <c r="U450" i="8" s="1"/>
  <c r="U457" i="8" a="1"/>
  <c r="U457" i="8" s="1"/>
  <c r="U466" i="8" a="1"/>
  <c r="U466" i="8" s="1"/>
  <c r="U750" i="8" a="1"/>
  <c r="U750" i="8" s="1"/>
  <c r="U452" i="8" a="1"/>
  <c r="U452" i="8" s="1"/>
  <c r="U486" i="8" a="1"/>
  <c r="U486" i="8" s="1"/>
  <c r="U496" i="8" a="1"/>
  <c r="U496" i="8" s="1"/>
  <c r="U542" i="8" a="1"/>
  <c r="U542" i="8" s="1"/>
  <c r="U607" i="8" a="1"/>
  <c r="U607" i="8" s="1"/>
  <c r="U626" i="8" a="1"/>
  <c r="U626" i="8" s="1"/>
  <c r="U644" i="8" a="1"/>
  <c r="U644" i="8" s="1"/>
  <c r="U675" i="8" a="1"/>
  <c r="U675" i="8" s="1"/>
  <c r="U745" i="8" a="1"/>
  <c r="U745" i="8" s="1"/>
  <c r="U784" i="8" a="1"/>
  <c r="U784" i="8" s="1"/>
  <c r="U841" i="8" a="1"/>
  <c r="U841" i="8" s="1"/>
  <c r="U858" i="8" a="1"/>
  <c r="U858" i="8" s="1"/>
  <c r="U886" i="8" a="1"/>
  <c r="U886" i="8" s="1"/>
  <c r="U881" i="8" a="1"/>
  <c r="U881" i="8" s="1"/>
  <c r="U566" i="8" a="1"/>
  <c r="U566" i="8" s="1"/>
  <c r="U623" i="8" a="1"/>
  <c r="U623" i="8" s="1"/>
  <c r="U752" i="8" a="1"/>
  <c r="U752" i="8" s="1"/>
  <c r="U781" i="8" a="1"/>
  <c r="U781" i="8" s="1"/>
  <c r="U540" i="8" a="1"/>
  <c r="U540" i="8" s="1"/>
  <c r="U567" i="8" a="1"/>
  <c r="U567" i="8" s="1"/>
  <c r="U614" i="8" a="1"/>
  <c r="U614" i="8" s="1"/>
  <c r="U711" i="8" a="1"/>
  <c r="U711" i="8" s="1"/>
  <c r="U763" i="8" a="1"/>
  <c r="U763" i="8" s="1"/>
  <c r="U809" i="8" a="1"/>
  <c r="U809" i="8" s="1"/>
  <c r="U856" i="8" a="1"/>
  <c r="U856" i="8" s="1"/>
  <c r="U415" i="8" a="1"/>
  <c r="U415" i="8" s="1"/>
  <c r="U801" i="8" a="1"/>
  <c r="U801" i="8" s="1"/>
  <c r="U335" i="8" a="1"/>
  <c r="U335" i="8" s="1"/>
  <c r="U459" i="8" a="1"/>
  <c r="U459" i="8" s="1"/>
  <c r="U487" i="8" a="1"/>
  <c r="U487" i="8" s="1"/>
  <c r="U497" i="8" a="1"/>
  <c r="U497" i="8" s="1"/>
  <c r="U511" i="8" a="1"/>
  <c r="U511" i="8" s="1"/>
  <c r="U527" i="8" a="1"/>
  <c r="U527" i="8" s="1"/>
  <c r="U536" i="8" a="1"/>
  <c r="U536" i="8" s="1"/>
  <c r="U551" i="8" a="1"/>
  <c r="U551" i="8" s="1"/>
  <c r="U559" i="8" a="1"/>
  <c r="U559" i="8" s="1"/>
  <c r="U571" i="8" a="1"/>
  <c r="U571" i="8" s="1"/>
  <c r="U597" i="8" a="1"/>
  <c r="U597" i="8" s="1"/>
  <c r="U608" i="8" a="1"/>
  <c r="U608" i="8" s="1"/>
  <c r="U635" i="8" a="1"/>
  <c r="U635" i="8" s="1"/>
  <c r="U647" i="8" a="1"/>
  <c r="U647" i="8" s="1"/>
  <c r="U666" i="8" a="1"/>
  <c r="U666" i="8" s="1"/>
  <c r="U686" i="8" a="1"/>
  <c r="U686" i="8" s="1"/>
  <c r="U695" i="8" a="1"/>
  <c r="U695" i="8" s="1"/>
  <c r="U705" i="8" a="1"/>
  <c r="U705" i="8" s="1"/>
  <c r="U735" i="8" a="1"/>
  <c r="U735" i="8" s="1"/>
  <c r="U758" i="8" a="1"/>
  <c r="U758" i="8" s="1"/>
  <c r="U766" i="8" a="1"/>
  <c r="U766" i="8" s="1"/>
  <c r="U785" i="8" a="1"/>
  <c r="U785" i="8" s="1"/>
  <c r="U823" i="8" a="1"/>
  <c r="U823" i="8" s="1"/>
  <c r="U833" i="8" a="1"/>
  <c r="U833" i="8" s="1"/>
  <c r="U879" i="8" a="1"/>
  <c r="U879" i="8" s="1"/>
  <c r="U899" i="8" a="1"/>
  <c r="U899" i="8" s="1"/>
  <c r="U908" i="8" a="1"/>
  <c r="U908" i="8" s="1"/>
  <c r="U861" i="8" a="1"/>
  <c r="U861" i="8" s="1"/>
  <c r="U901" i="8" a="1"/>
  <c r="U901" i="8" s="1"/>
  <c r="U890" i="8" a="1"/>
  <c r="U890" i="8" s="1"/>
  <c r="U494" i="8" a="1"/>
  <c r="U494" i="8" s="1"/>
  <c r="U641" i="8" a="1"/>
  <c r="U641" i="8" s="1"/>
  <c r="U682" i="8" a="1"/>
  <c r="U682" i="8" s="1"/>
  <c r="U771" i="8" a="1"/>
  <c r="U771" i="8" s="1"/>
  <c r="U837" i="8" a="1"/>
  <c r="U837" i="8" s="1"/>
  <c r="U903" i="8" a="1"/>
  <c r="U903" i="8" s="1"/>
  <c r="U604" i="8" a="1"/>
  <c r="U604" i="8" s="1"/>
  <c r="U753" i="8" a="1"/>
  <c r="U753" i="8" s="1"/>
  <c r="U848" i="8" a="1"/>
  <c r="U848" i="8" s="1"/>
  <c r="U715" i="8" a="1"/>
  <c r="U715" i="8" s="1"/>
  <c r="U549" i="8" a="1"/>
  <c r="U549" i="8" s="1"/>
  <c r="U586" i="8" a="1"/>
  <c r="U586" i="8" s="1"/>
  <c r="U713" i="8" a="1"/>
  <c r="U713" i="8" s="1"/>
  <c r="U754" i="8" a="1"/>
  <c r="U754" i="8" s="1"/>
  <c r="U783" i="8" a="1"/>
  <c r="U783" i="8" s="1"/>
  <c r="U849" i="8" a="1"/>
  <c r="U849" i="8" s="1"/>
  <c r="U862" i="8" a="1"/>
  <c r="U862" i="8" s="1"/>
  <c r="U406" i="8" a="1"/>
  <c r="U406" i="8" s="1"/>
  <c r="U480" i="8" a="1"/>
  <c r="U480" i="8" s="1"/>
  <c r="U498" i="8" a="1"/>
  <c r="U498" i="8" s="1"/>
  <c r="U513" i="8" a="1"/>
  <c r="U513" i="8" s="1"/>
  <c r="U520" i="8" a="1"/>
  <c r="U520" i="8" s="1"/>
  <c r="U537" i="8" a="1"/>
  <c r="U537" i="8" s="1"/>
  <c r="U544" i="8" a="1"/>
  <c r="U544" i="8" s="1"/>
  <c r="U552" i="8" a="1"/>
  <c r="U552" i="8" s="1"/>
  <c r="U572" i="8" a="1"/>
  <c r="U572" i="8" s="1"/>
  <c r="U590" i="8" a="1"/>
  <c r="U590" i="8" s="1"/>
  <c r="U620" i="8" a="1"/>
  <c r="U620" i="8" s="1"/>
  <c r="U636" i="8" a="1"/>
  <c r="U636" i="8" s="1"/>
  <c r="U657" i="8" a="1"/>
  <c r="U657" i="8" s="1"/>
  <c r="U687" i="8" a="1"/>
  <c r="U687" i="8" s="1"/>
  <c r="U719" i="8" a="1"/>
  <c r="U719" i="8" s="1"/>
  <c r="U747" i="8" a="1"/>
  <c r="U747" i="8" s="1"/>
  <c r="U759" i="8" a="1"/>
  <c r="U759" i="8" s="1"/>
  <c r="U767" i="8" a="1"/>
  <c r="U767" i="8" s="1"/>
  <c r="U805" i="8" a="1"/>
  <c r="U805" i="8" s="1"/>
  <c r="U814" i="8" a="1"/>
  <c r="U814" i="8" s="1"/>
  <c r="U825" i="8" a="1"/>
  <c r="U825" i="8" s="1"/>
  <c r="U834" i="8" a="1"/>
  <c r="U834" i="8" s="1"/>
  <c r="U843" i="8" a="1"/>
  <c r="U843" i="8" s="1"/>
  <c r="U852" i="8" a="1"/>
  <c r="U852" i="8" s="1"/>
  <c r="U860" i="8" a="1"/>
  <c r="U860" i="8" s="1"/>
  <c r="U871" i="8" a="1"/>
  <c r="U871" i="8" s="1"/>
  <c r="U888" i="8" a="1"/>
  <c r="U888" i="8" s="1"/>
  <c r="U900" i="8" a="1"/>
  <c r="U900" i="8" s="1"/>
  <c r="U835" i="8" a="1"/>
  <c r="U835" i="8" s="1"/>
  <c r="U872" i="8" a="1"/>
  <c r="U872" i="8" s="1"/>
  <c r="U525" i="8" a="1"/>
  <c r="U525" i="8" s="1"/>
  <c r="U470" i="8" a="1"/>
  <c r="U470" i="8" s="1"/>
  <c r="U499" i="8" a="1"/>
  <c r="U499" i="8" s="1"/>
  <c r="U538" i="8" a="1"/>
  <c r="U538" i="8" s="1"/>
  <c r="U545" i="8" a="1"/>
  <c r="U545" i="8" s="1"/>
  <c r="U553" i="8" a="1"/>
  <c r="U553" i="8" s="1"/>
  <c r="U562" i="8" a="1"/>
  <c r="U562" i="8" s="1"/>
  <c r="U573" i="8" a="1"/>
  <c r="U573" i="8" s="1"/>
  <c r="U581" i="8" a="1"/>
  <c r="U581" i="8" s="1"/>
  <c r="U611" i="8" a="1"/>
  <c r="U611" i="8" s="1"/>
  <c r="U629" i="8" a="1"/>
  <c r="U629" i="8" s="1"/>
  <c r="U650" i="8" a="1"/>
  <c r="U650" i="8" s="1"/>
  <c r="U658" i="8" a="1"/>
  <c r="U658" i="8" s="1"/>
  <c r="U668" i="8" a="1"/>
  <c r="U668" i="8" s="1"/>
  <c r="U680" i="8" a="1"/>
  <c r="U680" i="8" s="1"/>
  <c r="U699" i="8" a="1"/>
  <c r="U699" i="8" s="1"/>
  <c r="U720" i="8" a="1"/>
  <c r="U720" i="8" s="1"/>
  <c r="U728" i="8" a="1"/>
  <c r="U728" i="8" s="1"/>
  <c r="U737" i="8" a="1"/>
  <c r="U737" i="8" s="1"/>
  <c r="U760" i="8" a="1"/>
  <c r="U760" i="8" s="1"/>
  <c r="U769" i="8" a="1"/>
  <c r="U769" i="8" s="1"/>
  <c r="U778" i="8" a="1"/>
  <c r="U778" i="8" s="1"/>
  <c r="U787" i="8" a="1"/>
  <c r="U787" i="8" s="1"/>
  <c r="U826" i="8" a="1"/>
  <c r="U826" i="8" s="1"/>
  <c r="U863" i="8" a="1"/>
  <c r="U863" i="8" s="1"/>
  <c r="U701" i="8" a="1"/>
  <c r="U701" i="8" s="1"/>
  <c r="U692" i="8" a="1"/>
  <c r="U692" i="8" s="1"/>
  <c r="U742" i="8" a="1"/>
  <c r="U742" i="8" s="1"/>
  <c r="U904" i="8" a="1"/>
  <c r="U904" i="8" s="1"/>
  <c r="U383" i="8" a="1"/>
  <c r="U383" i="8" s="1"/>
  <c r="U557" i="8" a="1"/>
  <c r="U557" i="8" s="1"/>
  <c r="U595" i="8" a="1"/>
  <c r="U595" i="8" s="1"/>
  <c r="U684" i="8" a="1"/>
  <c r="U684" i="8" s="1"/>
  <c r="U764" i="8" a="1"/>
  <c r="U764" i="8" s="1"/>
  <c r="U802" i="8" a="1"/>
  <c r="U802" i="8" s="1"/>
  <c r="U831" i="8" a="1"/>
  <c r="U831" i="8" s="1"/>
  <c r="U877" i="8" a="1"/>
  <c r="U877" i="8" s="1"/>
  <c r="U905" i="8" a="1"/>
  <c r="U905" i="8" s="1"/>
  <c r="U471" i="8" a="1"/>
  <c r="U471" i="8" s="1"/>
  <c r="U483" i="8" a="1"/>
  <c r="U483" i="8" s="1"/>
  <c r="U522" i="8" a="1"/>
  <c r="U522" i="8" s="1"/>
  <c r="U529" i="8" a="1"/>
  <c r="U529" i="8" s="1"/>
  <c r="U546" i="8" a="1"/>
  <c r="U546" i="8" s="1"/>
  <c r="U574" i="8" a="1"/>
  <c r="U574" i="8" s="1"/>
  <c r="U582" i="8" a="1"/>
  <c r="U582" i="8" s="1"/>
  <c r="U592" i="8" a="1"/>
  <c r="U592" i="8" s="1"/>
  <c r="U612" i="8" a="1"/>
  <c r="U612" i="8" s="1"/>
  <c r="U640" i="8" a="1"/>
  <c r="U640" i="8" s="1"/>
  <c r="U659" i="8" a="1"/>
  <c r="U659" i="8" s="1"/>
  <c r="U690" i="8" a="1"/>
  <c r="U690" i="8" s="1"/>
  <c r="U700" i="8" a="1"/>
  <c r="U700" i="8" s="1"/>
  <c r="U729" i="8" a="1"/>
  <c r="U729" i="8" s="1"/>
  <c r="U761" i="8" a="1"/>
  <c r="U761" i="8" s="1"/>
  <c r="U780" i="8" a="1"/>
  <c r="U780" i="8" s="1"/>
  <c r="U788" i="8" a="1"/>
  <c r="U788" i="8" s="1"/>
  <c r="U807" i="8" a="1"/>
  <c r="U807" i="8" s="1"/>
  <c r="U827" i="8" a="1"/>
  <c r="U827" i="8" s="1"/>
  <c r="U846" i="8" a="1"/>
  <c r="U846" i="8" s="1"/>
  <c r="U854" i="8" a="1"/>
  <c r="U854" i="8" s="1"/>
  <c r="U531" i="8" a="1"/>
  <c r="U531" i="8" s="1"/>
  <c r="U555" i="8" a="1"/>
  <c r="U555" i="8" s="1"/>
  <c r="U583" i="8" a="1"/>
  <c r="U583" i="8" s="1"/>
  <c r="U691" i="8" a="1"/>
  <c r="U691" i="8" s="1"/>
  <c r="U730" i="8" a="1"/>
  <c r="U730" i="8" s="1"/>
  <c r="U632" i="8" a="1"/>
  <c r="U632" i="8" s="1"/>
  <c r="U683" i="8" a="1"/>
  <c r="U683" i="8" s="1"/>
  <c r="U830" i="8" a="1"/>
  <c r="U830" i="8" s="1"/>
  <c r="U884" i="8" a="1"/>
  <c r="U884" i="8" s="1"/>
  <c r="U541" i="8" a="1"/>
  <c r="U541" i="8" s="1"/>
  <c r="U616" i="8" a="1"/>
  <c r="U616" i="8" s="1"/>
  <c r="U662" i="8" a="1"/>
  <c r="U662" i="8" s="1"/>
  <c r="U703" i="8" a="1"/>
  <c r="U703" i="8" s="1"/>
  <c r="U840" i="8" a="1"/>
  <c r="U840" i="8" s="1"/>
  <c r="U722" i="8" a="1"/>
  <c r="U722" i="8" s="1"/>
  <c r="U818" i="8" a="1"/>
  <c r="U818" i="8" s="1"/>
  <c r="U516" i="8" a="1"/>
  <c r="U516" i="8" s="1"/>
  <c r="U548" i="8" a="1"/>
  <c r="U548" i="8" s="1"/>
  <c r="U624" i="8" a="1"/>
  <c r="U624" i="8" s="1"/>
  <c r="U673" i="8" a="1"/>
  <c r="U673" i="8" s="1"/>
  <c r="U723" i="8" a="1"/>
  <c r="U723" i="8" s="1"/>
  <c r="U875" i="8" a="1"/>
  <c r="U875" i="8" s="1"/>
  <c r="U733" i="8" a="1"/>
  <c r="U733" i="8" s="1"/>
  <c r="U820" i="8" a="1"/>
  <c r="U820" i="8" s="1"/>
  <c r="U893" i="8" a="1"/>
  <c r="U893" i="8" s="1"/>
  <c r="U161" i="8" a="1"/>
  <c r="U161" i="8" s="1"/>
  <c r="U162" i="8" a="1"/>
  <c r="U162" i="8" s="1"/>
  <c r="U163" i="8" a="1"/>
  <c r="U163" i="8" s="1"/>
  <c r="U509" i="8" a="1"/>
  <c r="U509" i="8" s="1"/>
  <c r="U507" i="8" a="1"/>
  <c r="U507" i="8" s="1"/>
  <c r="U653" i="8" a="1"/>
  <c r="U653" i="8" s="1"/>
  <c r="U508" i="8" a="1"/>
  <c r="U508" i="8" s="1"/>
  <c r="U654" i="8" a="1"/>
  <c r="U654" i="8" s="1"/>
  <c r="U652" i="8" a="1"/>
  <c r="U652" i="8" s="1"/>
  <c r="U227" i="8" a="1"/>
  <c r="U227" i="8" s="1"/>
  <c r="U228" i="8" a="1"/>
  <c r="U228" i="8" s="1"/>
  <c r="U229" i="8" a="1"/>
  <c r="U229" i="8" s="1"/>
  <c r="U230" i="8" a="1"/>
  <c r="U230" i="8" s="1"/>
  <c r="U503" i="8" a="1"/>
  <c r="U503" i="8" s="1"/>
  <c r="U792" i="8" a="1"/>
  <c r="U792" i="8" s="1"/>
  <c r="U501" i="8" a="1"/>
  <c r="U501" i="8" s="1"/>
  <c r="U793" i="8" a="1"/>
  <c r="U793" i="8" s="1"/>
  <c r="U502" i="8" a="1"/>
  <c r="U502" i="8" s="1"/>
  <c r="U504" i="8" a="1"/>
  <c r="U504" i="8" s="1"/>
  <c r="U794" i="8" a="1"/>
  <c r="U794" i="8" s="1"/>
  <c r="U505" i="8" a="1"/>
  <c r="U505" i="8" s="1"/>
  <c r="U795" i="8" a="1"/>
  <c r="U795" i="8" s="1"/>
  <c r="U789" i="8" a="1"/>
  <c r="U789" i="8" s="1"/>
  <c r="U790" i="8" a="1"/>
  <c r="U790" i="8" s="1"/>
  <c r="U506" i="8" a="1"/>
  <c r="U506" i="8" s="1"/>
  <c r="U791" i="8" a="1"/>
  <c r="U791" i="8" s="1"/>
  <c r="U428" i="8" a="1"/>
  <c r="U428" i="8" s="1"/>
  <c r="U429" i="8" a="1"/>
  <c r="U429" i="8" s="1"/>
  <c r="U430" i="8" a="1"/>
  <c r="U430" i="8" s="1"/>
  <c r="U296" i="8" a="1"/>
  <c r="U296" i="8" s="1"/>
  <c r="U796" i="8" a="1"/>
  <c r="U796" i="8" s="1"/>
  <c r="U297" i="8" a="1"/>
  <c r="U297" i="8" s="1"/>
  <c r="U298" i="8" a="1"/>
  <c r="U298" i="8" s="1"/>
  <c r="U798" i="8" a="1"/>
  <c r="U798" i="8" s="1"/>
  <c r="U797" i="8" a="1"/>
  <c r="U797" i="8" s="1"/>
  <c r="U2" i="8" a="1"/>
  <c r="U2" i="8" s="1"/>
  <c r="U725" i="8" a="1"/>
  <c r="U725" i="8" s="1"/>
  <c r="U726" i="8" a="1"/>
  <c r="U726" i="8" s="1"/>
  <c r="U724" i="8" a="1"/>
  <c r="U724" i="8" s="1"/>
  <c r="U510" i="8" a="1"/>
  <c r="U510" i="8" s="1"/>
  <c r="U656" i="8" a="1"/>
  <c r="U656" i="8" s="1"/>
  <c r="U869" i="8" a="1"/>
  <c r="U869" i="8" s="1"/>
  <c r="U580" i="8" a="1"/>
  <c r="U580" i="8" s="1"/>
  <c r="U431" i="8" a="1"/>
  <c r="U431" i="8" s="1"/>
  <c r="U655" i="8" a="1"/>
  <c r="U655" i="8" s="1"/>
  <c r="U868" i="8" a="1"/>
  <c r="U868" i="8" s="1"/>
  <c r="U579" i="8" a="1"/>
  <c r="U579" i="8" s="1"/>
  <c r="U799" i="8" a="1"/>
  <c r="U799" i="8" s="1"/>
  <c r="U727" i="8" a="1"/>
  <c r="U727" i="8" s="1"/>
  <c r="U330" i="8" a="1"/>
  <c r="U330" i="8" s="1"/>
  <c r="U371" i="8" a="1"/>
  <c r="U371" i="8" s="1"/>
  <c r="U468" i="8" a="1"/>
  <c r="U468" i="8" s="1"/>
  <c r="U338" i="8" a="1"/>
  <c r="U338" i="8" s="1"/>
  <c r="U395" i="8" a="1"/>
  <c r="U395" i="8" s="1"/>
  <c r="U364" i="8" a="1"/>
  <c r="U364" i="8" s="1"/>
  <c r="U380" i="8" a="1"/>
  <c r="U380" i="8" s="1"/>
  <c r="U403" i="8" a="1"/>
  <c r="U403" i="8" s="1"/>
  <c r="U698" i="8" a="1"/>
  <c r="U698" i="8" s="1"/>
  <c r="U440" i="8" a="1"/>
  <c r="U440" i="8" s="1"/>
  <c r="U464" i="8" a="1"/>
  <c r="U464" i="8" s="1"/>
  <c r="U399" i="8" a="1"/>
  <c r="U399" i="8" s="1"/>
  <c r="U449" i="8" a="1"/>
  <c r="U449" i="8" s="1"/>
  <c r="U334" i="8" a="1"/>
  <c r="U334" i="8" s="1"/>
  <c r="U617" i="8" a="1"/>
  <c r="U617" i="8" s="1"/>
  <c r="U665" i="8" a="1"/>
  <c r="U665" i="8" s="1"/>
  <c r="U832" i="8" a="1"/>
  <c r="U832" i="8" s="1"/>
  <c r="U878" i="8" a="1"/>
  <c r="U878" i="8" s="1"/>
  <c r="U473" i="8" a="1"/>
  <c r="U473" i="8" s="1"/>
  <c r="U478" i="8" a="1"/>
  <c r="U478" i="8" s="1"/>
  <c r="U519" i="8" a="1"/>
  <c r="U519" i="8" s="1"/>
  <c r="U543" i="8" a="1"/>
  <c r="U543" i="8" s="1"/>
  <c r="U589" i="8" a="1"/>
  <c r="U589" i="8" s="1"/>
  <c r="U627" i="8" a="1"/>
  <c r="U627" i="8" s="1"/>
  <c r="U887" i="8" a="1"/>
  <c r="U887" i="8" s="1"/>
  <c r="U674" i="8" a="1"/>
  <c r="U674" i="8" s="1"/>
  <c r="U598" i="8" a="1"/>
  <c r="U598" i="8" s="1"/>
  <c r="U736" i="8" a="1"/>
  <c r="U736" i="8" s="1"/>
  <c r="U906" i="8" a="1"/>
  <c r="U906" i="8" s="1"/>
  <c r="U528" i="8" a="1"/>
  <c r="U528" i="8" s="1"/>
  <c r="U689" i="8" a="1"/>
  <c r="U689" i="8" s="1"/>
  <c r="U622" i="8" a="1"/>
  <c r="U622" i="8" s="1"/>
  <c r="U817" i="8" a="1"/>
  <c r="U817" i="8" s="1"/>
  <c r="U902" i="8" a="1"/>
  <c r="U902" i="8" s="1"/>
  <c r="U613" i="8" a="1"/>
  <c r="U613" i="8" s="1"/>
  <c r="U808" i="8" a="1"/>
  <c r="U808" i="8" s="1"/>
  <c r="U693" i="8" a="1"/>
  <c r="U693" i="8" s="1"/>
  <c r="U530" i="8" a="1"/>
  <c r="U530" i="8" s="1"/>
  <c r="U59" i="8" a="1"/>
  <c r="U59" i="8" s="1"/>
  <c r="U214" i="8" a="1"/>
  <c r="U214" i="8" s="1"/>
  <c r="U277" i="8" a="1"/>
  <c r="U277" i="8" s="1"/>
  <c r="U314" i="8" a="1"/>
  <c r="U314" i="8" s="1"/>
  <c r="U460" i="8" a="1"/>
  <c r="U460" i="8" s="1"/>
  <c r="U120" i="8" a="1"/>
  <c r="U120" i="8" s="1"/>
  <c r="U645" i="8" a="1"/>
  <c r="U645" i="8" s="1"/>
  <c r="U68" i="8" a="1"/>
  <c r="U68" i="8" s="1"/>
  <c r="U111" i="8" a="1"/>
  <c r="U111" i="8" s="1"/>
  <c r="U188" i="8" a="1"/>
  <c r="U188" i="8" s="1"/>
  <c r="U258" i="8" a="1"/>
  <c r="U258" i="8" s="1"/>
  <c r="U309" i="8" a="1"/>
  <c r="U309" i="8" s="1"/>
  <c r="U123" i="8" a="1"/>
  <c r="U123" i="8" s="1"/>
  <c r="U179" i="8" a="1"/>
  <c r="U179" i="8" s="1"/>
  <c r="U876" i="8" a="1"/>
  <c r="U876" i="8" s="1"/>
  <c r="U170" i="8" a="1"/>
  <c r="U170" i="8" s="1"/>
  <c r="U216" i="8" a="1"/>
  <c r="U216" i="8" s="1"/>
  <c r="U226" i="8" a="1"/>
  <c r="U226" i="8" s="1"/>
  <c r="U249" i="8" a="1"/>
  <c r="U249" i="8" s="1"/>
  <c r="U323" i="8" a="1"/>
  <c r="U323" i="8" s="1"/>
  <c r="U438" i="8" a="1"/>
  <c r="U438" i="8" s="1"/>
  <c r="U447" i="8" a="1"/>
  <c r="U447" i="8" s="1"/>
  <c r="U183" i="8" a="1"/>
  <c r="U183" i="8" s="1"/>
  <c r="U493" i="8" a="1"/>
  <c r="U493" i="8" s="1"/>
  <c r="U824" i="8" a="1"/>
  <c r="U824" i="8" s="1"/>
  <c r="U894" i="8" a="1"/>
  <c r="U894" i="8" s="1"/>
  <c r="U54" i="8" a="1"/>
  <c r="U54" i="8" s="1"/>
  <c r="U143" i="8" a="1"/>
  <c r="U143" i="8" s="1"/>
  <c r="U154" i="8" a="1"/>
  <c r="U154" i="8" s="1"/>
  <c r="U191" i="8" a="1"/>
  <c r="U191" i="8" s="1"/>
  <c r="U208" i="8" a="1"/>
  <c r="U208" i="8" s="1"/>
  <c r="U244" i="8" a="1"/>
  <c r="U244" i="8" s="1"/>
  <c r="U138" i="8" a="1"/>
  <c r="U138" i="8" s="1"/>
  <c r="U240" i="8" a="1"/>
  <c r="U240" i="8" s="1"/>
  <c r="U451" i="8" a="1"/>
  <c r="U451" i="8" s="1"/>
  <c r="U663" i="8" a="1"/>
  <c r="U663" i="8" s="1"/>
  <c r="U63" i="8" a="1"/>
  <c r="U63" i="8" s="1"/>
  <c r="U102" i="8" a="1"/>
  <c r="U102" i="8" s="1"/>
  <c r="U305" i="8" a="1"/>
  <c r="U305" i="8" s="1"/>
  <c r="U456" i="8" a="1"/>
  <c r="U456" i="8" s="1"/>
  <c r="U84" i="8" a="1"/>
  <c r="U84" i="8" s="1"/>
  <c r="U565" i="8" a="1"/>
  <c r="U565" i="8" s="1"/>
  <c r="U72" i="8" a="1"/>
  <c r="U72" i="8" s="1"/>
  <c r="U80" i="8" a="1"/>
  <c r="U80" i="8" s="1"/>
  <c r="U115" i="8" a="1"/>
  <c r="U115" i="8" s="1"/>
  <c r="U156" i="8" a="1"/>
  <c r="U156" i="8" s="1"/>
  <c r="U174" i="8" a="1"/>
  <c r="U174" i="8" s="1"/>
  <c r="U221" i="8" a="1"/>
  <c r="U221" i="8" s="1"/>
  <c r="U253" i="8" a="1"/>
  <c r="U253" i="8" s="1"/>
  <c r="U261" i="8" a="1"/>
  <c r="U261" i="8" s="1"/>
  <c r="U282" i="8" a="1"/>
  <c r="U282" i="8" s="1"/>
  <c r="U318" i="8" a="1"/>
  <c r="U318" i="8" s="1"/>
  <c r="U148" i="8" a="1"/>
  <c r="U148" i="8" s="1"/>
  <c r="U712" i="8" a="1"/>
  <c r="U712" i="8" s="1"/>
  <c r="U204" i="8" a="1"/>
  <c r="U204" i="8" s="1"/>
  <c r="U526" i="8" a="1"/>
  <c r="U526" i="8" s="1"/>
  <c r="U535" i="8" a="1"/>
  <c r="U535" i="8" s="1"/>
  <c r="U558" i="8" a="1"/>
  <c r="U558" i="8" s="1"/>
  <c r="U570" i="8" a="1"/>
  <c r="U570" i="8" s="1"/>
  <c r="U587" i="8" a="1"/>
  <c r="U587" i="8" s="1"/>
  <c r="U596" i="8" a="1"/>
  <c r="U596" i="8" s="1"/>
  <c r="U685" i="8" a="1"/>
  <c r="U685" i="8" s="1"/>
  <c r="U714" i="8" a="1"/>
  <c r="U714" i="8" s="1"/>
  <c r="U898" i="8" a="1"/>
  <c r="U898" i="8" s="1"/>
  <c r="U672" i="8" a="1"/>
  <c r="U672" i="8" s="1"/>
  <c r="U568" i="8" a="1"/>
  <c r="U568" i="8" s="1"/>
  <c r="U676" i="8" a="1"/>
  <c r="U676" i="8" s="1"/>
  <c r="U842" i="8" a="1"/>
  <c r="U842" i="8" s="1"/>
  <c r="U859" i="8" a="1"/>
  <c r="U859" i="8" s="1"/>
  <c r="U637" i="8" a="1"/>
  <c r="U637" i="8" s="1"/>
  <c r="U539" i="8" a="1"/>
  <c r="U539" i="8" s="1"/>
  <c r="U575" i="8" a="1"/>
  <c r="U575" i="8" s="1"/>
  <c r="U847" i="8" a="1"/>
  <c r="U847" i="8" s="1"/>
  <c r="U106" i="8" a="1"/>
  <c r="U106" i="8" s="1"/>
  <c r="U495" i="8" a="1"/>
  <c r="U495" i="8" s="1"/>
  <c r="U702" i="8" a="1"/>
  <c r="U702" i="8" s="1"/>
  <c r="U625" i="8" a="1"/>
  <c r="U625" i="8" s="1"/>
  <c r="U810" i="8" a="1"/>
  <c r="U810" i="8" s="1"/>
  <c r="U885" i="8" a="1"/>
  <c r="U885" i="8" s="1"/>
  <c r="U481" i="8" a="1"/>
  <c r="U481" i="8" s="1"/>
  <c r="U150" i="8" a="1"/>
  <c r="U150" i="8" s="1"/>
  <c r="U609" i="8" a="1"/>
  <c r="U609" i="8" s="1"/>
  <c r="U667" i="8" a="1"/>
  <c r="U667" i="8" s="1"/>
  <c r="U880" i="8" a="1"/>
  <c r="U880" i="8" s="1"/>
  <c r="U815" i="8" a="1"/>
  <c r="U815" i="8" s="1"/>
  <c r="U853" i="8" a="1"/>
  <c r="U853" i="8" s="1"/>
  <c r="U889" i="8" a="1"/>
  <c r="U889" i="8" s="1"/>
  <c r="U219" i="8" a="1"/>
  <c r="U219" i="8" s="1"/>
  <c r="U500" i="8" a="1"/>
  <c r="U500" i="8" s="1"/>
  <c r="U488" i="8" a="1"/>
  <c r="U488" i="8" s="1"/>
  <c r="U521" i="8" a="1"/>
  <c r="U521" i="8" s="1"/>
  <c r="U591" i="8" a="1"/>
  <c r="U591" i="8" s="1"/>
  <c r="U600" i="8" a="1"/>
  <c r="U600" i="8" s="1"/>
  <c r="U639" i="8" a="1"/>
  <c r="U639" i="8" s="1"/>
  <c r="U707" i="8" a="1"/>
  <c r="U707" i="8" s="1"/>
  <c r="U806" i="8" a="1"/>
  <c r="U806" i="8" s="1"/>
  <c r="U490" i="8" a="1"/>
  <c r="U490" i="8" s="1"/>
  <c r="U554" i="8" a="1"/>
  <c r="U554" i="8" s="1"/>
  <c r="U563" i="8" a="1"/>
  <c r="U563" i="8" s="1"/>
  <c r="U630" i="8" a="1"/>
  <c r="U630" i="8" s="1"/>
  <c r="U651" i="8" a="1"/>
  <c r="U651" i="8" s="1"/>
  <c r="U681" i="8" a="1"/>
  <c r="U681" i="8" s="1"/>
  <c r="U828" i="8" a="1"/>
  <c r="U828" i="8" s="1"/>
  <c r="U855" i="8" a="1"/>
  <c r="U855" i="8" s="1"/>
  <c r="U864" i="8" a="1"/>
  <c r="U864" i="8" s="1"/>
  <c r="U326" i="8" a="1"/>
  <c r="U326" i="8" s="1"/>
  <c r="U476" i="8" a="1"/>
  <c r="U476" i="8" s="1"/>
  <c r="U819" i="8" a="1"/>
  <c r="U819" i="8" s="1"/>
  <c r="U442" i="8" a="1"/>
  <c r="U442" i="8" s="1"/>
  <c r="U517" i="8" a="1"/>
  <c r="U517" i="8" s="1"/>
  <c r="U605" i="8" a="1"/>
  <c r="U605" i="8" s="1"/>
  <c r="U643" i="8" a="1"/>
  <c r="U643" i="8" s="1"/>
  <c r="U857" i="8" a="1"/>
  <c r="U857" i="8" s="1"/>
  <c r="U7" i="8" a="1"/>
  <c r="U7" i="8" s="1"/>
  <c r="U12" i="8" a="1"/>
  <c r="U12" i="8" s="1"/>
  <c r="U3" i="8" a="1"/>
  <c r="U3" i="8" s="1"/>
  <c r="U13" i="8" a="1"/>
  <c r="U13" i="8" s="1"/>
  <c r="U5" i="8" a="1"/>
  <c r="U5" i="8" s="1"/>
  <c r="U14" i="8" a="1"/>
  <c r="U14" i="8" s="1"/>
  <c r="U4" i="8" a="1"/>
  <c r="U4" i="8" s="1"/>
  <c r="U6" i="8" a="1"/>
  <c r="U6" i="8" s="1"/>
  <c r="U8" i="8" a="1"/>
  <c r="U8" i="8" s="1"/>
  <c r="U18" i="8" a="1"/>
  <c r="U18" i="8" s="1"/>
  <c r="U9" i="8" a="1"/>
  <c r="U9" i="8" s="1"/>
  <c r="U19" i="8" a="1"/>
  <c r="U19" i="8" s="1"/>
  <c r="U17" i="8" a="1"/>
  <c r="U17" i="8" s="1"/>
  <c r="U10" i="8" a="1"/>
  <c r="U10" i="8" s="1"/>
  <c r="U21" i="8" a="1"/>
  <c r="U21" i="8" s="1"/>
  <c r="U20" i="8" a="1"/>
  <c r="U20" i="8" s="1"/>
  <c r="U11" i="8" a="1"/>
  <c r="U11" i="8" s="1"/>
  <c r="U22" i="8" a="1"/>
  <c r="U22" i="8" s="1"/>
  <c r="U353" i="8" a="1"/>
  <c r="U353" i="8" s="1"/>
  <c r="U340" i="8" a="1"/>
  <c r="U340" i="8" s="1"/>
  <c r="U355" i="8" a="1"/>
  <c r="U355" i="8" s="1"/>
  <c r="U341" i="8" a="1"/>
  <c r="U341" i="8" s="1"/>
  <c r="U347" i="8" a="1"/>
  <c r="U347" i="8" s="1"/>
  <c r="U349" i="8" a="1"/>
  <c r="U349" i="8" s="1"/>
  <c r="U734" i="8" a="1"/>
  <c r="U734" i="8" s="1"/>
  <c r="U755" i="8" a="1"/>
  <c r="U755" i="8" s="1"/>
  <c r="U774" i="8" a="1"/>
  <c r="U774" i="8" s="1"/>
  <c r="U746" i="8" a="1"/>
  <c r="U746" i="8" s="1"/>
  <c r="U738" i="8" a="1"/>
  <c r="U738" i="8" s="1"/>
  <c r="U751" i="8" a="1"/>
  <c r="U751" i="8" s="1"/>
  <c r="U743" i="8" a="1"/>
  <c r="U743" i="8" s="1"/>
  <c r="U772" i="8" a="1"/>
  <c r="U772" i="8" s="1"/>
  <c r="U61" i="8" a="1"/>
  <c r="U61" i="8" s="1"/>
  <c r="U70" i="8" a="1"/>
  <c r="U70" i="8" s="1"/>
  <c r="U378" i="8" a="1"/>
  <c r="U378" i="8" s="1"/>
  <c r="U387" i="8" a="1"/>
  <c r="U387" i="8" s="1"/>
  <c r="U416" i="8" a="1"/>
  <c r="U416" i="8" s="1"/>
  <c r="U423" i="8" a="1"/>
  <c r="U423" i="8" s="1"/>
  <c r="U409" i="8" a="1"/>
  <c r="U409" i="8" s="1"/>
  <c r="U418" i="8" a="1"/>
  <c r="U418" i="8" s="1"/>
  <c r="U373" i="8" a="1"/>
  <c r="U373" i="8" s="1"/>
  <c r="U411" i="8" a="1"/>
  <c r="U411" i="8" s="1"/>
  <c r="U382" i="8" a="1"/>
  <c r="U382" i="8" s="1"/>
  <c r="U391" i="8" a="1"/>
  <c r="U391" i="8" s="1"/>
  <c r="U427" i="8" a="1"/>
  <c r="U427" i="8" s="1"/>
  <c r="U421" i="8" a="1"/>
  <c r="U421" i="8" s="1"/>
  <c r="U369" i="8" a="1"/>
  <c r="U369" i="8" s="1"/>
  <c r="U266" i="8" a="1"/>
  <c r="U266" i="8" s="1"/>
  <c r="U267" i="8" a="1"/>
  <c r="U267" i="8" s="1"/>
  <c r="U128" i="8" a="1"/>
  <c r="U128" i="8" s="1"/>
  <c r="U196" i="8" a="1"/>
  <c r="U196" i="8" s="1"/>
  <c r="U159" i="8" a="1"/>
  <c r="U159" i="8" s="1"/>
  <c r="U220" i="8" a="1"/>
  <c r="U220" i="8" s="1"/>
  <c r="U268" i="8" a="1"/>
  <c r="U268" i="8" s="1"/>
  <c r="U97" i="8" a="1"/>
  <c r="U97" i="8" s="1"/>
  <c r="U107" i="8" a="1"/>
  <c r="U107" i="8" s="1"/>
  <c r="U121" i="8" a="1"/>
  <c r="U121" i="8" s="1"/>
  <c r="U130" i="8" a="1"/>
  <c r="U130" i="8" s="1"/>
  <c r="U151" i="8" a="1"/>
  <c r="U151" i="8" s="1"/>
  <c r="U160" i="8" a="1"/>
  <c r="U160" i="8" s="1"/>
  <c r="U187" i="8" a="1"/>
  <c r="U187" i="8" s="1"/>
  <c r="U197" i="8" a="1"/>
  <c r="U197" i="8" s="1"/>
  <c r="U205" i="8" a="1"/>
  <c r="U205" i="8" s="1"/>
  <c r="U224" i="8" a="1"/>
  <c r="U224" i="8" s="1"/>
  <c r="U234" i="8" a="1"/>
  <c r="U234" i="8" s="1"/>
  <c r="U241" i="8" a="1"/>
  <c r="U241" i="8" s="1"/>
  <c r="U248" i="8" a="1"/>
  <c r="U248" i="8" s="1"/>
  <c r="U257" i="8" a="1"/>
  <c r="U257" i="8" s="1"/>
  <c r="U286" i="8" a="1"/>
  <c r="U286" i="8" s="1"/>
  <c r="U293" i="8" a="1"/>
  <c r="U293" i="8" s="1"/>
  <c r="U308" i="8" a="1"/>
  <c r="U308" i="8" s="1"/>
  <c r="U322" i="8" a="1"/>
  <c r="U322" i="8" s="1"/>
  <c r="U172" i="8" a="1"/>
  <c r="U172" i="8" s="1"/>
  <c r="U280" i="8" a="1"/>
  <c r="U280" i="8" s="1"/>
  <c r="U98" i="8" a="1"/>
  <c r="U98" i="8" s="1"/>
  <c r="U122" i="8" a="1"/>
  <c r="U122" i="8" s="1"/>
  <c r="U141" i="8" a="1"/>
  <c r="U141" i="8" s="1"/>
  <c r="U152" i="8" a="1"/>
  <c r="U152" i="8" s="1"/>
  <c r="U169" i="8" a="1"/>
  <c r="U169" i="8" s="1"/>
  <c r="U178" i="8" a="1"/>
  <c r="U178" i="8" s="1"/>
  <c r="U198" i="8" a="1"/>
  <c r="U198" i="8" s="1"/>
  <c r="U206" i="8" a="1"/>
  <c r="U206" i="8" s="1"/>
  <c r="U215" i="8" a="1"/>
  <c r="U215" i="8" s="1"/>
  <c r="U225" i="8" a="1"/>
  <c r="U225" i="8" s="1"/>
  <c r="U242" i="8" a="1"/>
  <c r="U242" i="8" s="1"/>
  <c r="U264" i="8" a="1"/>
  <c r="U264" i="8" s="1"/>
  <c r="U278" i="8" a="1"/>
  <c r="U278" i="8" s="1"/>
  <c r="U294" i="8" a="1"/>
  <c r="U294" i="8" s="1"/>
  <c r="U315" i="8" a="1"/>
  <c r="U315" i="8" s="1"/>
  <c r="U112" i="8" a="1"/>
  <c r="U112" i="8" s="1"/>
  <c r="U124" i="8" a="1"/>
  <c r="U124" i="8" s="1"/>
  <c r="U142" i="8" a="1"/>
  <c r="U142" i="8" s="1"/>
  <c r="U180" i="8" a="1"/>
  <c r="U180" i="8" s="1"/>
  <c r="U189" i="8" a="1"/>
  <c r="U189" i="8" s="1"/>
  <c r="U207" i="8" a="1"/>
  <c r="U207" i="8" s="1"/>
  <c r="U235" i="8" a="1"/>
  <c r="U235" i="8" s="1"/>
  <c r="U243" i="8" a="1"/>
  <c r="U243" i="8" s="1"/>
  <c r="U259" i="8" a="1"/>
  <c r="U259" i="8" s="1"/>
  <c r="U265" i="8" a="1"/>
  <c r="U265" i="8" s="1"/>
  <c r="U287" i="8" a="1"/>
  <c r="U287" i="8" s="1"/>
  <c r="U295" i="8" a="1"/>
  <c r="U295" i="8" s="1"/>
  <c r="U316" i="8" a="1"/>
  <c r="U316" i="8" s="1"/>
  <c r="U104" i="8" a="1"/>
  <c r="U104" i="8" s="1"/>
  <c r="U137" i="8" a="1"/>
  <c r="U137" i="8" s="1"/>
  <c r="U291" i="8" a="1"/>
  <c r="U291" i="8" s="1"/>
  <c r="U101" i="8" a="1"/>
  <c r="U101" i="8" s="1"/>
  <c r="U113" i="8" a="1"/>
  <c r="U113" i="8" s="1"/>
  <c r="U125" i="8" a="1"/>
  <c r="U125" i="8" s="1"/>
  <c r="U171" i="8" a="1"/>
  <c r="U171" i="8" s="1"/>
  <c r="U181" i="8" a="1"/>
  <c r="U181" i="8" s="1"/>
  <c r="U217" i="8" a="1"/>
  <c r="U217" i="8" s="1"/>
  <c r="U251" i="8" a="1"/>
  <c r="U251" i="8" s="1"/>
  <c r="U273" i="8" a="1"/>
  <c r="U273" i="8" s="1"/>
  <c r="U281" i="8" a="1"/>
  <c r="U281" i="8" s="1"/>
  <c r="U288" i="8" a="1"/>
  <c r="U288" i="8" s="1"/>
  <c r="U304" i="8" a="1"/>
  <c r="U304" i="8" s="1"/>
  <c r="U310" i="8" a="1"/>
  <c r="U310" i="8" s="1"/>
  <c r="U317" i="8" a="1"/>
  <c r="U317" i="8" s="1"/>
  <c r="U324" i="8" a="1"/>
  <c r="U324" i="8" s="1"/>
  <c r="U190" i="8" a="1"/>
  <c r="U190" i="8" s="1"/>
  <c r="U299" i="8" a="1"/>
  <c r="U299" i="8" s="1"/>
  <c r="U114" i="8" a="1"/>
  <c r="U114" i="8" s="1"/>
  <c r="U126" i="8" a="1"/>
  <c r="U126" i="8" s="1"/>
  <c r="U134" i="8" a="1"/>
  <c r="U134" i="8" s="1"/>
  <c r="U144" i="8" a="1"/>
  <c r="U144" i="8" s="1"/>
  <c r="U155" i="8" a="1"/>
  <c r="U155" i="8" s="1"/>
  <c r="U164" i="8" a="1"/>
  <c r="U164" i="8" s="1"/>
  <c r="U173" i="8" a="1"/>
  <c r="U173" i="8" s="1"/>
  <c r="U182" i="8" a="1"/>
  <c r="U182" i="8" s="1"/>
  <c r="U192" i="8" a="1"/>
  <c r="U192" i="8" s="1"/>
  <c r="U209" i="8" a="1"/>
  <c r="U209" i="8" s="1"/>
  <c r="U218" i="8" a="1"/>
  <c r="U218" i="8" s="1"/>
  <c r="U236" i="8" a="1"/>
  <c r="U236" i="8" s="1"/>
  <c r="U252" i="8" a="1"/>
  <c r="U252" i="8" s="1"/>
  <c r="U260" i="8" a="1"/>
  <c r="U260" i="8" s="1"/>
  <c r="U289" i="8" a="1"/>
  <c r="U289" i="8" s="1"/>
  <c r="U325" i="8" a="1"/>
  <c r="U325" i="8" s="1"/>
  <c r="U195" i="8" a="1"/>
  <c r="U195" i="8" s="1"/>
  <c r="U250" i="8" a="1"/>
  <c r="U250" i="8" s="1"/>
  <c r="U300" i="8" a="1"/>
  <c r="U300" i="8" s="1"/>
  <c r="U103" i="8" a="1"/>
  <c r="U103" i="8" s="1"/>
  <c r="U127" i="8" a="1"/>
  <c r="U127" i="8" s="1"/>
  <c r="U165" i="8" a="1"/>
  <c r="U165" i="8" s="1"/>
  <c r="U184" i="8" a="1"/>
  <c r="U184" i="8" s="1"/>
  <c r="U193" i="8" a="1"/>
  <c r="U193" i="8" s="1"/>
  <c r="U202" i="8" a="1"/>
  <c r="U202" i="8" s="1"/>
  <c r="U245" i="8" a="1"/>
  <c r="U245" i="8" s="1"/>
  <c r="U275" i="8" a="1"/>
  <c r="U275" i="8" s="1"/>
  <c r="U327" i="8" a="1"/>
  <c r="U327" i="8" s="1"/>
  <c r="U110" i="8" a="1"/>
  <c r="U110" i="8" s="1"/>
  <c r="U210" i="8" a="1"/>
  <c r="U210" i="8" s="1"/>
  <c r="U254" i="8" a="1"/>
  <c r="U254" i="8" s="1"/>
  <c r="U105" i="8" a="1"/>
  <c r="U105" i="8" s="1"/>
  <c r="U136" i="8" a="1"/>
  <c r="U136" i="8" s="1"/>
  <c r="U147" i="8" a="1"/>
  <c r="U147" i="8" s="1"/>
  <c r="U157" i="8" a="1"/>
  <c r="U157" i="8" s="1"/>
  <c r="U166" i="8" a="1"/>
  <c r="U166" i="8" s="1"/>
  <c r="U175" i="8" a="1"/>
  <c r="U175" i="8" s="1"/>
  <c r="U194" i="8" a="1"/>
  <c r="U194" i="8" s="1"/>
  <c r="U203" i="8" a="1"/>
  <c r="U203" i="8" s="1"/>
  <c r="U222" i="8" a="1"/>
  <c r="U222" i="8" s="1"/>
  <c r="U239" i="8" a="1"/>
  <c r="U239" i="8" s="1"/>
  <c r="U262" i="8" a="1"/>
  <c r="U262" i="8" s="1"/>
  <c r="U269" i="8" a="1"/>
  <c r="U269" i="8" s="1"/>
  <c r="U276" i="8" a="1"/>
  <c r="U276" i="8" s="1"/>
  <c r="U283" i="8" a="1"/>
  <c r="U283" i="8" s="1"/>
  <c r="U306" i="8" a="1"/>
  <c r="U306" i="8" s="1"/>
  <c r="U313" i="8" a="1"/>
  <c r="U313" i="8" s="1"/>
  <c r="U319" i="8" a="1"/>
  <c r="U319" i="8" s="1"/>
  <c r="U129" i="8" a="1"/>
  <c r="U129" i="8" s="1"/>
  <c r="U328" i="8" a="1"/>
  <c r="U328" i="8" s="1"/>
  <c r="U96" i="8" a="1"/>
  <c r="U96" i="8" s="1"/>
  <c r="U307" i="8" a="1"/>
  <c r="U307" i="8" s="1"/>
  <c r="U139" i="8" a="1"/>
  <c r="U139" i="8" s="1"/>
  <c r="U213" i="8" a="1"/>
  <c r="U213" i="8" s="1"/>
  <c r="U223" i="8" a="1"/>
  <c r="U223" i="8" s="1"/>
  <c r="U116" i="8" a="1"/>
  <c r="U116" i="8" s="1"/>
  <c r="U158" i="8" a="1"/>
  <c r="U158" i="8" s="1"/>
  <c r="U292" i="8" a="1"/>
  <c r="U292" i="8" s="1"/>
  <c r="U149" i="8" a="1"/>
  <c r="U149" i="8" s="1"/>
  <c r="U301" i="8" a="1"/>
  <c r="U301" i="8" s="1"/>
  <c r="U263" i="8" a="1"/>
  <c r="U263" i="8" s="1"/>
  <c r="U119" i="8" a="1"/>
  <c r="U119" i="8" s="1"/>
  <c r="U42" i="8" a="1"/>
  <c r="U42" i="8" s="1"/>
  <c r="U43" i="8" a="1"/>
  <c r="U43" i="8" s="1"/>
  <c r="U44" i="8" a="1"/>
  <c r="U44" i="8" s="1"/>
  <c r="U29" i="8" a="1"/>
  <c r="U29" i="8" s="1"/>
  <c r="U93" i="8" a="1"/>
  <c r="U93" i="8" s="1"/>
  <c r="U23" i="8" a="1"/>
  <c r="U23" i="8" s="1"/>
  <c r="U41" i="8" a="1"/>
  <c r="U41" i="8" s="1"/>
  <c r="U67" i="8" a="1"/>
  <c r="U67" i="8" s="1"/>
  <c r="U75" i="8" a="1"/>
  <c r="U75" i="8" s="1"/>
  <c r="U86" i="8" a="1"/>
  <c r="U86" i="8" s="1"/>
  <c r="U32" i="8" a="1"/>
  <c r="U32" i="8" s="1"/>
  <c r="U95" i="8" a="1"/>
  <c r="U95" i="8" s="1"/>
  <c r="U24" i="8" a="1"/>
  <c r="U24" i="8" s="1"/>
  <c r="U60" i="8" a="1"/>
  <c r="U60" i="8" s="1"/>
  <c r="U76" i="8" a="1"/>
  <c r="U76" i="8" s="1"/>
  <c r="U52" i="8" a="1"/>
  <c r="U52" i="8" s="1"/>
  <c r="U25" i="8" a="1"/>
  <c r="U25" i="8" s="1"/>
  <c r="U35" i="8" a="1"/>
  <c r="U35" i="8" s="1"/>
  <c r="U51" i="8" a="1"/>
  <c r="U51" i="8" s="1"/>
  <c r="U69" i="8" a="1"/>
  <c r="U69" i="8" s="1"/>
  <c r="U77" i="8" a="1"/>
  <c r="U77" i="8" s="1"/>
  <c r="U89" i="8" a="1"/>
  <c r="U89" i="8" s="1"/>
  <c r="U53" i="8" a="1"/>
  <c r="U53" i="8" s="1"/>
  <c r="U26" i="8" a="1"/>
  <c r="U26" i="8" s="1"/>
  <c r="U36" i="8" a="1"/>
  <c r="U36" i="8" s="1"/>
  <c r="U62" i="8" a="1"/>
  <c r="U62" i="8" s="1"/>
  <c r="U78" i="8" a="1"/>
  <c r="U78" i="8" s="1"/>
  <c r="U90" i="8" a="1"/>
  <c r="U90" i="8" s="1"/>
  <c r="U83" i="8" a="1"/>
  <c r="U83" i="8" s="1"/>
  <c r="U27" i="8" a="1"/>
  <c r="U27" i="8" s="1"/>
  <c r="U37" i="8" a="1"/>
  <c r="U37" i="8" s="1"/>
  <c r="U55" i="8" a="1"/>
  <c r="U55" i="8" s="1"/>
  <c r="U71" i="8" a="1"/>
  <c r="U71" i="8" s="1"/>
  <c r="U79" i="8" a="1"/>
  <c r="U79" i="8" s="1"/>
  <c r="U91" i="8" a="1"/>
  <c r="U91" i="8" s="1"/>
  <c r="U28" i="8" a="1"/>
  <c r="U28" i="8" s="1"/>
  <c r="U38" i="8" a="1"/>
  <c r="U38" i="8" s="1"/>
  <c r="U46" i="8" a="1"/>
  <c r="U46" i="8" s="1"/>
  <c r="U64" i="8" a="1"/>
  <c r="U64" i="8" s="1"/>
  <c r="U92" i="8" a="1"/>
  <c r="U92" i="8" s="1"/>
  <c r="U85" i="8" a="1"/>
  <c r="U85" i="8" s="1"/>
  <c r="U30" i="8" a="1"/>
  <c r="U30" i="8" s="1"/>
  <c r="U39" i="8" a="1"/>
  <c r="U39" i="8" s="1"/>
  <c r="U47" i="8" a="1"/>
  <c r="U47" i="8" s="1"/>
  <c r="U73" i="8" a="1"/>
  <c r="U73" i="8" s="1"/>
  <c r="U81" i="8" a="1"/>
  <c r="U81" i="8" s="1"/>
  <c r="U94" i="8" a="1"/>
  <c r="U94" i="8" s="1"/>
  <c r="U48" i="8" a="1"/>
  <c r="U48" i="8" s="1"/>
  <c r="U58" i="8" a="1"/>
  <c r="U58" i="8" s="1"/>
  <c r="U74" i="8" a="1"/>
  <c r="U74" i="8" s="1"/>
  <c r="U40" i="8" a="1"/>
  <c r="U40" i="8" s="1"/>
  <c r="U82" i="8" a="1"/>
  <c r="U82" i="8" s="1"/>
  <c r="U31" i="8" a="1"/>
  <c r="U31" i="8" s="1"/>
  <c r="AJ17" i="8"/>
  <c r="AJ4" i="8"/>
  <c r="AJ179" i="8"/>
  <c r="AJ7" i="8"/>
  <c r="AJ170" i="8"/>
  <c r="AH908" i="8"/>
  <c r="AH619" i="8"/>
  <c r="AG603" i="8"/>
  <c r="AH811" i="8"/>
  <c r="AG731" i="8"/>
  <c r="AG659" i="8"/>
  <c r="AG629" i="8"/>
  <c r="AG595" i="8"/>
  <c r="AH667" i="8"/>
  <c r="AH605" i="8"/>
  <c r="AG597" i="8"/>
  <c r="AG693" i="8"/>
  <c r="AH733" i="8"/>
  <c r="AH835" i="8"/>
  <c r="AG644" i="8"/>
  <c r="AH420" i="8"/>
  <c r="AG356" i="8"/>
  <c r="AH588" i="8"/>
  <c r="AG645" i="8"/>
  <c r="AH773" i="8"/>
  <c r="AG831" i="8"/>
  <c r="AH591" i="8"/>
  <c r="AH691" i="8"/>
  <c r="AG621" i="8"/>
  <c r="AH683" i="8"/>
  <c r="AG739" i="8"/>
  <c r="AG613" i="8"/>
  <c r="AH675" i="8"/>
  <c r="AG648" i="8"/>
  <c r="AH643" i="8"/>
  <c r="AG587" i="8"/>
  <c r="AH781" i="8"/>
  <c r="AH635" i="8"/>
  <c r="AG749" i="8"/>
  <c r="AH624" i="8"/>
  <c r="AH640" i="8"/>
  <c r="AG591" i="8"/>
  <c r="AG420" i="8"/>
  <c r="AG827" i="8"/>
  <c r="AH775" i="8"/>
  <c r="AH727" i="8"/>
  <c r="AH669" i="8"/>
  <c r="AH631" i="8"/>
  <c r="AG735" i="8"/>
  <c r="AG687" i="8"/>
  <c r="AG647" i="8"/>
  <c r="AG615" i="8"/>
  <c r="AG589" i="8"/>
  <c r="AH807" i="8"/>
  <c r="AH719" i="8"/>
  <c r="AG783" i="8"/>
  <c r="AG679" i="8"/>
  <c r="AG823" i="8"/>
  <c r="AG536" i="8"/>
  <c r="AH767" i="8"/>
  <c r="AH711" i="8"/>
  <c r="AH655" i="8"/>
  <c r="AG727" i="8"/>
  <c r="AG671" i="8"/>
  <c r="AG607" i="8"/>
  <c r="AH799" i="8"/>
  <c r="AG819" i="8"/>
  <c r="AH340" i="8"/>
  <c r="AG511" i="8"/>
  <c r="AH757" i="8"/>
  <c r="AH695" i="8"/>
  <c r="AH653" i="8"/>
  <c r="AG719" i="8"/>
  <c r="AH858" i="8"/>
  <c r="AG847" i="8"/>
  <c r="AH751" i="8"/>
  <c r="AG767" i="8"/>
  <c r="AG663" i="8"/>
  <c r="AG599" i="8"/>
  <c r="AG839" i="8"/>
  <c r="AH741" i="8"/>
  <c r="AG703" i="8"/>
  <c r="AG661" i="8"/>
  <c r="AG623" i="8"/>
  <c r="AH454" i="8"/>
  <c r="AG342" i="8"/>
  <c r="AH511" i="8"/>
  <c r="AG567" i="8"/>
  <c r="AH743" i="8"/>
  <c r="AH586" i="8"/>
  <c r="AG709" i="8"/>
  <c r="AG646" i="8"/>
  <c r="AG620" i="8"/>
  <c r="AH861" i="8"/>
  <c r="AH814" i="8"/>
  <c r="AG838" i="8"/>
  <c r="AG814" i="8"/>
  <c r="AG668" i="8"/>
  <c r="AG478" i="8"/>
  <c r="AH628" i="8"/>
  <c r="AG612" i="8"/>
  <c r="AH854" i="8"/>
  <c r="AG374" i="8"/>
  <c r="AH686" i="8"/>
  <c r="AG830" i="8"/>
  <c r="AG358" i="8"/>
  <c r="AH759" i="8"/>
  <c r="AH724" i="8"/>
  <c r="AH594" i="8"/>
  <c r="AG725" i="8"/>
  <c r="AG685" i="8"/>
  <c r="AH833" i="8"/>
  <c r="AH797" i="8"/>
  <c r="AH592" i="8"/>
  <c r="AH433" i="8"/>
  <c r="AG525" i="8"/>
  <c r="AH779" i="8"/>
  <c r="AH742" i="8"/>
  <c r="AH684" i="8"/>
  <c r="AH637" i="8"/>
  <c r="AH604" i="8"/>
  <c r="AG688" i="8"/>
  <c r="AG624" i="8"/>
  <c r="AG611" i="8"/>
  <c r="AH853" i="8"/>
  <c r="AH826" i="8"/>
  <c r="AH810" i="8"/>
  <c r="AG864" i="8"/>
  <c r="AG817" i="8"/>
  <c r="AG352" i="8"/>
  <c r="AH583" i="8"/>
  <c r="AG664" i="8"/>
  <c r="AG609" i="8"/>
  <c r="AH850" i="8"/>
  <c r="AH825" i="8"/>
  <c r="AH809" i="8"/>
  <c r="AG857" i="8"/>
  <c r="AH361" i="8"/>
  <c r="AH539" i="8"/>
  <c r="AH740" i="8"/>
  <c r="AH702" i="8"/>
  <c r="AH633" i="8"/>
  <c r="AH616" i="8"/>
  <c r="AH849" i="8"/>
  <c r="AG851" i="8"/>
  <c r="AG833" i="8"/>
  <c r="AH523" i="8"/>
  <c r="AH632" i="8"/>
  <c r="AG662" i="8"/>
  <c r="AH862" i="8"/>
  <c r="AH843" i="8"/>
  <c r="AH822" i="8"/>
  <c r="AH806" i="8"/>
  <c r="AH517" i="8"/>
  <c r="AH673" i="8"/>
  <c r="AH614" i="8"/>
  <c r="AH596" i="8"/>
  <c r="AG700" i="8"/>
  <c r="AG672" i="8"/>
  <c r="AG600" i="8"/>
  <c r="AH841" i="8"/>
  <c r="AH818" i="8"/>
  <c r="AH788" i="8"/>
  <c r="AH630" i="8"/>
  <c r="AH608" i="8"/>
  <c r="AG696" i="8"/>
  <c r="AH579" i="8"/>
  <c r="AH519" i="8"/>
  <c r="AG551" i="8"/>
  <c r="AH776" i="8"/>
  <c r="AH728" i="8"/>
  <c r="AH701" i="8"/>
  <c r="AH670" i="8"/>
  <c r="AG780" i="8"/>
  <c r="AG747" i="8"/>
  <c r="AG712" i="8"/>
  <c r="AG694" i="8"/>
  <c r="AG660" i="8"/>
  <c r="AG622" i="8"/>
  <c r="AH834" i="8"/>
  <c r="AH555" i="8"/>
  <c r="AH515" i="8"/>
  <c r="AG535" i="8"/>
  <c r="AH744" i="8"/>
  <c r="AH697" i="8"/>
  <c r="AG859" i="8"/>
  <c r="AG842" i="8"/>
  <c r="AH547" i="8"/>
  <c r="AH507" i="8"/>
  <c r="AG521" i="8"/>
  <c r="AH677" i="8"/>
  <c r="AG704" i="8"/>
  <c r="AH845" i="8"/>
  <c r="AH815" i="8"/>
  <c r="AH805" i="8"/>
  <c r="AH765" i="8"/>
  <c r="AH527" i="8"/>
  <c r="AG575" i="8"/>
  <c r="AH760" i="8"/>
  <c r="AG680" i="8"/>
  <c r="AH813" i="8"/>
  <c r="AG855" i="8"/>
  <c r="AH840" i="8"/>
  <c r="AG840" i="8"/>
  <c r="AH816" i="8"/>
  <c r="AG816" i="8"/>
  <c r="AH800" i="8"/>
  <c r="AG436" i="8"/>
  <c r="AH565" i="8"/>
  <c r="AG569" i="8"/>
  <c r="AH777" i="8"/>
  <c r="AH763" i="8"/>
  <c r="AH726" i="8"/>
  <c r="AH601" i="8"/>
  <c r="AG782" i="8"/>
  <c r="AG766" i="8"/>
  <c r="AG723" i="8"/>
  <c r="AG692" i="8"/>
  <c r="AG678" i="8"/>
  <c r="AG593" i="8"/>
  <c r="AH804" i="8"/>
  <c r="AG848" i="8"/>
  <c r="AH824" i="8"/>
  <c r="AG824" i="8"/>
  <c r="AH808" i="8"/>
  <c r="AG808" i="8"/>
  <c r="AH279" i="8"/>
  <c r="AG432" i="8"/>
  <c r="AH560" i="8"/>
  <c r="AG568" i="8"/>
  <c r="AH761" i="8"/>
  <c r="AH737" i="8"/>
  <c r="AH707" i="8"/>
  <c r="AH609" i="8"/>
  <c r="AH590" i="8"/>
  <c r="AH798" i="8"/>
  <c r="AG798" i="8"/>
  <c r="AH528" i="8"/>
  <c r="AH745" i="8"/>
  <c r="AH705" i="8"/>
  <c r="AH657" i="8"/>
  <c r="AG846" i="8"/>
  <c r="AH396" i="8"/>
  <c r="AH552" i="8"/>
  <c r="AG584" i="8"/>
  <c r="AG560" i="8"/>
  <c r="AH787" i="8"/>
  <c r="AH774" i="8"/>
  <c r="AH681" i="8"/>
  <c r="AH641" i="8"/>
  <c r="AH617" i="8"/>
  <c r="AG699" i="8"/>
  <c r="AG856" i="8"/>
  <c r="AG860" i="8"/>
  <c r="AG852" i="8"/>
  <c r="AG844" i="8"/>
  <c r="AH828" i="8"/>
  <c r="AH820" i="8"/>
  <c r="AG812" i="8"/>
  <c r="AH812" i="8"/>
  <c r="AG796" i="8"/>
  <c r="AH384" i="8"/>
  <c r="AG372" i="8"/>
  <c r="AG520" i="8"/>
  <c r="AH785" i="8"/>
  <c r="AH758" i="8"/>
  <c r="AH721" i="8"/>
  <c r="AH689" i="8"/>
  <c r="AH654" i="8"/>
  <c r="AH606" i="8"/>
  <c r="AG755" i="8"/>
  <c r="AG710" i="8"/>
  <c r="AG581" i="8"/>
  <c r="AG512" i="8"/>
  <c r="AH769" i="8"/>
  <c r="AH729" i="8"/>
  <c r="AH625" i="8"/>
  <c r="AH544" i="8"/>
  <c r="AG576" i="8"/>
  <c r="AH753" i="8"/>
  <c r="AH713" i="8"/>
  <c r="AH665" i="8"/>
  <c r="AH649" i="8"/>
  <c r="AG771" i="8"/>
  <c r="AH844" i="8"/>
  <c r="AH796" i="8"/>
  <c r="AG828" i="8"/>
  <c r="AG800" i="8"/>
  <c r="AH821" i="8"/>
  <c r="AG863" i="8"/>
  <c r="AH829" i="8"/>
  <c r="AH837" i="8"/>
  <c r="AH56" i="8"/>
  <c r="AH255" i="8"/>
  <c r="AH428" i="8"/>
  <c r="AH348" i="8"/>
  <c r="AG376" i="8"/>
  <c r="AH581" i="8"/>
  <c r="AH557" i="8"/>
  <c r="AH784" i="8"/>
  <c r="AH748" i="8"/>
  <c r="AH720" i="8"/>
  <c r="AG752" i="8"/>
  <c r="AG732" i="8"/>
  <c r="AH423" i="8"/>
  <c r="AH756" i="8"/>
  <c r="AG764" i="8"/>
  <c r="AG708" i="8"/>
  <c r="AG676" i="8"/>
  <c r="AG481" i="8"/>
  <c r="AH533" i="8"/>
  <c r="AH736" i="8"/>
  <c r="AH718" i="8"/>
  <c r="AH652" i="8"/>
  <c r="AG750" i="8"/>
  <c r="AG638" i="8"/>
  <c r="AH417" i="8"/>
  <c r="AG364" i="8"/>
  <c r="AH573" i="8"/>
  <c r="AG533" i="8"/>
  <c r="AH772" i="8"/>
  <c r="AH716" i="8"/>
  <c r="AH473" i="8"/>
  <c r="AH404" i="8"/>
  <c r="AG460" i="8"/>
  <c r="AH549" i="8"/>
  <c r="AH734" i="8"/>
  <c r="AH715" i="8"/>
  <c r="AG636" i="8"/>
  <c r="AH472" i="8"/>
  <c r="AH768" i="8"/>
  <c r="AH238" i="8"/>
  <c r="AH481" i="8"/>
  <c r="AH443" i="8"/>
  <c r="AH422" i="8"/>
  <c r="AH395" i="8"/>
  <c r="AH367" i="8"/>
  <c r="AG444" i="8"/>
  <c r="AG388" i="8"/>
  <c r="AH569" i="8"/>
  <c r="AH521" i="8"/>
  <c r="AH509" i="8"/>
  <c r="AG574" i="8"/>
  <c r="AG559" i="8"/>
  <c r="AG541" i="8"/>
  <c r="AG526" i="8"/>
  <c r="AH440" i="8"/>
  <c r="AH392" i="8"/>
  <c r="AH363" i="8"/>
  <c r="AG384" i="8"/>
  <c r="AG553" i="8"/>
  <c r="AH464" i="8"/>
  <c r="AH416" i="8"/>
  <c r="AH379" i="8"/>
  <c r="AH360" i="8"/>
  <c r="AG424" i="8"/>
  <c r="AG344" i="8"/>
  <c r="AH566" i="8"/>
  <c r="AH518" i="8"/>
  <c r="AG534" i="8"/>
  <c r="AH457" i="8"/>
  <c r="AH408" i="8"/>
  <c r="AH377" i="8"/>
  <c r="AH353" i="8"/>
  <c r="AG472" i="8"/>
  <c r="AG550" i="8"/>
  <c r="AH778" i="8"/>
  <c r="AH770" i="8"/>
  <c r="AH762" i="8"/>
  <c r="AH754" i="8"/>
  <c r="AH746" i="8"/>
  <c r="AH738" i="8"/>
  <c r="AH730" i="8"/>
  <c r="AH722" i="8"/>
  <c r="AH714" i="8"/>
  <c r="AH706" i="8"/>
  <c r="AH698" i="8"/>
  <c r="AH690" i="8"/>
  <c r="AH682" i="8"/>
  <c r="AH674" i="8"/>
  <c r="AH666" i="8"/>
  <c r="AH658" i="8"/>
  <c r="AH650" i="8"/>
  <c r="AH642" i="8"/>
  <c r="AH634" i="8"/>
  <c r="AH626" i="8"/>
  <c r="AH618" i="8"/>
  <c r="AH610" i="8"/>
  <c r="AH602" i="8"/>
  <c r="AH497" i="8"/>
  <c r="AH425" i="8"/>
  <c r="AH352" i="8"/>
  <c r="AG408" i="8"/>
  <c r="AG368" i="8"/>
  <c r="AG577" i="8"/>
  <c r="AG529" i="8"/>
  <c r="AH496" i="8"/>
  <c r="AH449" i="8"/>
  <c r="AH400" i="8"/>
  <c r="AH369" i="8"/>
  <c r="AG456" i="8"/>
  <c r="AG401" i="8"/>
  <c r="AG545" i="8"/>
  <c r="AH488" i="8"/>
  <c r="AH448" i="8"/>
  <c r="AH344" i="8"/>
  <c r="AH318" i="8"/>
  <c r="AH484" i="8"/>
  <c r="AH441" i="8"/>
  <c r="AH407" i="8"/>
  <c r="AH385" i="8"/>
  <c r="AG479" i="8"/>
  <c r="AG457" i="8"/>
  <c r="AG433" i="8"/>
  <c r="AG409" i="8"/>
  <c r="AG351" i="8"/>
  <c r="AH582" i="8"/>
  <c r="AH571" i="8"/>
  <c r="AH537" i="8"/>
  <c r="AH297" i="8"/>
  <c r="AH499" i="8"/>
  <c r="AH480" i="8"/>
  <c r="AH380" i="8"/>
  <c r="AH345" i="8"/>
  <c r="AG476" i="8"/>
  <c r="AH558" i="8"/>
  <c r="AH513" i="8"/>
  <c r="AG510" i="8"/>
  <c r="AG359" i="8"/>
  <c r="AG542" i="8"/>
  <c r="AG532" i="8"/>
  <c r="AH343" i="8"/>
  <c r="AG508" i="8"/>
  <c r="AH492" i="8"/>
  <c r="AH468" i="8"/>
  <c r="AG465" i="8"/>
  <c r="AG393" i="8"/>
  <c r="AH531" i="8"/>
  <c r="AG540" i="8"/>
  <c r="AH67" i="8"/>
  <c r="AG251" i="8"/>
  <c r="AH491" i="8"/>
  <c r="AH427" i="8"/>
  <c r="AH415" i="8"/>
  <c r="AH563" i="8"/>
  <c r="AG564" i="8"/>
  <c r="AG516" i="8"/>
  <c r="AH561" i="8"/>
  <c r="AH578" i="8"/>
  <c r="AG578" i="8"/>
  <c r="AH554" i="8"/>
  <c r="AG554" i="8"/>
  <c r="AH522" i="8"/>
  <c r="AG522" i="8"/>
  <c r="AH406" i="8"/>
  <c r="AG406" i="8"/>
  <c r="AH562" i="8"/>
  <c r="AG562" i="8"/>
  <c r="AH546" i="8"/>
  <c r="AG546" i="8"/>
  <c r="AH538" i="8"/>
  <c r="AG538" i="8"/>
  <c r="AH530" i="8"/>
  <c r="AG530" i="8"/>
  <c r="AH514" i="8"/>
  <c r="AG514" i="8"/>
  <c r="AG112" i="8"/>
  <c r="AH495" i="8"/>
  <c r="AH431" i="8"/>
  <c r="AG438" i="8"/>
  <c r="AG64" i="8"/>
  <c r="AG303" i="8"/>
  <c r="AH462" i="8"/>
  <c r="AH350" i="8"/>
  <c r="AG383" i="8"/>
  <c r="AG572" i="8"/>
  <c r="AH390" i="8"/>
  <c r="AG494" i="8"/>
  <c r="AG470" i="8"/>
  <c r="AG382" i="8"/>
  <c r="AG144" i="8"/>
  <c r="AH459" i="8"/>
  <c r="AH414" i="8"/>
  <c r="AH399" i="8"/>
  <c r="AH371" i="8"/>
  <c r="AH347" i="8"/>
  <c r="AG487" i="8"/>
  <c r="AG447" i="8"/>
  <c r="AG580" i="8"/>
  <c r="AG548" i="8"/>
  <c r="AH104" i="8"/>
  <c r="AH500" i="8"/>
  <c r="AH471" i="8"/>
  <c r="AH412" i="8"/>
  <c r="AH398" i="8"/>
  <c r="AG446" i="8"/>
  <c r="AG524" i="8"/>
  <c r="AH486" i="8"/>
  <c r="AH397" i="8"/>
  <c r="AH195" i="8"/>
  <c r="AG67" i="8"/>
  <c r="AH83" i="8"/>
  <c r="AH489" i="8"/>
  <c r="AH463" i="8"/>
  <c r="AH452" i="8"/>
  <c r="AH435" i="8"/>
  <c r="AH387" i="8"/>
  <c r="AG99" i="8"/>
  <c r="AH461" i="8"/>
  <c r="AH263" i="8"/>
  <c r="AH326" i="8"/>
  <c r="AH469" i="8"/>
  <c r="AH451" i="8"/>
  <c r="AH405" i="8"/>
  <c r="AH341" i="8"/>
  <c r="AG477" i="8"/>
  <c r="AG455" i="8"/>
  <c r="AG445" i="8"/>
  <c r="AG413" i="8"/>
  <c r="AG391" i="8"/>
  <c r="AG381" i="8"/>
  <c r="AG349" i="8"/>
  <c r="AH477" i="8"/>
  <c r="AH413" i="8"/>
  <c r="AH349" i="8"/>
  <c r="AH485" i="8"/>
  <c r="AH467" i="8"/>
  <c r="AH439" i="8"/>
  <c r="AH430" i="8"/>
  <c r="AH421" i="8"/>
  <c r="AH375" i="8"/>
  <c r="AH366" i="8"/>
  <c r="AH357" i="8"/>
  <c r="AG453" i="8"/>
  <c r="AG389" i="8"/>
  <c r="AH97" i="8"/>
  <c r="AG334" i="8"/>
  <c r="AH493" i="8"/>
  <c r="AH475" i="8"/>
  <c r="AH429" i="8"/>
  <c r="AH411" i="8"/>
  <c r="AH365" i="8"/>
  <c r="AG271" i="8"/>
  <c r="AH483" i="8"/>
  <c r="AH437" i="8"/>
  <c r="AH419" i="8"/>
  <c r="AH373" i="8"/>
  <c r="AH355" i="8"/>
  <c r="AH168" i="8"/>
  <c r="AH51" i="8"/>
  <c r="AG59" i="8"/>
  <c r="AH266" i="8"/>
  <c r="AG283" i="8"/>
  <c r="AG310" i="8"/>
  <c r="AH152" i="8"/>
  <c r="AH40" i="8"/>
  <c r="AG43" i="8"/>
  <c r="AH115" i="8"/>
  <c r="AG160" i="8"/>
  <c r="AH256" i="8"/>
  <c r="AG266" i="8"/>
  <c r="AH299" i="8"/>
  <c r="AH239" i="8"/>
  <c r="AG246" i="8"/>
  <c r="AH298" i="8"/>
  <c r="AH498" i="8"/>
  <c r="AH490" i="8"/>
  <c r="AH482" i="8"/>
  <c r="AH474" i="8"/>
  <c r="AH466" i="8"/>
  <c r="AH458" i="8"/>
  <c r="AH450" i="8"/>
  <c r="AH442" i="8"/>
  <c r="AH434" i="8"/>
  <c r="AH426" i="8"/>
  <c r="AH418" i="8"/>
  <c r="AH410" i="8"/>
  <c r="AH402" i="8"/>
  <c r="AH394" i="8"/>
  <c r="AH386" i="8"/>
  <c r="AH378" i="8"/>
  <c r="AH370" i="8"/>
  <c r="AH362" i="8"/>
  <c r="AH354" i="8"/>
  <c r="AH346" i="8"/>
  <c r="AH234" i="8"/>
  <c r="AH128" i="8"/>
  <c r="AG48" i="8"/>
  <c r="AH290" i="8"/>
  <c r="AH242" i="8"/>
  <c r="AG261" i="8"/>
  <c r="AG328" i="8"/>
  <c r="AG113" i="8"/>
  <c r="AH289" i="8"/>
  <c r="AG260" i="8"/>
  <c r="AG322" i="8"/>
  <c r="AH32" i="8"/>
  <c r="AG320" i="8"/>
  <c r="AH96" i="8"/>
  <c r="AG208" i="8"/>
  <c r="AH265" i="8"/>
  <c r="AH184" i="8"/>
  <c r="AG338" i="8"/>
  <c r="AG312" i="8"/>
  <c r="AG336" i="8"/>
  <c r="AH192" i="8"/>
  <c r="AH257" i="8"/>
  <c r="AH322" i="8"/>
  <c r="AG332" i="8"/>
  <c r="AG316" i="8"/>
  <c r="AH155" i="8"/>
  <c r="AH273" i="8"/>
  <c r="AH248" i="8"/>
  <c r="AG282" i="8"/>
  <c r="AG330" i="8"/>
  <c r="AG314" i="8"/>
  <c r="AH306" i="8"/>
  <c r="AH272" i="8"/>
  <c r="AH247" i="8"/>
  <c r="AG324" i="8"/>
  <c r="AG308" i="8"/>
  <c r="AH296" i="8"/>
  <c r="AH254" i="8"/>
  <c r="AG281" i="8"/>
  <c r="AH313" i="8"/>
  <c r="AG319" i="8"/>
  <c r="AH135" i="8"/>
  <c r="AH87" i="8"/>
  <c r="AG159" i="8"/>
  <c r="AG80" i="8"/>
  <c r="AH295" i="8"/>
  <c r="AH267" i="8"/>
  <c r="AH249" i="8"/>
  <c r="AH233" i="8"/>
  <c r="AG333" i="8"/>
  <c r="AG325" i="8"/>
  <c r="AG317" i="8"/>
  <c r="AG309" i="8"/>
  <c r="AG335" i="8"/>
  <c r="AH39" i="8"/>
  <c r="AG79" i="8"/>
  <c r="AG254" i="8"/>
  <c r="AG327" i="8"/>
  <c r="AG311" i="8"/>
  <c r="AH71" i="8"/>
  <c r="AH305" i="8"/>
  <c r="AG300" i="8"/>
  <c r="AH319" i="8"/>
  <c r="AH309" i="8"/>
  <c r="AG331" i="8"/>
  <c r="AG323" i="8"/>
  <c r="AG315" i="8"/>
  <c r="AH27" i="8"/>
  <c r="AH111" i="8"/>
  <c r="AG223" i="8"/>
  <c r="AG270" i="8"/>
  <c r="AH175" i="8"/>
  <c r="AG284" i="8"/>
  <c r="AH327" i="8"/>
  <c r="AG337" i="8"/>
  <c r="AG329" i="8"/>
  <c r="AG321" i="8"/>
  <c r="AG313" i="8"/>
  <c r="AH55" i="8"/>
  <c r="AG187" i="8"/>
  <c r="AH276" i="8"/>
  <c r="AH337" i="8"/>
  <c r="AH147" i="8"/>
  <c r="AH107" i="8"/>
  <c r="AG207" i="8"/>
  <c r="AH288" i="8"/>
  <c r="AH275" i="8"/>
  <c r="AH236" i="8"/>
  <c r="AG259" i="8"/>
  <c r="AH143" i="8"/>
  <c r="AH75" i="8"/>
  <c r="AG203" i="8"/>
  <c r="AG63" i="8"/>
  <c r="AH287" i="8"/>
  <c r="AH274" i="8"/>
  <c r="AH264" i="8"/>
  <c r="AH244" i="8"/>
  <c r="AG268" i="8"/>
  <c r="AG258" i="8"/>
  <c r="AH252" i="8"/>
  <c r="AH243" i="8"/>
  <c r="AG292" i="8"/>
  <c r="AG127" i="8"/>
  <c r="AG91" i="8"/>
  <c r="AG291" i="8"/>
  <c r="AH219" i="8"/>
  <c r="AH167" i="8"/>
  <c r="AG171" i="8"/>
  <c r="AG126" i="8"/>
  <c r="AH304" i="8"/>
  <c r="AH250" i="8"/>
  <c r="AH241" i="8"/>
  <c r="AH232" i="8"/>
  <c r="AG237" i="8"/>
  <c r="AH211" i="8"/>
  <c r="AH163" i="8"/>
  <c r="AH123" i="8"/>
  <c r="AH95" i="8"/>
  <c r="AH240" i="8"/>
  <c r="AH231" i="8"/>
  <c r="AH204" i="8"/>
  <c r="AG204" i="8"/>
  <c r="AG116" i="8"/>
  <c r="AH116" i="8"/>
  <c r="AH220" i="8"/>
  <c r="AG220" i="8"/>
  <c r="AH156" i="8"/>
  <c r="AG84" i="8"/>
  <c r="AH84" i="8"/>
  <c r="AG196" i="8"/>
  <c r="AH196" i="8"/>
  <c r="AH124" i="8"/>
  <c r="AG124" i="8"/>
  <c r="AG164" i="8"/>
  <c r="AH164" i="8"/>
  <c r="AH188" i="8"/>
  <c r="AG188" i="8"/>
  <c r="AG148" i="8"/>
  <c r="AH148" i="8"/>
  <c r="AG100" i="8"/>
  <c r="AH100" i="8"/>
  <c r="AH68" i="8"/>
  <c r="AG68" i="8"/>
  <c r="AG44" i="8"/>
  <c r="AH44" i="8"/>
  <c r="AG212" i="8"/>
  <c r="AH212" i="8"/>
  <c r="AG172" i="8"/>
  <c r="AH172" i="8"/>
  <c r="AG132" i="8"/>
  <c r="AH132" i="8"/>
  <c r="AH92" i="8"/>
  <c r="AG92" i="8"/>
  <c r="AH52" i="8"/>
  <c r="AG52" i="8"/>
  <c r="AG180" i="8"/>
  <c r="AH180" i="8"/>
  <c r="AG140" i="8"/>
  <c r="AH140" i="8"/>
  <c r="AG108" i="8"/>
  <c r="AH108" i="8"/>
  <c r="AH76" i="8"/>
  <c r="AG60" i="8"/>
  <c r="AH60" i="8"/>
  <c r="AH36" i="8"/>
  <c r="AH120" i="8"/>
  <c r="AH31" i="8"/>
  <c r="AG72" i="8"/>
  <c r="AH280" i="8"/>
  <c r="AG245" i="8"/>
  <c r="AH176" i="8"/>
  <c r="AH136" i="8"/>
  <c r="AH119" i="8"/>
  <c r="AG301" i="8"/>
  <c r="AH57" i="8"/>
  <c r="AG262" i="8"/>
  <c r="AG253" i="8"/>
  <c r="AG129" i="8"/>
  <c r="AG302" i="8"/>
  <c r="AH302" i="8"/>
  <c r="AG286" i="8"/>
  <c r="AH286" i="8"/>
  <c r="AG278" i="8"/>
  <c r="AH278" i="8"/>
  <c r="AG293" i="8"/>
  <c r="AH293" i="8"/>
  <c r="AG285" i="8"/>
  <c r="AH285" i="8"/>
  <c r="AG277" i="8"/>
  <c r="AH277" i="8"/>
  <c r="AH269" i="8"/>
  <c r="AG269" i="8"/>
  <c r="AH25" i="8"/>
  <c r="AG294" i="8"/>
  <c r="AH121" i="8"/>
  <c r="AG97" i="8"/>
  <c r="AH41" i="8"/>
  <c r="AG185" i="8"/>
  <c r="AG161" i="8"/>
  <c r="AG145" i="8"/>
  <c r="AG65" i="8"/>
  <c r="AH105" i="8"/>
  <c r="AH65" i="8"/>
  <c r="AG105" i="8"/>
  <c r="AG49" i="8"/>
  <c r="AH89" i="8"/>
  <c r="AG201" i="8"/>
  <c r="AG177" i="8"/>
  <c r="AG137" i="8"/>
  <c r="AG33" i="8"/>
  <c r="AH183" i="8"/>
  <c r="AH103" i="8"/>
  <c r="AH88" i="8"/>
  <c r="AG193" i="8"/>
  <c r="AG73" i="8"/>
  <c r="AH200" i="8"/>
  <c r="AH73" i="8"/>
  <c r="AG102" i="8"/>
  <c r="AH179" i="8"/>
  <c r="AH47" i="8"/>
  <c r="AG209" i="8"/>
  <c r="AG191" i="8"/>
  <c r="AH190" i="8"/>
  <c r="AH134" i="8"/>
  <c r="AH46" i="8"/>
  <c r="AH86" i="8"/>
  <c r="AG133" i="8"/>
  <c r="AG110" i="8"/>
  <c r="AG54" i="8"/>
  <c r="AH110" i="8"/>
  <c r="AH221" i="8"/>
  <c r="AH174" i="8"/>
  <c r="AH158" i="8"/>
  <c r="AH118" i="8"/>
  <c r="AH85" i="8"/>
  <c r="AH54" i="8"/>
  <c r="AG216" i="8"/>
  <c r="AG30" i="8"/>
  <c r="AG78" i="8"/>
  <c r="AG215" i="8"/>
  <c r="AG199" i="8"/>
  <c r="AG142" i="8"/>
  <c r="AH126" i="8"/>
  <c r="AH94" i="8"/>
  <c r="AG118" i="8"/>
  <c r="AG38" i="8"/>
  <c r="AH182" i="8"/>
  <c r="AG70" i="8"/>
  <c r="AH166" i="8"/>
  <c r="AG69" i="8"/>
  <c r="AH69" i="8"/>
  <c r="AG117" i="8"/>
  <c r="AG53" i="8"/>
  <c r="AH26" i="8"/>
  <c r="AH197" i="8"/>
  <c r="AH165" i="8"/>
  <c r="AH133" i="8"/>
  <c r="AH77" i="8"/>
  <c r="AG205" i="8"/>
  <c r="AG173" i="8"/>
  <c r="AG125" i="8"/>
  <c r="AG61" i="8"/>
  <c r="AG28" i="8"/>
  <c r="AH141" i="8"/>
  <c r="AH93" i="8"/>
  <c r="AG213" i="8"/>
  <c r="AG181" i="8"/>
  <c r="AH101" i="8"/>
  <c r="AG149" i="8"/>
  <c r="AH139" i="8"/>
  <c r="AH109" i="8"/>
  <c r="AH45" i="8"/>
  <c r="AG189" i="8"/>
  <c r="AG157" i="8"/>
  <c r="AH226" i="8"/>
  <c r="AG226" i="8"/>
  <c r="AH218" i="8"/>
  <c r="AG218" i="8"/>
  <c r="AH210" i="8"/>
  <c r="AG210" i="8"/>
  <c r="AH202" i="8"/>
  <c r="AG202" i="8"/>
  <c r="AH194" i="8"/>
  <c r="AG194" i="8"/>
  <c r="AH178" i="8"/>
  <c r="AG178" i="8"/>
  <c r="AH170" i="8"/>
  <c r="AG170" i="8"/>
  <c r="AH162" i="8"/>
  <c r="AG162" i="8"/>
  <c r="AH154" i="8"/>
  <c r="AG154" i="8"/>
  <c r="AH146" i="8"/>
  <c r="AG146" i="8"/>
  <c r="AH138" i="8"/>
  <c r="AG138" i="8"/>
  <c r="AH130" i="8"/>
  <c r="AG130" i="8"/>
  <c r="AH122" i="8"/>
  <c r="AG122" i="8"/>
  <c r="AH114" i="8"/>
  <c r="AG114" i="8"/>
  <c r="AH106" i="8"/>
  <c r="AG106" i="8"/>
  <c r="AH98" i="8"/>
  <c r="AG98" i="8"/>
  <c r="AH90" i="8"/>
  <c r="AG90" i="8"/>
  <c r="AH82" i="8"/>
  <c r="AG82" i="8"/>
  <c r="AH74" i="8"/>
  <c r="AG74" i="8"/>
  <c r="AH66" i="8"/>
  <c r="AG66" i="8"/>
  <c r="AH58" i="8"/>
  <c r="AG58" i="8"/>
  <c r="AH50" i="8"/>
  <c r="AG50" i="8"/>
  <c r="AH42" i="8"/>
  <c r="AG42" i="8"/>
  <c r="AH34" i="8"/>
  <c r="AG34" i="8"/>
  <c r="AH222" i="8"/>
  <c r="AH214" i="8"/>
  <c r="AH206" i="8"/>
  <c r="AH198" i="8"/>
  <c r="AG225" i="8"/>
  <c r="AG24" i="8"/>
  <c r="AG23" i="8"/>
  <c r="AG7" i="8"/>
  <c r="AH23" i="8"/>
  <c r="AH907" i="8"/>
  <c r="AG18" i="8"/>
  <c r="AH19" i="8"/>
  <c r="AH10" i="8"/>
  <c r="AH18" i="8"/>
  <c r="AH9" i="8"/>
  <c r="AG22" i="8"/>
  <c r="AG21" i="8"/>
  <c r="AG20" i="8"/>
  <c r="AH3" i="8"/>
  <c r="AG19" i="8"/>
  <c r="AH21" i="8"/>
  <c r="AG16" i="8"/>
  <c r="AH6" i="8"/>
  <c r="AG15" i="8"/>
  <c r="AG9" i="8"/>
  <c r="AG13" i="8"/>
  <c r="AH12" i="8"/>
  <c r="AH11" i="8"/>
  <c r="AH4" i="8"/>
  <c r="AG4" i="8"/>
  <c r="AG2" i="8"/>
  <c r="AH8" i="8"/>
  <c r="AG8" i="8"/>
  <c r="AG14" i="8"/>
  <c r="AG5" i="8"/>
  <c r="AG29" i="8"/>
  <c r="AG12" i="8"/>
  <c r="AG3" i="8"/>
  <c r="AH585" i="8"/>
  <c r="AH29" i="8"/>
  <c r="L4" i="16" l="1"/>
  <c r="L17" i="16"/>
  <c r="L2" i="16"/>
  <c r="L10" i="16"/>
  <c r="L6" i="16"/>
  <c r="L12" i="16"/>
  <c r="L13" i="16"/>
  <c r="L16" i="16"/>
  <c r="E60" i="12"/>
  <c r="E14" i="12"/>
  <c r="E58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59" i="12"/>
  <c r="E57" i="12"/>
  <c r="E56" i="12"/>
  <c r="E55" i="12"/>
  <c r="E54" i="12"/>
  <c r="E53" i="12"/>
  <c r="E52" i="12"/>
  <c r="E51" i="12"/>
  <c r="E50" i="12"/>
  <c r="E49" i="12"/>
  <c r="E47" i="12"/>
  <c r="E46" i="12"/>
  <c r="E45" i="12"/>
  <c r="E44" i="12"/>
  <c r="E43" i="12"/>
  <c r="E42" i="12"/>
  <c r="E41" i="12"/>
  <c r="E40" i="12"/>
  <c r="E39" i="12"/>
  <c r="E38" i="12"/>
  <c r="E4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3" i="12"/>
  <c r="E12" i="12"/>
  <c r="E11" i="12"/>
  <c r="E9" i="12"/>
  <c r="E8" i="12"/>
  <c r="E7" i="12"/>
  <c r="E6" i="12"/>
  <c r="E5" i="12"/>
  <c r="E4" i="12"/>
  <c r="E3" i="12"/>
  <c r="E2" i="12"/>
  <c r="AF901" i="8"/>
  <c r="AF227" i="8"/>
  <c r="AM227" i="8" s="1"/>
  <c r="AF228" i="8"/>
  <c r="AM228" i="8" s="1"/>
  <c r="AF229" i="8"/>
  <c r="AM229" i="8" s="1"/>
  <c r="AF230" i="8"/>
  <c r="AM230" i="8" s="1"/>
  <c r="AF307" i="8"/>
  <c r="AF339" i="8"/>
  <c r="AF501" i="8"/>
  <c r="AF502" i="8"/>
  <c r="AF503" i="8"/>
  <c r="AF504" i="8"/>
  <c r="AF505" i="8"/>
  <c r="AF506" i="8"/>
  <c r="AF789" i="8"/>
  <c r="AF790" i="8"/>
  <c r="AF791" i="8"/>
  <c r="AF792" i="8"/>
  <c r="AF793" i="8"/>
  <c r="AF794" i="8"/>
  <c r="AF795" i="8"/>
  <c r="AF865" i="8"/>
  <c r="AF866" i="8"/>
  <c r="AF867" i="8"/>
  <c r="AF868" i="8"/>
  <c r="AF869" i="8"/>
  <c r="AF870" i="8"/>
  <c r="AF871" i="8"/>
  <c r="AF872" i="8"/>
  <c r="AF873" i="8"/>
  <c r="AF874" i="8"/>
  <c r="AF875" i="8"/>
  <c r="AF876" i="8"/>
  <c r="AF877" i="8"/>
  <c r="AF878" i="8"/>
  <c r="AF879" i="8"/>
  <c r="AF880" i="8"/>
  <c r="AF881" i="8"/>
  <c r="AF882" i="8"/>
  <c r="AF883" i="8"/>
  <c r="AF884" i="8"/>
  <c r="AF885" i="8"/>
  <c r="AF886" i="8"/>
  <c r="AF887" i="8"/>
  <c r="AF888" i="8"/>
  <c r="AF889" i="8"/>
  <c r="AF890" i="8"/>
  <c r="AF891" i="8"/>
  <c r="AF892" i="8"/>
  <c r="AF893" i="8"/>
  <c r="AF894" i="8"/>
  <c r="AF895" i="8"/>
  <c r="AF896" i="8"/>
  <c r="AF897" i="8"/>
  <c r="AF898" i="8"/>
  <c r="AF899" i="8"/>
  <c r="AF900" i="8"/>
  <c r="AF902" i="8"/>
  <c r="AF903" i="8"/>
  <c r="AF904" i="8"/>
  <c r="AF905" i="8"/>
  <c r="AF906" i="8"/>
  <c r="T227" i="8" a="1"/>
  <c r="T227" i="8" s="1"/>
  <c r="T228" i="8" a="1"/>
  <c r="T228" i="8" s="1"/>
  <c r="T229" i="8" a="1"/>
  <c r="T229" i="8" s="1"/>
  <c r="T230" i="8" a="1"/>
  <c r="T230" i="8" s="1"/>
  <c r="T307" i="8" a="1"/>
  <c r="T307" i="8" s="1"/>
  <c r="T339" i="8" a="1"/>
  <c r="T339" i="8" s="1"/>
  <c r="T501" i="8" a="1"/>
  <c r="T501" i="8" s="1"/>
  <c r="T502" i="8" a="1"/>
  <c r="T502" i="8" s="1"/>
  <c r="T503" i="8" a="1"/>
  <c r="T503" i="8" s="1"/>
  <c r="T504" i="8" a="1"/>
  <c r="T504" i="8" s="1"/>
  <c r="T505" i="8" a="1"/>
  <c r="T505" i="8" s="1"/>
  <c r="T506" i="8" a="1"/>
  <c r="T506" i="8" s="1"/>
  <c r="T789" i="8" a="1"/>
  <c r="T789" i="8" s="1"/>
  <c r="T790" i="8" a="1"/>
  <c r="T790" i="8" s="1"/>
  <c r="T791" i="8" a="1"/>
  <c r="T791" i="8" s="1"/>
  <c r="T792" i="8" a="1"/>
  <c r="T792" i="8" s="1"/>
  <c r="T793" i="8" a="1"/>
  <c r="T793" i="8" s="1"/>
  <c r="T794" i="8" a="1"/>
  <c r="T794" i="8" s="1"/>
  <c r="T795" i="8" a="1"/>
  <c r="T795" i="8" s="1"/>
  <c r="T865" i="8" a="1"/>
  <c r="T865" i="8" s="1"/>
  <c r="T866" i="8" a="1"/>
  <c r="T866" i="8" s="1"/>
  <c r="T867" i="8" a="1"/>
  <c r="T867" i="8" s="1"/>
  <c r="T868" i="8" a="1"/>
  <c r="T868" i="8" s="1"/>
  <c r="T869" i="8" a="1"/>
  <c r="T869" i="8" s="1"/>
  <c r="T870" i="8" a="1"/>
  <c r="T870" i="8" s="1"/>
  <c r="T871" i="8" a="1"/>
  <c r="T871" i="8" s="1"/>
  <c r="T872" i="8" a="1"/>
  <c r="T872" i="8" s="1"/>
  <c r="T873" i="8" a="1"/>
  <c r="T873" i="8" s="1"/>
  <c r="T874" i="8" a="1"/>
  <c r="T874" i="8" s="1"/>
  <c r="T875" i="8" a="1"/>
  <c r="T875" i="8" s="1"/>
  <c r="T876" i="8" a="1"/>
  <c r="T876" i="8" s="1"/>
  <c r="T877" i="8" a="1"/>
  <c r="T877" i="8" s="1"/>
  <c r="T878" i="8" a="1"/>
  <c r="T878" i="8" s="1"/>
  <c r="T879" i="8" a="1"/>
  <c r="T879" i="8" s="1"/>
  <c r="T880" i="8" a="1"/>
  <c r="T880" i="8" s="1"/>
  <c r="T881" i="8" a="1"/>
  <c r="T881" i="8" s="1"/>
  <c r="T882" i="8" a="1"/>
  <c r="T882" i="8" s="1"/>
  <c r="T883" i="8" a="1"/>
  <c r="T883" i="8" s="1"/>
  <c r="T884" i="8" a="1"/>
  <c r="T884" i="8" s="1"/>
  <c r="T885" i="8" a="1"/>
  <c r="T885" i="8" s="1"/>
  <c r="T886" i="8" a="1"/>
  <c r="T886" i="8" s="1"/>
  <c r="T887" i="8" a="1"/>
  <c r="T887" i="8" s="1"/>
  <c r="T888" i="8" a="1"/>
  <c r="T888" i="8" s="1"/>
  <c r="T889" i="8" a="1"/>
  <c r="T889" i="8" s="1"/>
  <c r="T890" i="8" a="1"/>
  <c r="T890" i="8" s="1"/>
  <c r="T891" i="8" a="1"/>
  <c r="T891" i="8" s="1"/>
  <c r="T892" i="8" a="1"/>
  <c r="T892" i="8" s="1"/>
  <c r="T893" i="8" a="1"/>
  <c r="T893" i="8" s="1"/>
  <c r="T894" i="8" a="1"/>
  <c r="T894" i="8" s="1"/>
  <c r="T895" i="8" a="1"/>
  <c r="T895" i="8" s="1"/>
  <c r="T896" i="8" a="1"/>
  <c r="T896" i="8" s="1"/>
  <c r="T897" i="8" a="1"/>
  <c r="T897" i="8" s="1"/>
  <c r="T898" i="8" a="1"/>
  <c r="T898" i="8" s="1"/>
  <c r="T899" i="8" a="1"/>
  <c r="T899" i="8" s="1"/>
  <c r="T900" i="8" a="1"/>
  <c r="T900" i="8" s="1"/>
  <c r="T901" i="8" a="1"/>
  <c r="T901" i="8" s="1"/>
  <c r="T902" i="8" a="1"/>
  <c r="T902" i="8" s="1"/>
  <c r="T903" i="8" a="1"/>
  <c r="T903" i="8" s="1"/>
  <c r="T904" i="8" a="1"/>
  <c r="T904" i="8" s="1"/>
  <c r="T905" i="8" a="1"/>
  <c r="T905" i="8" s="1"/>
  <c r="T906" i="8" a="1"/>
  <c r="T906" i="8" s="1"/>
  <c r="S227" i="8" a="1"/>
  <c r="S227" i="8" s="1"/>
  <c r="V227" i="8" s="1"/>
  <c r="S228" i="8" a="1"/>
  <c r="S228" i="8" s="1"/>
  <c r="V228" i="8" s="1"/>
  <c r="S229" i="8" a="1"/>
  <c r="S229" i="8" s="1"/>
  <c r="V229" i="8" s="1"/>
  <c r="S230" i="8" a="1"/>
  <c r="S230" i="8" s="1"/>
  <c r="V230" i="8" s="1"/>
  <c r="S307" i="8" a="1"/>
  <c r="S307" i="8" s="1"/>
  <c r="V307" i="8" s="1"/>
  <c r="S339" i="8" a="1"/>
  <c r="S339" i="8" s="1"/>
  <c r="V339" i="8" s="1"/>
  <c r="S501" i="8" a="1"/>
  <c r="S501" i="8" s="1"/>
  <c r="V501" i="8" s="1"/>
  <c r="S502" i="8" a="1"/>
  <c r="S502" i="8" s="1"/>
  <c r="V502" i="8" s="1"/>
  <c r="S503" i="8" a="1"/>
  <c r="S503" i="8" s="1"/>
  <c r="V503" i="8" s="1"/>
  <c r="S504" i="8" a="1"/>
  <c r="S504" i="8" s="1"/>
  <c r="V504" i="8" s="1"/>
  <c r="S505" i="8" a="1"/>
  <c r="S505" i="8" s="1"/>
  <c r="V505" i="8" s="1"/>
  <c r="S506" i="8" a="1"/>
  <c r="S506" i="8" s="1"/>
  <c r="V506" i="8" s="1"/>
  <c r="S789" i="8" a="1"/>
  <c r="S789" i="8" s="1"/>
  <c r="V789" i="8" s="1"/>
  <c r="S790" i="8" a="1"/>
  <c r="S790" i="8" s="1"/>
  <c r="V790" i="8" s="1"/>
  <c r="S791" i="8" a="1"/>
  <c r="S791" i="8" s="1"/>
  <c r="V791" i="8" s="1"/>
  <c r="S792" i="8" a="1"/>
  <c r="S792" i="8" s="1"/>
  <c r="V792" i="8" s="1"/>
  <c r="S793" i="8" a="1"/>
  <c r="S793" i="8" s="1"/>
  <c r="V793" i="8" s="1"/>
  <c r="S794" i="8" a="1"/>
  <c r="S794" i="8" s="1"/>
  <c r="V794" i="8" s="1"/>
  <c r="S795" i="8" a="1"/>
  <c r="S795" i="8" s="1"/>
  <c r="V795" i="8" s="1"/>
  <c r="S865" i="8" a="1"/>
  <c r="S865" i="8" s="1"/>
  <c r="V865" i="8" s="1"/>
  <c r="S866" i="8" a="1"/>
  <c r="S866" i="8" s="1"/>
  <c r="V866" i="8" s="1"/>
  <c r="S867" i="8" a="1"/>
  <c r="S867" i="8" s="1"/>
  <c r="V867" i="8" s="1"/>
  <c r="S868" i="8" a="1"/>
  <c r="S868" i="8" s="1"/>
  <c r="V868" i="8" s="1"/>
  <c r="S869" i="8" a="1"/>
  <c r="S869" i="8" s="1"/>
  <c r="V869" i="8" s="1"/>
  <c r="S870" i="8" a="1"/>
  <c r="S870" i="8" s="1"/>
  <c r="V870" i="8" s="1"/>
  <c r="S871" i="8" a="1"/>
  <c r="S871" i="8" s="1"/>
  <c r="V871" i="8" s="1"/>
  <c r="S872" i="8" a="1"/>
  <c r="S872" i="8" s="1"/>
  <c r="V872" i="8" s="1"/>
  <c r="S873" i="8" a="1"/>
  <c r="S873" i="8" s="1"/>
  <c r="V873" i="8" s="1"/>
  <c r="S874" i="8" a="1"/>
  <c r="S874" i="8" s="1"/>
  <c r="V874" i="8" s="1"/>
  <c r="S875" i="8" a="1"/>
  <c r="S875" i="8" s="1"/>
  <c r="V875" i="8" s="1"/>
  <c r="S876" i="8" a="1"/>
  <c r="S876" i="8" s="1"/>
  <c r="V876" i="8" s="1"/>
  <c r="S877" i="8" a="1"/>
  <c r="S877" i="8" s="1"/>
  <c r="V877" i="8" s="1"/>
  <c r="S878" i="8" a="1"/>
  <c r="S878" i="8" s="1"/>
  <c r="V878" i="8" s="1"/>
  <c r="S879" i="8" a="1"/>
  <c r="S879" i="8" s="1"/>
  <c r="V879" i="8" s="1"/>
  <c r="S880" i="8" a="1"/>
  <c r="S880" i="8" s="1"/>
  <c r="V880" i="8" s="1"/>
  <c r="S881" i="8" a="1"/>
  <c r="S881" i="8" s="1"/>
  <c r="V881" i="8" s="1"/>
  <c r="S882" i="8" a="1"/>
  <c r="S882" i="8" s="1"/>
  <c r="V882" i="8" s="1"/>
  <c r="S883" i="8" a="1"/>
  <c r="S883" i="8" s="1"/>
  <c r="V883" i="8" s="1"/>
  <c r="S884" i="8" a="1"/>
  <c r="S884" i="8" s="1"/>
  <c r="V884" i="8" s="1"/>
  <c r="S885" i="8" a="1"/>
  <c r="S885" i="8" s="1"/>
  <c r="V885" i="8" s="1"/>
  <c r="S886" i="8" a="1"/>
  <c r="S886" i="8" s="1"/>
  <c r="V886" i="8" s="1"/>
  <c r="S887" i="8" a="1"/>
  <c r="S887" i="8" s="1"/>
  <c r="V887" i="8" s="1"/>
  <c r="S888" i="8" a="1"/>
  <c r="S888" i="8" s="1"/>
  <c r="V888" i="8" s="1"/>
  <c r="S889" i="8" a="1"/>
  <c r="S889" i="8" s="1"/>
  <c r="V889" i="8" s="1"/>
  <c r="S890" i="8" a="1"/>
  <c r="S890" i="8" s="1"/>
  <c r="V890" i="8" s="1"/>
  <c r="S891" i="8" a="1"/>
  <c r="S891" i="8" s="1"/>
  <c r="V891" i="8" s="1"/>
  <c r="S892" i="8" a="1"/>
  <c r="S892" i="8" s="1"/>
  <c r="V892" i="8" s="1"/>
  <c r="S893" i="8" a="1"/>
  <c r="S893" i="8" s="1"/>
  <c r="V893" i="8" s="1"/>
  <c r="S894" i="8" a="1"/>
  <c r="S894" i="8" s="1"/>
  <c r="V894" i="8" s="1"/>
  <c r="S895" i="8" a="1"/>
  <c r="S895" i="8" s="1"/>
  <c r="V895" i="8" s="1"/>
  <c r="S896" i="8" a="1"/>
  <c r="S896" i="8" s="1"/>
  <c r="V896" i="8" s="1"/>
  <c r="S897" i="8" a="1"/>
  <c r="S897" i="8" s="1"/>
  <c r="V897" i="8" s="1"/>
  <c r="S898" i="8" a="1"/>
  <c r="S898" i="8" s="1"/>
  <c r="V898" i="8" s="1"/>
  <c r="S899" i="8" a="1"/>
  <c r="S899" i="8" s="1"/>
  <c r="V899" i="8" s="1"/>
  <c r="S900" i="8" a="1"/>
  <c r="S900" i="8" s="1"/>
  <c r="V900" i="8" s="1"/>
  <c r="S901" i="8" a="1"/>
  <c r="S901" i="8" s="1"/>
  <c r="V901" i="8" s="1"/>
  <c r="S902" i="8" a="1"/>
  <c r="S902" i="8" s="1"/>
  <c r="V902" i="8" s="1"/>
  <c r="S903" i="8" a="1"/>
  <c r="S903" i="8" s="1"/>
  <c r="V903" i="8" s="1"/>
  <c r="S904" i="8" a="1"/>
  <c r="S904" i="8" s="1"/>
  <c r="V904" i="8" s="1"/>
  <c r="S905" i="8" a="1"/>
  <c r="S905" i="8" s="1"/>
  <c r="V905" i="8" s="1"/>
  <c r="S906" i="8" a="1"/>
  <c r="S906" i="8" s="1"/>
  <c r="V906" i="8" s="1"/>
  <c r="AI906" i="8"/>
  <c r="AI905" i="8"/>
  <c r="AJ905" i="8" s="1"/>
  <c r="G718" i="14"/>
  <c r="S718" i="14" s="1" a="1"/>
  <c r="S718" i="14" s="1"/>
  <c r="G717" i="14"/>
  <c r="S717" i="14" s="1" a="1"/>
  <c r="S717" i="14" s="1"/>
  <c r="G716" i="14"/>
  <c r="S716" i="14" s="1" a="1"/>
  <c r="S716" i="14" s="1"/>
  <c r="G715" i="14"/>
  <c r="S715" i="14" s="1" a="1"/>
  <c r="S715" i="14" s="1"/>
  <c r="G714" i="14"/>
  <c r="S714" i="14" s="1" a="1"/>
  <c r="S714" i="14" s="1"/>
  <c r="G713" i="14"/>
  <c r="S713" i="14" s="1" a="1"/>
  <c r="S713" i="14" s="1"/>
  <c r="G712" i="14"/>
  <c r="S712" i="14" s="1" a="1"/>
  <c r="S712" i="14" s="1"/>
  <c r="G711" i="14"/>
  <c r="S711" i="14" s="1" a="1"/>
  <c r="S711" i="14" s="1"/>
  <c r="G710" i="14"/>
  <c r="S710" i="14" s="1" a="1"/>
  <c r="S710" i="14" s="1"/>
  <c r="G709" i="14"/>
  <c r="S709" i="14" s="1" a="1"/>
  <c r="S709" i="14" s="1"/>
  <c r="G708" i="14"/>
  <c r="S708" i="14" s="1" a="1"/>
  <c r="S708" i="14" s="1"/>
  <c r="G707" i="14"/>
  <c r="S707" i="14" s="1" a="1"/>
  <c r="S707" i="14" s="1"/>
  <c r="G706" i="14"/>
  <c r="S706" i="14" s="1" a="1"/>
  <c r="S706" i="14" s="1"/>
  <c r="G705" i="14"/>
  <c r="S705" i="14" s="1" a="1"/>
  <c r="S705" i="14" s="1"/>
  <c r="G704" i="14"/>
  <c r="S704" i="14" s="1" a="1"/>
  <c r="S704" i="14" s="1"/>
  <c r="G703" i="14"/>
  <c r="S703" i="14" s="1" a="1"/>
  <c r="S703" i="14" s="1"/>
  <c r="G702" i="14"/>
  <c r="S702" i="14" s="1" a="1"/>
  <c r="S702" i="14" s="1"/>
  <c r="G701" i="14"/>
  <c r="S701" i="14" s="1" a="1"/>
  <c r="S701" i="14" s="1"/>
  <c r="G700" i="14"/>
  <c r="S700" i="14" s="1" a="1"/>
  <c r="S700" i="14" s="1"/>
  <c r="G699" i="14"/>
  <c r="S699" i="14" s="1" a="1"/>
  <c r="S699" i="14" s="1"/>
  <c r="G698" i="14"/>
  <c r="S698" i="14" s="1" a="1"/>
  <c r="S698" i="14" s="1"/>
  <c r="G697" i="14"/>
  <c r="S697" i="14" s="1" a="1"/>
  <c r="S697" i="14" s="1"/>
  <c r="G696" i="14"/>
  <c r="S696" i="14" s="1" a="1"/>
  <c r="S696" i="14" s="1"/>
  <c r="G695" i="14"/>
  <c r="S695" i="14" s="1" a="1"/>
  <c r="S695" i="14" s="1"/>
  <c r="G694" i="14"/>
  <c r="S694" i="14" s="1" a="1"/>
  <c r="S694" i="14" s="1"/>
  <c r="G693" i="14"/>
  <c r="S693" i="14" s="1" a="1"/>
  <c r="S693" i="14" s="1"/>
  <c r="G692" i="14"/>
  <c r="S692" i="14" s="1" a="1"/>
  <c r="S692" i="14" s="1"/>
  <c r="G691" i="14"/>
  <c r="S691" i="14" s="1" a="1"/>
  <c r="S691" i="14" s="1"/>
  <c r="G690" i="14"/>
  <c r="S690" i="14" s="1" a="1"/>
  <c r="S690" i="14" s="1"/>
  <c r="G689" i="14"/>
  <c r="S689" i="14" s="1" a="1"/>
  <c r="S689" i="14" s="1"/>
  <c r="G688" i="14"/>
  <c r="S688" i="14" s="1" a="1"/>
  <c r="S688" i="14" s="1"/>
  <c r="G687" i="14"/>
  <c r="S687" i="14" s="1" a="1"/>
  <c r="S687" i="14" s="1"/>
  <c r="G686" i="14"/>
  <c r="S686" i="14" s="1" a="1"/>
  <c r="S686" i="14" s="1"/>
  <c r="G685" i="14"/>
  <c r="S685" i="14" s="1" a="1"/>
  <c r="S685" i="14" s="1"/>
  <c r="G684" i="14"/>
  <c r="S684" i="14" s="1" a="1"/>
  <c r="S684" i="14" s="1"/>
  <c r="G683" i="14"/>
  <c r="S683" i="14" s="1" a="1"/>
  <c r="S683" i="14" s="1"/>
  <c r="G682" i="14"/>
  <c r="S682" i="14" s="1" a="1"/>
  <c r="S682" i="14" s="1"/>
  <c r="G681" i="14"/>
  <c r="S681" i="14" s="1" a="1"/>
  <c r="S681" i="14" s="1"/>
  <c r="G680" i="14"/>
  <c r="S680" i="14" s="1" a="1"/>
  <c r="S680" i="14" s="1"/>
  <c r="G679" i="14"/>
  <c r="S679" i="14" s="1" a="1"/>
  <c r="S679" i="14" s="1"/>
  <c r="G678" i="14"/>
  <c r="S678" i="14" s="1" a="1"/>
  <c r="S678" i="14" s="1"/>
  <c r="G677" i="14"/>
  <c r="S677" i="14" s="1" a="1"/>
  <c r="S677" i="14" s="1"/>
  <c r="G676" i="14"/>
  <c r="S676" i="14" s="1" a="1"/>
  <c r="S676" i="14" s="1"/>
  <c r="G675" i="14"/>
  <c r="S675" i="14" s="1" a="1"/>
  <c r="S675" i="14" s="1"/>
  <c r="G674" i="14"/>
  <c r="S674" i="14" s="1" a="1"/>
  <c r="S674" i="14" s="1"/>
  <c r="G673" i="14"/>
  <c r="S673" i="14" s="1" a="1"/>
  <c r="S673" i="14" s="1"/>
  <c r="G672" i="14"/>
  <c r="S672" i="14" s="1" a="1"/>
  <c r="S672" i="14" s="1"/>
  <c r="G671" i="14"/>
  <c r="S671" i="14" s="1" a="1"/>
  <c r="S671" i="14" s="1"/>
  <c r="G670" i="14"/>
  <c r="S670" i="14" s="1" a="1"/>
  <c r="S670" i="14" s="1"/>
  <c r="G669" i="14"/>
  <c r="S669" i="14" s="1" a="1"/>
  <c r="S669" i="14" s="1"/>
  <c r="G668" i="14"/>
  <c r="S668" i="14" s="1" a="1"/>
  <c r="S668" i="14" s="1"/>
  <c r="G667" i="14"/>
  <c r="S667" i="14" s="1" a="1"/>
  <c r="S667" i="14" s="1"/>
  <c r="G666" i="14"/>
  <c r="S666" i="14" s="1" a="1"/>
  <c r="S666" i="14" s="1"/>
  <c r="G665" i="14"/>
  <c r="S665" i="14" s="1" a="1"/>
  <c r="S665" i="14" s="1"/>
  <c r="G664" i="14"/>
  <c r="S664" i="14" s="1" a="1"/>
  <c r="S664" i="14" s="1"/>
  <c r="G663" i="14"/>
  <c r="S663" i="14" s="1" a="1"/>
  <c r="S663" i="14" s="1"/>
  <c r="G662" i="14"/>
  <c r="S662" i="14" s="1" a="1"/>
  <c r="S662" i="14" s="1"/>
  <c r="G661" i="14"/>
  <c r="S661" i="14" s="1" a="1"/>
  <c r="S661" i="14" s="1"/>
  <c r="G660" i="14"/>
  <c r="S660" i="14" s="1" a="1"/>
  <c r="S660" i="14" s="1"/>
  <c r="G659" i="14"/>
  <c r="S659" i="14" s="1" a="1"/>
  <c r="S659" i="14" s="1"/>
  <c r="G658" i="14"/>
  <c r="S658" i="14" s="1" a="1"/>
  <c r="S658" i="14" s="1"/>
  <c r="G657" i="14"/>
  <c r="S657" i="14" s="1" a="1"/>
  <c r="S657" i="14" s="1"/>
  <c r="G656" i="14"/>
  <c r="S656" i="14" s="1" a="1"/>
  <c r="S656" i="14" s="1"/>
  <c r="G655" i="14"/>
  <c r="S655" i="14" s="1" a="1"/>
  <c r="S655" i="14" s="1"/>
  <c r="G654" i="14"/>
  <c r="S654" i="14" s="1" a="1"/>
  <c r="S654" i="14" s="1"/>
  <c r="G653" i="14"/>
  <c r="S653" i="14" s="1" a="1"/>
  <c r="S653" i="14" s="1"/>
  <c r="G652" i="14"/>
  <c r="S652" i="14" s="1" a="1"/>
  <c r="S652" i="14" s="1"/>
  <c r="G651" i="14"/>
  <c r="S651" i="14" s="1" a="1"/>
  <c r="S651" i="14" s="1"/>
  <c r="G650" i="14"/>
  <c r="S650" i="14" s="1" a="1"/>
  <c r="S650" i="14" s="1"/>
  <c r="G649" i="14"/>
  <c r="S649" i="14" s="1" a="1"/>
  <c r="S649" i="14" s="1"/>
  <c r="G648" i="14"/>
  <c r="S648" i="14" s="1" a="1"/>
  <c r="S648" i="14" s="1"/>
  <c r="G647" i="14"/>
  <c r="S647" i="14" s="1" a="1"/>
  <c r="S647" i="14" s="1"/>
  <c r="G646" i="14"/>
  <c r="S646" i="14" s="1" a="1"/>
  <c r="S646" i="14" s="1"/>
  <c r="G645" i="14"/>
  <c r="S645" i="14" s="1" a="1"/>
  <c r="S645" i="14" s="1"/>
  <c r="G644" i="14"/>
  <c r="S644" i="14" s="1" a="1"/>
  <c r="S644" i="14" s="1"/>
  <c r="G643" i="14"/>
  <c r="S643" i="14" s="1" a="1"/>
  <c r="S643" i="14" s="1"/>
  <c r="G642" i="14"/>
  <c r="S642" i="14" s="1" a="1"/>
  <c r="S642" i="14" s="1"/>
  <c r="G641" i="14"/>
  <c r="S641" i="14" s="1" a="1"/>
  <c r="S641" i="14" s="1"/>
  <c r="G640" i="14"/>
  <c r="S640" i="14" s="1" a="1"/>
  <c r="S640" i="14" s="1"/>
  <c r="G639" i="14"/>
  <c r="S639" i="14" s="1" a="1"/>
  <c r="S639" i="14" s="1"/>
  <c r="G638" i="14"/>
  <c r="S638" i="14" s="1" a="1"/>
  <c r="S638" i="14" s="1"/>
  <c r="G637" i="14"/>
  <c r="S637" i="14" s="1" a="1"/>
  <c r="S637" i="14" s="1"/>
  <c r="G636" i="14"/>
  <c r="S636" i="14" s="1" a="1"/>
  <c r="S636" i="14" s="1"/>
  <c r="G635" i="14"/>
  <c r="S635" i="14" s="1" a="1"/>
  <c r="S635" i="14" s="1"/>
  <c r="G634" i="14"/>
  <c r="S634" i="14" s="1" a="1"/>
  <c r="S634" i="14" s="1"/>
  <c r="G633" i="14"/>
  <c r="S633" i="14" s="1" a="1"/>
  <c r="S633" i="14" s="1"/>
  <c r="G632" i="14"/>
  <c r="S632" i="14" s="1" a="1"/>
  <c r="S632" i="14" s="1"/>
  <c r="G631" i="14"/>
  <c r="S631" i="14" s="1" a="1"/>
  <c r="S631" i="14" s="1"/>
  <c r="G630" i="14"/>
  <c r="S630" i="14" s="1" a="1"/>
  <c r="S630" i="14" s="1"/>
  <c r="G629" i="14"/>
  <c r="S629" i="14" s="1" a="1"/>
  <c r="S629" i="14" s="1"/>
  <c r="G628" i="14"/>
  <c r="S628" i="14" s="1" a="1"/>
  <c r="S628" i="14" s="1"/>
  <c r="G627" i="14"/>
  <c r="S627" i="14" s="1" a="1"/>
  <c r="S627" i="14" s="1"/>
  <c r="G626" i="14"/>
  <c r="S626" i="14" s="1" a="1"/>
  <c r="S626" i="14" s="1"/>
  <c r="G625" i="14"/>
  <c r="S625" i="14" s="1" a="1"/>
  <c r="S625" i="14" s="1"/>
  <c r="G624" i="14"/>
  <c r="S624" i="14" s="1" a="1"/>
  <c r="S624" i="14" s="1"/>
  <c r="G623" i="14"/>
  <c r="S623" i="14" s="1" a="1"/>
  <c r="S623" i="14" s="1"/>
  <c r="G622" i="14"/>
  <c r="S622" i="14" s="1" a="1"/>
  <c r="S622" i="14" s="1"/>
  <c r="G621" i="14"/>
  <c r="S621" i="14" s="1" a="1"/>
  <c r="S621" i="14" s="1"/>
  <c r="G620" i="14"/>
  <c r="S620" i="14" s="1" a="1"/>
  <c r="S620" i="14" s="1"/>
  <c r="G619" i="14"/>
  <c r="S619" i="14" s="1" a="1"/>
  <c r="S619" i="14" s="1"/>
  <c r="G618" i="14"/>
  <c r="S618" i="14" s="1" a="1"/>
  <c r="S618" i="14" s="1"/>
  <c r="G617" i="14"/>
  <c r="S617" i="14" s="1" a="1"/>
  <c r="S617" i="14" s="1"/>
  <c r="G616" i="14"/>
  <c r="S616" i="14" s="1" a="1"/>
  <c r="S616" i="14" s="1"/>
  <c r="G615" i="14"/>
  <c r="S615" i="14" s="1" a="1"/>
  <c r="S615" i="14" s="1"/>
  <c r="G614" i="14"/>
  <c r="S614" i="14" s="1" a="1"/>
  <c r="S614" i="14" s="1"/>
  <c r="G613" i="14"/>
  <c r="S613" i="14" s="1" a="1"/>
  <c r="S613" i="14" s="1"/>
  <c r="G612" i="14"/>
  <c r="S612" i="14" s="1" a="1"/>
  <c r="S612" i="14" s="1"/>
  <c r="G611" i="14"/>
  <c r="S611" i="14" s="1" a="1"/>
  <c r="S611" i="14" s="1"/>
  <c r="G610" i="14"/>
  <c r="S610" i="14" s="1" a="1"/>
  <c r="S610" i="14" s="1"/>
  <c r="G609" i="14"/>
  <c r="S609" i="14" s="1" a="1"/>
  <c r="S609" i="14" s="1"/>
  <c r="G608" i="14"/>
  <c r="S608" i="14" s="1" a="1"/>
  <c r="S608" i="14" s="1"/>
  <c r="G607" i="14"/>
  <c r="S607" i="14" s="1" a="1"/>
  <c r="S607" i="14" s="1"/>
  <c r="G606" i="14"/>
  <c r="S606" i="14" s="1" a="1"/>
  <c r="S606" i="14" s="1"/>
  <c r="G605" i="14"/>
  <c r="S605" i="14" s="1" a="1"/>
  <c r="S605" i="14" s="1"/>
  <c r="G604" i="14"/>
  <c r="S604" i="14" s="1" a="1"/>
  <c r="S604" i="14" s="1"/>
  <c r="G603" i="14"/>
  <c r="S603" i="14" s="1" a="1"/>
  <c r="S603" i="14" s="1"/>
  <c r="G602" i="14"/>
  <c r="S602" i="14" s="1" a="1"/>
  <c r="S602" i="14" s="1"/>
  <c r="G601" i="14"/>
  <c r="S601" i="14" s="1" a="1"/>
  <c r="S601" i="14" s="1"/>
  <c r="G600" i="14"/>
  <c r="S600" i="14" s="1" a="1"/>
  <c r="S600" i="14" s="1"/>
  <c r="G599" i="14"/>
  <c r="S599" i="14" s="1" a="1"/>
  <c r="S599" i="14" s="1"/>
  <c r="G598" i="14"/>
  <c r="S598" i="14" s="1" a="1"/>
  <c r="S598" i="14" s="1"/>
  <c r="G597" i="14"/>
  <c r="S597" i="14" s="1" a="1"/>
  <c r="S597" i="14" s="1"/>
  <c r="G596" i="14"/>
  <c r="S596" i="14" s="1" a="1"/>
  <c r="S596" i="14" s="1"/>
  <c r="G595" i="14"/>
  <c r="S595" i="14" s="1" a="1"/>
  <c r="S595" i="14" s="1"/>
  <c r="G594" i="14"/>
  <c r="S594" i="14" s="1" a="1"/>
  <c r="S594" i="14" s="1"/>
  <c r="G593" i="14"/>
  <c r="S593" i="14" s="1" a="1"/>
  <c r="S593" i="14" s="1"/>
  <c r="G592" i="14"/>
  <c r="S592" i="14" s="1" a="1"/>
  <c r="S592" i="14" s="1"/>
  <c r="G591" i="14"/>
  <c r="S591" i="14" s="1" a="1"/>
  <c r="S591" i="14" s="1"/>
  <c r="G590" i="14"/>
  <c r="S590" i="14" s="1" a="1"/>
  <c r="S590" i="14" s="1"/>
  <c r="G589" i="14"/>
  <c r="S589" i="14" s="1" a="1"/>
  <c r="S589" i="14" s="1"/>
  <c r="G588" i="14"/>
  <c r="S588" i="14" s="1" a="1"/>
  <c r="S588" i="14" s="1"/>
  <c r="G587" i="14"/>
  <c r="S587" i="14" s="1" a="1"/>
  <c r="S587" i="14" s="1"/>
  <c r="G586" i="14"/>
  <c r="S586" i="14" s="1" a="1"/>
  <c r="S586" i="14" s="1"/>
  <c r="G585" i="14"/>
  <c r="S585" i="14" s="1" a="1"/>
  <c r="S585" i="14" s="1"/>
  <c r="G584" i="14"/>
  <c r="S584" i="14" s="1" a="1"/>
  <c r="S584" i="14" s="1"/>
  <c r="G583" i="14"/>
  <c r="S583" i="14" s="1" a="1"/>
  <c r="S583" i="14" s="1"/>
  <c r="G582" i="14"/>
  <c r="S582" i="14" s="1" a="1"/>
  <c r="S582" i="14" s="1"/>
  <c r="G581" i="14"/>
  <c r="S581" i="14" s="1" a="1"/>
  <c r="S581" i="14" s="1"/>
  <c r="G580" i="14"/>
  <c r="S580" i="14" s="1" a="1"/>
  <c r="S580" i="14" s="1"/>
  <c r="G579" i="14"/>
  <c r="S579" i="14" s="1" a="1"/>
  <c r="S579" i="14" s="1"/>
  <c r="G578" i="14"/>
  <c r="S578" i="14" s="1" a="1"/>
  <c r="S578" i="14" s="1"/>
  <c r="G577" i="14"/>
  <c r="S577" i="14" s="1" a="1"/>
  <c r="S577" i="14" s="1"/>
  <c r="G576" i="14"/>
  <c r="S576" i="14" s="1" a="1"/>
  <c r="S576" i="14" s="1"/>
  <c r="G575" i="14"/>
  <c r="S575" i="14" s="1" a="1"/>
  <c r="S575" i="14" s="1"/>
  <c r="G574" i="14"/>
  <c r="S574" i="14" s="1" a="1"/>
  <c r="S574" i="14" s="1"/>
  <c r="G573" i="14"/>
  <c r="S573" i="14" s="1" a="1"/>
  <c r="S573" i="14" s="1"/>
  <c r="G572" i="14"/>
  <c r="S572" i="14" s="1" a="1"/>
  <c r="S572" i="14" s="1"/>
  <c r="G571" i="14"/>
  <c r="S571" i="14" s="1" a="1"/>
  <c r="S571" i="14" s="1"/>
  <c r="G570" i="14"/>
  <c r="S570" i="14" s="1" a="1"/>
  <c r="S570" i="14" s="1"/>
  <c r="G569" i="14"/>
  <c r="S569" i="14" s="1" a="1"/>
  <c r="S569" i="14" s="1"/>
  <c r="G568" i="14"/>
  <c r="S568" i="14" s="1" a="1"/>
  <c r="S568" i="14" s="1"/>
  <c r="G567" i="14"/>
  <c r="S567" i="14" s="1" a="1"/>
  <c r="S567" i="14" s="1"/>
  <c r="G566" i="14"/>
  <c r="S566" i="14" s="1" a="1"/>
  <c r="S566" i="14" s="1"/>
  <c r="G565" i="14"/>
  <c r="S565" i="14" s="1" a="1"/>
  <c r="S565" i="14" s="1"/>
  <c r="G564" i="14"/>
  <c r="S564" i="14" s="1" a="1"/>
  <c r="S564" i="14" s="1"/>
  <c r="G563" i="14"/>
  <c r="S563" i="14" s="1" a="1"/>
  <c r="S563" i="14" s="1"/>
  <c r="G562" i="14"/>
  <c r="S562" i="14" s="1" a="1"/>
  <c r="S562" i="14" s="1"/>
  <c r="G561" i="14"/>
  <c r="S561" i="14" s="1" a="1"/>
  <c r="S561" i="14" s="1"/>
  <c r="G560" i="14"/>
  <c r="S560" i="14" s="1" a="1"/>
  <c r="S560" i="14" s="1"/>
  <c r="G559" i="14"/>
  <c r="S559" i="14" s="1" a="1"/>
  <c r="S559" i="14" s="1"/>
  <c r="G558" i="14"/>
  <c r="S558" i="14" s="1" a="1"/>
  <c r="S558" i="14" s="1"/>
  <c r="G557" i="14"/>
  <c r="S557" i="14" s="1" a="1"/>
  <c r="S557" i="14" s="1"/>
  <c r="G556" i="14"/>
  <c r="S556" i="14" s="1" a="1"/>
  <c r="S556" i="14" s="1"/>
  <c r="G555" i="14"/>
  <c r="S555" i="14" s="1" a="1"/>
  <c r="S555" i="14" s="1"/>
  <c r="G554" i="14"/>
  <c r="S554" i="14" s="1" a="1"/>
  <c r="S554" i="14" s="1"/>
  <c r="G553" i="14"/>
  <c r="S553" i="14" s="1" a="1"/>
  <c r="S553" i="14" s="1"/>
  <c r="G552" i="14"/>
  <c r="S552" i="14" s="1" a="1"/>
  <c r="S552" i="14" s="1"/>
  <c r="G551" i="14"/>
  <c r="S551" i="14" s="1" a="1"/>
  <c r="S551" i="14" s="1"/>
  <c r="G550" i="14"/>
  <c r="S550" i="14" s="1" a="1"/>
  <c r="S550" i="14" s="1"/>
  <c r="G549" i="14"/>
  <c r="S549" i="14" s="1" a="1"/>
  <c r="S549" i="14" s="1"/>
  <c r="G548" i="14"/>
  <c r="S548" i="14" s="1" a="1"/>
  <c r="S548" i="14" s="1"/>
  <c r="G547" i="14"/>
  <c r="S547" i="14" s="1" a="1"/>
  <c r="S547" i="14" s="1"/>
  <c r="G545" i="14"/>
  <c r="S545" i="14" s="1" a="1"/>
  <c r="S545" i="14" s="1"/>
  <c r="G544" i="14"/>
  <c r="S544" i="14" s="1" a="1"/>
  <c r="S544" i="14" s="1"/>
  <c r="G543" i="14"/>
  <c r="S543" i="14" s="1" a="1"/>
  <c r="S543" i="14" s="1"/>
  <c r="G542" i="14"/>
  <c r="S542" i="14" s="1" a="1"/>
  <c r="S542" i="14" s="1"/>
  <c r="G541" i="14"/>
  <c r="S541" i="14" s="1" a="1"/>
  <c r="S541" i="14" s="1"/>
  <c r="G540" i="14"/>
  <c r="S540" i="14" s="1" a="1"/>
  <c r="S540" i="14" s="1"/>
  <c r="G539" i="14"/>
  <c r="S539" i="14" s="1" a="1"/>
  <c r="S539" i="14" s="1"/>
  <c r="G538" i="14"/>
  <c r="S538" i="14" s="1" a="1"/>
  <c r="S538" i="14" s="1"/>
  <c r="G537" i="14"/>
  <c r="S537" i="14" s="1" a="1"/>
  <c r="S537" i="14" s="1"/>
  <c r="G536" i="14"/>
  <c r="S536" i="14" s="1" a="1"/>
  <c r="S536" i="14" s="1"/>
  <c r="G535" i="14"/>
  <c r="S535" i="14" s="1" a="1"/>
  <c r="S535" i="14" s="1"/>
  <c r="G534" i="14"/>
  <c r="S534" i="14" s="1" a="1"/>
  <c r="S534" i="14" s="1"/>
  <c r="G533" i="14"/>
  <c r="S533" i="14" s="1" a="1"/>
  <c r="S533" i="14" s="1"/>
  <c r="G532" i="14"/>
  <c r="S532" i="14" s="1" a="1"/>
  <c r="S532" i="14" s="1"/>
  <c r="G531" i="14"/>
  <c r="S531" i="14" s="1" a="1"/>
  <c r="S531" i="14" s="1"/>
  <c r="S546" i="14" a="1"/>
  <c r="S546" i="14" s="1"/>
  <c r="G530" i="14"/>
  <c r="S530" i="14" s="1" a="1"/>
  <c r="S530" i="14" s="1"/>
  <c r="G529" i="14"/>
  <c r="S529" i="14" s="1" a="1"/>
  <c r="S529" i="14" s="1"/>
  <c r="G528" i="14"/>
  <c r="S528" i="14" s="1" a="1"/>
  <c r="S528" i="14" s="1"/>
  <c r="G527" i="14"/>
  <c r="S527" i="14" s="1" a="1"/>
  <c r="S527" i="14" s="1"/>
  <c r="G526" i="14"/>
  <c r="S526" i="14" s="1" a="1"/>
  <c r="S526" i="14" s="1"/>
  <c r="G525" i="14"/>
  <c r="S525" i="14" s="1" a="1"/>
  <c r="S525" i="14" s="1"/>
  <c r="G524" i="14"/>
  <c r="S524" i="14" s="1" a="1"/>
  <c r="S524" i="14" s="1"/>
  <c r="G523" i="14"/>
  <c r="S523" i="14" s="1" a="1"/>
  <c r="S523" i="14" s="1"/>
  <c r="G522" i="14"/>
  <c r="S522" i="14" s="1" a="1"/>
  <c r="S522" i="14" s="1"/>
  <c r="G521" i="14"/>
  <c r="S521" i="14" s="1" a="1"/>
  <c r="S521" i="14" s="1"/>
  <c r="G520" i="14"/>
  <c r="S520" i="14" s="1" a="1"/>
  <c r="S520" i="14" s="1"/>
  <c r="G519" i="14"/>
  <c r="S519" i="14" s="1" a="1"/>
  <c r="S519" i="14" s="1"/>
  <c r="G518" i="14"/>
  <c r="S518" i="14" s="1" a="1"/>
  <c r="S518" i="14" s="1"/>
  <c r="G517" i="14"/>
  <c r="S517" i="14" s="1" a="1"/>
  <c r="S517" i="14" s="1"/>
  <c r="G516" i="14"/>
  <c r="S516" i="14" s="1" a="1"/>
  <c r="S516" i="14" s="1"/>
  <c r="G515" i="14"/>
  <c r="S515" i="14" s="1" a="1"/>
  <c r="S515" i="14" s="1"/>
  <c r="G514" i="14"/>
  <c r="S514" i="14" s="1" a="1"/>
  <c r="S514" i="14" s="1"/>
  <c r="G513" i="14"/>
  <c r="S513" i="14" s="1" a="1"/>
  <c r="S513" i="14" s="1"/>
  <c r="G512" i="14"/>
  <c r="S512" i="14" s="1" a="1"/>
  <c r="S512" i="14" s="1"/>
  <c r="G511" i="14"/>
  <c r="S511" i="14" s="1" a="1"/>
  <c r="S511" i="14" s="1"/>
  <c r="G510" i="14"/>
  <c r="S510" i="14" s="1" a="1"/>
  <c r="S510" i="14" s="1"/>
  <c r="G509" i="14"/>
  <c r="S509" i="14" s="1" a="1"/>
  <c r="S509" i="14" s="1"/>
  <c r="G508" i="14"/>
  <c r="S508" i="14" s="1" a="1"/>
  <c r="S508" i="14" s="1"/>
  <c r="G507" i="14"/>
  <c r="S507" i="14" s="1" a="1"/>
  <c r="S507" i="14" s="1"/>
  <c r="G506" i="14"/>
  <c r="S506" i="14" s="1" a="1"/>
  <c r="S506" i="14" s="1"/>
  <c r="G505" i="14"/>
  <c r="S505" i="14" s="1" a="1"/>
  <c r="S505" i="14" s="1"/>
  <c r="G504" i="14"/>
  <c r="S504" i="14" s="1" a="1"/>
  <c r="S504" i="14" s="1"/>
  <c r="G503" i="14"/>
  <c r="S503" i="14" s="1" a="1"/>
  <c r="S503" i="14" s="1"/>
  <c r="G502" i="14"/>
  <c r="S502" i="14" s="1" a="1"/>
  <c r="S502" i="14" s="1"/>
  <c r="G501" i="14"/>
  <c r="S501" i="14" s="1" a="1"/>
  <c r="S501" i="14" s="1"/>
  <c r="G500" i="14"/>
  <c r="S500" i="14" s="1" a="1"/>
  <c r="S500" i="14" s="1"/>
  <c r="G499" i="14"/>
  <c r="S499" i="14" s="1" a="1"/>
  <c r="S499" i="14" s="1"/>
  <c r="G498" i="14"/>
  <c r="S498" i="14" s="1" a="1"/>
  <c r="S498" i="14" s="1"/>
  <c r="G497" i="14"/>
  <c r="S497" i="14" s="1" a="1"/>
  <c r="S497" i="14" s="1"/>
  <c r="G496" i="14"/>
  <c r="S496" i="14" s="1" a="1"/>
  <c r="S496" i="14" s="1"/>
  <c r="G495" i="14"/>
  <c r="S495" i="14" s="1" a="1"/>
  <c r="S495" i="14" s="1"/>
  <c r="G494" i="14"/>
  <c r="S494" i="14" s="1" a="1"/>
  <c r="S494" i="14" s="1"/>
  <c r="G493" i="14"/>
  <c r="S493" i="14" s="1" a="1"/>
  <c r="S493" i="14" s="1"/>
  <c r="G492" i="14"/>
  <c r="S492" i="14" s="1" a="1"/>
  <c r="S492" i="14" s="1"/>
  <c r="G491" i="14"/>
  <c r="S491" i="14" s="1" a="1"/>
  <c r="S491" i="14" s="1"/>
  <c r="G490" i="14"/>
  <c r="S490" i="14" s="1" a="1"/>
  <c r="S490" i="14" s="1"/>
  <c r="G489" i="14"/>
  <c r="S489" i="14" s="1" a="1"/>
  <c r="S489" i="14" s="1"/>
  <c r="G488" i="14"/>
  <c r="S488" i="14" s="1" a="1"/>
  <c r="S488" i="14" s="1"/>
  <c r="G487" i="14"/>
  <c r="S487" i="14" s="1" a="1"/>
  <c r="S487" i="14" s="1"/>
  <c r="G486" i="14"/>
  <c r="S486" i="14" s="1" a="1"/>
  <c r="S486" i="14" s="1"/>
  <c r="G485" i="14"/>
  <c r="S485" i="14" s="1" a="1"/>
  <c r="S485" i="14" s="1"/>
  <c r="G484" i="14"/>
  <c r="S484" i="14" s="1" a="1"/>
  <c r="S484" i="14" s="1"/>
  <c r="G483" i="14"/>
  <c r="S483" i="14" s="1" a="1"/>
  <c r="S483" i="14" s="1"/>
  <c r="G482" i="14"/>
  <c r="S482" i="14" s="1" a="1"/>
  <c r="S482" i="14" s="1"/>
  <c r="G481" i="14"/>
  <c r="S481" i="14" s="1" a="1"/>
  <c r="S481" i="14" s="1"/>
  <c r="G480" i="14"/>
  <c r="S480" i="14" s="1" a="1"/>
  <c r="S480" i="14" s="1"/>
  <c r="G479" i="14"/>
  <c r="S479" i="14" s="1" a="1"/>
  <c r="S479" i="14" s="1"/>
  <c r="G478" i="14"/>
  <c r="S478" i="14" s="1" a="1"/>
  <c r="S478" i="14" s="1"/>
  <c r="G477" i="14"/>
  <c r="S477" i="14" s="1" a="1"/>
  <c r="S477" i="14" s="1"/>
  <c r="G476" i="14"/>
  <c r="S476" i="14" s="1" a="1"/>
  <c r="S476" i="14" s="1"/>
  <c r="G475" i="14"/>
  <c r="S475" i="14" s="1" a="1"/>
  <c r="S475" i="14" s="1"/>
  <c r="G474" i="14"/>
  <c r="S474" i="14" s="1" a="1"/>
  <c r="S474" i="14" s="1"/>
  <c r="G473" i="14"/>
  <c r="S473" i="14" s="1" a="1"/>
  <c r="S473" i="14" s="1"/>
  <c r="G472" i="14"/>
  <c r="S472" i="14" s="1" a="1"/>
  <c r="S472" i="14" s="1"/>
  <c r="G471" i="14"/>
  <c r="S471" i="14" s="1" a="1"/>
  <c r="S471" i="14" s="1"/>
  <c r="G470" i="14"/>
  <c r="S470" i="14" s="1" a="1"/>
  <c r="S470" i="14" s="1"/>
  <c r="G469" i="14"/>
  <c r="S469" i="14" s="1" a="1"/>
  <c r="S469" i="14" s="1"/>
  <c r="G468" i="14"/>
  <c r="S468" i="14" s="1" a="1"/>
  <c r="S468" i="14" s="1"/>
  <c r="G467" i="14"/>
  <c r="S467" i="14" s="1" a="1"/>
  <c r="S467" i="14" s="1"/>
  <c r="G466" i="14"/>
  <c r="S466" i="14" s="1" a="1"/>
  <c r="S466" i="14" s="1"/>
  <c r="G465" i="14"/>
  <c r="S465" i="14" s="1" a="1"/>
  <c r="S465" i="14" s="1"/>
  <c r="G464" i="14"/>
  <c r="S464" i="14" s="1" a="1"/>
  <c r="S464" i="14" s="1"/>
  <c r="G463" i="14"/>
  <c r="S463" i="14" s="1" a="1"/>
  <c r="S463" i="14" s="1"/>
  <c r="G462" i="14"/>
  <c r="S462" i="14" s="1" a="1"/>
  <c r="S462" i="14" s="1"/>
  <c r="G461" i="14"/>
  <c r="S461" i="14" s="1" a="1"/>
  <c r="S461" i="14" s="1"/>
  <c r="G460" i="14"/>
  <c r="S460" i="14" s="1" a="1"/>
  <c r="S460" i="14" s="1"/>
  <c r="G459" i="14"/>
  <c r="S459" i="14" s="1" a="1"/>
  <c r="S459" i="14" s="1"/>
  <c r="G458" i="14"/>
  <c r="S458" i="14" s="1" a="1"/>
  <c r="S458" i="14" s="1"/>
  <c r="G456" i="14"/>
  <c r="S456" i="14" s="1" a="1"/>
  <c r="S456" i="14" s="1"/>
  <c r="G455" i="14"/>
  <c r="S455" i="14" s="1" a="1"/>
  <c r="S455" i="14" s="1"/>
  <c r="G454" i="14"/>
  <c r="S454" i="14" s="1" a="1"/>
  <c r="S454" i="14" s="1"/>
  <c r="G453" i="14"/>
  <c r="S453" i="14" s="1" a="1"/>
  <c r="S453" i="14" s="1"/>
  <c r="G452" i="14"/>
  <c r="S452" i="14" s="1" a="1"/>
  <c r="S452" i="14" s="1"/>
  <c r="G451" i="14"/>
  <c r="S451" i="14" s="1" a="1"/>
  <c r="S451" i="14" s="1"/>
  <c r="G450" i="14"/>
  <c r="S450" i="14" s="1" a="1"/>
  <c r="S450" i="14" s="1"/>
  <c r="G449" i="14"/>
  <c r="S449" i="14" s="1" a="1"/>
  <c r="S449" i="14" s="1"/>
  <c r="G448" i="14"/>
  <c r="S448" i="14" s="1" a="1"/>
  <c r="S448" i="14" s="1"/>
  <c r="G447" i="14"/>
  <c r="S447" i="14" s="1" a="1"/>
  <c r="S447" i="14" s="1"/>
  <c r="G446" i="14"/>
  <c r="S446" i="14" s="1" a="1"/>
  <c r="S446" i="14" s="1"/>
  <c r="G445" i="14"/>
  <c r="S445" i="14" s="1" a="1"/>
  <c r="S445" i="14" s="1"/>
  <c r="G444" i="14"/>
  <c r="S444" i="14" s="1" a="1"/>
  <c r="S444" i="14" s="1"/>
  <c r="G443" i="14"/>
  <c r="S443" i="14" s="1" a="1"/>
  <c r="S443" i="14" s="1"/>
  <c r="G442" i="14"/>
  <c r="S442" i="14" s="1" a="1"/>
  <c r="S442" i="14" s="1"/>
  <c r="G441" i="14"/>
  <c r="S441" i="14" s="1" a="1"/>
  <c r="S441" i="14" s="1"/>
  <c r="G440" i="14"/>
  <c r="S440" i="14" s="1" a="1"/>
  <c r="S440" i="14" s="1"/>
  <c r="G439" i="14"/>
  <c r="S439" i="14" s="1" a="1"/>
  <c r="S439" i="14" s="1"/>
  <c r="G438" i="14"/>
  <c r="S438" i="14" s="1" a="1"/>
  <c r="S438" i="14" s="1"/>
  <c r="G437" i="14"/>
  <c r="S437" i="14" s="1" a="1"/>
  <c r="S437" i="14" s="1"/>
  <c r="G436" i="14"/>
  <c r="S436" i="14" s="1" a="1"/>
  <c r="S436" i="14" s="1"/>
  <c r="G435" i="14"/>
  <c r="S435" i="14" s="1" a="1"/>
  <c r="S435" i="14" s="1"/>
  <c r="G434" i="14"/>
  <c r="S434" i="14" s="1" a="1"/>
  <c r="S434" i="14" s="1"/>
  <c r="G433" i="14"/>
  <c r="S433" i="14" s="1" a="1"/>
  <c r="S433" i="14" s="1"/>
  <c r="G432" i="14"/>
  <c r="S432" i="14" s="1" a="1"/>
  <c r="S432" i="14" s="1"/>
  <c r="G431" i="14"/>
  <c r="S431" i="14" s="1" a="1"/>
  <c r="S431" i="14" s="1"/>
  <c r="G430" i="14"/>
  <c r="S430" i="14" s="1" a="1"/>
  <c r="S430" i="14" s="1"/>
  <c r="G429" i="14"/>
  <c r="S429" i="14" s="1" a="1"/>
  <c r="S429" i="14" s="1"/>
  <c r="G428" i="14"/>
  <c r="S428" i="14" s="1" a="1"/>
  <c r="S428" i="14" s="1"/>
  <c r="G427" i="14"/>
  <c r="S427" i="14" s="1" a="1"/>
  <c r="S427" i="14" s="1"/>
  <c r="G426" i="14"/>
  <c r="S426" i="14" s="1" a="1"/>
  <c r="S426" i="14" s="1"/>
  <c r="G425" i="14"/>
  <c r="S425" i="14" s="1" a="1"/>
  <c r="S425" i="14" s="1"/>
  <c r="G424" i="14"/>
  <c r="S424" i="14" s="1" a="1"/>
  <c r="S424" i="14" s="1"/>
  <c r="G423" i="14"/>
  <c r="S423" i="14" s="1" a="1"/>
  <c r="S423" i="14" s="1"/>
  <c r="G422" i="14"/>
  <c r="S422" i="14" s="1" a="1"/>
  <c r="S422" i="14" s="1"/>
  <c r="G421" i="14"/>
  <c r="S421" i="14" s="1" a="1"/>
  <c r="S421" i="14" s="1"/>
  <c r="G420" i="14"/>
  <c r="S420" i="14" s="1" a="1"/>
  <c r="S420" i="14" s="1"/>
  <c r="G419" i="14"/>
  <c r="S419" i="14" s="1" a="1"/>
  <c r="S419" i="14" s="1"/>
  <c r="G418" i="14"/>
  <c r="S418" i="14" s="1" a="1"/>
  <c r="S418" i="14" s="1"/>
  <c r="G417" i="14"/>
  <c r="S417" i="14" s="1" a="1"/>
  <c r="S417" i="14" s="1"/>
  <c r="G416" i="14"/>
  <c r="S416" i="14" s="1" a="1"/>
  <c r="S416" i="14" s="1"/>
  <c r="G415" i="14"/>
  <c r="S415" i="14" s="1" a="1"/>
  <c r="S415" i="14" s="1"/>
  <c r="G414" i="14"/>
  <c r="S414" i="14" s="1" a="1"/>
  <c r="S414" i="14" s="1"/>
  <c r="G413" i="14"/>
  <c r="S413" i="14" s="1" a="1"/>
  <c r="S413" i="14" s="1"/>
  <c r="G412" i="14"/>
  <c r="S412" i="14" s="1" a="1"/>
  <c r="S412" i="14" s="1"/>
  <c r="G411" i="14"/>
  <c r="S411" i="14" s="1" a="1"/>
  <c r="S411" i="14" s="1"/>
  <c r="G410" i="14"/>
  <c r="S410" i="14" s="1" a="1"/>
  <c r="S410" i="14" s="1"/>
  <c r="G409" i="14"/>
  <c r="S409" i="14" s="1" a="1"/>
  <c r="S409" i="14" s="1"/>
  <c r="G408" i="14"/>
  <c r="S408" i="14" s="1" a="1"/>
  <c r="S408" i="14" s="1"/>
  <c r="G407" i="14"/>
  <c r="S407" i="14" s="1" a="1"/>
  <c r="S407" i="14" s="1"/>
  <c r="G406" i="14"/>
  <c r="S406" i="14" s="1" a="1"/>
  <c r="S406" i="14" s="1"/>
  <c r="G405" i="14"/>
  <c r="S405" i="14" s="1" a="1"/>
  <c r="S405" i="14" s="1"/>
  <c r="G404" i="14"/>
  <c r="S404" i="14" s="1" a="1"/>
  <c r="S404" i="14" s="1"/>
  <c r="G403" i="14"/>
  <c r="S403" i="14" s="1" a="1"/>
  <c r="S403" i="14" s="1"/>
  <c r="G402" i="14"/>
  <c r="S402" i="14" s="1" a="1"/>
  <c r="S402" i="14" s="1"/>
  <c r="G401" i="14"/>
  <c r="S401" i="14" s="1" a="1"/>
  <c r="S401" i="14" s="1"/>
  <c r="G400" i="14"/>
  <c r="S400" i="14" s="1" a="1"/>
  <c r="S400" i="14" s="1"/>
  <c r="G399" i="14"/>
  <c r="S399" i="14" s="1" a="1"/>
  <c r="S399" i="14" s="1"/>
  <c r="G398" i="14"/>
  <c r="S398" i="14" s="1" a="1"/>
  <c r="S398" i="14" s="1"/>
  <c r="G397" i="14"/>
  <c r="S397" i="14" s="1" a="1"/>
  <c r="S397" i="14" s="1"/>
  <c r="G396" i="14"/>
  <c r="S396" i="14" s="1" a="1"/>
  <c r="S396" i="14" s="1"/>
  <c r="G395" i="14"/>
  <c r="S395" i="14" s="1" a="1"/>
  <c r="S395" i="14" s="1"/>
  <c r="G394" i="14"/>
  <c r="S394" i="14" s="1" a="1"/>
  <c r="S394" i="14" s="1"/>
  <c r="G393" i="14"/>
  <c r="S393" i="14" s="1" a="1"/>
  <c r="S393" i="14" s="1"/>
  <c r="G392" i="14"/>
  <c r="S392" i="14" s="1" a="1"/>
  <c r="S392" i="14" s="1"/>
  <c r="G391" i="14"/>
  <c r="S391" i="14" s="1" a="1"/>
  <c r="S391" i="14" s="1"/>
  <c r="G390" i="14"/>
  <c r="S390" i="14" s="1" a="1"/>
  <c r="S390" i="14" s="1"/>
  <c r="G389" i="14"/>
  <c r="S389" i="14" s="1" a="1"/>
  <c r="S389" i="14" s="1"/>
  <c r="G388" i="14"/>
  <c r="S388" i="14" s="1" a="1"/>
  <c r="S388" i="14" s="1"/>
  <c r="G387" i="14"/>
  <c r="S387" i="14" s="1" a="1"/>
  <c r="S387" i="14" s="1"/>
  <c r="G386" i="14"/>
  <c r="S386" i="14" s="1" a="1"/>
  <c r="S386" i="14" s="1"/>
  <c r="G385" i="14"/>
  <c r="S385" i="14" s="1" a="1"/>
  <c r="S385" i="14" s="1"/>
  <c r="G384" i="14"/>
  <c r="S384" i="14" s="1" a="1"/>
  <c r="S384" i="14" s="1"/>
  <c r="G383" i="14"/>
  <c r="S383" i="14" s="1" a="1"/>
  <c r="S383" i="14" s="1"/>
  <c r="G382" i="14"/>
  <c r="S382" i="14" s="1" a="1"/>
  <c r="S382" i="14" s="1"/>
  <c r="G381" i="14"/>
  <c r="S381" i="14" s="1" a="1"/>
  <c r="S381" i="14" s="1"/>
  <c r="G380" i="14"/>
  <c r="S380" i="14" s="1" a="1"/>
  <c r="S380" i="14" s="1"/>
  <c r="G379" i="14"/>
  <c r="S379" i="14" s="1" a="1"/>
  <c r="S379" i="14" s="1"/>
  <c r="G378" i="14"/>
  <c r="S378" i="14" s="1" a="1"/>
  <c r="S378" i="14" s="1"/>
  <c r="G377" i="14"/>
  <c r="S377" i="14" s="1" a="1"/>
  <c r="S377" i="14" s="1"/>
  <c r="G376" i="14"/>
  <c r="S376" i="14" s="1" a="1"/>
  <c r="S376" i="14" s="1"/>
  <c r="G375" i="14"/>
  <c r="S375" i="14" s="1" a="1"/>
  <c r="S375" i="14" s="1"/>
  <c r="G374" i="14"/>
  <c r="S374" i="14" s="1" a="1"/>
  <c r="S374" i="14" s="1"/>
  <c r="G373" i="14"/>
  <c r="S373" i="14" s="1" a="1"/>
  <c r="S373" i="14" s="1"/>
  <c r="G372" i="14"/>
  <c r="S372" i="14" s="1" a="1"/>
  <c r="S372" i="14" s="1"/>
  <c r="G371" i="14"/>
  <c r="S371" i="14" s="1" a="1"/>
  <c r="S371" i="14" s="1"/>
  <c r="G370" i="14"/>
  <c r="S370" i="14" s="1" a="1"/>
  <c r="S370" i="14" s="1"/>
  <c r="G369" i="14"/>
  <c r="S369" i="14" s="1" a="1"/>
  <c r="S369" i="14" s="1"/>
  <c r="G368" i="14"/>
  <c r="S368" i="14" s="1" a="1"/>
  <c r="S368" i="14" s="1"/>
  <c r="G367" i="14"/>
  <c r="S367" i="14" s="1" a="1"/>
  <c r="S367" i="14" s="1"/>
  <c r="G366" i="14"/>
  <c r="S366" i="14" s="1" a="1"/>
  <c r="S366" i="14" s="1"/>
  <c r="G365" i="14"/>
  <c r="S365" i="14" s="1" a="1"/>
  <c r="S365" i="14" s="1"/>
  <c r="G364" i="14"/>
  <c r="S364" i="14" s="1" a="1"/>
  <c r="S364" i="14" s="1"/>
  <c r="G363" i="14"/>
  <c r="S363" i="14" s="1" a="1"/>
  <c r="S363" i="14" s="1"/>
  <c r="G362" i="14"/>
  <c r="S362" i="14" s="1" a="1"/>
  <c r="S362" i="14" s="1"/>
  <c r="G361" i="14"/>
  <c r="S361" i="14" s="1" a="1"/>
  <c r="S361" i="14" s="1"/>
  <c r="G360" i="14"/>
  <c r="S360" i="14" s="1" a="1"/>
  <c r="S360" i="14" s="1"/>
  <c r="G359" i="14"/>
  <c r="S359" i="14" s="1" a="1"/>
  <c r="S359" i="14" s="1"/>
  <c r="G358" i="14"/>
  <c r="S358" i="14" s="1" a="1"/>
  <c r="S358" i="14" s="1"/>
  <c r="G357" i="14"/>
  <c r="S357" i="14" s="1" a="1"/>
  <c r="S357" i="14" s="1"/>
  <c r="G356" i="14"/>
  <c r="S356" i="14" s="1" a="1"/>
  <c r="S356" i="14" s="1"/>
  <c r="G355" i="14"/>
  <c r="S355" i="14" s="1" a="1"/>
  <c r="S355" i="14" s="1"/>
  <c r="G354" i="14"/>
  <c r="S354" i="14" s="1" a="1"/>
  <c r="S354" i="14" s="1"/>
  <c r="G353" i="14"/>
  <c r="S353" i="14" s="1" a="1"/>
  <c r="S353" i="14" s="1"/>
  <c r="G352" i="14"/>
  <c r="S352" i="14" s="1" a="1"/>
  <c r="S352" i="14" s="1"/>
  <c r="G351" i="14"/>
  <c r="S351" i="14" s="1" a="1"/>
  <c r="S351" i="14" s="1"/>
  <c r="G350" i="14"/>
  <c r="S350" i="14" s="1" a="1"/>
  <c r="S350" i="14" s="1"/>
  <c r="G349" i="14"/>
  <c r="S349" i="14" s="1" a="1"/>
  <c r="S349" i="14" s="1"/>
  <c r="G348" i="14"/>
  <c r="S348" i="14" s="1" a="1"/>
  <c r="S348" i="14" s="1"/>
  <c r="G347" i="14"/>
  <c r="S347" i="14" s="1" a="1"/>
  <c r="S347" i="14" s="1"/>
  <c r="G346" i="14"/>
  <c r="S346" i="14" s="1" a="1"/>
  <c r="S346" i="14" s="1"/>
  <c r="G345" i="14"/>
  <c r="S345" i="14" s="1" a="1"/>
  <c r="S345" i="14" s="1"/>
  <c r="G344" i="14"/>
  <c r="S344" i="14" s="1" a="1"/>
  <c r="S344" i="14" s="1"/>
  <c r="G343" i="14"/>
  <c r="S343" i="14" s="1" a="1"/>
  <c r="S343" i="14" s="1"/>
  <c r="G342" i="14"/>
  <c r="S342" i="14" s="1" a="1"/>
  <c r="S342" i="14" s="1"/>
  <c r="G341" i="14"/>
  <c r="S341" i="14" s="1" a="1"/>
  <c r="S341" i="14" s="1"/>
  <c r="G340" i="14"/>
  <c r="S340" i="14" s="1" a="1"/>
  <c r="S340" i="14" s="1"/>
  <c r="G339" i="14"/>
  <c r="S339" i="14" s="1" a="1"/>
  <c r="S339" i="14" s="1"/>
  <c r="G338" i="14"/>
  <c r="S338" i="14" s="1" a="1"/>
  <c r="S338" i="14" s="1"/>
  <c r="G337" i="14"/>
  <c r="S337" i="14" s="1" a="1"/>
  <c r="S337" i="14" s="1"/>
  <c r="G336" i="14"/>
  <c r="S336" i="14" s="1" a="1"/>
  <c r="S336" i="14" s="1"/>
  <c r="G335" i="14"/>
  <c r="S335" i="14" s="1" a="1"/>
  <c r="S335" i="14" s="1"/>
  <c r="G334" i="14"/>
  <c r="S334" i="14" s="1" a="1"/>
  <c r="S334" i="14" s="1"/>
  <c r="G333" i="14"/>
  <c r="S333" i="14" s="1" a="1"/>
  <c r="S333" i="14" s="1"/>
  <c r="G332" i="14"/>
  <c r="S332" i="14" s="1" a="1"/>
  <c r="S332" i="14" s="1"/>
  <c r="G331" i="14"/>
  <c r="S331" i="14" s="1" a="1"/>
  <c r="S331" i="14" s="1"/>
  <c r="G330" i="14"/>
  <c r="S330" i="14" s="1" a="1"/>
  <c r="S330" i="14" s="1"/>
  <c r="G329" i="14"/>
  <c r="S329" i="14" s="1" a="1"/>
  <c r="S329" i="14" s="1"/>
  <c r="G328" i="14"/>
  <c r="S328" i="14" s="1" a="1"/>
  <c r="S328" i="14" s="1"/>
  <c r="G327" i="14"/>
  <c r="S327" i="14" s="1" a="1"/>
  <c r="S327" i="14" s="1"/>
  <c r="G326" i="14"/>
  <c r="S326" i="14" s="1" a="1"/>
  <c r="S326" i="14" s="1"/>
  <c r="G325" i="14"/>
  <c r="S325" i="14" s="1" a="1"/>
  <c r="S325" i="14" s="1"/>
  <c r="G324" i="14"/>
  <c r="S324" i="14" s="1" a="1"/>
  <c r="S324" i="14" s="1"/>
  <c r="G323" i="14"/>
  <c r="S323" i="14" s="1" a="1"/>
  <c r="S323" i="14" s="1"/>
  <c r="G322" i="14"/>
  <c r="S322" i="14" s="1" a="1"/>
  <c r="S322" i="14" s="1"/>
  <c r="G321" i="14"/>
  <c r="S321" i="14" s="1" a="1"/>
  <c r="S321" i="14" s="1"/>
  <c r="G320" i="14"/>
  <c r="S320" i="14" s="1" a="1"/>
  <c r="S320" i="14" s="1"/>
  <c r="G319" i="14"/>
  <c r="S319" i="14" s="1" a="1"/>
  <c r="S319" i="14" s="1"/>
  <c r="G318" i="14"/>
  <c r="S318" i="14" s="1" a="1"/>
  <c r="S318" i="14" s="1"/>
  <c r="G317" i="14"/>
  <c r="S317" i="14" s="1" a="1"/>
  <c r="S317" i="14" s="1"/>
  <c r="G316" i="14"/>
  <c r="S316" i="14" s="1" a="1"/>
  <c r="S316" i="14" s="1"/>
  <c r="G315" i="14"/>
  <c r="S315" i="14" s="1" a="1"/>
  <c r="S315" i="14" s="1"/>
  <c r="G314" i="14"/>
  <c r="S314" i="14" s="1" a="1"/>
  <c r="S314" i="14" s="1"/>
  <c r="G313" i="14"/>
  <c r="S313" i="14" s="1" a="1"/>
  <c r="S313" i="14" s="1"/>
  <c r="G312" i="14"/>
  <c r="S312" i="14" s="1" a="1"/>
  <c r="S312" i="14" s="1"/>
  <c r="G311" i="14"/>
  <c r="S311" i="14" s="1" a="1"/>
  <c r="S311" i="14" s="1"/>
  <c r="G310" i="14"/>
  <c r="S310" i="14" s="1" a="1"/>
  <c r="S310" i="14" s="1"/>
  <c r="G309" i="14"/>
  <c r="S309" i="14" s="1" a="1"/>
  <c r="S309" i="14" s="1"/>
  <c r="G308" i="14"/>
  <c r="S308" i="14" s="1" a="1"/>
  <c r="S308" i="14" s="1"/>
  <c r="G307" i="14"/>
  <c r="S307" i="14" s="1" a="1"/>
  <c r="S307" i="14" s="1"/>
  <c r="G306" i="14"/>
  <c r="S306" i="14" s="1" a="1"/>
  <c r="S306" i="14" s="1"/>
  <c r="G305" i="14"/>
  <c r="S305" i="14" s="1" a="1"/>
  <c r="S305" i="14" s="1"/>
  <c r="G304" i="14"/>
  <c r="S304" i="14" s="1" a="1"/>
  <c r="S304" i="14" s="1"/>
  <c r="G303" i="14"/>
  <c r="S303" i="14" s="1" a="1"/>
  <c r="S303" i="14" s="1"/>
  <c r="G302" i="14"/>
  <c r="S302" i="14" s="1" a="1"/>
  <c r="S302" i="14" s="1"/>
  <c r="G301" i="14"/>
  <c r="S301" i="14" s="1" a="1"/>
  <c r="S301" i="14" s="1"/>
  <c r="G300" i="14"/>
  <c r="S300" i="14" s="1" a="1"/>
  <c r="S300" i="14" s="1"/>
  <c r="G299" i="14"/>
  <c r="S299" i="14" s="1" a="1"/>
  <c r="S299" i="14" s="1"/>
  <c r="G298" i="14"/>
  <c r="S298" i="14" s="1" a="1"/>
  <c r="S298" i="14" s="1"/>
  <c r="G297" i="14"/>
  <c r="S297" i="14" s="1" a="1"/>
  <c r="S297" i="14" s="1"/>
  <c r="G296" i="14"/>
  <c r="S296" i="14" s="1" a="1"/>
  <c r="S296" i="14" s="1"/>
  <c r="G295" i="14"/>
  <c r="S295" i="14" s="1" a="1"/>
  <c r="S295" i="14" s="1"/>
  <c r="G294" i="14"/>
  <c r="S294" i="14" s="1" a="1"/>
  <c r="S294" i="14" s="1"/>
  <c r="G293" i="14"/>
  <c r="S293" i="14" s="1" a="1"/>
  <c r="S293" i="14" s="1"/>
  <c r="G292" i="14"/>
  <c r="S292" i="14" s="1" a="1"/>
  <c r="S292" i="14" s="1"/>
  <c r="G291" i="14"/>
  <c r="S291" i="14" s="1" a="1"/>
  <c r="S291" i="14" s="1"/>
  <c r="G290" i="14"/>
  <c r="S290" i="14" s="1" a="1"/>
  <c r="S290" i="14" s="1"/>
  <c r="G289" i="14"/>
  <c r="S289" i="14" s="1" a="1"/>
  <c r="S289" i="14" s="1"/>
  <c r="G288" i="14"/>
  <c r="S288" i="14" s="1" a="1"/>
  <c r="S288" i="14" s="1"/>
  <c r="G287" i="14"/>
  <c r="S287" i="14" s="1" a="1"/>
  <c r="S287" i="14" s="1"/>
  <c r="G286" i="14"/>
  <c r="S286" i="14" s="1" a="1"/>
  <c r="S286" i="14" s="1"/>
  <c r="G285" i="14"/>
  <c r="S285" i="14" s="1" a="1"/>
  <c r="S285" i="14" s="1"/>
  <c r="G284" i="14"/>
  <c r="S284" i="14" s="1" a="1"/>
  <c r="S284" i="14" s="1"/>
  <c r="G283" i="14"/>
  <c r="S283" i="14" s="1" a="1"/>
  <c r="S283" i="14" s="1"/>
  <c r="G282" i="14"/>
  <c r="S282" i="14" s="1" a="1"/>
  <c r="S282" i="14" s="1"/>
  <c r="G281" i="14"/>
  <c r="S281" i="14" s="1" a="1"/>
  <c r="S281" i="14" s="1"/>
  <c r="G280" i="14"/>
  <c r="S280" i="14" s="1" a="1"/>
  <c r="S280" i="14" s="1"/>
  <c r="G279" i="14"/>
  <c r="S279" i="14" s="1" a="1"/>
  <c r="S279" i="14" s="1"/>
  <c r="G278" i="14"/>
  <c r="S278" i="14" s="1" a="1"/>
  <c r="S278" i="14" s="1"/>
  <c r="G277" i="14"/>
  <c r="S277" i="14" s="1" a="1"/>
  <c r="S277" i="14" s="1"/>
  <c r="G276" i="14"/>
  <c r="S276" i="14" s="1" a="1"/>
  <c r="S276" i="14" s="1"/>
  <c r="G275" i="14"/>
  <c r="S275" i="14" s="1" a="1"/>
  <c r="S275" i="14" s="1"/>
  <c r="G274" i="14"/>
  <c r="S274" i="14" s="1" a="1"/>
  <c r="S274" i="14" s="1"/>
  <c r="G273" i="14"/>
  <c r="S273" i="14" s="1" a="1"/>
  <c r="S273" i="14" s="1"/>
  <c r="G272" i="14"/>
  <c r="S272" i="14" s="1" a="1"/>
  <c r="S272" i="14" s="1"/>
  <c r="G271" i="14"/>
  <c r="S271" i="14" s="1" a="1"/>
  <c r="S271" i="14" s="1"/>
  <c r="G270" i="14"/>
  <c r="S270" i="14" s="1" a="1"/>
  <c r="S270" i="14" s="1"/>
  <c r="G269" i="14"/>
  <c r="S269" i="14" s="1" a="1"/>
  <c r="S269" i="14" s="1"/>
  <c r="G268" i="14"/>
  <c r="S268" i="14" s="1" a="1"/>
  <c r="S268" i="14" s="1"/>
  <c r="G267" i="14"/>
  <c r="S267" i="14" s="1" a="1"/>
  <c r="S267" i="14" s="1"/>
  <c r="G266" i="14"/>
  <c r="S266" i="14" s="1" a="1"/>
  <c r="S266" i="14" s="1"/>
  <c r="G265" i="14"/>
  <c r="S265" i="14" s="1" a="1"/>
  <c r="S265" i="14" s="1"/>
  <c r="G264" i="14"/>
  <c r="S264" i="14" s="1" a="1"/>
  <c r="S264" i="14" s="1"/>
  <c r="G263" i="14"/>
  <c r="S263" i="14" s="1" a="1"/>
  <c r="S263" i="14" s="1"/>
  <c r="G262" i="14"/>
  <c r="S262" i="14" s="1" a="1"/>
  <c r="S262" i="14" s="1"/>
  <c r="G261" i="14"/>
  <c r="S261" i="14" s="1" a="1"/>
  <c r="S261" i="14" s="1"/>
  <c r="G260" i="14"/>
  <c r="S260" i="14" s="1" a="1"/>
  <c r="S260" i="14" s="1"/>
  <c r="G259" i="14"/>
  <c r="S259" i="14" s="1" a="1"/>
  <c r="S259" i="14" s="1"/>
  <c r="G258" i="14"/>
  <c r="S258" i="14" s="1" a="1"/>
  <c r="S258" i="14" s="1"/>
  <c r="G257" i="14"/>
  <c r="S257" i="14" s="1" a="1"/>
  <c r="S257" i="14" s="1"/>
  <c r="G256" i="14"/>
  <c r="S256" i="14" s="1" a="1"/>
  <c r="S256" i="14" s="1"/>
  <c r="G255" i="14"/>
  <c r="S255" i="14" s="1" a="1"/>
  <c r="S255" i="14" s="1"/>
  <c r="G254" i="14"/>
  <c r="S254" i="14" s="1" a="1"/>
  <c r="S254" i="14" s="1"/>
  <c r="G253" i="14"/>
  <c r="S253" i="14" s="1" a="1"/>
  <c r="S253" i="14" s="1"/>
  <c r="G252" i="14"/>
  <c r="S252" i="14" s="1" a="1"/>
  <c r="S252" i="14" s="1"/>
  <c r="G251" i="14"/>
  <c r="S251" i="14" s="1" a="1"/>
  <c r="S251" i="14" s="1"/>
  <c r="G250" i="14"/>
  <c r="S250" i="14" s="1" a="1"/>
  <c r="S250" i="14" s="1"/>
  <c r="G249" i="14"/>
  <c r="S249" i="14" s="1" a="1"/>
  <c r="S249" i="14" s="1"/>
  <c r="G248" i="14"/>
  <c r="S248" i="14" s="1" a="1"/>
  <c r="S248" i="14" s="1"/>
  <c r="G247" i="14"/>
  <c r="S247" i="14" s="1" a="1"/>
  <c r="S247" i="14" s="1"/>
  <c r="G246" i="14"/>
  <c r="S246" i="14" s="1" a="1"/>
  <c r="S246" i="14" s="1"/>
  <c r="G245" i="14"/>
  <c r="S245" i="14" s="1" a="1"/>
  <c r="S245" i="14" s="1"/>
  <c r="G244" i="14"/>
  <c r="S244" i="14" s="1" a="1"/>
  <c r="S244" i="14" s="1"/>
  <c r="G243" i="14"/>
  <c r="S243" i="14" s="1" a="1"/>
  <c r="S243" i="14" s="1"/>
  <c r="G242" i="14"/>
  <c r="S242" i="14" s="1" a="1"/>
  <c r="S242" i="14" s="1"/>
  <c r="G241" i="14"/>
  <c r="S241" i="14" s="1" a="1"/>
  <c r="S241" i="14" s="1"/>
  <c r="G240" i="14"/>
  <c r="S240" i="14" s="1" a="1"/>
  <c r="S240" i="14" s="1"/>
  <c r="G239" i="14"/>
  <c r="S239" i="14" s="1" a="1"/>
  <c r="S239" i="14" s="1"/>
  <c r="G238" i="14"/>
  <c r="S238" i="14" s="1" a="1"/>
  <c r="S238" i="14" s="1"/>
  <c r="G237" i="14"/>
  <c r="S237" i="14" s="1" a="1"/>
  <c r="S237" i="14" s="1"/>
  <c r="G236" i="14"/>
  <c r="S236" i="14" s="1" a="1"/>
  <c r="S236" i="14" s="1"/>
  <c r="G235" i="14"/>
  <c r="S235" i="14" s="1" a="1"/>
  <c r="S235" i="14" s="1"/>
  <c r="G234" i="14"/>
  <c r="S234" i="14" s="1" a="1"/>
  <c r="S234" i="14" s="1"/>
  <c r="G233" i="14"/>
  <c r="S233" i="14" s="1" a="1"/>
  <c r="S233" i="14" s="1"/>
  <c r="G232" i="14"/>
  <c r="S232" i="14" s="1" a="1"/>
  <c r="S232" i="14" s="1"/>
  <c r="G231" i="14"/>
  <c r="S231" i="14" s="1" a="1"/>
  <c r="S231" i="14" s="1"/>
  <c r="G230" i="14"/>
  <c r="S230" i="14" s="1" a="1"/>
  <c r="S230" i="14" s="1"/>
  <c r="G229" i="14"/>
  <c r="S229" i="14" s="1" a="1"/>
  <c r="S229" i="14" s="1"/>
  <c r="G228" i="14"/>
  <c r="S228" i="14" s="1" a="1"/>
  <c r="S228" i="14" s="1"/>
  <c r="G227" i="14"/>
  <c r="S227" i="14" s="1" a="1"/>
  <c r="S227" i="14" s="1"/>
  <c r="G226" i="14"/>
  <c r="S226" i="14" s="1" a="1"/>
  <c r="S226" i="14" s="1"/>
  <c r="G225" i="14"/>
  <c r="S225" i="14" s="1" a="1"/>
  <c r="S225" i="14" s="1"/>
  <c r="G224" i="14"/>
  <c r="S224" i="14" s="1" a="1"/>
  <c r="S224" i="14" s="1"/>
  <c r="G223" i="14"/>
  <c r="S223" i="14" s="1" a="1"/>
  <c r="S223" i="14" s="1"/>
  <c r="G222" i="14"/>
  <c r="S222" i="14" s="1" a="1"/>
  <c r="S222" i="14" s="1"/>
  <c r="G221" i="14"/>
  <c r="S221" i="14" s="1" a="1"/>
  <c r="S221" i="14" s="1"/>
  <c r="G220" i="14"/>
  <c r="S220" i="14" s="1" a="1"/>
  <c r="S220" i="14" s="1"/>
  <c r="G219" i="14"/>
  <c r="S219" i="14" s="1" a="1"/>
  <c r="S219" i="14" s="1"/>
  <c r="G218" i="14"/>
  <c r="S218" i="14" s="1" a="1"/>
  <c r="S218" i="14" s="1"/>
  <c r="G217" i="14"/>
  <c r="S217" i="14" s="1" a="1"/>
  <c r="S217" i="14" s="1"/>
  <c r="G216" i="14"/>
  <c r="S216" i="14" s="1" a="1"/>
  <c r="S216" i="14" s="1"/>
  <c r="G215" i="14"/>
  <c r="S215" i="14" s="1" a="1"/>
  <c r="S215" i="14" s="1"/>
  <c r="G214" i="14"/>
  <c r="S214" i="14" s="1" a="1"/>
  <c r="S214" i="14" s="1"/>
  <c r="G213" i="14"/>
  <c r="S213" i="14" s="1" a="1"/>
  <c r="S213" i="14" s="1"/>
  <c r="G212" i="14"/>
  <c r="S212" i="14" s="1" a="1"/>
  <c r="S212" i="14" s="1"/>
  <c r="G211" i="14"/>
  <c r="S211" i="14" s="1" a="1"/>
  <c r="S211" i="14" s="1"/>
  <c r="G210" i="14"/>
  <c r="S210" i="14" s="1" a="1"/>
  <c r="S210" i="14" s="1"/>
  <c r="G209" i="14"/>
  <c r="S209" i="14" s="1" a="1"/>
  <c r="S209" i="14" s="1"/>
  <c r="G208" i="14"/>
  <c r="S208" i="14" s="1" a="1"/>
  <c r="S208" i="14" s="1"/>
  <c r="G207" i="14"/>
  <c r="S207" i="14" s="1" a="1"/>
  <c r="S207" i="14" s="1"/>
  <c r="G206" i="14"/>
  <c r="S206" i="14" s="1" a="1"/>
  <c r="S206" i="14" s="1"/>
  <c r="G205" i="14"/>
  <c r="S205" i="14" s="1" a="1"/>
  <c r="S205" i="14" s="1"/>
  <c r="G204" i="14"/>
  <c r="S204" i="14" s="1" a="1"/>
  <c r="S204" i="14" s="1"/>
  <c r="G203" i="14"/>
  <c r="S203" i="14" s="1" a="1"/>
  <c r="S203" i="14" s="1"/>
  <c r="G202" i="14"/>
  <c r="S202" i="14" s="1" a="1"/>
  <c r="S202" i="14" s="1"/>
  <c r="G201" i="14"/>
  <c r="S201" i="14" s="1" a="1"/>
  <c r="S201" i="14" s="1"/>
  <c r="G200" i="14"/>
  <c r="S200" i="14" s="1" a="1"/>
  <c r="S200" i="14" s="1"/>
  <c r="G199" i="14"/>
  <c r="S199" i="14" s="1" a="1"/>
  <c r="S199" i="14" s="1"/>
  <c r="G198" i="14"/>
  <c r="S198" i="14" s="1" a="1"/>
  <c r="S198" i="14" s="1"/>
  <c r="G197" i="14"/>
  <c r="S197" i="14" s="1" a="1"/>
  <c r="S197" i="14" s="1"/>
  <c r="G196" i="14"/>
  <c r="S196" i="14" s="1" a="1"/>
  <c r="S196" i="14" s="1"/>
  <c r="G195" i="14"/>
  <c r="S195" i="14" s="1" a="1"/>
  <c r="S195" i="14" s="1"/>
  <c r="G194" i="14"/>
  <c r="S194" i="14" s="1" a="1"/>
  <c r="S194" i="14" s="1"/>
  <c r="G193" i="14"/>
  <c r="S193" i="14" s="1" a="1"/>
  <c r="S193" i="14" s="1"/>
  <c r="G192" i="14"/>
  <c r="S192" i="14" s="1" a="1"/>
  <c r="S192" i="14" s="1"/>
  <c r="G191" i="14"/>
  <c r="S191" i="14" s="1" a="1"/>
  <c r="S191" i="14" s="1"/>
  <c r="G190" i="14"/>
  <c r="S190" i="14" s="1" a="1"/>
  <c r="S190" i="14" s="1"/>
  <c r="G189" i="14"/>
  <c r="S189" i="14" s="1" a="1"/>
  <c r="S189" i="14" s="1"/>
  <c r="G188" i="14"/>
  <c r="S188" i="14" s="1" a="1"/>
  <c r="S188" i="14" s="1"/>
  <c r="G187" i="14"/>
  <c r="S187" i="14" s="1" a="1"/>
  <c r="S187" i="14" s="1"/>
  <c r="G186" i="14"/>
  <c r="S186" i="14" s="1" a="1"/>
  <c r="S186" i="14" s="1"/>
  <c r="G185" i="14"/>
  <c r="S185" i="14" s="1" a="1"/>
  <c r="S185" i="14" s="1"/>
  <c r="G184" i="14"/>
  <c r="S184" i="14" s="1" a="1"/>
  <c r="S184" i="14" s="1"/>
  <c r="G183" i="14"/>
  <c r="S183" i="14" s="1" a="1"/>
  <c r="S183" i="14" s="1"/>
  <c r="G182" i="14"/>
  <c r="S182" i="14" s="1" a="1"/>
  <c r="S182" i="14" s="1"/>
  <c r="G181" i="14"/>
  <c r="S181" i="14" s="1" a="1"/>
  <c r="S181" i="14" s="1"/>
  <c r="G180" i="14"/>
  <c r="S180" i="14" s="1" a="1"/>
  <c r="S180" i="14" s="1"/>
  <c r="G179" i="14"/>
  <c r="S179" i="14" s="1" a="1"/>
  <c r="S179" i="14" s="1"/>
  <c r="G178" i="14"/>
  <c r="S178" i="14" s="1" a="1"/>
  <c r="S178" i="14" s="1"/>
  <c r="G177" i="14"/>
  <c r="S177" i="14" s="1" a="1"/>
  <c r="S177" i="14" s="1"/>
  <c r="G176" i="14"/>
  <c r="S176" i="14" s="1" a="1"/>
  <c r="S176" i="14" s="1"/>
  <c r="G175" i="14"/>
  <c r="S175" i="14" s="1" a="1"/>
  <c r="S175" i="14" s="1"/>
  <c r="G174" i="14"/>
  <c r="S174" i="14" s="1" a="1"/>
  <c r="S174" i="14" s="1"/>
  <c r="G173" i="14"/>
  <c r="S173" i="14" s="1" a="1"/>
  <c r="S173" i="14" s="1"/>
  <c r="G172" i="14"/>
  <c r="S172" i="14" s="1" a="1"/>
  <c r="S172" i="14" s="1"/>
  <c r="G171" i="14"/>
  <c r="S171" i="14" s="1" a="1"/>
  <c r="S171" i="14" s="1"/>
  <c r="G170" i="14"/>
  <c r="S170" i="14" s="1" a="1"/>
  <c r="S170" i="14" s="1"/>
  <c r="G169" i="14"/>
  <c r="S169" i="14" s="1" a="1"/>
  <c r="S169" i="14" s="1"/>
  <c r="G168" i="14"/>
  <c r="S168" i="14" s="1" a="1"/>
  <c r="S168" i="14" s="1"/>
  <c r="G167" i="14"/>
  <c r="S167" i="14" s="1" a="1"/>
  <c r="S167" i="14" s="1"/>
  <c r="G166" i="14"/>
  <c r="S166" i="14" s="1" a="1"/>
  <c r="S166" i="14" s="1"/>
  <c r="G165" i="14"/>
  <c r="S165" i="14" s="1" a="1"/>
  <c r="S165" i="14" s="1"/>
  <c r="G164" i="14"/>
  <c r="S164" i="14" s="1" a="1"/>
  <c r="S164" i="14" s="1"/>
  <c r="G163" i="14"/>
  <c r="S163" i="14" s="1" a="1"/>
  <c r="S163" i="14" s="1"/>
  <c r="G162" i="14"/>
  <c r="S162" i="14" s="1" a="1"/>
  <c r="S162" i="14" s="1"/>
  <c r="G161" i="14"/>
  <c r="S161" i="14" s="1" a="1"/>
  <c r="S161" i="14" s="1"/>
  <c r="G160" i="14"/>
  <c r="S160" i="14" s="1" a="1"/>
  <c r="S160" i="14" s="1"/>
  <c r="G159" i="14"/>
  <c r="S159" i="14" s="1" a="1"/>
  <c r="S159" i="14" s="1"/>
  <c r="G158" i="14"/>
  <c r="S158" i="14" s="1" a="1"/>
  <c r="S158" i="14" s="1"/>
  <c r="G157" i="14"/>
  <c r="S157" i="14" s="1" a="1"/>
  <c r="S157" i="14" s="1"/>
  <c r="G156" i="14"/>
  <c r="S156" i="14" s="1" a="1"/>
  <c r="S156" i="14" s="1"/>
  <c r="G155" i="14"/>
  <c r="S155" i="14" s="1" a="1"/>
  <c r="S155" i="14" s="1"/>
  <c r="G154" i="14"/>
  <c r="S154" i="14" s="1" a="1"/>
  <c r="S154" i="14" s="1"/>
  <c r="G153" i="14"/>
  <c r="S153" i="14" s="1" a="1"/>
  <c r="S153" i="14" s="1"/>
  <c r="G152" i="14"/>
  <c r="S152" i="14" s="1" a="1"/>
  <c r="S152" i="14" s="1"/>
  <c r="G151" i="14"/>
  <c r="S151" i="14" s="1" a="1"/>
  <c r="S151" i="14" s="1"/>
  <c r="G150" i="14"/>
  <c r="S150" i="14" s="1" a="1"/>
  <c r="S150" i="14" s="1"/>
  <c r="G149" i="14"/>
  <c r="S149" i="14" s="1" a="1"/>
  <c r="S149" i="14" s="1"/>
  <c r="G148" i="14"/>
  <c r="S148" i="14" s="1" a="1"/>
  <c r="S148" i="14" s="1"/>
  <c r="G147" i="14"/>
  <c r="S147" i="14" s="1" a="1"/>
  <c r="S147" i="14" s="1"/>
  <c r="G146" i="14"/>
  <c r="S146" i="14" s="1" a="1"/>
  <c r="S146" i="14" s="1"/>
  <c r="G145" i="14"/>
  <c r="S145" i="14" s="1" a="1"/>
  <c r="S145" i="14" s="1"/>
  <c r="G144" i="14"/>
  <c r="S144" i="14" s="1" a="1"/>
  <c r="S144" i="14" s="1"/>
  <c r="G143" i="14"/>
  <c r="S143" i="14" s="1" a="1"/>
  <c r="S143" i="14" s="1"/>
  <c r="G142" i="14"/>
  <c r="S142" i="14" s="1" a="1"/>
  <c r="S142" i="14" s="1"/>
  <c r="G141" i="14"/>
  <c r="S141" i="14" s="1" a="1"/>
  <c r="S141" i="14" s="1"/>
  <c r="G140" i="14"/>
  <c r="S140" i="14" s="1" a="1"/>
  <c r="S140" i="14" s="1"/>
  <c r="G139" i="14"/>
  <c r="S139" i="14" s="1" a="1"/>
  <c r="S139" i="14" s="1"/>
  <c r="G138" i="14"/>
  <c r="S138" i="14" s="1" a="1"/>
  <c r="S138" i="14" s="1"/>
  <c r="G137" i="14"/>
  <c r="S137" i="14" s="1" a="1"/>
  <c r="S137" i="14" s="1"/>
  <c r="G136" i="14"/>
  <c r="S136" i="14" s="1" a="1"/>
  <c r="S136" i="14" s="1"/>
  <c r="G135" i="14"/>
  <c r="S135" i="14" s="1" a="1"/>
  <c r="S135" i="14" s="1"/>
  <c r="G134" i="14"/>
  <c r="S134" i="14" s="1" a="1"/>
  <c r="S134" i="14" s="1"/>
  <c r="G133" i="14"/>
  <c r="S133" i="14" s="1" a="1"/>
  <c r="S133" i="14" s="1"/>
  <c r="G132" i="14"/>
  <c r="S132" i="14" s="1" a="1"/>
  <c r="S132" i="14" s="1"/>
  <c r="G131" i="14"/>
  <c r="S131" i="14" s="1" a="1"/>
  <c r="S131" i="14" s="1"/>
  <c r="G130" i="14"/>
  <c r="S130" i="14" s="1" a="1"/>
  <c r="S130" i="14" s="1"/>
  <c r="G129" i="14"/>
  <c r="S129" i="14" s="1" a="1"/>
  <c r="S129" i="14" s="1"/>
  <c r="G128" i="14"/>
  <c r="S128" i="14" s="1" a="1"/>
  <c r="S128" i="14" s="1"/>
  <c r="G127" i="14"/>
  <c r="S127" i="14" s="1" a="1"/>
  <c r="S127" i="14" s="1"/>
  <c r="G126" i="14"/>
  <c r="S126" i="14" s="1" a="1"/>
  <c r="S126" i="14" s="1"/>
  <c r="G125" i="14"/>
  <c r="S125" i="14" s="1" a="1"/>
  <c r="S125" i="14" s="1"/>
  <c r="G124" i="14"/>
  <c r="S124" i="14" s="1" a="1"/>
  <c r="S124" i="14" s="1"/>
  <c r="G123" i="14"/>
  <c r="S123" i="14" s="1" a="1"/>
  <c r="S123" i="14" s="1"/>
  <c r="G122" i="14"/>
  <c r="S122" i="14" s="1" a="1"/>
  <c r="S122" i="14" s="1"/>
  <c r="G121" i="14"/>
  <c r="S121" i="14" s="1" a="1"/>
  <c r="S121" i="14" s="1"/>
  <c r="G120" i="14"/>
  <c r="S120" i="14" s="1" a="1"/>
  <c r="S120" i="14" s="1"/>
  <c r="G119" i="14"/>
  <c r="S119" i="14" s="1" a="1"/>
  <c r="S119" i="14" s="1"/>
  <c r="G118" i="14"/>
  <c r="S118" i="14" s="1" a="1"/>
  <c r="S118" i="14" s="1"/>
  <c r="G117" i="14"/>
  <c r="S117" i="14" s="1" a="1"/>
  <c r="S117" i="14" s="1"/>
  <c r="G116" i="14"/>
  <c r="S116" i="14" s="1" a="1"/>
  <c r="S116" i="14" s="1"/>
  <c r="G115" i="14"/>
  <c r="S115" i="14" s="1" a="1"/>
  <c r="S115" i="14" s="1"/>
  <c r="G114" i="14"/>
  <c r="S114" i="14" s="1" a="1"/>
  <c r="S114" i="14" s="1"/>
  <c r="G113" i="14"/>
  <c r="S113" i="14" s="1" a="1"/>
  <c r="S113" i="14" s="1"/>
  <c r="G112" i="14"/>
  <c r="S112" i="14" s="1" a="1"/>
  <c r="S112" i="14" s="1"/>
  <c r="G111" i="14"/>
  <c r="S111" i="14" s="1" a="1"/>
  <c r="S111" i="14" s="1"/>
  <c r="G110" i="14"/>
  <c r="S110" i="14" s="1" a="1"/>
  <c r="S110" i="14" s="1"/>
  <c r="G109" i="14"/>
  <c r="S109" i="14" s="1" a="1"/>
  <c r="S109" i="14" s="1"/>
  <c r="G108" i="14"/>
  <c r="S108" i="14" s="1" a="1"/>
  <c r="S108" i="14" s="1"/>
  <c r="G107" i="14"/>
  <c r="S107" i="14" s="1" a="1"/>
  <c r="S107" i="14" s="1"/>
  <c r="G106" i="14"/>
  <c r="S106" i="14" s="1" a="1"/>
  <c r="S106" i="14" s="1"/>
  <c r="G105" i="14"/>
  <c r="S105" i="14" s="1" a="1"/>
  <c r="S105" i="14" s="1"/>
  <c r="G104" i="14"/>
  <c r="S104" i="14" s="1" a="1"/>
  <c r="S104" i="14" s="1"/>
  <c r="G103" i="14"/>
  <c r="S103" i="14" s="1" a="1"/>
  <c r="S103" i="14" s="1"/>
  <c r="G102" i="14"/>
  <c r="S102" i="14" s="1" a="1"/>
  <c r="S102" i="14" s="1"/>
  <c r="G101" i="14"/>
  <c r="S101" i="14" s="1" a="1"/>
  <c r="S101" i="14" s="1"/>
  <c r="G100" i="14"/>
  <c r="S100" i="14" s="1" a="1"/>
  <c r="S100" i="14" s="1"/>
  <c r="G99" i="14"/>
  <c r="S99" i="14" s="1" a="1"/>
  <c r="S99" i="14" s="1"/>
  <c r="G98" i="14"/>
  <c r="S98" i="14" s="1" a="1"/>
  <c r="S98" i="14" s="1"/>
  <c r="G97" i="14"/>
  <c r="S97" i="14" s="1" a="1"/>
  <c r="S97" i="14" s="1"/>
  <c r="G96" i="14"/>
  <c r="S96" i="14" s="1" a="1"/>
  <c r="S96" i="14" s="1"/>
  <c r="G95" i="14"/>
  <c r="S95" i="14" s="1" a="1"/>
  <c r="S95" i="14" s="1"/>
  <c r="G94" i="14"/>
  <c r="S94" i="14" s="1" a="1"/>
  <c r="S94" i="14" s="1"/>
  <c r="G93" i="14"/>
  <c r="S93" i="14" s="1" a="1"/>
  <c r="S93" i="14" s="1"/>
  <c r="G92" i="14"/>
  <c r="S92" i="14" s="1" a="1"/>
  <c r="S92" i="14" s="1"/>
  <c r="G91" i="14"/>
  <c r="S91" i="14" s="1" a="1"/>
  <c r="S91" i="14" s="1"/>
  <c r="G90" i="14"/>
  <c r="S90" i="14" s="1" a="1"/>
  <c r="S90" i="14" s="1"/>
  <c r="G89" i="14"/>
  <c r="S89" i="14" s="1" a="1"/>
  <c r="S89" i="14" s="1"/>
  <c r="G88" i="14"/>
  <c r="S88" i="14" s="1" a="1"/>
  <c r="S88" i="14" s="1"/>
  <c r="G87" i="14"/>
  <c r="S87" i="14" s="1" a="1"/>
  <c r="S87" i="14" s="1"/>
  <c r="G86" i="14"/>
  <c r="S86" i="14" s="1" a="1"/>
  <c r="S86" i="14" s="1"/>
  <c r="G85" i="14"/>
  <c r="S85" i="14" s="1" a="1"/>
  <c r="S85" i="14" s="1"/>
  <c r="G84" i="14"/>
  <c r="S84" i="14" s="1" a="1"/>
  <c r="S84" i="14" s="1"/>
  <c r="G83" i="14"/>
  <c r="S83" i="14" s="1" a="1"/>
  <c r="S83" i="14" s="1"/>
  <c r="G82" i="14"/>
  <c r="S82" i="14" s="1" a="1"/>
  <c r="S82" i="14" s="1"/>
  <c r="G81" i="14"/>
  <c r="S81" i="14" s="1" a="1"/>
  <c r="S81" i="14" s="1"/>
  <c r="G80" i="14"/>
  <c r="S80" i="14" s="1" a="1"/>
  <c r="S80" i="14" s="1"/>
  <c r="G79" i="14"/>
  <c r="S79" i="14" s="1" a="1"/>
  <c r="S79" i="14" s="1"/>
  <c r="G78" i="14"/>
  <c r="S78" i="14" s="1" a="1"/>
  <c r="S78" i="14" s="1"/>
  <c r="G77" i="14"/>
  <c r="S77" i="14" s="1" a="1"/>
  <c r="S77" i="14" s="1"/>
  <c r="G76" i="14"/>
  <c r="S76" i="14" s="1" a="1"/>
  <c r="S76" i="14" s="1"/>
  <c r="G75" i="14"/>
  <c r="S75" i="14" s="1" a="1"/>
  <c r="S75" i="14" s="1"/>
  <c r="G74" i="14"/>
  <c r="S74" i="14" s="1" a="1"/>
  <c r="S74" i="14" s="1"/>
  <c r="G73" i="14"/>
  <c r="S73" i="14" s="1" a="1"/>
  <c r="S73" i="14" s="1"/>
  <c r="G72" i="14"/>
  <c r="S72" i="14" s="1" a="1"/>
  <c r="S72" i="14" s="1"/>
  <c r="G71" i="14"/>
  <c r="S71" i="14" s="1" a="1"/>
  <c r="S71" i="14" s="1"/>
  <c r="G70" i="14"/>
  <c r="S70" i="14" s="1" a="1"/>
  <c r="S70" i="14" s="1"/>
  <c r="G69" i="14"/>
  <c r="S69" i="14" s="1" a="1"/>
  <c r="S69" i="14" s="1"/>
  <c r="G68" i="14"/>
  <c r="S68" i="14" s="1" a="1"/>
  <c r="S68" i="14" s="1"/>
  <c r="G67" i="14"/>
  <c r="S67" i="14" s="1" a="1"/>
  <c r="S67" i="14" s="1"/>
  <c r="G66" i="14"/>
  <c r="S66" i="14" s="1" a="1"/>
  <c r="S66" i="14" s="1"/>
  <c r="G65" i="14"/>
  <c r="S65" i="14" s="1" a="1"/>
  <c r="S65" i="14" s="1"/>
  <c r="G64" i="14"/>
  <c r="S64" i="14" s="1" a="1"/>
  <c r="S64" i="14" s="1"/>
  <c r="G63" i="14"/>
  <c r="S63" i="14" s="1" a="1"/>
  <c r="S63" i="14" s="1"/>
  <c r="G62" i="14"/>
  <c r="S62" i="14" s="1" a="1"/>
  <c r="S62" i="14" s="1"/>
  <c r="G61" i="14"/>
  <c r="S61" i="14" s="1" a="1"/>
  <c r="S61" i="14" s="1"/>
  <c r="G60" i="14"/>
  <c r="S60" i="14" s="1" a="1"/>
  <c r="S60" i="14" s="1"/>
  <c r="G59" i="14"/>
  <c r="S59" i="14" s="1" a="1"/>
  <c r="S59" i="14" s="1"/>
  <c r="G58" i="14"/>
  <c r="S58" i="14" s="1" a="1"/>
  <c r="S58" i="14" s="1"/>
  <c r="G57" i="14"/>
  <c r="S57" i="14" s="1" a="1"/>
  <c r="S57" i="14" s="1"/>
  <c r="G56" i="14"/>
  <c r="S56" i="14" s="1" a="1"/>
  <c r="S56" i="14" s="1"/>
  <c r="G55" i="14"/>
  <c r="S55" i="14" s="1" a="1"/>
  <c r="S55" i="14" s="1"/>
  <c r="G54" i="14"/>
  <c r="S54" i="14" s="1" a="1"/>
  <c r="S54" i="14" s="1"/>
  <c r="G53" i="14"/>
  <c r="S53" i="14" s="1" a="1"/>
  <c r="S53" i="14" s="1"/>
  <c r="G52" i="14"/>
  <c r="S52" i="14" s="1" a="1"/>
  <c r="S52" i="14" s="1"/>
  <c r="G51" i="14"/>
  <c r="S51" i="14" s="1" a="1"/>
  <c r="S51" i="14" s="1"/>
  <c r="G50" i="14"/>
  <c r="S50" i="14" s="1" a="1"/>
  <c r="S50" i="14" s="1"/>
  <c r="G49" i="14"/>
  <c r="S49" i="14" s="1" a="1"/>
  <c r="S49" i="14" s="1"/>
  <c r="G48" i="14"/>
  <c r="S48" i="14" s="1" a="1"/>
  <c r="S48" i="14" s="1"/>
  <c r="G47" i="14"/>
  <c r="S47" i="14" s="1" a="1"/>
  <c r="S47" i="14" s="1"/>
  <c r="G46" i="14"/>
  <c r="S46" i="14" s="1" a="1"/>
  <c r="S46" i="14" s="1"/>
  <c r="G45" i="14"/>
  <c r="S45" i="14" s="1" a="1"/>
  <c r="S45" i="14" s="1"/>
  <c r="G44" i="14"/>
  <c r="S44" i="14" s="1" a="1"/>
  <c r="S44" i="14" s="1"/>
  <c r="G43" i="14"/>
  <c r="G42" i="14"/>
  <c r="S42" i="14" s="1" a="1"/>
  <c r="S42" i="14" s="1"/>
  <c r="G41" i="14"/>
  <c r="S41" i="14" s="1" a="1"/>
  <c r="S41" i="14" s="1"/>
  <c r="G40" i="14"/>
  <c r="S40" i="14" s="1" a="1"/>
  <c r="S40" i="14" s="1"/>
  <c r="G39" i="14"/>
  <c r="S39" i="14" s="1" a="1"/>
  <c r="S39" i="14" s="1"/>
  <c r="G38" i="14"/>
  <c r="S38" i="14" s="1" a="1"/>
  <c r="S38" i="14" s="1"/>
  <c r="G37" i="14"/>
  <c r="S37" i="14" s="1" a="1"/>
  <c r="S37" i="14" s="1"/>
  <c r="G36" i="14"/>
  <c r="S36" i="14" s="1" a="1"/>
  <c r="S36" i="14" s="1"/>
  <c r="G35" i="14"/>
  <c r="S35" i="14" s="1" a="1"/>
  <c r="S35" i="14" s="1"/>
  <c r="G34" i="14"/>
  <c r="S34" i="14" s="1" a="1"/>
  <c r="S34" i="14" s="1"/>
  <c r="G33" i="14"/>
  <c r="S33" i="14" s="1" a="1"/>
  <c r="S33" i="14" s="1"/>
  <c r="G32" i="14"/>
  <c r="S32" i="14" s="1" a="1"/>
  <c r="S32" i="14" s="1"/>
  <c r="G31" i="14"/>
  <c r="S31" i="14" s="1" a="1"/>
  <c r="S31" i="14" s="1"/>
  <c r="G30" i="14"/>
  <c r="S30" i="14" s="1" a="1"/>
  <c r="S30" i="14" s="1"/>
  <c r="G29" i="14"/>
  <c r="S29" i="14" s="1" a="1"/>
  <c r="S29" i="14" s="1"/>
  <c r="G28" i="14"/>
  <c r="S28" i="14" s="1" a="1"/>
  <c r="S28" i="14" s="1"/>
  <c r="G27" i="14"/>
  <c r="S27" i="14" s="1" a="1"/>
  <c r="S27" i="14" s="1"/>
  <c r="G26" i="14"/>
  <c r="S26" i="14" s="1" a="1"/>
  <c r="S26" i="14" s="1"/>
  <c r="G25" i="14"/>
  <c r="S25" i="14" s="1" a="1"/>
  <c r="S25" i="14" s="1"/>
  <c r="G24" i="14"/>
  <c r="S24" i="14" s="1" a="1"/>
  <c r="S24" i="14" s="1"/>
  <c r="G23" i="14"/>
  <c r="S23" i="14" s="1" a="1"/>
  <c r="S23" i="14" s="1"/>
  <c r="G22" i="14"/>
  <c r="S22" i="14" s="1" a="1"/>
  <c r="S22" i="14" s="1"/>
  <c r="G21" i="14"/>
  <c r="S21" i="14" s="1" a="1"/>
  <c r="S21" i="14" s="1"/>
  <c r="G20" i="14"/>
  <c r="S20" i="14" s="1" a="1"/>
  <c r="S20" i="14" s="1"/>
  <c r="G19" i="14"/>
  <c r="S19" i="14" s="1" a="1"/>
  <c r="S19" i="14" s="1"/>
  <c r="G17" i="14"/>
  <c r="S17" i="14" s="1" a="1"/>
  <c r="S17" i="14" s="1"/>
  <c r="G16" i="14"/>
  <c r="S16" i="14" s="1" a="1"/>
  <c r="S16" i="14" s="1"/>
  <c r="G15" i="14"/>
  <c r="S15" i="14" s="1" a="1"/>
  <c r="S15" i="14" s="1"/>
  <c r="G14" i="14"/>
  <c r="S14" i="14" s="1" a="1"/>
  <c r="S14" i="14" s="1"/>
  <c r="G13" i="14"/>
  <c r="S13" i="14" s="1" a="1"/>
  <c r="S13" i="14" s="1"/>
  <c r="G12" i="14"/>
  <c r="S12" i="14" s="1" a="1"/>
  <c r="S12" i="14" s="1"/>
  <c r="G11" i="14"/>
  <c r="S11" i="14" s="1" a="1"/>
  <c r="S11" i="14" s="1"/>
  <c r="G10" i="14"/>
  <c r="S10" i="14" s="1" a="1"/>
  <c r="S10" i="14" s="1"/>
  <c r="G9" i="14"/>
  <c r="S9" i="14" s="1" a="1"/>
  <c r="S9" i="14" s="1"/>
  <c r="G8" i="14"/>
  <c r="S8" i="14" s="1" a="1"/>
  <c r="S8" i="14" s="1"/>
  <c r="G7" i="14"/>
  <c r="S7" i="14" s="1" a="1"/>
  <c r="S7" i="14" s="1"/>
  <c r="G6" i="14"/>
  <c r="S6" i="14" s="1" a="1"/>
  <c r="S6" i="14" s="1"/>
  <c r="G5" i="14"/>
  <c r="S5" i="14" s="1" a="1"/>
  <c r="S5" i="14" s="1"/>
  <c r="G4" i="14"/>
  <c r="S4" i="14" s="1" a="1"/>
  <c r="S4" i="14" s="1"/>
  <c r="G3" i="14"/>
  <c r="S3" i="14" s="1" a="1"/>
  <c r="S3" i="14" s="1"/>
  <c r="G2" i="14"/>
  <c r="AI227" i="8"/>
  <c r="AI228" i="8"/>
  <c r="AI229" i="8"/>
  <c r="F178" i="19" s="1"/>
  <c r="AI230" i="8"/>
  <c r="AI307" i="8"/>
  <c r="AI339" i="8"/>
  <c r="AI501" i="8"/>
  <c r="AI502" i="8"/>
  <c r="AI503" i="8"/>
  <c r="AJ503" i="8" s="1"/>
  <c r="AI504" i="8"/>
  <c r="AJ504" i="8" s="1"/>
  <c r="AI505" i="8"/>
  <c r="AJ505" i="8" s="1"/>
  <c r="AI506" i="8"/>
  <c r="AJ506" i="8" s="1"/>
  <c r="AI789" i="8"/>
  <c r="AI790" i="8"/>
  <c r="AJ790" i="8" s="1"/>
  <c r="AI791" i="8"/>
  <c r="AJ791" i="8" s="1"/>
  <c r="AI792" i="8"/>
  <c r="AJ792" i="8" s="1"/>
  <c r="AI793" i="8"/>
  <c r="AJ793" i="8" s="1"/>
  <c r="AI794" i="8"/>
  <c r="AJ794" i="8" s="1"/>
  <c r="AI795" i="8"/>
  <c r="AJ795" i="8" s="1"/>
  <c r="AI865" i="8"/>
  <c r="AI866" i="8"/>
  <c r="AI867" i="8"/>
  <c r="AJ867" i="8" s="1"/>
  <c r="AI868" i="8"/>
  <c r="AI869" i="8"/>
  <c r="AI870" i="8"/>
  <c r="AI871" i="8"/>
  <c r="AJ871" i="8" s="1"/>
  <c r="AI872" i="8"/>
  <c r="AJ872" i="8" s="1"/>
  <c r="AI873" i="8"/>
  <c r="AI874" i="8"/>
  <c r="AJ874" i="8" s="1"/>
  <c r="AI875" i="8"/>
  <c r="AJ875" i="8" s="1"/>
  <c r="AI876" i="8"/>
  <c r="AI877" i="8"/>
  <c r="AJ877" i="8" s="1"/>
  <c r="AI878" i="8"/>
  <c r="AI879" i="8"/>
  <c r="AJ879" i="8" s="1"/>
  <c r="AI880" i="8"/>
  <c r="AJ880" i="8" s="1"/>
  <c r="AI881" i="8"/>
  <c r="AJ881" i="8" s="1"/>
  <c r="AI882" i="8"/>
  <c r="AJ882" i="8" s="1"/>
  <c r="AI883" i="8"/>
  <c r="AJ883" i="8" s="1"/>
  <c r="AI884" i="8"/>
  <c r="AJ884" i="8" s="1"/>
  <c r="AI885" i="8"/>
  <c r="AJ885" i="8" s="1"/>
  <c r="AI886" i="8"/>
  <c r="AJ886" i="8" s="1"/>
  <c r="AI887" i="8"/>
  <c r="AJ887" i="8" s="1"/>
  <c r="AI888" i="8"/>
  <c r="AJ888" i="8" s="1"/>
  <c r="AI889" i="8"/>
  <c r="AJ889" i="8" s="1"/>
  <c r="AI890" i="8"/>
  <c r="AJ890" i="8" s="1"/>
  <c r="AI891" i="8"/>
  <c r="AI892" i="8"/>
  <c r="AJ892" i="8" s="1"/>
  <c r="AI893" i="8"/>
  <c r="AJ893" i="8" s="1"/>
  <c r="AI894" i="8"/>
  <c r="AJ894" i="8" s="1"/>
  <c r="AI895" i="8"/>
  <c r="AJ895" i="8" s="1"/>
  <c r="AI896" i="8"/>
  <c r="AJ896" i="8" s="1"/>
  <c r="AI897" i="8"/>
  <c r="AJ897" i="8" s="1"/>
  <c r="AI898" i="8"/>
  <c r="AJ898" i="8" s="1"/>
  <c r="AI899" i="8"/>
  <c r="AJ899" i="8" s="1"/>
  <c r="AI900" i="8"/>
  <c r="AJ900" i="8" s="1"/>
  <c r="AI901" i="8"/>
  <c r="AJ901" i="8" s="1"/>
  <c r="AI902" i="8"/>
  <c r="AJ902" i="8" s="1"/>
  <c r="AI903" i="8"/>
  <c r="AJ903" i="8" s="1"/>
  <c r="AI904" i="8"/>
  <c r="AJ904" i="8" s="1"/>
  <c r="H5" i="17"/>
  <c r="G5" i="17"/>
  <c r="D7" i="17"/>
  <c r="G4" i="17"/>
  <c r="H4" i="17"/>
  <c r="D4" i="17"/>
  <c r="D5" i="17"/>
  <c r="D2" i="17"/>
  <c r="AJ230" i="8" l="1"/>
  <c r="F52" i="19"/>
  <c r="H7" i="5"/>
  <c r="C24" i="21"/>
  <c r="F369" i="19"/>
  <c r="C100" i="21"/>
  <c r="F118" i="19"/>
  <c r="E10" i="12"/>
  <c r="C21" i="21"/>
  <c r="F36" i="19"/>
  <c r="B10" i="7" a="1"/>
  <c r="B10" i="7" s="1"/>
  <c r="B2" i="7" a="1"/>
  <c r="B2" i="7" s="1"/>
  <c r="A3" i="1" a="1"/>
  <c r="A3" i="1" s="1"/>
  <c r="D3" i="1" s="1"/>
  <c r="A5" i="1" a="1"/>
  <c r="A5" i="1" s="1"/>
  <c r="D5" i="1" s="1"/>
  <c r="B9" i="7" a="1"/>
  <c r="B9" i="7" s="1"/>
  <c r="A7" i="1" a="1"/>
  <c r="A7" i="1" s="1"/>
  <c r="D7" i="1" s="1"/>
  <c r="A16" i="1" a="1"/>
  <c r="A16" i="1" s="1"/>
  <c r="D16" i="1" s="1"/>
  <c r="A15" i="1" a="1"/>
  <c r="A15" i="1" s="1"/>
  <c r="D15" i="1" s="1"/>
  <c r="B16" i="7" a="1"/>
  <c r="B16" i="7" s="1"/>
  <c r="B8" i="7" a="1"/>
  <c r="B8" i="7" s="1"/>
  <c r="A10" i="1" a="1"/>
  <c r="A10" i="1" s="1"/>
  <c r="D10" i="1" s="1"/>
  <c r="A12" i="1" a="1"/>
  <c r="A12" i="1" s="1"/>
  <c r="D12" i="1" s="1"/>
  <c r="B3" i="7" a="1"/>
  <c r="B3" i="7" s="1"/>
  <c r="B15" i="7" a="1"/>
  <c r="B15" i="7" s="1"/>
  <c r="B7" i="7" a="1"/>
  <c r="B7" i="7" s="1"/>
  <c r="A14" i="1" a="1"/>
  <c r="A14" i="1" s="1"/>
  <c r="D14" i="1" s="1"/>
  <c r="A13" i="1" a="1"/>
  <c r="A13" i="1" s="1"/>
  <c r="D13" i="1" s="1"/>
  <c r="B14" i="7" a="1"/>
  <c r="B14" i="7" s="1"/>
  <c r="B6" i="7" a="1"/>
  <c r="B6" i="7" s="1"/>
  <c r="A4" i="1" a="1"/>
  <c r="A4" i="1" s="1"/>
  <c r="D4" i="1" s="1"/>
  <c r="A2" i="1" a="1"/>
  <c r="A2" i="1" s="1"/>
  <c r="D2" i="1" s="1"/>
  <c r="B13" i="7" a="1"/>
  <c r="B13" i="7" s="1"/>
  <c r="B5" i="7" a="1"/>
  <c r="B5" i="7" s="1"/>
  <c r="A8" i="1" a="1"/>
  <c r="A8" i="1" s="1"/>
  <c r="D8" i="1" s="1"/>
  <c r="A6" i="1" a="1"/>
  <c r="A6" i="1" s="1"/>
  <c r="D6" i="1" s="1"/>
  <c r="B12" i="7" a="1"/>
  <c r="B12" i="7" s="1"/>
  <c r="B4" i="7" a="1"/>
  <c r="B4" i="7" s="1"/>
  <c r="A11" i="1" a="1"/>
  <c r="A11" i="1" s="1"/>
  <c r="D11" i="1" s="1"/>
  <c r="A9" i="1" a="1"/>
  <c r="A9" i="1" s="1"/>
  <c r="D9" i="1" s="1"/>
  <c r="B11" i="7" a="1"/>
  <c r="B11" i="7" s="1"/>
  <c r="W110" i="8" a="1"/>
  <c r="W110" i="8" s="1"/>
  <c r="W104" i="8" a="1"/>
  <c r="W104" i="8" s="1"/>
  <c r="W108" i="8" a="1"/>
  <c r="W108" i="8" s="1"/>
  <c r="W103" i="8" a="1"/>
  <c r="W103" i="8" s="1"/>
  <c r="W101" i="8" a="1"/>
  <c r="W101" i="8" s="1"/>
  <c r="W107" i="8" a="1"/>
  <c r="W107" i="8" s="1"/>
  <c r="W102" i="8" a="1"/>
  <c r="W102" i="8" s="1"/>
  <c r="W106" i="8" a="1"/>
  <c r="W106" i="8" s="1"/>
  <c r="W105" i="8" a="1"/>
  <c r="W105" i="8" s="1"/>
  <c r="H5" i="5"/>
  <c r="H4" i="5"/>
  <c r="H34" i="5"/>
  <c r="H2" i="5"/>
  <c r="H35" i="5"/>
  <c r="S2" i="14" a="1"/>
  <c r="S2" i="14" s="1"/>
  <c r="AJ878" i="8"/>
  <c r="AH795" i="8"/>
  <c r="AH229" i="8"/>
  <c r="AH794" i="8"/>
  <c r="AG792" i="8"/>
  <c r="AG502" i="8"/>
  <c r="AG790" i="8"/>
  <c r="AG789" i="8"/>
  <c r="AG906" i="8"/>
  <c r="AH506" i="8"/>
  <c r="W910" i="8" a="1"/>
  <c r="W910" i="8" s="1"/>
  <c r="Y910" i="8" s="1" a="1"/>
  <c r="Y910" i="8" s="1"/>
  <c r="W911" i="8" a="1"/>
  <c r="W911" i="8" s="1"/>
  <c r="W924" i="8" a="1"/>
  <c r="W924" i="8" s="1"/>
  <c r="W930" i="8" a="1"/>
  <c r="W930" i="8" s="1"/>
  <c r="W937" i="8" a="1"/>
  <c r="W937" i="8" s="1"/>
  <c r="W943" i="8" a="1"/>
  <c r="W943" i="8" s="1"/>
  <c r="W956" i="8" a="1"/>
  <c r="W956" i="8" s="1"/>
  <c r="W962" i="8" a="1"/>
  <c r="W962" i="8" s="1"/>
  <c r="W969" i="8" a="1"/>
  <c r="W969" i="8" s="1"/>
  <c r="W975" i="8" a="1"/>
  <c r="W975" i="8" s="1"/>
  <c r="W988" i="8" a="1"/>
  <c r="W988" i="8" s="1"/>
  <c r="W994" i="8" a="1"/>
  <c r="W994" i="8" s="1"/>
  <c r="W1001" i="8" a="1"/>
  <c r="W1001" i="8" s="1"/>
  <c r="W1007" i="8" a="1"/>
  <c r="W1007" i="8" s="1"/>
  <c r="W1020" i="8" a="1"/>
  <c r="W1020" i="8" s="1"/>
  <c r="W1026" i="8" a="1"/>
  <c r="W1026" i="8" s="1"/>
  <c r="W1033" i="8" a="1"/>
  <c r="W1033" i="8" s="1"/>
  <c r="W1039" i="8" a="1"/>
  <c r="W1039" i="8" s="1"/>
  <c r="W1052" i="8" a="1"/>
  <c r="W1052" i="8" s="1"/>
  <c r="W1058" i="8" a="1"/>
  <c r="W1058" i="8" s="1"/>
  <c r="W1065" i="8" a="1"/>
  <c r="W1065" i="8" s="1"/>
  <c r="W1071" i="8" a="1"/>
  <c r="W1071" i="8" s="1"/>
  <c r="W1084" i="8" a="1"/>
  <c r="W1084" i="8" s="1"/>
  <c r="W1090" i="8" a="1"/>
  <c r="W1090" i="8" s="1"/>
  <c r="W1097" i="8" a="1"/>
  <c r="W1097" i="8" s="1"/>
  <c r="W1103" i="8" a="1"/>
  <c r="W1103" i="8" s="1"/>
  <c r="W1116" i="8" a="1"/>
  <c r="W1116" i="8" s="1"/>
  <c r="W1122" i="8" a="1"/>
  <c r="W1122" i="8" s="1"/>
  <c r="W1129" i="8" a="1"/>
  <c r="W1129" i="8" s="1"/>
  <c r="W1135" i="8" a="1"/>
  <c r="W1135" i="8" s="1"/>
  <c r="W1148" i="8" a="1"/>
  <c r="W1148" i="8" s="1"/>
  <c r="W1154" i="8" a="1"/>
  <c r="W1154" i="8" s="1"/>
  <c r="W1161" i="8" a="1"/>
  <c r="W1161" i="8" s="1"/>
  <c r="W1167" i="8" a="1"/>
  <c r="W1167" i="8" s="1"/>
  <c r="W1180" i="8" a="1"/>
  <c r="W1180" i="8" s="1"/>
  <c r="W1186" i="8" a="1"/>
  <c r="W1186" i="8" s="1"/>
  <c r="W1191" i="8" a="1"/>
  <c r="W1191" i="8" s="1"/>
  <c r="W912" i="8" a="1"/>
  <c r="W912" i="8" s="1"/>
  <c r="W918" i="8" a="1"/>
  <c r="W918" i="8" s="1"/>
  <c r="W925" i="8" a="1"/>
  <c r="W925" i="8" s="1"/>
  <c r="W931" i="8" a="1"/>
  <c r="W931" i="8" s="1"/>
  <c r="W944" i="8" a="1"/>
  <c r="W944" i="8" s="1"/>
  <c r="W950" i="8" a="1"/>
  <c r="W950" i="8" s="1"/>
  <c r="W957" i="8" a="1"/>
  <c r="W957" i="8" s="1"/>
  <c r="W963" i="8" a="1"/>
  <c r="W963" i="8" s="1"/>
  <c r="W976" i="8" a="1"/>
  <c r="W976" i="8" s="1"/>
  <c r="W982" i="8" a="1"/>
  <c r="W982" i="8" s="1"/>
  <c r="W989" i="8" a="1"/>
  <c r="W989" i="8" s="1"/>
  <c r="W995" i="8" a="1"/>
  <c r="W995" i="8" s="1"/>
  <c r="W1008" i="8" a="1"/>
  <c r="W1008" i="8" s="1"/>
  <c r="W1014" i="8" a="1"/>
  <c r="W1014" i="8" s="1"/>
  <c r="W1021" i="8" a="1"/>
  <c r="W1021" i="8" s="1"/>
  <c r="W1027" i="8" a="1"/>
  <c r="W1027" i="8" s="1"/>
  <c r="W1040" i="8" a="1"/>
  <c r="W1040" i="8" s="1"/>
  <c r="W1046" i="8" a="1"/>
  <c r="W1046" i="8" s="1"/>
  <c r="W1053" i="8" a="1"/>
  <c r="W1053" i="8" s="1"/>
  <c r="W1059" i="8" a="1"/>
  <c r="W1059" i="8" s="1"/>
  <c r="W1072" i="8" a="1"/>
  <c r="W1072" i="8" s="1"/>
  <c r="W1078" i="8" a="1"/>
  <c r="W1078" i="8" s="1"/>
  <c r="W1085" i="8" a="1"/>
  <c r="W1085" i="8" s="1"/>
  <c r="W1091" i="8" a="1"/>
  <c r="W1091" i="8" s="1"/>
  <c r="W1104" i="8" a="1"/>
  <c r="W1104" i="8" s="1"/>
  <c r="W1110" i="8" a="1"/>
  <c r="W1110" i="8" s="1"/>
  <c r="W1117" i="8" a="1"/>
  <c r="W1117" i="8" s="1"/>
  <c r="W1123" i="8" a="1"/>
  <c r="W1123" i="8" s="1"/>
  <c r="W1136" i="8" a="1"/>
  <c r="W1136" i="8" s="1"/>
  <c r="W1142" i="8" a="1"/>
  <c r="W1142" i="8" s="1"/>
  <c r="W1149" i="8" a="1"/>
  <c r="W1149" i="8" s="1"/>
  <c r="W1155" i="8" a="1"/>
  <c r="W1155" i="8" s="1"/>
  <c r="W913" i="8" a="1"/>
  <c r="W913" i="8" s="1"/>
  <c r="W919" i="8" a="1"/>
  <c r="W919" i="8" s="1"/>
  <c r="W932" i="8" a="1"/>
  <c r="W932" i="8" s="1"/>
  <c r="W938" i="8" a="1"/>
  <c r="W938" i="8" s="1"/>
  <c r="W945" i="8" a="1"/>
  <c r="W945" i="8" s="1"/>
  <c r="W951" i="8" a="1"/>
  <c r="W951" i="8" s="1"/>
  <c r="W964" i="8" a="1"/>
  <c r="W964" i="8" s="1"/>
  <c r="W970" i="8" a="1"/>
  <c r="W970" i="8" s="1"/>
  <c r="W977" i="8" a="1"/>
  <c r="W977" i="8" s="1"/>
  <c r="W983" i="8" a="1"/>
  <c r="W983" i="8" s="1"/>
  <c r="W996" i="8" a="1"/>
  <c r="W996" i="8" s="1"/>
  <c r="W1002" i="8" a="1"/>
  <c r="W1002" i="8" s="1"/>
  <c r="W1009" i="8" a="1"/>
  <c r="W1009" i="8" s="1"/>
  <c r="W1015" i="8" a="1"/>
  <c r="W1015" i="8" s="1"/>
  <c r="W1028" i="8" a="1"/>
  <c r="W1028" i="8" s="1"/>
  <c r="W1034" i="8" a="1"/>
  <c r="W1034" i="8" s="1"/>
  <c r="W1041" i="8" a="1"/>
  <c r="W1041" i="8" s="1"/>
  <c r="W1047" i="8" a="1"/>
  <c r="W1047" i="8" s="1"/>
  <c r="W1060" i="8" a="1"/>
  <c r="W1060" i="8" s="1"/>
  <c r="W1066" i="8" a="1"/>
  <c r="W1066" i="8" s="1"/>
  <c r="W1073" i="8" a="1"/>
  <c r="W1073" i="8" s="1"/>
  <c r="W1079" i="8" a="1"/>
  <c r="W1079" i="8" s="1"/>
  <c r="W1092" i="8" a="1"/>
  <c r="W1092" i="8" s="1"/>
  <c r="W1098" i="8" a="1"/>
  <c r="W1098" i="8" s="1"/>
  <c r="W1105" i="8" a="1"/>
  <c r="W1105" i="8" s="1"/>
  <c r="W1111" i="8" a="1"/>
  <c r="W1111" i="8" s="1"/>
  <c r="W1124" i="8" a="1"/>
  <c r="W1124" i="8" s="1"/>
  <c r="W1130" i="8" a="1"/>
  <c r="W1130" i="8" s="1"/>
  <c r="W1137" i="8" a="1"/>
  <c r="W1137" i="8" s="1"/>
  <c r="W1143" i="8" a="1"/>
  <c r="W1143" i="8" s="1"/>
  <c r="W1156" i="8" a="1"/>
  <c r="W1156" i="8" s="1"/>
  <c r="W1162" i="8" a="1"/>
  <c r="W1162" i="8" s="1"/>
  <c r="W1169" i="8" a="1"/>
  <c r="W1169" i="8" s="1"/>
  <c r="W1175" i="8" a="1"/>
  <c r="W1175" i="8" s="1"/>
  <c r="W1192" i="8" a="1"/>
  <c r="W1192" i="8" s="1"/>
  <c r="W1196" i="8" a="1"/>
  <c r="W1196" i="8" s="1"/>
  <c r="W920" i="8" a="1"/>
  <c r="W920" i="8" s="1"/>
  <c r="W926" i="8" a="1"/>
  <c r="W926" i="8" s="1"/>
  <c r="W933" i="8" a="1"/>
  <c r="W933" i="8" s="1"/>
  <c r="W939" i="8" a="1"/>
  <c r="W939" i="8" s="1"/>
  <c r="W952" i="8" a="1"/>
  <c r="W952" i="8" s="1"/>
  <c r="W958" i="8" a="1"/>
  <c r="W958" i="8" s="1"/>
  <c r="W965" i="8" a="1"/>
  <c r="W965" i="8" s="1"/>
  <c r="W971" i="8" a="1"/>
  <c r="W971" i="8" s="1"/>
  <c r="W984" i="8" a="1"/>
  <c r="W984" i="8" s="1"/>
  <c r="W990" i="8" a="1"/>
  <c r="W990" i="8" s="1"/>
  <c r="W997" i="8" a="1"/>
  <c r="W997" i="8" s="1"/>
  <c r="W1003" i="8" a="1"/>
  <c r="W1003" i="8" s="1"/>
  <c r="W1016" i="8" a="1"/>
  <c r="W1016" i="8" s="1"/>
  <c r="W1022" i="8" a="1"/>
  <c r="W1022" i="8" s="1"/>
  <c r="W1029" i="8" a="1"/>
  <c r="W1029" i="8" s="1"/>
  <c r="W1035" i="8" a="1"/>
  <c r="W1035" i="8" s="1"/>
  <c r="W1048" i="8" a="1"/>
  <c r="W1048" i="8" s="1"/>
  <c r="W1054" i="8" a="1"/>
  <c r="W1054" i="8" s="1"/>
  <c r="W1061" i="8" a="1"/>
  <c r="W1061" i="8" s="1"/>
  <c r="W1067" i="8" a="1"/>
  <c r="W1067" i="8" s="1"/>
  <c r="W1080" i="8" a="1"/>
  <c r="W1080" i="8" s="1"/>
  <c r="W1086" i="8" a="1"/>
  <c r="W1086" i="8" s="1"/>
  <c r="W1093" i="8" a="1"/>
  <c r="W1093" i="8" s="1"/>
  <c r="W1099" i="8" a="1"/>
  <c r="W1099" i="8" s="1"/>
  <c r="W1112" i="8" a="1"/>
  <c r="W1112" i="8" s="1"/>
  <c r="W1118" i="8" a="1"/>
  <c r="W1118" i="8" s="1"/>
  <c r="W1125" i="8" a="1"/>
  <c r="W1125" i="8" s="1"/>
  <c r="W1131" i="8" a="1"/>
  <c r="W1131" i="8" s="1"/>
  <c r="W1144" i="8" a="1"/>
  <c r="W1144" i="8" s="1"/>
  <c r="W1150" i="8" a="1"/>
  <c r="W1150" i="8" s="1"/>
  <c r="W1157" i="8" a="1"/>
  <c r="W1157" i="8" s="1"/>
  <c r="W1163" i="8" a="1"/>
  <c r="W1163" i="8" s="1"/>
  <c r="W1176" i="8" a="1"/>
  <c r="W1176" i="8" s="1"/>
  <c r="W1182" i="8" a="1"/>
  <c r="W1182" i="8" s="1"/>
  <c r="W1188" i="8" a="1"/>
  <c r="W1188" i="8" s="1"/>
  <c r="W914" i="8" a="1"/>
  <c r="W914" i="8" s="1"/>
  <c r="W921" i="8" a="1"/>
  <c r="W921" i="8" s="1"/>
  <c r="W927" i="8" a="1"/>
  <c r="W927" i="8" s="1"/>
  <c r="W940" i="8" a="1"/>
  <c r="W940" i="8" s="1"/>
  <c r="W946" i="8" a="1"/>
  <c r="W946" i="8" s="1"/>
  <c r="W953" i="8" a="1"/>
  <c r="W953" i="8" s="1"/>
  <c r="W959" i="8" a="1"/>
  <c r="W959" i="8" s="1"/>
  <c r="W972" i="8" a="1"/>
  <c r="W972" i="8" s="1"/>
  <c r="W978" i="8" a="1"/>
  <c r="W978" i="8" s="1"/>
  <c r="W985" i="8" a="1"/>
  <c r="W985" i="8" s="1"/>
  <c r="W991" i="8" a="1"/>
  <c r="W991" i="8" s="1"/>
  <c r="W1004" i="8" a="1"/>
  <c r="W1004" i="8" s="1"/>
  <c r="W1010" i="8" a="1"/>
  <c r="W1010" i="8" s="1"/>
  <c r="W1017" i="8" a="1"/>
  <c r="W1017" i="8" s="1"/>
  <c r="W1023" i="8" a="1"/>
  <c r="W1023" i="8" s="1"/>
  <c r="W1036" i="8" a="1"/>
  <c r="W1036" i="8" s="1"/>
  <c r="W1042" i="8" a="1"/>
  <c r="W1042" i="8" s="1"/>
  <c r="W1049" i="8" a="1"/>
  <c r="W1049" i="8" s="1"/>
  <c r="W915" i="8" a="1"/>
  <c r="W915" i="8" s="1"/>
  <c r="W928" i="8" a="1"/>
  <c r="W928" i="8" s="1"/>
  <c r="W934" i="8" a="1"/>
  <c r="W934" i="8" s="1"/>
  <c r="W941" i="8" a="1"/>
  <c r="W941" i="8" s="1"/>
  <c r="W947" i="8" a="1"/>
  <c r="W947" i="8" s="1"/>
  <c r="W960" i="8" a="1"/>
  <c r="W960" i="8" s="1"/>
  <c r="W966" i="8" a="1"/>
  <c r="W966" i="8" s="1"/>
  <c r="W973" i="8" a="1"/>
  <c r="W973" i="8" s="1"/>
  <c r="W979" i="8" a="1"/>
  <c r="W979" i="8" s="1"/>
  <c r="W992" i="8" a="1"/>
  <c r="W992" i="8" s="1"/>
  <c r="W998" i="8" a="1"/>
  <c r="W998" i="8" s="1"/>
  <c r="W1005" i="8" a="1"/>
  <c r="W1005" i="8" s="1"/>
  <c r="W1011" i="8" a="1"/>
  <c r="W1011" i="8" s="1"/>
  <c r="W1024" i="8" a="1"/>
  <c r="W1024" i="8" s="1"/>
  <c r="W1030" i="8" a="1"/>
  <c r="W1030" i="8" s="1"/>
  <c r="W1037" i="8" a="1"/>
  <c r="W1037" i="8" s="1"/>
  <c r="W1043" i="8" a="1"/>
  <c r="W1043" i="8" s="1"/>
  <c r="W1056" i="8" a="1"/>
  <c r="W1056" i="8" s="1"/>
  <c r="W1062" i="8" a="1"/>
  <c r="W1062" i="8" s="1"/>
  <c r="W1069" i="8" a="1"/>
  <c r="W1069" i="8" s="1"/>
  <c r="W1075" i="8" a="1"/>
  <c r="W1075" i="8" s="1"/>
  <c r="W1088" i="8" a="1"/>
  <c r="W1088" i="8" s="1"/>
  <c r="W1094" i="8" a="1"/>
  <c r="W1094" i="8" s="1"/>
  <c r="W1101" i="8" a="1"/>
  <c r="W1101" i="8" s="1"/>
  <c r="W1107" i="8" a="1"/>
  <c r="W1107" i="8" s="1"/>
  <c r="W1120" i="8" a="1"/>
  <c r="W1120" i="8" s="1"/>
  <c r="W1126" i="8" a="1"/>
  <c r="W1126" i="8" s="1"/>
  <c r="W1133" i="8" a="1"/>
  <c r="W1133" i="8" s="1"/>
  <c r="W1139" i="8" a="1"/>
  <c r="W1139" i="8" s="1"/>
  <c r="W1152" i="8" a="1"/>
  <c r="W1152" i="8" s="1"/>
  <c r="W1158" i="8" a="1"/>
  <c r="W1158" i="8" s="1"/>
  <c r="W1165" i="8" a="1"/>
  <c r="W1165" i="8" s="1"/>
  <c r="W1171" i="8" a="1"/>
  <c r="W1171" i="8" s="1"/>
  <c r="W1184" i="8" a="1"/>
  <c r="W1184" i="8" s="1"/>
  <c r="W916" i="8" a="1"/>
  <c r="W916" i="8" s="1"/>
  <c r="W922" i="8" a="1"/>
  <c r="W922" i="8" s="1"/>
  <c r="W929" i="8" a="1"/>
  <c r="W929" i="8" s="1"/>
  <c r="W935" i="8" a="1"/>
  <c r="W935" i="8" s="1"/>
  <c r="W948" i="8" a="1"/>
  <c r="W948" i="8" s="1"/>
  <c r="W954" i="8" a="1"/>
  <c r="W954" i="8" s="1"/>
  <c r="W961" i="8" a="1"/>
  <c r="W961" i="8" s="1"/>
  <c r="W967" i="8" a="1"/>
  <c r="W967" i="8" s="1"/>
  <c r="W980" i="8" a="1"/>
  <c r="W980" i="8" s="1"/>
  <c r="W986" i="8" a="1"/>
  <c r="W986" i="8" s="1"/>
  <c r="W993" i="8" a="1"/>
  <c r="W993" i="8" s="1"/>
  <c r="W999" i="8" a="1"/>
  <c r="W999" i="8" s="1"/>
  <c r="W1012" i="8" a="1"/>
  <c r="W1012" i="8" s="1"/>
  <c r="W1018" i="8" a="1"/>
  <c r="W1018" i="8" s="1"/>
  <c r="W1025" i="8" a="1"/>
  <c r="W1025" i="8" s="1"/>
  <c r="W1031" i="8" a="1"/>
  <c r="W1031" i="8" s="1"/>
  <c r="W1044" i="8" a="1"/>
  <c r="W1044" i="8" s="1"/>
  <c r="W1050" i="8" a="1"/>
  <c r="W1050" i="8" s="1"/>
  <c r="W1057" i="8" a="1"/>
  <c r="W1057" i="8" s="1"/>
  <c r="W1063" i="8" a="1"/>
  <c r="W1063" i="8" s="1"/>
  <c r="W1076" i="8" a="1"/>
  <c r="W1076" i="8" s="1"/>
  <c r="W1082" i="8" a="1"/>
  <c r="W1082" i="8" s="1"/>
  <c r="W1089" i="8" a="1"/>
  <c r="W1089" i="8" s="1"/>
  <c r="W1095" i="8" a="1"/>
  <c r="W1095" i="8" s="1"/>
  <c r="W1108" i="8" a="1"/>
  <c r="W1108" i="8" s="1"/>
  <c r="W1114" i="8" a="1"/>
  <c r="W1114" i="8" s="1"/>
  <c r="W1121" i="8" a="1"/>
  <c r="W1121" i="8" s="1"/>
  <c r="W1127" i="8" a="1"/>
  <c r="W1127" i="8" s="1"/>
  <c r="W1140" i="8" a="1"/>
  <c r="W1140" i="8" s="1"/>
  <c r="W1146" i="8" a="1"/>
  <c r="W1146" i="8" s="1"/>
  <c r="W1153" i="8" a="1"/>
  <c r="W1153" i="8" s="1"/>
  <c r="W1159" i="8" a="1"/>
  <c r="W1159" i="8" s="1"/>
  <c r="W1172" i="8" a="1"/>
  <c r="W1172" i="8" s="1"/>
  <c r="W1178" i="8" a="1"/>
  <c r="W1178" i="8" s="1"/>
  <c r="W1185" i="8" a="1"/>
  <c r="W1185" i="8" s="1"/>
  <c r="W981" i="8" a="1"/>
  <c r="W981" i="8" s="1"/>
  <c r="W1032" i="8" a="1"/>
  <c r="W1032" i="8" s="1"/>
  <c r="W1068" i="8" a="1"/>
  <c r="W1068" i="8" s="1"/>
  <c r="W1119" i="8" a="1"/>
  <c r="W1119" i="8" s="1"/>
  <c r="W1145" i="8" a="1"/>
  <c r="W1145" i="8" s="1"/>
  <c r="W1166" i="8" a="1"/>
  <c r="W1166" i="8" s="1"/>
  <c r="W1183" i="8" a="1"/>
  <c r="W1183" i="8" s="1"/>
  <c r="W1194" i="8" a="1"/>
  <c r="W1194" i="8" s="1"/>
  <c r="W1205" i="8" a="1"/>
  <c r="W1205" i="8" s="1"/>
  <c r="W1221" i="8" a="1"/>
  <c r="W1221" i="8" s="1"/>
  <c r="W1237" i="8" a="1"/>
  <c r="W1237" i="8" s="1"/>
  <c r="W936" i="8" a="1"/>
  <c r="W936" i="8" s="1"/>
  <c r="W987" i="8" a="1"/>
  <c r="W987" i="8" s="1"/>
  <c r="W1038" i="8" a="1"/>
  <c r="W1038" i="8" s="1"/>
  <c r="W1070" i="8" a="1"/>
  <c r="W1070" i="8" s="1"/>
  <c r="W1096" i="8" a="1"/>
  <c r="W1096" i="8" s="1"/>
  <c r="W1147" i="8" a="1"/>
  <c r="W1147" i="8" s="1"/>
  <c r="W1168" i="8" a="1"/>
  <c r="W1168" i="8" s="1"/>
  <c r="W1200" i="8" a="1"/>
  <c r="W1200" i="8" s="1"/>
  <c r="W1206" i="8" a="1"/>
  <c r="W1206" i="8" s="1"/>
  <c r="W1211" i="8" a="1"/>
  <c r="W1211" i="8" s="1"/>
  <c r="W1216" i="8" a="1"/>
  <c r="W1216" i="8" s="1"/>
  <c r="W1222" i="8" a="1"/>
  <c r="W1222" i="8" s="1"/>
  <c r="W1227" i="8" a="1"/>
  <c r="W1227" i="8" s="1"/>
  <c r="W942" i="8" a="1"/>
  <c r="W942" i="8" s="1"/>
  <c r="W1045" i="8" a="1"/>
  <c r="W1045" i="8" s="1"/>
  <c r="W1074" i="8" a="1"/>
  <c r="W1074" i="8" s="1"/>
  <c r="W1100" i="8" a="1"/>
  <c r="W1100" i="8" s="1"/>
  <c r="W1151" i="8" a="1"/>
  <c r="W1151" i="8" s="1"/>
  <c r="W1170" i="8" a="1"/>
  <c r="W1170" i="8" s="1"/>
  <c r="W1187" i="8" a="1"/>
  <c r="W1187" i="8" s="1"/>
  <c r="W1195" i="8" a="1"/>
  <c r="W1195" i="8" s="1"/>
  <c r="W1201" i="8" a="1"/>
  <c r="W1201" i="8" s="1"/>
  <c r="W1217" i="8" a="1"/>
  <c r="W1217" i="8" s="1"/>
  <c r="W1233" i="8" a="1"/>
  <c r="W1233" i="8" s="1"/>
  <c r="W1249" i="8" a="1"/>
  <c r="W1249" i="8" s="1"/>
  <c r="W949" i="8" a="1"/>
  <c r="W949" i="8" s="1"/>
  <c r="W1000" i="8" a="1"/>
  <c r="W1000" i="8" s="1"/>
  <c r="W1051" i="8" a="1"/>
  <c r="W1051" i="8" s="1"/>
  <c r="W1077" i="8" a="1"/>
  <c r="W1077" i="8" s="1"/>
  <c r="W1102" i="8" a="1"/>
  <c r="W1102" i="8" s="1"/>
  <c r="W1128" i="8" a="1"/>
  <c r="W1128" i="8" s="1"/>
  <c r="W1173" i="8" a="1"/>
  <c r="W1173" i="8" s="1"/>
  <c r="W1189" i="8" a="1"/>
  <c r="W1189" i="8" s="1"/>
  <c r="W1202" i="8" a="1"/>
  <c r="W1202" i="8" s="1"/>
  <c r="W1207" i="8" a="1"/>
  <c r="W1207" i="8" s="1"/>
  <c r="W1212" i="8" a="1"/>
  <c r="W1212" i="8" s="1"/>
  <c r="W1218" i="8" a="1"/>
  <c r="W1218" i="8" s="1"/>
  <c r="W955" i="8" a="1"/>
  <c r="W955" i="8" s="1"/>
  <c r="W1006" i="8" a="1"/>
  <c r="W1006" i="8" s="1"/>
  <c r="W1055" i="8" a="1"/>
  <c r="W1055" i="8" s="1"/>
  <c r="W1081" i="8" a="1"/>
  <c r="W1081" i="8" s="1"/>
  <c r="W1106" i="8" a="1"/>
  <c r="W1106" i="8" s="1"/>
  <c r="W1132" i="8" a="1"/>
  <c r="W1132" i="8" s="1"/>
  <c r="W1174" i="8" a="1"/>
  <c r="W1174" i="8" s="1"/>
  <c r="W1190" i="8" a="1"/>
  <c r="W1190" i="8" s="1"/>
  <c r="W1197" i="8" a="1"/>
  <c r="W1197" i="8" s="1"/>
  <c r="W1213" i="8" a="1"/>
  <c r="W1213" i="8" s="1"/>
  <c r="W1229" i="8" a="1"/>
  <c r="W1229" i="8" s="1"/>
  <c r="W1245" i="8" a="1"/>
  <c r="W1245" i="8" s="1"/>
  <c r="W1013" i="8" a="1"/>
  <c r="W1013" i="8" s="1"/>
  <c r="W1083" i="8" a="1"/>
  <c r="W1083" i="8" s="1"/>
  <c r="W1109" i="8" a="1"/>
  <c r="W1109" i="8" s="1"/>
  <c r="W1134" i="8" a="1"/>
  <c r="W1134" i="8" s="1"/>
  <c r="W1160" i="8" a="1"/>
  <c r="W1160" i="8" s="1"/>
  <c r="W1177" i="8" a="1"/>
  <c r="W1177" i="8" s="1"/>
  <c r="W1198" i="8" a="1"/>
  <c r="W1198" i="8" s="1"/>
  <c r="W1203" i="8" a="1"/>
  <c r="W1203" i="8" s="1"/>
  <c r="W1208" i="8" a="1"/>
  <c r="W1208" i="8" s="1"/>
  <c r="W1214" i="8" a="1"/>
  <c r="W1214" i="8" s="1"/>
  <c r="W1219" i="8" a="1"/>
  <c r="W1219" i="8" s="1"/>
  <c r="W1224" i="8" a="1"/>
  <c r="W1224" i="8" s="1"/>
  <c r="W1230" i="8" a="1"/>
  <c r="W1230" i="8" s="1"/>
  <c r="W917" i="8" a="1"/>
  <c r="W917" i="8" s="1"/>
  <c r="W974" i="8" a="1"/>
  <c r="W974" i="8" s="1"/>
  <c r="W1115" i="8" a="1"/>
  <c r="W1115" i="8" s="1"/>
  <c r="W1193" i="8" a="1"/>
  <c r="W1193" i="8" s="1"/>
  <c r="W1215" i="8" a="1"/>
  <c r="W1215" i="8" s="1"/>
  <c r="W1231" i="8" a="1"/>
  <c r="W1231" i="8" s="1"/>
  <c r="W1240" i="8" a="1"/>
  <c r="W1240" i="8" s="1"/>
  <c r="W1019" i="8" a="1"/>
  <c r="W1019" i="8" s="1"/>
  <c r="W1138" i="8" a="1"/>
  <c r="W1138" i="8" s="1"/>
  <c r="W1232" i="8" a="1"/>
  <c r="W1232" i="8" s="1"/>
  <c r="W1241" i="8" a="1"/>
  <c r="W1241" i="8" s="1"/>
  <c r="W1250" i="8" a="1"/>
  <c r="W1250" i="8" s="1"/>
  <c r="W1141" i="8" a="1"/>
  <c r="W1141" i="8" s="1"/>
  <c r="W1199" i="8" a="1"/>
  <c r="W1199" i="8" s="1"/>
  <c r="W1220" i="8" a="1"/>
  <c r="W1220" i="8" s="1"/>
  <c r="W1234" i="8" a="1"/>
  <c r="W1234" i="8" s="1"/>
  <c r="W1242" i="8" a="1"/>
  <c r="W1242" i="8" s="1"/>
  <c r="W1223" i="8" a="1"/>
  <c r="W1223" i="8" s="1"/>
  <c r="W1235" i="8" a="1"/>
  <c r="W1235" i="8" s="1"/>
  <c r="W1243" i="8" a="1"/>
  <c r="W1243" i="8" s="1"/>
  <c r="W1064" i="8" a="1"/>
  <c r="W1064" i="8" s="1"/>
  <c r="W1164" i="8" a="1"/>
  <c r="W1164" i="8" s="1"/>
  <c r="W1204" i="8" a="1"/>
  <c r="W1204" i="8" s="1"/>
  <c r="W1225" i="8" a="1"/>
  <c r="W1225" i="8" s="1"/>
  <c r="W1244" i="8" a="1"/>
  <c r="W1244" i="8" s="1"/>
  <c r="W1087" i="8" a="1"/>
  <c r="W1087" i="8" s="1"/>
  <c r="W1179" i="8" a="1"/>
  <c r="W1179" i="8" s="1"/>
  <c r="W1209" i="8" a="1"/>
  <c r="W1209" i="8" s="1"/>
  <c r="W1226" i="8" a="1"/>
  <c r="W1226" i="8" s="1"/>
  <c r="W1236" i="8" a="1"/>
  <c r="W1236" i="8" s="1"/>
  <c r="W1246" i="8" a="1"/>
  <c r="W1246" i="8" s="1"/>
  <c r="W1238" i="8" a="1"/>
  <c r="W1238" i="8" s="1"/>
  <c r="W1113" i="8" a="1"/>
  <c r="W1113" i="8" s="1"/>
  <c r="W1239" i="8" a="1"/>
  <c r="W1239" i="8" s="1"/>
  <c r="W1181" i="8" a="1"/>
  <c r="W1181" i="8" s="1"/>
  <c r="W1247" i="8" a="1"/>
  <c r="W1247" i="8" s="1"/>
  <c r="W1210" i="8" a="1"/>
  <c r="W1210" i="8" s="1"/>
  <c r="W1248" i="8" a="1"/>
  <c r="W1248" i="8" s="1"/>
  <c r="W923" i="8" a="1"/>
  <c r="W923" i="8" s="1"/>
  <c r="W1228" i="8" a="1"/>
  <c r="W1228" i="8" s="1"/>
  <c r="W968" i="8" a="1"/>
  <c r="W968" i="8" s="1"/>
  <c r="AJ229" i="8"/>
  <c r="AJ891" i="8"/>
  <c r="AJ502" i="8"/>
  <c r="W909" i="8" a="1"/>
  <c r="W909" i="8" s="1"/>
  <c r="X909" i="8" s="1" a="1"/>
  <c r="X909" i="8" s="1"/>
  <c r="S43" i="14" a="1"/>
  <c r="S43" i="14" s="1"/>
  <c r="K2" i="14"/>
  <c r="J8" i="14"/>
  <c r="K8" i="14"/>
  <c r="J57" i="14"/>
  <c r="K57" i="14"/>
  <c r="J97" i="14"/>
  <c r="K97" i="14"/>
  <c r="J121" i="14"/>
  <c r="K121" i="14"/>
  <c r="J161" i="14"/>
  <c r="K161" i="14"/>
  <c r="J201" i="14"/>
  <c r="K201" i="14"/>
  <c r="J249" i="14"/>
  <c r="K249" i="14"/>
  <c r="J297" i="14"/>
  <c r="K297" i="14"/>
  <c r="J361" i="14"/>
  <c r="K361" i="14"/>
  <c r="J409" i="14"/>
  <c r="K409" i="14"/>
  <c r="J466" i="14"/>
  <c r="K466" i="14"/>
  <c r="J530" i="14"/>
  <c r="K530" i="14"/>
  <c r="J658" i="14"/>
  <c r="K658" i="14"/>
  <c r="J26" i="14"/>
  <c r="K26" i="14"/>
  <c r="J74" i="14"/>
  <c r="K74" i="14"/>
  <c r="J130" i="14"/>
  <c r="K130" i="14"/>
  <c r="J186" i="14"/>
  <c r="K186" i="14"/>
  <c r="J226" i="14"/>
  <c r="K226" i="14"/>
  <c r="J274" i="14"/>
  <c r="K274" i="14"/>
  <c r="J330" i="14"/>
  <c r="K330" i="14"/>
  <c r="J362" i="14"/>
  <c r="K362" i="14"/>
  <c r="J402" i="14"/>
  <c r="K402" i="14"/>
  <c r="J426" i="14"/>
  <c r="K426" i="14"/>
  <c r="J459" i="14"/>
  <c r="K459" i="14"/>
  <c r="J491" i="14"/>
  <c r="K491" i="14"/>
  <c r="J546" i="14"/>
  <c r="K546" i="14"/>
  <c r="J571" i="14"/>
  <c r="K571" i="14"/>
  <c r="J595" i="14"/>
  <c r="K595" i="14"/>
  <c r="J619" i="14"/>
  <c r="K619" i="14"/>
  <c r="J651" i="14"/>
  <c r="K651" i="14"/>
  <c r="J683" i="14"/>
  <c r="K683" i="14"/>
  <c r="J715" i="14"/>
  <c r="K715" i="14"/>
  <c r="J19" i="14"/>
  <c r="K19" i="14"/>
  <c r="J27" i="14"/>
  <c r="K27" i="14"/>
  <c r="J51" i="14"/>
  <c r="K51" i="14"/>
  <c r="J59" i="14"/>
  <c r="K59" i="14"/>
  <c r="J67" i="14"/>
  <c r="K67" i="14"/>
  <c r="J75" i="14"/>
  <c r="K75" i="14"/>
  <c r="J83" i="14"/>
  <c r="K83" i="14"/>
  <c r="J91" i="14"/>
  <c r="K91" i="14"/>
  <c r="J99" i="14"/>
  <c r="K99" i="14"/>
  <c r="J107" i="14"/>
  <c r="K107" i="14"/>
  <c r="J123" i="14"/>
  <c r="K123" i="14"/>
  <c r="J131" i="14"/>
  <c r="K131" i="14"/>
  <c r="J139" i="14"/>
  <c r="K139" i="14"/>
  <c r="J147" i="14"/>
  <c r="K147" i="14"/>
  <c r="J155" i="14"/>
  <c r="K155" i="14"/>
  <c r="J163" i="14"/>
  <c r="K163" i="14"/>
  <c r="J171" i="14"/>
  <c r="K171" i="14"/>
  <c r="J179" i="14"/>
  <c r="K179" i="14"/>
  <c r="J187" i="14"/>
  <c r="K187" i="14"/>
  <c r="J195" i="14"/>
  <c r="K195" i="14"/>
  <c r="J203" i="14"/>
  <c r="K203" i="14"/>
  <c r="J211" i="14"/>
  <c r="K211" i="14"/>
  <c r="J219" i="14"/>
  <c r="K219" i="14"/>
  <c r="J227" i="14"/>
  <c r="K227" i="14"/>
  <c r="J235" i="14"/>
  <c r="K235" i="14"/>
  <c r="J243" i="14"/>
  <c r="K243" i="14"/>
  <c r="J251" i="14"/>
  <c r="K251" i="14"/>
  <c r="J259" i="14"/>
  <c r="K259" i="14"/>
  <c r="J267" i="14"/>
  <c r="K267" i="14"/>
  <c r="J283" i="14"/>
  <c r="K283" i="14"/>
  <c r="J291" i="14"/>
  <c r="K291" i="14"/>
  <c r="J299" i="14"/>
  <c r="K299" i="14"/>
  <c r="J307" i="14"/>
  <c r="K307" i="14"/>
  <c r="J315" i="14"/>
  <c r="K315" i="14"/>
  <c r="J323" i="14"/>
  <c r="K323" i="14"/>
  <c r="J331" i="14"/>
  <c r="K331" i="14"/>
  <c r="J339" i="14"/>
  <c r="K339" i="14"/>
  <c r="J347" i="14"/>
  <c r="K347" i="14"/>
  <c r="J355" i="14"/>
  <c r="K355" i="14"/>
  <c r="J363" i="14"/>
  <c r="K363" i="14"/>
  <c r="J371" i="14"/>
  <c r="K371" i="14"/>
  <c r="J379" i="14"/>
  <c r="K379" i="14"/>
  <c r="J387" i="14"/>
  <c r="K387" i="14"/>
  <c r="J395" i="14"/>
  <c r="K395" i="14"/>
  <c r="J403" i="14"/>
  <c r="K403" i="14"/>
  <c r="J411" i="14"/>
  <c r="K411" i="14"/>
  <c r="J419" i="14"/>
  <c r="K419" i="14"/>
  <c r="J427" i="14"/>
  <c r="K427" i="14"/>
  <c r="J435" i="14"/>
  <c r="K435" i="14"/>
  <c r="J443" i="14"/>
  <c r="K443" i="14"/>
  <c r="J451" i="14"/>
  <c r="K451" i="14"/>
  <c r="J460" i="14"/>
  <c r="K460" i="14"/>
  <c r="J468" i="14"/>
  <c r="K468" i="14"/>
  <c r="J476" i="14"/>
  <c r="K476" i="14"/>
  <c r="J484" i="14"/>
  <c r="K484" i="14"/>
  <c r="J492" i="14"/>
  <c r="K492" i="14"/>
  <c r="J500" i="14"/>
  <c r="K500" i="14"/>
  <c r="J508" i="14"/>
  <c r="K508" i="14"/>
  <c r="J516" i="14"/>
  <c r="K516" i="14"/>
  <c r="J524" i="14"/>
  <c r="K524" i="14"/>
  <c r="J531" i="14"/>
  <c r="K531" i="14"/>
  <c r="J539" i="14"/>
  <c r="K539" i="14"/>
  <c r="J548" i="14"/>
  <c r="K548" i="14"/>
  <c r="J556" i="14"/>
  <c r="K556" i="14"/>
  <c r="J564" i="14"/>
  <c r="K564" i="14"/>
  <c r="J572" i="14"/>
  <c r="K572" i="14"/>
  <c r="J580" i="14"/>
  <c r="K580" i="14"/>
  <c r="J588" i="14"/>
  <c r="K588" i="14"/>
  <c r="J596" i="14"/>
  <c r="K596" i="14"/>
  <c r="J604" i="14"/>
  <c r="K604" i="14"/>
  <c r="J612" i="14"/>
  <c r="K612" i="14"/>
  <c r="J620" i="14"/>
  <c r="K620" i="14"/>
  <c r="J628" i="14"/>
  <c r="K628" i="14"/>
  <c r="J636" i="14"/>
  <c r="K636" i="14"/>
  <c r="J644" i="14"/>
  <c r="K644" i="14"/>
  <c r="J652" i="14"/>
  <c r="K652" i="14"/>
  <c r="J660" i="14"/>
  <c r="K660" i="14"/>
  <c r="J668" i="14"/>
  <c r="K668" i="14"/>
  <c r="J676" i="14"/>
  <c r="K676" i="14"/>
  <c r="J692" i="14"/>
  <c r="K692" i="14"/>
  <c r="J700" i="14"/>
  <c r="K700" i="14"/>
  <c r="J708" i="14"/>
  <c r="K708" i="14"/>
  <c r="J716" i="14"/>
  <c r="K716" i="14"/>
  <c r="J16" i="14"/>
  <c r="K16" i="14"/>
  <c r="J41" i="14"/>
  <c r="K41" i="14"/>
  <c r="J81" i="14"/>
  <c r="K81" i="14"/>
  <c r="J113" i="14"/>
  <c r="K113" i="14"/>
  <c r="J145" i="14"/>
  <c r="K145" i="14"/>
  <c r="J169" i="14"/>
  <c r="K169" i="14"/>
  <c r="J193" i="14"/>
  <c r="K193" i="14"/>
  <c r="J233" i="14"/>
  <c r="K233" i="14"/>
  <c r="J257" i="14"/>
  <c r="K257" i="14"/>
  <c r="J281" i="14"/>
  <c r="K281" i="14"/>
  <c r="J313" i="14"/>
  <c r="K313" i="14"/>
  <c r="J337" i="14"/>
  <c r="K337" i="14"/>
  <c r="J377" i="14"/>
  <c r="K377" i="14"/>
  <c r="J417" i="14"/>
  <c r="K417" i="14"/>
  <c r="J449" i="14"/>
  <c r="K449" i="14"/>
  <c r="J482" i="14"/>
  <c r="K482" i="14"/>
  <c r="J514" i="14"/>
  <c r="K514" i="14"/>
  <c r="J545" i="14"/>
  <c r="K545" i="14"/>
  <c r="J570" i="14"/>
  <c r="K570" i="14"/>
  <c r="J594" i="14"/>
  <c r="K594" i="14"/>
  <c r="J618" i="14"/>
  <c r="K618" i="14"/>
  <c r="J650" i="14"/>
  <c r="K650" i="14"/>
  <c r="J674" i="14"/>
  <c r="K674" i="14"/>
  <c r="J690" i="14"/>
  <c r="K690" i="14"/>
  <c r="J714" i="14"/>
  <c r="K714" i="14"/>
  <c r="J9" i="14"/>
  <c r="K9" i="14"/>
  <c r="J50" i="14"/>
  <c r="K50" i="14"/>
  <c r="J82" i="14"/>
  <c r="K82" i="14"/>
  <c r="J114" i="14"/>
  <c r="K114" i="14"/>
  <c r="J122" i="14"/>
  <c r="K122" i="14"/>
  <c r="J162" i="14"/>
  <c r="K162" i="14"/>
  <c r="J194" i="14"/>
  <c r="K194" i="14"/>
  <c r="J234" i="14"/>
  <c r="K234" i="14"/>
  <c r="J258" i="14"/>
  <c r="K258" i="14"/>
  <c r="J290" i="14"/>
  <c r="K290" i="14"/>
  <c r="J322" i="14"/>
  <c r="K322" i="14"/>
  <c r="J346" i="14"/>
  <c r="K346" i="14"/>
  <c r="J378" i="14"/>
  <c r="K378" i="14"/>
  <c r="J394" i="14"/>
  <c r="K394" i="14"/>
  <c r="J418" i="14"/>
  <c r="K418" i="14"/>
  <c r="J442" i="14"/>
  <c r="K442" i="14"/>
  <c r="J467" i="14"/>
  <c r="K467" i="14"/>
  <c r="J507" i="14"/>
  <c r="K507" i="14"/>
  <c r="J538" i="14"/>
  <c r="K538" i="14"/>
  <c r="J555" i="14"/>
  <c r="K555" i="14"/>
  <c r="J579" i="14"/>
  <c r="K579" i="14"/>
  <c r="J611" i="14"/>
  <c r="K611" i="14"/>
  <c r="J643" i="14"/>
  <c r="K643" i="14"/>
  <c r="J699" i="14"/>
  <c r="K699" i="14"/>
  <c r="J43" i="14"/>
  <c r="K43" i="14"/>
  <c r="J3" i="14"/>
  <c r="K3" i="14"/>
  <c r="J11" i="14"/>
  <c r="K11" i="14"/>
  <c r="J20" i="14"/>
  <c r="K20" i="14"/>
  <c r="J28" i="14"/>
  <c r="K28" i="14"/>
  <c r="J36" i="14"/>
  <c r="K36" i="14"/>
  <c r="J44" i="14"/>
  <c r="K44" i="14"/>
  <c r="J52" i="14"/>
  <c r="K52" i="14"/>
  <c r="J60" i="14"/>
  <c r="K60" i="14"/>
  <c r="J68" i="14"/>
  <c r="K68" i="14"/>
  <c r="J76" i="14"/>
  <c r="K76" i="14"/>
  <c r="J84" i="14"/>
  <c r="K84" i="14"/>
  <c r="J92" i="14"/>
  <c r="K92" i="14"/>
  <c r="J100" i="14"/>
  <c r="K100" i="14"/>
  <c r="J108" i="14"/>
  <c r="K108" i="14"/>
  <c r="J116" i="14"/>
  <c r="K116" i="14"/>
  <c r="J124" i="14"/>
  <c r="K124" i="14"/>
  <c r="J132" i="14"/>
  <c r="K132" i="14"/>
  <c r="J140" i="14"/>
  <c r="K140" i="14"/>
  <c r="J148" i="14"/>
  <c r="K148" i="14"/>
  <c r="J156" i="14"/>
  <c r="K156" i="14"/>
  <c r="J164" i="14"/>
  <c r="K164" i="14"/>
  <c r="J172" i="14"/>
  <c r="K172" i="14"/>
  <c r="J180" i="14"/>
  <c r="K180" i="14"/>
  <c r="J188" i="14"/>
  <c r="K188" i="14"/>
  <c r="J196" i="14"/>
  <c r="K196" i="14"/>
  <c r="J204" i="14"/>
  <c r="K204" i="14"/>
  <c r="J212" i="14"/>
  <c r="K212" i="14"/>
  <c r="J220" i="14"/>
  <c r="K220" i="14"/>
  <c r="J228" i="14"/>
  <c r="K228" i="14"/>
  <c r="J236" i="14"/>
  <c r="K236" i="14"/>
  <c r="J244" i="14"/>
  <c r="K244" i="14"/>
  <c r="J252" i="14"/>
  <c r="K252" i="14"/>
  <c r="J260" i="14"/>
  <c r="K260" i="14"/>
  <c r="J268" i="14"/>
  <c r="K268" i="14"/>
  <c r="J276" i="14"/>
  <c r="K276" i="14"/>
  <c r="J284" i="14"/>
  <c r="K284" i="14"/>
  <c r="J292" i="14"/>
  <c r="K292" i="14"/>
  <c r="J300" i="14"/>
  <c r="K300" i="14"/>
  <c r="J308" i="14"/>
  <c r="K308" i="14"/>
  <c r="J316" i="14"/>
  <c r="K316" i="14"/>
  <c r="J324" i="14"/>
  <c r="K324" i="14"/>
  <c r="J332" i="14"/>
  <c r="K332" i="14"/>
  <c r="J340" i="14"/>
  <c r="K340" i="14"/>
  <c r="J348" i="14"/>
  <c r="K348" i="14"/>
  <c r="J356" i="14"/>
  <c r="K356" i="14"/>
  <c r="J364" i="14"/>
  <c r="K364" i="14"/>
  <c r="J372" i="14"/>
  <c r="K372" i="14"/>
  <c r="J380" i="14"/>
  <c r="K380" i="14"/>
  <c r="J388" i="14"/>
  <c r="K388" i="14"/>
  <c r="J396" i="14"/>
  <c r="K396" i="14"/>
  <c r="J404" i="14"/>
  <c r="K404" i="14"/>
  <c r="J412" i="14"/>
  <c r="K412" i="14"/>
  <c r="J420" i="14"/>
  <c r="K420" i="14"/>
  <c r="J428" i="14"/>
  <c r="K428" i="14"/>
  <c r="J436" i="14"/>
  <c r="K436" i="14"/>
  <c r="J444" i="14"/>
  <c r="K444" i="14"/>
  <c r="J452" i="14"/>
  <c r="K452" i="14"/>
  <c r="J461" i="14"/>
  <c r="K461" i="14"/>
  <c r="J469" i="14"/>
  <c r="K469" i="14"/>
  <c r="J477" i="14"/>
  <c r="K477" i="14"/>
  <c r="J485" i="14"/>
  <c r="K485" i="14"/>
  <c r="J493" i="14"/>
  <c r="K493" i="14"/>
  <c r="J501" i="14"/>
  <c r="K501" i="14"/>
  <c r="J509" i="14"/>
  <c r="K509" i="14"/>
  <c r="J517" i="14"/>
  <c r="K517" i="14"/>
  <c r="J525" i="14"/>
  <c r="K525" i="14"/>
  <c r="J532" i="14"/>
  <c r="K532" i="14"/>
  <c r="J540" i="14"/>
  <c r="K540" i="14"/>
  <c r="J549" i="14"/>
  <c r="K549" i="14"/>
  <c r="J557" i="14"/>
  <c r="K557" i="14"/>
  <c r="J565" i="14"/>
  <c r="K565" i="14"/>
  <c r="J573" i="14"/>
  <c r="K573" i="14"/>
  <c r="J581" i="14"/>
  <c r="K581" i="14"/>
  <c r="J589" i="14"/>
  <c r="K589" i="14"/>
  <c r="J597" i="14"/>
  <c r="K597" i="14"/>
  <c r="J605" i="14"/>
  <c r="K605" i="14"/>
  <c r="J613" i="14"/>
  <c r="K613" i="14"/>
  <c r="J621" i="14"/>
  <c r="K621" i="14"/>
  <c r="J629" i="14"/>
  <c r="K629" i="14"/>
  <c r="J637" i="14"/>
  <c r="K637" i="14"/>
  <c r="J645" i="14"/>
  <c r="K645" i="14"/>
  <c r="J653" i="14"/>
  <c r="K653" i="14"/>
  <c r="J661" i="14"/>
  <c r="K661" i="14"/>
  <c r="J669" i="14"/>
  <c r="K669" i="14"/>
  <c r="J677" i="14"/>
  <c r="K677" i="14"/>
  <c r="J685" i="14"/>
  <c r="K685" i="14"/>
  <c r="J693" i="14"/>
  <c r="K693" i="14"/>
  <c r="J701" i="14"/>
  <c r="K701" i="14"/>
  <c r="J709" i="14"/>
  <c r="K709" i="14"/>
  <c r="J717" i="14"/>
  <c r="K717" i="14"/>
  <c r="J49" i="14"/>
  <c r="K49" i="14"/>
  <c r="J73" i="14"/>
  <c r="K73" i="14"/>
  <c r="J129" i="14"/>
  <c r="K129" i="14"/>
  <c r="J225" i="14"/>
  <c r="K225" i="14"/>
  <c r="J563" i="14"/>
  <c r="K563" i="14"/>
  <c r="J603" i="14"/>
  <c r="K603" i="14"/>
  <c r="J635" i="14"/>
  <c r="K635" i="14"/>
  <c r="J659" i="14"/>
  <c r="K659" i="14"/>
  <c r="J675" i="14"/>
  <c r="K675" i="14"/>
  <c r="J707" i="14"/>
  <c r="K707" i="14"/>
  <c r="J10" i="14"/>
  <c r="K10" i="14"/>
  <c r="J35" i="14"/>
  <c r="K35" i="14"/>
  <c r="J4" i="14"/>
  <c r="K4" i="14"/>
  <c r="J12" i="14"/>
  <c r="K12" i="14"/>
  <c r="J21" i="14"/>
  <c r="K21" i="14"/>
  <c r="J29" i="14"/>
  <c r="K29" i="14"/>
  <c r="J37" i="14"/>
  <c r="K37" i="14"/>
  <c r="J45" i="14"/>
  <c r="K45" i="14"/>
  <c r="J53" i="14"/>
  <c r="K53" i="14"/>
  <c r="J61" i="14"/>
  <c r="K61" i="14"/>
  <c r="J69" i="14"/>
  <c r="K69" i="14"/>
  <c r="J77" i="14"/>
  <c r="K77" i="14"/>
  <c r="J85" i="14"/>
  <c r="K85" i="14"/>
  <c r="J93" i="14"/>
  <c r="K93" i="14"/>
  <c r="J101" i="14"/>
  <c r="K101" i="14"/>
  <c r="J109" i="14"/>
  <c r="K109" i="14"/>
  <c r="J117" i="14"/>
  <c r="K117" i="14"/>
  <c r="J125" i="14"/>
  <c r="K125" i="14"/>
  <c r="J133" i="14"/>
  <c r="K133" i="14"/>
  <c r="J141" i="14"/>
  <c r="K141" i="14"/>
  <c r="J149" i="14"/>
  <c r="K149" i="14"/>
  <c r="J157" i="14"/>
  <c r="K157" i="14"/>
  <c r="J165" i="14"/>
  <c r="K165" i="14"/>
  <c r="J173" i="14"/>
  <c r="K173" i="14"/>
  <c r="J181" i="14"/>
  <c r="K181" i="14"/>
  <c r="J189" i="14"/>
  <c r="K189" i="14"/>
  <c r="J197" i="14"/>
  <c r="K197" i="14"/>
  <c r="J205" i="14"/>
  <c r="K205" i="14"/>
  <c r="J213" i="14"/>
  <c r="K213" i="14"/>
  <c r="J221" i="14"/>
  <c r="K221" i="14"/>
  <c r="J229" i="14"/>
  <c r="K229" i="14"/>
  <c r="J237" i="14"/>
  <c r="K237" i="14"/>
  <c r="J245" i="14"/>
  <c r="K245" i="14"/>
  <c r="J253" i="14"/>
  <c r="K253" i="14"/>
  <c r="J261" i="14"/>
  <c r="K261" i="14"/>
  <c r="J269" i="14"/>
  <c r="K269" i="14"/>
  <c r="J277" i="14"/>
  <c r="K277" i="14"/>
  <c r="J285" i="14"/>
  <c r="K285" i="14"/>
  <c r="J293" i="14"/>
  <c r="K293" i="14"/>
  <c r="J301" i="14"/>
  <c r="K301" i="14"/>
  <c r="J309" i="14"/>
  <c r="K309" i="14"/>
  <c r="J317" i="14"/>
  <c r="K317" i="14"/>
  <c r="J325" i="14"/>
  <c r="K325" i="14"/>
  <c r="J333" i="14"/>
  <c r="K333" i="14"/>
  <c r="J341" i="14"/>
  <c r="K341" i="14"/>
  <c r="J349" i="14"/>
  <c r="K349" i="14"/>
  <c r="J357" i="14"/>
  <c r="K357" i="14"/>
  <c r="J365" i="14"/>
  <c r="K365" i="14"/>
  <c r="J381" i="14"/>
  <c r="K381" i="14"/>
  <c r="J389" i="14"/>
  <c r="K389" i="14"/>
  <c r="J397" i="14"/>
  <c r="K397" i="14"/>
  <c r="J405" i="14"/>
  <c r="K405" i="14"/>
  <c r="J413" i="14"/>
  <c r="K413" i="14"/>
  <c r="J421" i="14"/>
  <c r="K421" i="14"/>
  <c r="J429" i="14"/>
  <c r="K429" i="14"/>
  <c r="J437" i="14"/>
  <c r="K437" i="14"/>
  <c r="J445" i="14"/>
  <c r="K445" i="14"/>
  <c r="J453" i="14"/>
  <c r="K453" i="14"/>
  <c r="J462" i="14"/>
  <c r="K462" i="14"/>
  <c r="J470" i="14"/>
  <c r="K470" i="14"/>
  <c r="J478" i="14"/>
  <c r="K478" i="14"/>
  <c r="J486" i="14"/>
  <c r="K486" i="14"/>
  <c r="J494" i="14"/>
  <c r="K494" i="14"/>
  <c r="J502" i="14"/>
  <c r="K502" i="14"/>
  <c r="J510" i="14"/>
  <c r="K510" i="14"/>
  <c r="J518" i="14"/>
  <c r="K518" i="14"/>
  <c r="J526" i="14"/>
  <c r="K526" i="14"/>
  <c r="J533" i="14"/>
  <c r="K533" i="14"/>
  <c r="J541" i="14"/>
  <c r="K541" i="14"/>
  <c r="J550" i="14"/>
  <c r="K550" i="14"/>
  <c r="J558" i="14"/>
  <c r="K558" i="14"/>
  <c r="J566" i="14"/>
  <c r="K566" i="14"/>
  <c r="J574" i="14"/>
  <c r="K574" i="14"/>
  <c r="J582" i="14"/>
  <c r="K582" i="14"/>
  <c r="J590" i="14"/>
  <c r="K590" i="14"/>
  <c r="J598" i="14"/>
  <c r="K598" i="14"/>
  <c r="J606" i="14"/>
  <c r="K606" i="14"/>
  <c r="J614" i="14"/>
  <c r="K614" i="14"/>
  <c r="J622" i="14"/>
  <c r="K622" i="14"/>
  <c r="J630" i="14"/>
  <c r="K630" i="14"/>
  <c r="J638" i="14"/>
  <c r="K638" i="14"/>
  <c r="J646" i="14"/>
  <c r="K646" i="14"/>
  <c r="J654" i="14"/>
  <c r="K654" i="14"/>
  <c r="J662" i="14"/>
  <c r="K662" i="14"/>
  <c r="J670" i="14"/>
  <c r="K670" i="14"/>
  <c r="J678" i="14"/>
  <c r="K678" i="14"/>
  <c r="J686" i="14"/>
  <c r="K686" i="14"/>
  <c r="J694" i="14"/>
  <c r="K694" i="14"/>
  <c r="J702" i="14"/>
  <c r="K702" i="14"/>
  <c r="J710" i="14"/>
  <c r="K710" i="14"/>
  <c r="J718" i="14"/>
  <c r="K718" i="14"/>
  <c r="J25" i="14"/>
  <c r="K25" i="14"/>
  <c r="J89" i="14"/>
  <c r="K89" i="14"/>
  <c r="J137" i="14"/>
  <c r="K137" i="14"/>
  <c r="J177" i="14"/>
  <c r="K177" i="14"/>
  <c r="J217" i="14"/>
  <c r="K217" i="14"/>
  <c r="J273" i="14"/>
  <c r="K273" i="14"/>
  <c r="J305" i="14"/>
  <c r="K305" i="14"/>
  <c r="J369" i="14"/>
  <c r="K369" i="14"/>
  <c r="J433" i="14"/>
  <c r="K433" i="14"/>
  <c r="J490" i="14"/>
  <c r="K490" i="14"/>
  <c r="J554" i="14"/>
  <c r="K554" i="14"/>
  <c r="J642" i="14"/>
  <c r="K642" i="14"/>
  <c r="J34" i="14"/>
  <c r="K34" i="14"/>
  <c r="J98" i="14"/>
  <c r="K98" i="14"/>
  <c r="J154" i="14"/>
  <c r="K154" i="14"/>
  <c r="J202" i="14"/>
  <c r="K202" i="14"/>
  <c r="J306" i="14"/>
  <c r="K306" i="14"/>
  <c r="J450" i="14"/>
  <c r="K450" i="14"/>
  <c r="J38" i="14"/>
  <c r="K38" i="14"/>
  <c r="J70" i="14"/>
  <c r="K70" i="14"/>
  <c r="J102" i="14"/>
  <c r="K102" i="14"/>
  <c r="J134" i="14"/>
  <c r="K134" i="14"/>
  <c r="J158" i="14"/>
  <c r="K158" i="14"/>
  <c r="J166" i="14"/>
  <c r="K166" i="14"/>
  <c r="J174" i="14"/>
  <c r="K174" i="14"/>
  <c r="J182" i="14"/>
  <c r="K182" i="14"/>
  <c r="J190" i="14"/>
  <c r="K190" i="14"/>
  <c r="J206" i="14"/>
  <c r="K206" i="14"/>
  <c r="J222" i="14"/>
  <c r="K222" i="14"/>
  <c r="J230" i="14"/>
  <c r="K230" i="14"/>
  <c r="J238" i="14"/>
  <c r="K238" i="14"/>
  <c r="J246" i="14"/>
  <c r="K246" i="14"/>
  <c r="J254" i="14"/>
  <c r="K254" i="14"/>
  <c r="J262" i="14"/>
  <c r="K262" i="14"/>
  <c r="J270" i="14"/>
  <c r="K270" i="14"/>
  <c r="J278" i="14"/>
  <c r="K278" i="14"/>
  <c r="J286" i="14"/>
  <c r="K286" i="14"/>
  <c r="J294" i="14"/>
  <c r="K294" i="14"/>
  <c r="J302" i="14"/>
  <c r="K302" i="14"/>
  <c r="J310" i="14"/>
  <c r="K310" i="14"/>
  <c r="J318" i="14"/>
  <c r="K318" i="14"/>
  <c r="J326" i="14"/>
  <c r="K326" i="14"/>
  <c r="J334" i="14"/>
  <c r="K334" i="14"/>
  <c r="J342" i="14"/>
  <c r="K342" i="14"/>
  <c r="J350" i="14"/>
  <c r="K350" i="14"/>
  <c r="J358" i="14"/>
  <c r="K358" i="14"/>
  <c r="J366" i="14"/>
  <c r="K366" i="14"/>
  <c r="J374" i="14"/>
  <c r="K374" i="14"/>
  <c r="J382" i="14"/>
  <c r="K382" i="14"/>
  <c r="J390" i="14"/>
  <c r="K390" i="14"/>
  <c r="J406" i="14"/>
  <c r="K406" i="14"/>
  <c r="J414" i="14"/>
  <c r="K414" i="14"/>
  <c r="J422" i="14"/>
  <c r="K422" i="14"/>
  <c r="J430" i="14"/>
  <c r="K430" i="14"/>
  <c r="J438" i="14"/>
  <c r="K438" i="14"/>
  <c r="J446" i="14"/>
  <c r="K446" i="14"/>
  <c r="J454" i="14"/>
  <c r="K454" i="14"/>
  <c r="J463" i="14"/>
  <c r="K463" i="14"/>
  <c r="J471" i="14"/>
  <c r="K471" i="14"/>
  <c r="J479" i="14"/>
  <c r="K479" i="14"/>
  <c r="J487" i="14"/>
  <c r="K487" i="14"/>
  <c r="J495" i="14"/>
  <c r="K495" i="14"/>
  <c r="J503" i="14"/>
  <c r="K503" i="14"/>
  <c r="J511" i="14"/>
  <c r="K511" i="14"/>
  <c r="J519" i="14"/>
  <c r="K519" i="14"/>
  <c r="J527" i="14"/>
  <c r="K527" i="14"/>
  <c r="J534" i="14"/>
  <c r="K534" i="14"/>
  <c r="J542" i="14"/>
  <c r="K542" i="14"/>
  <c r="J551" i="14"/>
  <c r="K551" i="14"/>
  <c r="J559" i="14"/>
  <c r="K559" i="14"/>
  <c r="J567" i="14"/>
  <c r="K567" i="14"/>
  <c r="J575" i="14"/>
  <c r="K575" i="14"/>
  <c r="J583" i="14"/>
  <c r="K583" i="14"/>
  <c r="J591" i="14"/>
  <c r="K591" i="14"/>
  <c r="J599" i="14"/>
  <c r="K599" i="14"/>
  <c r="J607" i="14"/>
  <c r="K607" i="14"/>
  <c r="J615" i="14"/>
  <c r="K615" i="14"/>
  <c r="J623" i="14"/>
  <c r="K623" i="14"/>
  <c r="J631" i="14"/>
  <c r="K631" i="14"/>
  <c r="J639" i="14"/>
  <c r="K639" i="14"/>
  <c r="J647" i="14"/>
  <c r="K647" i="14"/>
  <c r="J655" i="14"/>
  <c r="K655" i="14"/>
  <c r="J663" i="14"/>
  <c r="K663" i="14"/>
  <c r="J679" i="14"/>
  <c r="K679" i="14"/>
  <c r="J687" i="14"/>
  <c r="K687" i="14"/>
  <c r="J695" i="14"/>
  <c r="K695" i="14"/>
  <c r="J703" i="14"/>
  <c r="K703" i="14"/>
  <c r="J711" i="14"/>
  <c r="K711" i="14"/>
  <c r="J33" i="14"/>
  <c r="K33" i="14"/>
  <c r="J65" i="14"/>
  <c r="K65" i="14"/>
  <c r="J105" i="14"/>
  <c r="K105" i="14"/>
  <c r="J153" i="14"/>
  <c r="K153" i="14"/>
  <c r="J185" i="14"/>
  <c r="K185" i="14"/>
  <c r="J209" i="14"/>
  <c r="K209" i="14"/>
  <c r="J241" i="14"/>
  <c r="K241" i="14"/>
  <c r="J265" i="14"/>
  <c r="K265" i="14"/>
  <c r="J289" i="14"/>
  <c r="K289" i="14"/>
  <c r="J321" i="14"/>
  <c r="K321" i="14"/>
  <c r="J345" i="14"/>
  <c r="K345" i="14"/>
  <c r="J385" i="14"/>
  <c r="K385" i="14"/>
  <c r="J401" i="14"/>
  <c r="K401" i="14"/>
  <c r="J441" i="14"/>
  <c r="K441" i="14"/>
  <c r="J474" i="14"/>
  <c r="K474" i="14"/>
  <c r="J506" i="14"/>
  <c r="K506" i="14"/>
  <c r="J537" i="14"/>
  <c r="K537" i="14"/>
  <c r="J578" i="14"/>
  <c r="K578" i="14"/>
  <c r="J602" i="14"/>
  <c r="K602" i="14"/>
  <c r="J626" i="14"/>
  <c r="K626" i="14"/>
  <c r="J666" i="14"/>
  <c r="K666" i="14"/>
  <c r="J682" i="14"/>
  <c r="K682" i="14"/>
  <c r="J706" i="14"/>
  <c r="K706" i="14"/>
  <c r="J42" i="14"/>
  <c r="K42" i="14"/>
  <c r="J66" i="14"/>
  <c r="K66" i="14"/>
  <c r="J106" i="14"/>
  <c r="K106" i="14"/>
  <c r="J146" i="14"/>
  <c r="K146" i="14"/>
  <c r="J170" i="14"/>
  <c r="K170" i="14"/>
  <c r="J210" i="14"/>
  <c r="K210" i="14"/>
  <c r="J242" i="14"/>
  <c r="K242" i="14"/>
  <c r="J266" i="14"/>
  <c r="K266" i="14"/>
  <c r="J282" i="14"/>
  <c r="K282" i="14"/>
  <c r="J314" i="14"/>
  <c r="K314" i="14"/>
  <c r="J338" i="14"/>
  <c r="K338" i="14"/>
  <c r="J370" i="14"/>
  <c r="K370" i="14"/>
  <c r="J386" i="14"/>
  <c r="K386" i="14"/>
  <c r="J410" i="14"/>
  <c r="K410" i="14"/>
  <c r="J434" i="14"/>
  <c r="K434" i="14"/>
  <c r="J475" i="14"/>
  <c r="K475" i="14"/>
  <c r="J499" i="14"/>
  <c r="K499" i="14"/>
  <c r="J547" i="14"/>
  <c r="K547" i="14"/>
  <c r="J587" i="14"/>
  <c r="K587" i="14"/>
  <c r="J627" i="14"/>
  <c r="K627" i="14"/>
  <c r="J667" i="14"/>
  <c r="K667" i="14"/>
  <c r="J691" i="14"/>
  <c r="K691" i="14"/>
  <c r="J5" i="14"/>
  <c r="K5" i="14"/>
  <c r="J30" i="14"/>
  <c r="K30" i="14"/>
  <c r="J54" i="14"/>
  <c r="K54" i="14"/>
  <c r="J86" i="14"/>
  <c r="K86" i="14"/>
  <c r="J110" i="14"/>
  <c r="K110" i="14"/>
  <c r="J126" i="14"/>
  <c r="K126" i="14"/>
  <c r="J150" i="14"/>
  <c r="K150" i="14"/>
  <c r="J214" i="14"/>
  <c r="K214" i="14"/>
  <c r="J6" i="14"/>
  <c r="K6" i="14"/>
  <c r="J14" i="14"/>
  <c r="K14" i="14"/>
  <c r="J23" i="14"/>
  <c r="K23" i="14"/>
  <c r="J31" i="14"/>
  <c r="K31" i="14"/>
  <c r="J39" i="14"/>
  <c r="K39" i="14"/>
  <c r="J47" i="14"/>
  <c r="K47" i="14"/>
  <c r="J55" i="14"/>
  <c r="K55" i="14"/>
  <c r="J63" i="14"/>
  <c r="K63" i="14"/>
  <c r="J71" i="14"/>
  <c r="K71" i="14"/>
  <c r="J79" i="14"/>
  <c r="K79" i="14"/>
  <c r="J87" i="14"/>
  <c r="K87" i="14"/>
  <c r="J95" i="14"/>
  <c r="K95" i="14"/>
  <c r="J103" i="14"/>
  <c r="K103" i="14"/>
  <c r="J111" i="14"/>
  <c r="K111" i="14"/>
  <c r="J119" i="14"/>
  <c r="K119" i="14"/>
  <c r="J127" i="14"/>
  <c r="K127" i="14"/>
  <c r="J135" i="14"/>
  <c r="K135" i="14"/>
  <c r="J143" i="14"/>
  <c r="K143" i="14"/>
  <c r="J151" i="14"/>
  <c r="K151" i="14"/>
  <c r="J159" i="14"/>
  <c r="K159" i="14"/>
  <c r="J167" i="14"/>
  <c r="K167" i="14"/>
  <c r="J175" i="14"/>
  <c r="K175" i="14"/>
  <c r="J183" i="14"/>
  <c r="K183" i="14"/>
  <c r="J191" i="14"/>
  <c r="K191" i="14"/>
  <c r="J199" i="14"/>
  <c r="K199" i="14"/>
  <c r="J207" i="14"/>
  <c r="K207" i="14"/>
  <c r="J215" i="14"/>
  <c r="K215" i="14"/>
  <c r="J223" i="14"/>
  <c r="K223" i="14"/>
  <c r="J231" i="14"/>
  <c r="K231" i="14"/>
  <c r="J239" i="14"/>
  <c r="K239" i="14"/>
  <c r="J247" i="14"/>
  <c r="K247" i="14"/>
  <c r="J255" i="14"/>
  <c r="K255" i="14"/>
  <c r="J263" i="14"/>
  <c r="K263" i="14"/>
  <c r="J271" i="14"/>
  <c r="K271" i="14"/>
  <c r="J279" i="14"/>
  <c r="K279" i="14"/>
  <c r="J287" i="14"/>
  <c r="K287" i="14"/>
  <c r="J295" i="14"/>
  <c r="K295" i="14"/>
  <c r="J303" i="14"/>
  <c r="K303" i="14"/>
  <c r="J311" i="14"/>
  <c r="K311" i="14"/>
  <c r="J319" i="14"/>
  <c r="K319" i="14"/>
  <c r="J327" i="14"/>
  <c r="K327" i="14"/>
  <c r="J335" i="14"/>
  <c r="K335" i="14"/>
  <c r="J343" i="14"/>
  <c r="K343" i="14"/>
  <c r="J351" i="14"/>
  <c r="K351" i="14"/>
  <c r="J359" i="14"/>
  <c r="K359" i="14"/>
  <c r="J367" i="14"/>
  <c r="K367" i="14"/>
  <c r="J375" i="14"/>
  <c r="K375" i="14"/>
  <c r="J383" i="14"/>
  <c r="K383" i="14"/>
  <c r="J391" i="14"/>
  <c r="K391" i="14"/>
  <c r="J399" i="14"/>
  <c r="K399" i="14"/>
  <c r="J407" i="14"/>
  <c r="K407" i="14"/>
  <c r="J415" i="14"/>
  <c r="K415" i="14"/>
  <c r="J423" i="14"/>
  <c r="K423" i="14"/>
  <c r="J431" i="14"/>
  <c r="K431" i="14"/>
  <c r="J439" i="14"/>
  <c r="K439" i="14"/>
  <c r="J447" i="14"/>
  <c r="K447" i="14"/>
  <c r="J455" i="14"/>
  <c r="K455" i="14"/>
  <c r="J464" i="14"/>
  <c r="K464" i="14"/>
  <c r="J472" i="14"/>
  <c r="K472" i="14"/>
  <c r="J480" i="14"/>
  <c r="K480" i="14"/>
  <c r="J488" i="14"/>
  <c r="K488" i="14"/>
  <c r="J496" i="14"/>
  <c r="K496" i="14"/>
  <c r="J504" i="14"/>
  <c r="K504" i="14"/>
  <c r="J512" i="14"/>
  <c r="K512" i="14"/>
  <c r="J520" i="14"/>
  <c r="K520" i="14"/>
  <c r="J528" i="14"/>
  <c r="K528" i="14"/>
  <c r="J535" i="14"/>
  <c r="K535" i="14"/>
  <c r="J543" i="14"/>
  <c r="K543" i="14"/>
  <c r="J552" i="14"/>
  <c r="K552" i="14"/>
  <c r="J560" i="14"/>
  <c r="K560" i="14"/>
  <c r="J568" i="14"/>
  <c r="K568" i="14"/>
  <c r="J576" i="14"/>
  <c r="K576" i="14"/>
  <c r="J584" i="14"/>
  <c r="K584" i="14"/>
  <c r="J592" i="14"/>
  <c r="K592" i="14"/>
  <c r="J600" i="14"/>
  <c r="K600" i="14"/>
  <c r="J608" i="14"/>
  <c r="K608" i="14"/>
  <c r="J616" i="14"/>
  <c r="K616" i="14"/>
  <c r="J624" i="14"/>
  <c r="K624" i="14"/>
  <c r="J632" i="14"/>
  <c r="K632" i="14"/>
  <c r="J640" i="14"/>
  <c r="K640" i="14"/>
  <c r="J648" i="14"/>
  <c r="K648" i="14"/>
  <c r="J656" i="14"/>
  <c r="K656" i="14"/>
  <c r="J664" i="14"/>
  <c r="K664" i="14"/>
  <c r="J672" i="14"/>
  <c r="K672" i="14"/>
  <c r="J680" i="14"/>
  <c r="K680" i="14"/>
  <c r="J688" i="14"/>
  <c r="K688" i="14"/>
  <c r="J696" i="14"/>
  <c r="K696" i="14"/>
  <c r="J704" i="14"/>
  <c r="K704" i="14"/>
  <c r="J712" i="14"/>
  <c r="K712" i="14"/>
  <c r="J353" i="14"/>
  <c r="K353" i="14"/>
  <c r="J393" i="14"/>
  <c r="K393" i="14"/>
  <c r="J425" i="14"/>
  <c r="K425" i="14"/>
  <c r="J458" i="14"/>
  <c r="K458" i="14"/>
  <c r="J498" i="14"/>
  <c r="K498" i="14"/>
  <c r="J522" i="14"/>
  <c r="K522" i="14"/>
  <c r="J562" i="14"/>
  <c r="K562" i="14"/>
  <c r="J586" i="14"/>
  <c r="K586" i="14"/>
  <c r="J610" i="14"/>
  <c r="K610" i="14"/>
  <c r="J634" i="14"/>
  <c r="K634" i="14"/>
  <c r="J698" i="14"/>
  <c r="K698" i="14"/>
  <c r="J17" i="14"/>
  <c r="K17" i="14"/>
  <c r="J58" i="14"/>
  <c r="K58" i="14"/>
  <c r="J90" i="14"/>
  <c r="K90" i="14"/>
  <c r="J138" i="14"/>
  <c r="K138" i="14"/>
  <c r="J178" i="14"/>
  <c r="K178" i="14"/>
  <c r="J218" i="14"/>
  <c r="K218" i="14"/>
  <c r="J250" i="14"/>
  <c r="K250" i="14"/>
  <c r="J298" i="14"/>
  <c r="K298" i="14"/>
  <c r="J354" i="14"/>
  <c r="K354" i="14"/>
  <c r="J483" i="14"/>
  <c r="K483" i="14"/>
  <c r="J13" i="14"/>
  <c r="K13" i="14"/>
  <c r="J22" i="14"/>
  <c r="K22" i="14"/>
  <c r="J46" i="14"/>
  <c r="K46" i="14"/>
  <c r="J62" i="14"/>
  <c r="K62" i="14"/>
  <c r="J78" i="14"/>
  <c r="K78" i="14"/>
  <c r="J94" i="14"/>
  <c r="K94" i="14"/>
  <c r="J118" i="14"/>
  <c r="K118" i="14"/>
  <c r="J142" i="14"/>
  <c r="K142" i="14"/>
  <c r="J198" i="14"/>
  <c r="K198" i="14"/>
  <c r="J7" i="14"/>
  <c r="K7" i="14"/>
  <c r="J15" i="14"/>
  <c r="K15" i="14"/>
  <c r="J24" i="14"/>
  <c r="K24" i="14"/>
  <c r="J32" i="14"/>
  <c r="K32" i="14"/>
  <c r="J40" i="14"/>
  <c r="K40" i="14"/>
  <c r="J48" i="14"/>
  <c r="K48" i="14"/>
  <c r="J56" i="14"/>
  <c r="K56" i="14"/>
  <c r="J64" i="14"/>
  <c r="K64" i="14"/>
  <c r="J72" i="14"/>
  <c r="K72" i="14"/>
  <c r="J80" i="14"/>
  <c r="K80" i="14"/>
  <c r="J88" i="14"/>
  <c r="K88" i="14"/>
  <c r="J96" i="14"/>
  <c r="K96" i="14"/>
  <c r="J104" i="14"/>
  <c r="K104" i="14"/>
  <c r="J112" i="14"/>
  <c r="K112" i="14"/>
  <c r="J120" i="14"/>
  <c r="K120" i="14"/>
  <c r="J128" i="14"/>
  <c r="K128" i="14"/>
  <c r="J136" i="14"/>
  <c r="K136" i="14"/>
  <c r="J144" i="14"/>
  <c r="K144" i="14"/>
  <c r="J152" i="14"/>
  <c r="K152" i="14"/>
  <c r="J160" i="14"/>
  <c r="K160" i="14"/>
  <c r="J168" i="14"/>
  <c r="K168" i="14"/>
  <c r="J176" i="14"/>
  <c r="K176" i="14"/>
  <c r="J184" i="14"/>
  <c r="K184" i="14"/>
  <c r="J192" i="14"/>
  <c r="K192" i="14"/>
  <c r="J200" i="14"/>
  <c r="K200" i="14"/>
  <c r="J208" i="14"/>
  <c r="K208" i="14"/>
  <c r="J216" i="14"/>
  <c r="K216" i="14"/>
  <c r="J224" i="14"/>
  <c r="K224" i="14"/>
  <c r="J232" i="14"/>
  <c r="K232" i="14"/>
  <c r="J240" i="14"/>
  <c r="K240" i="14"/>
  <c r="J248" i="14"/>
  <c r="K248" i="14"/>
  <c r="J256" i="14"/>
  <c r="K256" i="14"/>
  <c r="J264" i="14"/>
  <c r="K264" i="14"/>
  <c r="J272" i="14"/>
  <c r="K272" i="14"/>
  <c r="J280" i="14"/>
  <c r="K280" i="14"/>
  <c r="J288" i="14"/>
  <c r="K288" i="14"/>
  <c r="J296" i="14"/>
  <c r="K296" i="14"/>
  <c r="J304" i="14"/>
  <c r="K304" i="14"/>
  <c r="J312" i="14"/>
  <c r="K312" i="14"/>
  <c r="J320" i="14"/>
  <c r="K320" i="14"/>
  <c r="J328" i="14"/>
  <c r="K328" i="14"/>
  <c r="J336" i="14"/>
  <c r="K336" i="14"/>
  <c r="J344" i="14"/>
  <c r="K344" i="14"/>
  <c r="J352" i="14"/>
  <c r="K352" i="14"/>
  <c r="J360" i="14"/>
  <c r="K360" i="14"/>
  <c r="J368" i="14"/>
  <c r="K368" i="14"/>
  <c r="J376" i="14"/>
  <c r="K376" i="14"/>
  <c r="J384" i="14"/>
  <c r="K384" i="14"/>
  <c r="J392" i="14"/>
  <c r="K392" i="14"/>
  <c r="J400" i="14"/>
  <c r="K400" i="14"/>
  <c r="J408" i="14"/>
  <c r="K408" i="14"/>
  <c r="J416" i="14"/>
  <c r="K416" i="14"/>
  <c r="J424" i="14"/>
  <c r="K424" i="14"/>
  <c r="J432" i="14"/>
  <c r="K432" i="14"/>
  <c r="J440" i="14"/>
  <c r="K440" i="14"/>
  <c r="J448" i="14"/>
  <c r="K448" i="14"/>
  <c r="J456" i="14"/>
  <c r="K456" i="14"/>
  <c r="J465" i="14"/>
  <c r="K465" i="14"/>
  <c r="J473" i="14"/>
  <c r="K473" i="14"/>
  <c r="J481" i="14"/>
  <c r="K481" i="14"/>
  <c r="J489" i="14"/>
  <c r="K489" i="14"/>
  <c r="J497" i="14"/>
  <c r="K497" i="14"/>
  <c r="J505" i="14"/>
  <c r="K505" i="14"/>
  <c r="J513" i="14"/>
  <c r="K513" i="14"/>
  <c r="J521" i="14"/>
  <c r="K521" i="14"/>
  <c r="J529" i="14"/>
  <c r="K529" i="14"/>
  <c r="J536" i="14"/>
  <c r="K536" i="14"/>
  <c r="J544" i="14"/>
  <c r="K544" i="14"/>
  <c r="J553" i="14"/>
  <c r="K553" i="14"/>
  <c r="J561" i="14"/>
  <c r="K561" i="14"/>
  <c r="J569" i="14"/>
  <c r="K569" i="14"/>
  <c r="J577" i="14"/>
  <c r="K577" i="14"/>
  <c r="J585" i="14"/>
  <c r="K585" i="14"/>
  <c r="J593" i="14"/>
  <c r="K593" i="14"/>
  <c r="J601" i="14"/>
  <c r="K601" i="14"/>
  <c r="J609" i="14"/>
  <c r="K609" i="14"/>
  <c r="J617" i="14"/>
  <c r="K617" i="14"/>
  <c r="J625" i="14"/>
  <c r="K625" i="14"/>
  <c r="J633" i="14"/>
  <c r="K633" i="14"/>
  <c r="J641" i="14"/>
  <c r="K641" i="14"/>
  <c r="J649" i="14"/>
  <c r="K649" i="14"/>
  <c r="J657" i="14"/>
  <c r="K657" i="14"/>
  <c r="J665" i="14"/>
  <c r="K665" i="14"/>
  <c r="J673" i="14"/>
  <c r="K673" i="14"/>
  <c r="J681" i="14"/>
  <c r="K681" i="14"/>
  <c r="J689" i="14"/>
  <c r="K689" i="14"/>
  <c r="J697" i="14"/>
  <c r="K697" i="14"/>
  <c r="J705" i="14"/>
  <c r="K705" i="14"/>
  <c r="J713" i="14"/>
  <c r="K713" i="14"/>
  <c r="I2" i="14"/>
  <c r="J2" i="14"/>
  <c r="I33" i="14"/>
  <c r="I97" i="14"/>
  <c r="I153" i="14"/>
  <c r="I201" i="14"/>
  <c r="I241" i="14"/>
  <c r="I281" i="14"/>
  <c r="I377" i="14"/>
  <c r="I433" i="14"/>
  <c r="I474" i="14"/>
  <c r="I522" i="14"/>
  <c r="I570" i="14"/>
  <c r="I626" i="14"/>
  <c r="I658" i="14"/>
  <c r="I682" i="14"/>
  <c r="I714" i="14"/>
  <c r="I26" i="14"/>
  <c r="I90" i="14"/>
  <c r="I122" i="14"/>
  <c r="I170" i="14"/>
  <c r="I218" i="14"/>
  <c r="I266" i="14"/>
  <c r="I306" i="14"/>
  <c r="I362" i="14"/>
  <c r="I402" i="14"/>
  <c r="I459" i="14"/>
  <c r="I563" i="14"/>
  <c r="I587" i="14"/>
  <c r="I619" i="14"/>
  <c r="I643" i="14"/>
  <c r="I659" i="14"/>
  <c r="I707" i="14"/>
  <c r="I10" i="14"/>
  <c r="I19" i="14"/>
  <c r="I27" i="14"/>
  <c r="I35" i="14"/>
  <c r="I43" i="14"/>
  <c r="I51" i="14"/>
  <c r="I59" i="14"/>
  <c r="I67" i="14"/>
  <c r="I75" i="14"/>
  <c r="I83" i="14"/>
  <c r="I91" i="14"/>
  <c r="I99" i="14"/>
  <c r="I107" i="14"/>
  <c r="I123" i="14"/>
  <c r="I131" i="14"/>
  <c r="I139" i="14"/>
  <c r="I147" i="14"/>
  <c r="I155" i="14"/>
  <c r="I163" i="14"/>
  <c r="I171" i="14"/>
  <c r="I179" i="14"/>
  <c r="I187" i="14"/>
  <c r="I195" i="14"/>
  <c r="I203" i="14"/>
  <c r="I211" i="14"/>
  <c r="I219" i="14"/>
  <c r="I227" i="14"/>
  <c r="I235" i="14"/>
  <c r="I243" i="14"/>
  <c r="I251" i="14"/>
  <c r="I259" i="14"/>
  <c r="I267" i="14"/>
  <c r="I283" i="14"/>
  <c r="I291" i="14"/>
  <c r="I299" i="14"/>
  <c r="I307" i="14"/>
  <c r="I315" i="14"/>
  <c r="I323" i="14"/>
  <c r="I331" i="14"/>
  <c r="I339" i="14"/>
  <c r="I347" i="14"/>
  <c r="I355" i="14"/>
  <c r="I363" i="14"/>
  <c r="I371" i="14"/>
  <c r="I379" i="14"/>
  <c r="I387" i="14"/>
  <c r="I395" i="14"/>
  <c r="I403" i="14"/>
  <c r="I411" i="14"/>
  <c r="I419" i="14"/>
  <c r="I427" i="14"/>
  <c r="I435" i="14"/>
  <c r="I443" i="14"/>
  <c r="I451" i="14"/>
  <c r="I460" i="14"/>
  <c r="I468" i="14"/>
  <c r="I476" i="14"/>
  <c r="I484" i="14"/>
  <c r="I492" i="14"/>
  <c r="I500" i="14"/>
  <c r="I508" i="14"/>
  <c r="I516" i="14"/>
  <c r="I524" i="14"/>
  <c r="I531" i="14"/>
  <c r="I539" i="14"/>
  <c r="I548" i="14"/>
  <c r="I556" i="14"/>
  <c r="I564" i="14"/>
  <c r="I572" i="14"/>
  <c r="I580" i="14"/>
  <c r="I588" i="14"/>
  <c r="I596" i="14"/>
  <c r="I604" i="14"/>
  <c r="I612" i="14"/>
  <c r="I620" i="14"/>
  <c r="I628" i="14"/>
  <c r="I636" i="14"/>
  <c r="I644" i="14"/>
  <c r="I652" i="14"/>
  <c r="I660" i="14"/>
  <c r="I668" i="14"/>
  <c r="I676" i="14"/>
  <c r="I692" i="14"/>
  <c r="I700" i="14"/>
  <c r="I708" i="14"/>
  <c r="I716" i="14"/>
  <c r="I16" i="14"/>
  <c r="I57" i="14"/>
  <c r="I105" i="14"/>
  <c r="I137" i="14"/>
  <c r="I169" i="14"/>
  <c r="I209" i="14"/>
  <c r="I257" i="14"/>
  <c r="I305" i="14"/>
  <c r="I345" i="14"/>
  <c r="I369" i="14"/>
  <c r="I409" i="14"/>
  <c r="I449" i="14"/>
  <c r="I490" i="14"/>
  <c r="I530" i="14"/>
  <c r="I578" i="14"/>
  <c r="I610" i="14"/>
  <c r="I674" i="14"/>
  <c r="I9" i="14"/>
  <c r="I66" i="14"/>
  <c r="I138" i="14"/>
  <c r="I186" i="14"/>
  <c r="I242" i="14"/>
  <c r="I298" i="14"/>
  <c r="I378" i="14"/>
  <c r="I434" i="14"/>
  <c r="I483" i="14"/>
  <c r="I547" i="14"/>
  <c r="I595" i="14"/>
  <c r="I683" i="14"/>
  <c r="I3" i="14"/>
  <c r="I11" i="14"/>
  <c r="I20" i="14"/>
  <c r="I28" i="14"/>
  <c r="I36" i="14"/>
  <c r="I44" i="14"/>
  <c r="I52" i="14"/>
  <c r="I60" i="14"/>
  <c r="I68" i="14"/>
  <c r="I76" i="14"/>
  <c r="I84" i="14"/>
  <c r="I92" i="14"/>
  <c r="I100" i="14"/>
  <c r="I108" i="14"/>
  <c r="I116" i="14"/>
  <c r="I124" i="14"/>
  <c r="I132" i="14"/>
  <c r="I140" i="14"/>
  <c r="I148" i="14"/>
  <c r="I156" i="14"/>
  <c r="I164" i="14"/>
  <c r="I172" i="14"/>
  <c r="I180" i="14"/>
  <c r="I188" i="14"/>
  <c r="I196" i="14"/>
  <c r="I204" i="14"/>
  <c r="I212" i="14"/>
  <c r="I220" i="14"/>
  <c r="I228" i="14"/>
  <c r="I236" i="14"/>
  <c r="I244" i="14"/>
  <c r="I252" i="14"/>
  <c r="I260" i="14"/>
  <c r="I268" i="14"/>
  <c r="I276" i="14"/>
  <c r="I284" i="14"/>
  <c r="I292" i="14"/>
  <c r="I300" i="14"/>
  <c r="I308" i="14"/>
  <c r="I316" i="14"/>
  <c r="I324" i="14"/>
  <c r="I332" i="14"/>
  <c r="I340" i="14"/>
  <c r="I348" i="14"/>
  <c r="I356" i="14"/>
  <c r="I364" i="14"/>
  <c r="I372" i="14"/>
  <c r="I380" i="14"/>
  <c r="I388" i="14"/>
  <c r="I396" i="14"/>
  <c r="I404" i="14"/>
  <c r="I412" i="14"/>
  <c r="I420" i="14"/>
  <c r="I428" i="14"/>
  <c r="I436" i="14"/>
  <c r="I444" i="14"/>
  <c r="I452" i="14"/>
  <c r="I461" i="14"/>
  <c r="I469" i="14"/>
  <c r="I477" i="14"/>
  <c r="I485" i="14"/>
  <c r="I493" i="14"/>
  <c r="I501" i="14"/>
  <c r="I509" i="14"/>
  <c r="I517" i="14"/>
  <c r="I525" i="14"/>
  <c r="I532" i="14"/>
  <c r="I540" i="14"/>
  <c r="I549" i="14"/>
  <c r="I557" i="14"/>
  <c r="I565" i="14"/>
  <c r="I573" i="14"/>
  <c r="I581" i="14"/>
  <c r="I589" i="14"/>
  <c r="I597" i="14"/>
  <c r="I605" i="14"/>
  <c r="I613" i="14"/>
  <c r="I621" i="14"/>
  <c r="I629" i="14"/>
  <c r="I637" i="14"/>
  <c r="I645" i="14"/>
  <c r="I653" i="14"/>
  <c r="I661" i="14"/>
  <c r="I669" i="14"/>
  <c r="I677" i="14"/>
  <c r="I685" i="14"/>
  <c r="I693" i="14"/>
  <c r="I701" i="14"/>
  <c r="I709" i="14"/>
  <c r="I717" i="14"/>
  <c r="I89" i="14"/>
  <c r="I706" i="14"/>
  <c r="I42" i="14"/>
  <c r="I98" i="14"/>
  <c r="I146" i="14"/>
  <c r="I178" i="14"/>
  <c r="I226" i="14"/>
  <c r="I274" i="14"/>
  <c r="I314" i="14"/>
  <c r="I370" i="14"/>
  <c r="I418" i="14"/>
  <c r="I467" i="14"/>
  <c r="I507" i="14"/>
  <c r="I555" i="14"/>
  <c r="I579" i="14"/>
  <c r="I611" i="14"/>
  <c r="I635" i="14"/>
  <c r="I651" i="14"/>
  <c r="I667" i="14"/>
  <c r="I715" i="14"/>
  <c r="I4" i="14"/>
  <c r="I12" i="14"/>
  <c r="I21" i="14"/>
  <c r="I29" i="14"/>
  <c r="I37" i="14"/>
  <c r="I45" i="14"/>
  <c r="I53" i="14"/>
  <c r="I61" i="14"/>
  <c r="I69" i="14"/>
  <c r="I77" i="14"/>
  <c r="I85" i="14"/>
  <c r="I93" i="14"/>
  <c r="I101" i="14"/>
  <c r="I109" i="14"/>
  <c r="I117" i="14"/>
  <c r="I125" i="14"/>
  <c r="I133" i="14"/>
  <c r="I141" i="14"/>
  <c r="I149" i="14"/>
  <c r="I157" i="14"/>
  <c r="I165" i="14"/>
  <c r="I173" i="14"/>
  <c r="I181" i="14"/>
  <c r="I189" i="14"/>
  <c r="I197" i="14"/>
  <c r="I205" i="14"/>
  <c r="I213" i="14"/>
  <c r="I221" i="14"/>
  <c r="I229" i="14"/>
  <c r="I237" i="14"/>
  <c r="I245" i="14"/>
  <c r="I253" i="14"/>
  <c r="I261" i="14"/>
  <c r="I269" i="14"/>
  <c r="I277" i="14"/>
  <c r="I285" i="14"/>
  <c r="I293" i="14"/>
  <c r="I301" i="14"/>
  <c r="I309" i="14"/>
  <c r="I317" i="14"/>
  <c r="I325" i="14"/>
  <c r="I333" i="14"/>
  <c r="I341" i="14"/>
  <c r="I349" i="14"/>
  <c r="I357" i="14"/>
  <c r="I365" i="14"/>
  <c r="I381" i="14"/>
  <c r="I389" i="14"/>
  <c r="I397" i="14"/>
  <c r="I405" i="14"/>
  <c r="I413" i="14"/>
  <c r="I421" i="14"/>
  <c r="I429" i="14"/>
  <c r="I437" i="14"/>
  <c r="I445" i="14"/>
  <c r="I453" i="14"/>
  <c r="I462" i="14"/>
  <c r="I470" i="14"/>
  <c r="I478" i="14"/>
  <c r="I486" i="14"/>
  <c r="I494" i="14"/>
  <c r="I502" i="14"/>
  <c r="I510" i="14"/>
  <c r="I518" i="14"/>
  <c r="I526" i="14"/>
  <c r="I533" i="14"/>
  <c r="I541" i="14"/>
  <c r="I550" i="14"/>
  <c r="I558" i="14"/>
  <c r="I566" i="14"/>
  <c r="I574" i="14"/>
  <c r="I582" i="14"/>
  <c r="I590" i="14"/>
  <c r="I598" i="14"/>
  <c r="I606" i="14"/>
  <c r="I614" i="14"/>
  <c r="I622" i="14"/>
  <c r="I630" i="14"/>
  <c r="I638" i="14"/>
  <c r="I646" i="14"/>
  <c r="I654" i="14"/>
  <c r="I662" i="14"/>
  <c r="I670" i="14"/>
  <c r="I678" i="14"/>
  <c r="I686" i="14"/>
  <c r="I694" i="14"/>
  <c r="I702" i="14"/>
  <c r="I710" i="14"/>
  <c r="I718" i="14"/>
  <c r="I8" i="14"/>
  <c r="I49" i="14"/>
  <c r="I81" i="14"/>
  <c r="I121" i="14"/>
  <c r="I161" i="14"/>
  <c r="I185" i="14"/>
  <c r="I217" i="14"/>
  <c r="I249" i="14"/>
  <c r="I289" i="14"/>
  <c r="I313" i="14"/>
  <c r="I361" i="14"/>
  <c r="I393" i="14"/>
  <c r="I425" i="14"/>
  <c r="I466" i="14"/>
  <c r="I506" i="14"/>
  <c r="I537" i="14"/>
  <c r="I562" i="14"/>
  <c r="I602" i="14"/>
  <c r="I642" i="14"/>
  <c r="I690" i="14"/>
  <c r="I34" i="14"/>
  <c r="I74" i="14"/>
  <c r="I106" i="14"/>
  <c r="I154" i="14"/>
  <c r="I202" i="14"/>
  <c r="I234" i="14"/>
  <c r="I282" i="14"/>
  <c r="I322" i="14"/>
  <c r="I354" i="14"/>
  <c r="I394" i="14"/>
  <c r="I442" i="14"/>
  <c r="I475" i="14"/>
  <c r="I499" i="14"/>
  <c r="I538" i="14"/>
  <c r="I603" i="14"/>
  <c r="I691" i="14"/>
  <c r="I5" i="14"/>
  <c r="I13" i="14"/>
  <c r="I22" i="14"/>
  <c r="I30" i="14"/>
  <c r="I38" i="14"/>
  <c r="I46" i="14"/>
  <c r="I54" i="14"/>
  <c r="I62" i="14"/>
  <c r="I70" i="14"/>
  <c r="I78" i="14"/>
  <c r="I86" i="14"/>
  <c r="I94" i="14"/>
  <c r="I102" i="14"/>
  <c r="I110" i="14"/>
  <c r="I118" i="14"/>
  <c r="I126" i="14"/>
  <c r="I134" i="14"/>
  <c r="I142" i="14"/>
  <c r="I150" i="14"/>
  <c r="I158" i="14"/>
  <c r="I166" i="14"/>
  <c r="I174" i="14"/>
  <c r="I182" i="14"/>
  <c r="I190" i="14"/>
  <c r="I198" i="14"/>
  <c r="I206" i="14"/>
  <c r="I214" i="14"/>
  <c r="I222" i="14"/>
  <c r="I230" i="14"/>
  <c r="I238" i="14"/>
  <c r="I246" i="14"/>
  <c r="I254" i="14"/>
  <c r="I262" i="14"/>
  <c r="I270" i="14"/>
  <c r="I278" i="14"/>
  <c r="I286" i="14"/>
  <c r="I294" i="14"/>
  <c r="I302" i="14"/>
  <c r="I310" i="14"/>
  <c r="I318" i="14"/>
  <c r="I326" i="14"/>
  <c r="I334" i="14"/>
  <c r="I342" i="14"/>
  <c r="I350" i="14"/>
  <c r="I358" i="14"/>
  <c r="I366" i="14"/>
  <c r="I374" i="14"/>
  <c r="I382" i="14"/>
  <c r="I390" i="14"/>
  <c r="I406" i="14"/>
  <c r="I414" i="14"/>
  <c r="I422" i="14"/>
  <c r="I430" i="14"/>
  <c r="I438" i="14"/>
  <c r="I446" i="14"/>
  <c r="I454" i="14"/>
  <c r="I463" i="14"/>
  <c r="I471" i="14"/>
  <c r="I479" i="14"/>
  <c r="I487" i="14"/>
  <c r="I495" i="14"/>
  <c r="I503" i="14"/>
  <c r="I511" i="14"/>
  <c r="I519" i="14"/>
  <c r="I527" i="14"/>
  <c r="I534" i="14"/>
  <c r="I542" i="14"/>
  <c r="I551" i="14"/>
  <c r="I559" i="14"/>
  <c r="I567" i="14"/>
  <c r="I575" i="14"/>
  <c r="I583" i="14"/>
  <c r="I591" i="14"/>
  <c r="I599" i="14"/>
  <c r="I607" i="14"/>
  <c r="I615" i="14"/>
  <c r="I623" i="14"/>
  <c r="I631" i="14"/>
  <c r="I639" i="14"/>
  <c r="I647" i="14"/>
  <c r="I655" i="14"/>
  <c r="I663" i="14"/>
  <c r="I679" i="14"/>
  <c r="I687" i="14"/>
  <c r="I695" i="14"/>
  <c r="I703" i="14"/>
  <c r="I711" i="14"/>
  <c r="I25" i="14"/>
  <c r="I73" i="14"/>
  <c r="I129" i="14"/>
  <c r="I177" i="14"/>
  <c r="I225" i="14"/>
  <c r="I273" i="14"/>
  <c r="I337" i="14"/>
  <c r="I401" i="14"/>
  <c r="I441" i="14"/>
  <c r="I498" i="14"/>
  <c r="I545" i="14"/>
  <c r="I586" i="14"/>
  <c r="I650" i="14"/>
  <c r="I58" i="14"/>
  <c r="I130" i="14"/>
  <c r="I194" i="14"/>
  <c r="I258" i="14"/>
  <c r="I338" i="14"/>
  <c r="I410" i="14"/>
  <c r="I675" i="14"/>
  <c r="I6" i="14"/>
  <c r="I14" i="14"/>
  <c r="I23" i="14"/>
  <c r="I31" i="14"/>
  <c r="I39" i="14"/>
  <c r="I47" i="14"/>
  <c r="I55" i="14"/>
  <c r="I63" i="14"/>
  <c r="I71" i="14"/>
  <c r="I79" i="14"/>
  <c r="I87" i="14"/>
  <c r="I95" i="14"/>
  <c r="I103" i="14"/>
  <c r="I111" i="14"/>
  <c r="I119" i="14"/>
  <c r="I127" i="14"/>
  <c r="I135" i="14"/>
  <c r="I143" i="14"/>
  <c r="I151" i="14"/>
  <c r="I159" i="14"/>
  <c r="I167" i="14"/>
  <c r="I175" i="14"/>
  <c r="I183" i="14"/>
  <c r="I191" i="14"/>
  <c r="I199" i="14"/>
  <c r="I207" i="14"/>
  <c r="I215" i="14"/>
  <c r="I223" i="14"/>
  <c r="I231" i="14"/>
  <c r="I239" i="14"/>
  <c r="I247" i="14"/>
  <c r="I255" i="14"/>
  <c r="I263" i="14"/>
  <c r="I271" i="14"/>
  <c r="I279" i="14"/>
  <c r="I287" i="14"/>
  <c r="I295" i="14"/>
  <c r="I303" i="14"/>
  <c r="I311" i="14"/>
  <c r="I319" i="14"/>
  <c r="I327" i="14"/>
  <c r="I335" i="14"/>
  <c r="I343" i="14"/>
  <c r="I351" i="14"/>
  <c r="I359" i="14"/>
  <c r="I367" i="14"/>
  <c r="I375" i="14"/>
  <c r="I383" i="14"/>
  <c r="I391" i="14"/>
  <c r="I399" i="14"/>
  <c r="I407" i="14"/>
  <c r="I415" i="14"/>
  <c r="I423" i="14"/>
  <c r="I431" i="14"/>
  <c r="I439" i="14"/>
  <c r="I447" i="14"/>
  <c r="I455" i="14"/>
  <c r="I464" i="14"/>
  <c r="I472" i="14"/>
  <c r="I480" i="14"/>
  <c r="I488" i="14"/>
  <c r="I496" i="14"/>
  <c r="I504" i="14"/>
  <c r="I512" i="14"/>
  <c r="I520" i="14"/>
  <c r="I528" i="14"/>
  <c r="I535" i="14"/>
  <c r="I543" i="14"/>
  <c r="I552" i="14"/>
  <c r="I560" i="14"/>
  <c r="I568" i="14"/>
  <c r="I576" i="14"/>
  <c r="I584" i="14"/>
  <c r="I592" i="14"/>
  <c r="I600" i="14"/>
  <c r="I608" i="14"/>
  <c r="I616" i="14"/>
  <c r="I624" i="14"/>
  <c r="I632" i="14"/>
  <c r="I640" i="14"/>
  <c r="I648" i="14"/>
  <c r="I656" i="14"/>
  <c r="I664" i="14"/>
  <c r="I672" i="14"/>
  <c r="I680" i="14"/>
  <c r="I688" i="14"/>
  <c r="I696" i="14"/>
  <c r="I704" i="14"/>
  <c r="I712" i="14"/>
  <c r="I41" i="14"/>
  <c r="I65" i="14"/>
  <c r="I113" i="14"/>
  <c r="I145" i="14"/>
  <c r="I193" i="14"/>
  <c r="I233" i="14"/>
  <c r="I265" i="14"/>
  <c r="I297" i="14"/>
  <c r="I321" i="14"/>
  <c r="I353" i="14"/>
  <c r="I385" i="14"/>
  <c r="I417" i="14"/>
  <c r="I458" i="14"/>
  <c r="I482" i="14"/>
  <c r="I514" i="14"/>
  <c r="I554" i="14"/>
  <c r="I594" i="14"/>
  <c r="I618" i="14"/>
  <c r="I634" i="14"/>
  <c r="I666" i="14"/>
  <c r="I698" i="14"/>
  <c r="I17" i="14"/>
  <c r="I50" i="14"/>
  <c r="I82" i="14"/>
  <c r="I114" i="14"/>
  <c r="I162" i="14"/>
  <c r="I210" i="14"/>
  <c r="I250" i="14"/>
  <c r="I290" i="14"/>
  <c r="I330" i="14"/>
  <c r="I346" i="14"/>
  <c r="I386" i="14"/>
  <c r="I426" i="14"/>
  <c r="I450" i="14"/>
  <c r="I491" i="14"/>
  <c r="I546" i="14"/>
  <c r="I571" i="14"/>
  <c r="I627" i="14"/>
  <c r="I699" i="14"/>
  <c r="I7" i="14"/>
  <c r="I15" i="14"/>
  <c r="I24" i="14"/>
  <c r="I32" i="14"/>
  <c r="I40" i="14"/>
  <c r="I48" i="14"/>
  <c r="I56" i="14"/>
  <c r="I64" i="14"/>
  <c r="I72" i="14"/>
  <c r="I80" i="14"/>
  <c r="I88" i="14"/>
  <c r="I96" i="14"/>
  <c r="I104" i="14"/>
  <c r="I112" i="14"/>
  <c r="I120" i="14"/>
  <c r="I128" i="14"/>
  <c r="I136" i="14"/>
  <c r="I144" i="14"/>
  <c r="I152" i="14"/>
  <c r="I160" i="14"/>
  <c r="I168" i="14"/>
  <c r="I176" i="14"/>
  <c r="I184" i="14"/>
  <c r="I192" i="14"/>
  <c r="I200" i="14"/>
  <c r="I208" i="14"/>
  <c r="I216" i="14"/>
  <c r="I224" i="14"/>
  <c r="I232" i="14"/>
  <c r="I240" i="14"/>
  <c r="I248" i="14"/>
  <c r="I256" i="14"/>
  <c r="I264" i="14"/>
  <c r="I272" i="14"/>
  <c r="I280" i="14"/>
  <c r="I288" i="14"/>
  <c r="I296" i="14"/>
  <c r="I304" i="14"/>
  <c r="I312" i="14"/>
  <c r="I320" i="14"/>
  <c r="I328" i="14"/>
  <c r="I336" i="14"/>
  <c r="I344" i="14"/>
  <c r="I352" i="14"/>
  <c r="I360" i="14"/>
  <c r="I368" i="14"/>
  <c r="I376" i="14"/>
  <c r="I384" i="14"/>
  <c r="I392" i="14"/>
  <c r="I400" i="14"/>
  <c r="I408" i="14"/>
  <c r="I416" i="14"/>
  <c r="I424" i="14"/>
  <c r="I432" i="14"/>
  <c r="I440" i="14"/>
  <c r="I448" i="14"/>
  <c r="I456" i="14"/>
  <c r="I465" i="14"/>
  <c r="I473" i="14"/>
  <c r="I481" i="14"/>
  <c r="I489" i="14"/>
  <c r="I497" i="14"/>
  <c r="I505" i="14"/>
  <c r="I513" i="14"/>
  <c r="I521" i="14"/>
  <c r="I529" i="14"/>
  <c r="I536" i="14"/>
  <c r="I544" i="14"/>
  <c r="I553" i="14"/>
  <c r="I561" i="14"/>
  <c r="I569" i="14"/>
  <c r="I577" i="14"/>
  <c r="I585" i="14"/>
  <c r="I593" i="14"/>
  <c r="I601" i="14"/>
  <c r="I609" i="14"/>
  <c r="I617" i="14"/>
  <c r="I625" i="14"/>
  <c r="I633" i="14"/>
  <c r="I641" i="14"/>
  <c r="I649" i="14"/>
  <c r="I657" i="14"/>
  <c r="I665" i="14"/>
  <c r="I673" i="14"/>
  <c r="I681" i="14"/>
  <c r="I689" i="14"/>
  <c r="I697" i="14"/>
  <c r="I705" i="14"/>
  <c r="I713" i="14"/>
  <c r="AJ870" i="8"/>
  <c r="AJ876" i="8"/>
  <c r="AJ307" i="8"/>
  <c r="AJ873" i="8"/>
  <c r="AJ906" i="8"/>
  <c r="AJ339" i="8"/>
  <c r="W908" i="8" a="1"/>
  <c r="W908" i="8" s="1"/>
  <c r="Y908" i="8" s="1" a="1"/>
  <c r="Y908" i="8" s="1"/>
  <c r="AJ228" i="8"/>
  <c r="AJ866" i="8"/>
  <c r="AJ227" i="8"/>
  <c r="AJ869" i="8"/>
  <c r="AJ501" i="8"/>
  <c r="AJ868" i="8"/>
  <c r="AJ789" i="8"/>
  <c r="AJ865" i="8"/>
  <c r="W796" i="8" a="1"/>
  <c r="W796" i="8" s="1"/>
  <c r="W800" i="8" a="1"/>
  <c r="W800" i="8" s="1"/>
  <c r="W804" i="8" a="1"/>
  <c r="W804" i="8" s="1"/>
  <c r="W797" i="8" a="1"/>
  <c r="W797" i="8" s="1"/>
  <c r="W801" i="8" a="1"/>
  <c r="W801" i="8" s="1"/>
  <c r="W805" i="8" a="1"/>
  <c r="W805" i="8" s="1"/>
  <c r="W809" i="8" a="1"/>
  <c r="W809" i="8" s="1"/>
  <c r="W798" i="8" a="1"/>
  <c r="W798" i="8" s="1"/>
  <c r="W802" i="8" a="1"/>
  <c r="W802" i="8" s="1"/>
  <c r="W806" i="8" a="1"/>
  <c r="W806" i="8" s="1"/>
  <c r="W813" i="8" a="1"/>
  <c r="W813" i="8" s="1"/>
  <c r="W821" i="8" a="1"/>
  <c r="W821" i="8" s="1"/>
  <c r="W829" i="8" a="1"/>
  <c r="W829" i="8" s="1"/>
  <c r="W837" i="8" a="1"/>
  <c r="W837" i="8" s="1"/>
  <c r="W845" i="8" a="1"/>
  <c r="W845" i="8" s="1"/>
  <c r="W853" i="8" a="1"/>
  <c r="W853" i="8" s="1"/>
  <c r="W861" i="8" a="1"/>
  <c r="W861" i="8" s="1"/>
  <c r="W799" i="8" a="1"/>
  <c r="W799" i="8" s="1"/>
  <c r="W814" i="8" a="1"/>
  <c r="W814" i="8" s="1"/>
  <c r="W822" i="8" a="1"/>
  <c r="W822" i="8" s="1"/>
  <c r="W830" i="8" a="1"/>
  <c r="W830" i="8" s="1"/>
  <c r="W838" i="8" a="1"/>
  <c r="W838" i="8" s="1"/>
  <c r="W846" i="8" a="1"/>
  <c r="W846" i="8" s="1"/>
  <c r="W854" i="8" a="1"/>
  <c r="W854" i="8" s="1"/>
  <c r="W862" i="8" a="1"/>
  <c r="W862" i="8" s="1"/>
  <c r="W803" i="8" a="1"/>
  <c r="W803" i="8" s="1"/>
  <c r="W815" i="8" a="1"/>
  <c r="W815" i="8" s="1"/>
  <c r="W823" i="8" a="1"/>
  <c r="W823" i="8" s="1"/>
  <c r="W831" i="8" a="1"/>
  <c r="W831" i="8" s="1"/>
  <c r="W839" i="8" a="1"/>
  <c r="W839" i="8" s="1"/>
  <c r="W847" i="8" a="1"/>
  <c r="W847" i="8" s="1"/>
  <c r="W855" i="8" a="1"/>
  <c r="W855" i="8" s="1"/>
  <c r="W863" i="8" a="1"/>
  <c r="W863" i="8" s="1"/>
  <c r="W807" i="8" a="1"/>
  <c r="W807" i="8" s="1"/>
  <c r="W816" i="8" a="1"/>
  <c r="W816" i="8" s="1"/>
  <c r="W824" i="8" a="1"/>
  <c r="W824" i="8" s="1"/>
  <c r="W832" i="8" a="1"/>
  <c r="W832" i="8" s="1"/>
  <c r="W840" i="8" a="1"/>
  <c r="W840" i="8" s="1"/>
  <c r="W848" i="8" a="1"/>
  <c r="W848" i="8" s="1"/>
  <c r="W856" i="8" a="1"/>
  <c r="W856" i="8" s="1"/>
  <c r="W864" i="8" a="1"/>
  <c r="W864" i="8" s="1"/>
  <c r="W808" i="8" a="1"/>
  <c r="W808" i="8" s="1"/>
  <c r="W817" i="8" a="1"/>
  <c r="W817" i="8" s="1"/>
  <c r="W825" i="8" a="1"/>
  <c r="W825" i="8" s="1"/>
  <c r="W833" i="8" a="1"/>
  <c r="W833" i="8" s="1"/>
  <c r="W841" i="8" a="1"/>
  <c r="W841" i="8" s="1"/>
  <c r="W849" i="8" a="1"/>
  <c r="W849" i="8" s="1"/>
  <c r="W857" i="8" a="1"/>
  <c r="W857" i="8" s="1"/>
  <c r="W810" i="8" a="1"/>
  <c r="W810" i="8" s="1"/>
  <c r="W818" i="8" a="1"/>
  <c r="W818" i="8" s="1"/>
  <c r="W826" i="8" a="1"/>
  <c r="W826" i="8" s="1"/>
  <c r="W834" i="8" a="1"/>
  <c r="W834" i="8" s="1"/>
  <c r="W842" i="8" a="1"/>
  <c r="W842" i="8" s="1"/>
  <c r="W850" i="8" a="1"/>
  <c r="W850" i="8" s="1"/>
  <c r="W858" i="8" a="1"/>
  <c r="W858" i="8" s="1"/>
  <c r="W811" i="8" a="1"/>
  <c r="W811" i="8" s="1"/>
  <c r="W819" i="8" a="1"/>
  <c r="W819" i="8" s="1"/>
  <c r="W827" i="8" a="1"/>
  <c r="W827" i="8" s="1"/>
  <c r="W835" i="8" a="1"/>
  <c r="W835" i="8" s="1"/>
  <c r="W843" i="8" a="1"/>
  <c r="W843" i="8" s="1"/>
  <c r="W851" i="8" a="1"/>
  <c r="W851" i="8" s="1"/>
  <c r="W859" i="8" a="1"/>
  <c r="W859" i="8" s="1"/>
  <c r="W812" i="8" a="1"/>
  <c r="W812" i="8" s="1"/>
  <c r="W820" i="8" a="1"/>
  <c r="W820" i="8" s="1"/>
  <c r="W828" i="8" a="1"/>
  <c r="W828" i="8" s="1"/>
  <c r="W836" i="8" a="1"/>
  <c r="W836" i="8" s="1"/>
  <c r="W852" i="8" a="1"/>
  <c r="W852" i="8" s="1"/>
  <c r="W860" i="8" a="1"/>
  <c r="W860" i="8" s="1"/>
  <c r="W844" i="8" a="1"/>
  <c r="W844" i="8" s="1"/>
  <c r="W587" i="8" a="1"/>
  <c r="W587" i="8" s="1"/>
  <c r="W591" i="8" a="1"/>
  <c r="W591" i="8" s="1"/>
  <c r="W595" i="8" a="1"/>
  <c r="W595" i="8" s="1"/>
  <c r="W599" i="8" a="1"/>
  <c r="W599" i="8" s="1"/>
  <c r="W603" i="8" a="1"/>
  <c r="W603" i="8" s="1"/>
  <c r="W588" i="8" a="1"/>
  <c r="W588" i="8" s="1"/>
  <c r="W592" i="8" a="1"/>
  <c r="W592" i="8" s="1"/>
  <c r="W596" i="8" a="1"/>
  <c r="W596" i="8" s="1"/>
  <c r="W600" i="8" a="1"/>
  <c r="W600" i="8" s="1"/>
  <c r="W604" i="8" a="1"/>
  <c r="W604" i="8" s="1"/>
  <c r="W608" i="8" a="1"/>
  <c r="W608" i="8" s="1"/>
  <c r="W589" i="8" a="1"/>
  <c r="W589" i="8" s="1"/>
  <c r="W593" i="8" a="1"/>
  <c r="W593" i="8" s="1"/>
  <c r="W597" i="8" a="1"/>
  <c r="W597" i="8" s="1"/>
  <c r="W601" i="8" a="1"/>
  <c r="W601" i="8" s="1"/>
  <c r="W605" i="8" a="1"/>
  <c r="W605" i="8" s="1"/>
  <c r="W586" i="8" a="1"/>
  <c r="W586" i="8" s="1"/>
  <c r="W594" i="8" a="1"/>
  <c r="W594" i="8" s="1"/>
  <c r="W602" i="8" a="1"/>
  <c r="W602" i="8" s="1"/>
  <c r="W613" i="8" a="1"/>
  <c r="W613" i="8" s="1"/>
  <c r="W618" i="8" a="1"/>
  <c r="W618" i="8" s="1"/>
  <c r="W627" i="8" a="1"/>
  <c r="W627" i="8" s="1"/>
  <c r="W636" i="8" a="1"/>
  <c r="W636" i="8" s="1"/>
  <c r="W645" i="8" a="1"/>
  <c r="W645" i="8" s="1"/>
  <c r="W650" i="8" a="1"/>
  <c r="W650" i="8" s="1"/>
  <c r="W659" i="8" a="1"/>
  <c r="W659" i="8" s="1"/>
  <c r="W668" i="8" a="1"/>
  <c r="W668" i="8" s="1"/>
  <c r="W677" i="8" a="1"/>
  <c r="W677" i="8" s="1"/>
  <c r="W682" i="8" a="1"/>
  <c r="W682" i="8" s="1"/>
  <c r="W691" i="8" a="1"/>
  <c r="W691" i="8" s="1"/>
  <c r="W700" i="8" a="1"/>
  <c r="W700" i="8" s="1"/>
  <c r="W709" i="8" a="1"/>
  <c r="W709" i="8" s="1"/>
  <c r="W714" i="8" a="1"/>
  <c r="W714" i="8" s="1"/>
  <c r="W723" i="8" a="1"/>
  <c r="W723" i="8" s="1"/>
  <c r="W732" i="8" a="1"/>
  <c r="W732" i="8" s="1"/>
  <c r="W741" i="8" a="1"/>
  <c r="W741" i="8" s="1"/>
  <c r="W746" i="8" a="1"/>
  <c r="W746" i="8" s="1"/>
  <c r="W609" i="8" a="1"/>
  <c r="W609" i="8" s="1"/>
  <c r="W614" i="8" a="1"/>
  <c r="W614" i="8" s="1"/>
  <c r="W623" i="8" a="1"/>
  <c r="W623" i="8" s="1"/>
  <c r="W632" i="8" a="1"/>
  <c r="W632" i="8" s="1"/>
  <c r="W641" i="8" a="1"/>
  <c r="W641" i="8" s="1"/>
  <c r="W646" i="8" a="1"/>
  <c r="W646" i="8" s="1"/>
  <c r="W655" i="8" a="1"/>
  <c r="W655" i="8" s="1"/>
  <c r="W664" i="8" a="1"/>
  <c r="W664" i="8" s="1"/>
  <c r="W673" i="8" a="1"/>
  <c r="W673" i="8" s="1"/>
  <c r="W678" i="8" a="1"/>
  <c r="W678" i="8" s="1"/>
  <c r="W687" i="8" a="1"/>
  <c r="W687" i="8" s="1"/>
  <c r="W696" i="8" a="1"/>
  <c r="W696" i="8" s="1"/>
  <c r="W705" i="8" a="1"/>
  <c r="W705" i="8" s="1"/>
  <c r="W710" i="8" a="1"/>
  <c r="W710" i="8" s="1"/>
  <c r="W719" i="8" a="1"/>
  <c r="W719" i="8" s="1"/>
  <c r="W728" i="8" a="1"/>
  <c r="W728" i="8" s="1"/>
  <c r="W737" i="8" a="1"/>
  <c r="W737" i="8" s="1"/>
  <c r="W742" i="8" a="1"/>
  <c r="W742" i="8" s="1"/>
  <c r="W751" i="8" a="1"/>
  <c r="W751" i="8" s="1"/>
  <c r="W760" i="8" a="1"/>
  <c r="W760" i="8" s="1"/>
  <c r="W769" i="8" a="1"/>
  <c r="W769" i="8" s="1"/>
  <c r="W774" i="8" a="1"/>
  <c r="W774" i="8" s="1"/>
  <c r="W610" i="8" a="1"/>
  <c r="W610" i="8" s="1"/>
  <c r="W619" i="8" a="1"/>
  <c r="W619" i="8" s="1"/>
  <c r="W628" i="8" a="1"/>
  <c r="W628" i="8" s="1"/>
  <c r="W637" i="8" a="1"/>
  <c r="W637" i="8" s="1"/>
  <c r="W642" i="8" a="1"/>
  <c r="W642" i="8" s="1"/>
  <c r="W651" i="8" a="1"/>
  <c r="W651" i="8" s="1"/>
  <c r="W660" i="8" a="1"/>
  <c r="W660" i="8" s="1"/>
  <c r="W669" i="8" a="1"/>
  <c r="W669" i="8" s="1"/>
  <c r="W674" i="8" a="1"/>
  <c r="W674" i="8" s="1"/>
  <c r="W683" i="8" a="1"/>
  <c r="W683" i="8" s="1"/>
  <c r="W692" i="8" a="1"/>
  <c r="W692" i="8" s="1"/>
  <c r="W701" i="8" a="1"/>
  <c r="W701" i="8" s="1"/>
  <c r="W706" i="8" a="1"/>
  <c r="W706" i="8" s="1"/>
  <c r="W715" i="8" a="1"/>
  <c r="W715" i="8" s="1"/>
  <c r="W724" i="8" a="1"/>
  <c r="W724" i="8" s="1"/>
  <c r="W733" i="8" a="1"/>
  <c r="W733" i="8" s="1"/>
  <c r="W738" i="8" a="1"/>
  <c r="W738" i="8" s="1"/>
  <c r="W747" i="8" a="1"/>
  <c r="W747" i="8" s="1"/>
  <c r="W756" i="8" a="1"/>
  <c r="W756" i="8" s="1"/>
  <c r="W765" i="8" a="1"/>
  <c r="W765" i="8" s="1"/>
  <c r="W770" i="8" a="1"/>
  <c r="W770" i="8" s="1"/>
  <c r="W615" i="8" a="1"/>
  <c r="W615" i="8" s="1"/>
  <c r="W624" i="8" a="1"/>
  <c r="W624" i="8" s="1"/>
  <c r="W633" i="8" a="1"/>
  <c r="W633" i="8" s="1"/>
  <c r="W638" i="8" a="1"/>
  <c r="W638" i="8" s="1"/>
  <c r="W647" i="8" a="1"/>
  <c r="W647" i="8" s="1"/>
  <c r="W656" i="8" a="1"/>
  <c r="W656" i="8" s="1"/>
  <c r="W665" i="8" a="1"/>
  <c r="W665" i="8" s="1"/>
  <c r="W670" i="8" a="1"/>
  <c r="W670" i="8" s="1"/>
  <c r="W679" i="8" a="1"/>
  <c r="W679" i="8" s="1"/>
  <c r="W688" i="8" a="1"/>
  <c r="W688" i="8" s="1"/>
  <c r="W697" i="8" a="1"/>
  <c r="W697" i="8" s="1"/>
  <c r="W702" i="8" a="1"/>
  <c r="W702" i="8" s="1"/>
  <c r="W711" i="8" a="1"/>
  <c r="W711" i="8" s="1"/>
  <c r="W720" i="8" a="1"/>
  <c r="W720" i="8" s="1"/>
  <c r="W729" i="8" a="1"/>
  <c r="W729" i="8" s="1"/>
  <c r="W734" i="8" a="1"/>
  <c r="W734" i="8" s="1"/>
  <c r="W743" i="8" a="1"/>
  <c r="W743" i="8" s="1"/>
  <c r="W752" i="8" a="1"/>
  <c r="W752" i="8" s="1"/>
  <c r="W761" i="8" a="1"/>
  <c r="W761" i="8" s="1"/>
  <c r="W766" i="8" a="1"/>
  <c r="W766" i="8" s="1"/>
  <c r="W775" i="8" a="1"/>
  <c r="W775" i="8" s="1"/>
  <c r="W784" i="8" a="1"/>
  <c r="W784" i="8" s="1"/>
  <c r="W590" i="8" a="1"/>
  <c r="W590" i="8" s="1"/>
  <c r="W598" i="8" a="1"/>
  <c r="W598" i="8" s="1"/>
  <c r="W606" i="8" a="1"/>
  <c r="W606" i="8" s="1"/>
  <c r="W611" i="8" a="1"/>
  <c r="W611" i="8" s="1"/>
  <c r="W620" i="8" a="1"/>
  <c r="W620" i="8" s="1"/>
  <c r="W629" i="8" a="1"/>
  <c r="W629" i="8" s="1"/>
  <c r="W634" i="8" a="1"/>
  <c r="W634" i="8" s="1"/>
  <c r="W643" i="8" a="1"/>
  <c r="W643" i="8" s="1"/>
  <c r="W652" i="8" a="1"/>
  <c r="W652" i="8" s="1"/>
  <c r="W661" i="8" a="1"/>
  <c r="W661" i="8" s="1"/>
  <c r="W666" i="8" a="1"/>
  <c r="W666" i="8" s="1"/>
  <c r="W675" i="8" a="1"/>
  <c r="W675" i="8" s="1"/>
  <c r="W684" i="8" a="1"/>
  <c r="W684" i="8" s="1"/>
  <c r="W693" i="8" a="1"/>
  <c r="W693" i="8" s="1"/>
  <c r="W698" i="8" a="1"/>
  <c r="W698" i="8" s="1"/>
  <c r="W707" i="8" a="1"/>
  <c r="W707" i="8" s="1"/>
  <c r="W716" i="8" a="1"/>
  <c r="W716" i="8" s="1"/>
  <c r="W725" i="8" a="1"/>
  <c r="W725" i="8" s="1"/>
  <c r="W730" i="8" a="1"/>
  <c r="W730" i="8" s="1"/>
  <c r="W739" i="8" a="1"/>
  <c r="W739" i="8" s="1"/>
  <c r="W748" i="8" a="1"/>
  <c r="W748" i="8" s="1"/>
  <c r="W757" i="8" a="1"/>
  <c r="W757" i="8" s="1"/>
  <c r="W616" i="8" a="1"/>
  <c r="W616" i="8" s="1"/>
  <c r="W625" i="8" a="1"/>
  <c r="W625" i="8" s="1"/>
  <c r="W630" i="8" a="1"/>
  <c r="W630" i="8" s="1"/>
  <c r="W639" i="8" a="1"/>
  <c r="W639" i="8" s="1"/>
  <c r="W648" i="8" a="1"/>
  <c r="W648" i="8" s="1"/>
  <c r="W657" i="8" a="1"/>
  <c r="W657" i="8" s="1"/>
  <c r="W662" i="8" a="1"/>
  <c r="W662" i="8" s="1"/>
  <c r="W671" i="8" a="1"/>
  <c r="W671" i="8" s="1"/>
  <c r="W680" i="8" a="1"/>
  <c r="W680" i="8" s="1"/>
  <c r="W689" i="8" a="1"/>
  <c r="W689" i="8" s="1"/>
  <c r="W694" i="8" a="1"/>
  <c r="W694" i="8" s="1"/>
  <c r="W703" i="8" a="1"/>
  <c r="W703" i="8" s="1"/>
  <c r="W712" i="8" a="1"/>
  <c r="W712" i="8" s="1"/>
  <c r="W721" i="8" a="1"/>
  <c r="W721" i="8" s="1"/>
  <c r="W726" i="8" a="1"/>
  <c r="W726" i="8" s="1"/>
  <c r="W735" i="8" a="1"/>
  <c r="W735" i="8" s="1"/>
  <c r="W744" i="8" a="1"/>
  <c r="W744" i="8" s="1"/>
  <c r="W753" i="8" a="1"/>
  <c r="W753" i="8" s="1"/>
  <c r="W758" i="8" a="1"/>
  <c r="W758" i="8" s="1"/>
  <c r="W767" i="8" a="1"/>
  <c r="W767" i="8" s="1"/>
  <c r="W776" i="8" a="1"/>
  <c r="W776" i="8" s="1"/>
  <c r="W785" i="8" a="1"/>
  <c r="W785" i="8" s="1"/>
  <c r="W607" i="8" a="1"/>
  <c r="W607" i="8" s="1"/>
  <c r="W612" i="8" a="1"/>
  <c r="W612" i="8" s="1"/>
  <c r="W621" i="8" a="1"/>
  <c r="W621" i="8" s="1"/>
  <c r="W626" i="8" a="1"/>
  <c r="W626" i="8" s="1"/>
  <c r="W635" i="8" a="1"/>
  <c r="W635" i="8" s="1"/>
  <c r="W644" i="8" a="1"/>
  <c r="W644" i="8" s="1"/>
  <c r="W653" i="8" a="1"/>
  <c r="W653" i="8" s="1"/>
  <c r="W658" i="8" a="1"/>
  <c r="W658" i="8" s="1"/>
  <c r="W667" i="8" a="1"/>
  <c r="W667" i="8" s="1"/>
  <c r="W676" i="8" a="1"/>
  <c r="W676" i="8" s="1"/>
  <c r="W685" i="8" a="1"/>
  <c r="W685" i="8" s="1"/>
  <c r="W690" i="8" a="1"/>
  <c r="W690" i="8" s="1"/>
  <c r="W699" i="8" a="1"/>
  <c r="W699" i="8" s="1"/>
  <c r="W708" i="8" a="1"/>
  <c r="W708" i="8" s="1"/>
  <c r="W717" i="8" a="1"/>
  <c r="W717" i="8" s="1"/>
  <c r="W722" i="8" a="1"/>
  <c r="W722" i="8" s="1"/>
  <c r="W731" i="8" a="1"/>
  <c r="W731" i="8" s="1"/>
  <c r="W740" i="8" a="1"/>
  <c r="W740" i="8" s="1"/>
  <c r="W749" i="8" a="1"/>
  <c r="W749" i="8" s="1"/>
  <c r="W754" i="8" a="1"/>
  <c r="W754" i="8" s="1"/>
  <c r="W617" i="8" a="1"/>
  <c r="W617" i="8" s="1"/>
  <c r="W622" i="8" a="1"/>
  <c r="W622" i="8" s="1"/>
  <c r="W631" i="8" a="1"/>
  <c r="W631" i="8" s="1"/>
  <c r="W640" i="8" a="1"/>
  <c r="W640" i="8" s="1"/>
  <c r="W649" i="8" a="1"/>
  <c r="W649" i="8" s="1"/>
  <c r="W654" i="8" a="1"/>
  <c r="W654" i="8" s="1"/>
  <c r="W663" i="8" a="1"/>
  <c r="W663" i="8" s="1"/>
  <c r="W672" i="8" a="1"/>
  <c r="W672" i="8" s="1"/>
  <c r="W681" i="8" a="1"/>
  <c r="W681" i="8" s="1"/>
  <c r="W686" i="8" a="1"/>
  <c r="W686" i="8" s="1"/>
  <c r="W695" i="8" a="1"/>
  <c r="W695" i="8" s="1"/>
  <c r="W704" i="8" a="1"/>
  <c r="W704" i="8" s="1"/>
  <c r="W713" i="8" a="1"/>
  <c r="W713" i="8" s="1"/>
  <c r="W718" i="8" a="1"/>
  <c r="W718" i="8" s="1"/>
  <c r="W727" i="8" a="1"/>
  <c r="W727" i="8" s="1"/>
  <c r="W736" i="8" a="1"/>
  <c r="W736" i="8" s="1"/>
  <c r="W745" i="8" a="1"/>
  <c r="W745" i="8" s="1"/>
  <c r="W750" i="8" a="1"/>
  <c r="W750" i="8" s="1"/>
  <c r="W759" i="8" a="1"/>
  <c r="W759" i="8" s="1"/>
  <c r="W755" i="8" a="1"/>
  <c r="W755" i="8" s="1"/>
  <c r="W782" i="8" a="1"/>
  <c r="W782" i="8" s="1"/>
  <c r="W768" i="8" a="1"/>
  <c r="W768" i="8" s="1"/>
  <c r="W788" i="8" a="1"/>
  <c r="W788" i="8" s="1"/>
  <c r="W777" i="8" a="1"/>
  <c r="W777" i="8" s="1"/>
  <c r="W783" i="8" a="1"/>
  <c r="W783" i="8" s="1"/>
  <c r="W762" i="8" a="1"/>
  <c r="W762" i="8" s="1"/>
  <c r="W771" i="8" a="1"/>
  <c r="W771" i="8" s="1"/>
  <c r="W778" i="8" a="1"/>
  <c r="W778" i="8" s="1"/>
  <c r="W763" i="8" a="1"/>
  <c r="W763" i="8" s="1"/>
  <c r="W772" i="8" a="1"/>
  <c r="W772" i="8" s="1"/>
  <c r="W779" i="8" a="1"/>
  <c r="W779" i="8" s="1"/>
  <c r="W786" i="8" a="1"/>
  <c r="W786" i="8" s="1"/>
  <c r="W764" i="8" a="1"/>
  <c r="W764" i="8" s="1"/>
  <c r="W773" i="8" a="1"/>
  <c r="W773" i="8" s="1"/>
  <c r="W780" i="8" a="1"/>
  <c r="W780" i="8" s="1"/>
  <c r="W781" i="8" a="1"/>
  <c r="W781" i="8" s="1"/>
  <c r="W787" i="8" a="1"/>
  <c r="W787" i="8" s="1"/>
  <c r="W511" i="8" a="1"/>
  <c r="W511" i="8" s="1"/>
  <c r="W517" i="8" a="1"/>
  <c r="W517" i="8" s="1"/>
  <c r="W530" i="8" a="1"/>
  <c r="W530" i="8" s="1"/>
  <c r="W536" i="8" a="1"/>
  <c r="W536" i="8" s="1"/>
  <c r="W543" i="8" a="1"/>
  <c r="W543" i="8" s="1"/>
  <c r="W549" i="8" a="1"/>
  <c r="W549" i="8" s="1"/>
  <c r="W562" i="8" a="1"/>
  <c r="W562" i="8" s="1"/>
  <c r="W568" i="8" a="1"/>
  <c r="W568" i="8" s="1"/>
  <c r="W575" i="8" a="1"/>
  <c r="W575" i="8" s="1"/>
  <c r="W581" i="8" a="1"/>
  <c r="W581" i="8" s="1"/>
  <c r="W518" i="8" a="1"/>
  <c r="W518" i="8" s="1"/>
  <c r="W524" i="8" a="1"/>
  <c r="W524" i="8" s="1"/>
  <c r="W531" i="8" a="1"/>
  <c r="W531" i="8" s="1"/>
  <c r="W537" i="8" a="1"/>
  <c r="W537" i="8" s="1"/>
  <c r="W550" i="8" a="1"/>
  <c r="W550" i="8" s="1"/>
  <c r="W556" i="8" a="1"/>
  <c r="W556" i="8" s="1"/>
  <c r="W563" i="8" a="1"/>
  <c r="W563" i="8" s="1"/>
  <c r="W569" i="8" a="1"/>
  <c r="W569" i="8" s="1"/>
  <c r="W582" i="8" a="1"/>
  <c r="W582" i="8" s="1"/>
  <c r="W512" i="8" a="1"/>
  <c r="W512" i="8" s="1"/>
  <c r="W519" i="8" a="1"/>
  <c r="W519" i="8" s="1"/>
  <c r="W525" i="8" a="1"/>
  <c r="W525" i="8" s="1"/>
  <c r="W538" i="8" a="1"/>
  <c r="W538" i="8" s="1"/>
  <c r="W544" i="8" a="1"/>
  <c r="W544" i="8" s="1"/>
  <c r="W551" i="8" a="1"/>
  <c r="W551" i="8" s="1"/>
  <c r="W557" i="8" a="1"/>
  <c r="W557" i="8" s="1"/>
  <c r="W570" i="8" a="1"/>
  <c r="W570" i="8" s="1"/>
  <c r="W576" i="8" a="1"/>
  <c r="W576" i="8" s="1"/>
  <c r="W583" i="8" a="1"/>
  <c r="W583" i="8" s="1"/>
  <c r="W507" i="8" a="1"/>
  <c r="W507" i="8" s="1"/>
  <c r="W513" i="8" a="1"/>
  <c r="W513" i="8" s="1"/>
  <c r="W526" i="8" a="1"/>
  <c r="W526" i="8" s="1"/>
  <c r="W532" i="8" a="1"/>
  <c r="W532" i="8" s="1"/>
  <c r="W539" i="8" a="1"/>
  <c r="W539" i="8" s="1"/>
  <c r="W545" i="8" a="1"/>
  <c r="W545" i="8" s="1"/>
  <c r="W558" i="8" a="1"/>
  <c r="W558" i="8" s="1"/>
  <c r="W564" i="8" a="1"/>
  <c r="W564" i="8" s="1"/>
  <c r="W571" i="8" a="1"/>
  <c r="W571" i="8" s="1"/>
  <c r="W577" i="8" a="1"/>
  <c r="W577" i="8" s="1"/>
  <c r="W514" i="8" a="1"/>
  <c r="W514" i="8" s="1"/>
  <c r="W520" i="8" a="1"/>
  <c r="W520" i="8" s="1"/>
  <c r="W527" i="8" a="1"/>
  <c r="W527" i="8" s="1"/>
  <c r="W533" i="8" a="1"/>
  <c r="W533" i="8" s="1"/>
  <c r="W546" i="8" a="1"/>
  <c r="W546" i="8" s="1"/>
  <c r="W552" i="8" a="1"/>
  <c r="W552" i="8" s="1"/>
  <c r="W559" i="8" a="1"/>
  <c r="W559" i="8" s="1"/>
  <c r="W565" i="8" a="1"/>
  <c r="W565" i="8" s="1"/>
  <c r="W578" i="8" a="1"/>
  <c r="W578" i="8" s="1"/>
  <c r="W584" i="8" a="1"/>
  <c r="W584" i="8" s="1"/>
  <c r="W508" i="8" a="1"/>
  <c r="W508" i="8" s="1"/>
  <c r="W515" i="8" a="1"/>
  <c r="W515" i="8" s="1"/>
  <c r="W521" i="8" a="1"/>
  <c r="W521" i="8" s="1"/>
  <c r="W534" i="8" a="1"/>
  <c r="W534" i="8" s="1"/>
  <c r="W540" i="8" a="1"/>
  <c r="W540" i="8" s="1"/>
  <c r="W547" i="8" a="1"/>
  <c r="W547" i="8" s="1"/>
  <c r="W553" i="8" a="1"/>
  <c r="W553" i="8" s="1"/>
  <c r="W566" i="8" a="1"/>
  <c r="W566" i="8" s="1"/>
  <c r="W572" i="8" a="1"/>
  <c r="W572" i="8" s="1"/>
  <c r="W579" i="8" a="1"/>
  <c r="W579" i="8" s="1"/>
  <c r="W509" i="8" a="1"/>
  <c r="W509" i="8" s="1"/>
  <c r="W522" i="8" a="1"/>
  <c r="W522" i="8" s="1"/>
  <c r="W528" i="8" a="1"/>
  <c r="W528" i="8" s="1"/>
  <c r="W535" i="8" a="1"/>
  <c r="W535" i="8" s="1"/>
  <c r="W541" i="8" a="1"/>
  <c r="W541" i="8" s="1"/>
  <c r="W554" i="8" a="1"/>
  <c r="W554" i="8" s="1"/>
  <c r="W560" i="8" a="1"/>
  <c r="W560" i="8" s="1"/>
  <c r="W567" i="8" a="1"/>
  <c r="W567" i="8" s="1"/>
  <c r="W573" i="8" a="1"/>
  <c r="W573" i="8" s="1"/>
  <c r="W529" i="8" a="1"/>
  <c r="W529" i="8" s="1"/>
  <c r="W542" i="8" a="1"/>
  <c r="W542" i="8" s="1"/>
  <c r="W548" i="8" a="1"/>
  <c r="W548" i="8" s="1"/>
  <c r="W555" i="8" a="1"/>
  <c r="W555" i="8" s="1"/>
  <c r="W510" i="8" a="1"/>
  <c r="W510" i="8" s="1"/>
  <c r="W574" i="8" a="1"/>
  <c r="W574" i="8" s="1"/>
  <c r="W580" i="8" a="1"/>
  <c r="W580" i="8" s="1"/>
  <c r="W516" i="8" a="1"/>
  <c r="W516" i="8" s="1"/>
  <c r="W523" i="8" a="1"/>
  <c r="W523" i="8" s="1"/>
  <c r="W561" i="8" a="1"/>
  <c r="W561" i="8" s="1"/>
  <c r="W342" i="8" a="1"/>
  <c r="W342" i="8" s="1"/>
  <c r="W343" i="8" a="1"/>
  <c r="W343" i="8" s="1"/>
  <c r="W340" i="8" a="1"/>
  <c r="W340" i="8" s="1"/>
  <c r="W348" i="8" a="1"/>
  <c r="W348" i="8" s="1"/>
  <c r="W359" i="8" a="1"/>
  <c r="W359" i="8" s="1"/>
  <c r="W364" i="8" a="1"/>
  <c r="W364" i="8" s="1"/>
  <c r="W375" i="8" a="1"/>
  <c r="W375" i="8" s="1"/>
  <c r="W380" i="8" a="1"/>
  <c r="W380" i="8" s="1"/>
  <c r="W391" i="8" a="1"/>
  <c r="W391" i="8" s="1"/>
  <c r="W396" i="8" a="1"/>
  <c r="W396" i="8" s="1"/>
  <c r="W407" i="8" a="1"/>
  <c r="W407" i="8" s="1"/>
  <c r="W412" i="8" a="1"/>
  <c r="W412" i="8" s="1"/>
  <c r="W417" i="8" a="1"/>
  <c r="W417" i="8" s="1"/>
  <c r="W426" i="8" a="1"/>
  <c r="W426" i="8" s="1"/>
  <c r="W431" i="8" a="1"/>
  <c r="W431" i="8" s="1"/>
  <c r="W440" i="8" a="1"/>
  <c r="W440" i="8" s="1"/>
  <c r="W449" i="8" a="1"/>
  <c r="W449" i="8" s="1"/>
  <c r="W458" i="8" a="1"/>
  <c r="W458" i="8" s="1"/>
  <c r="W463" i="8" a="1"/>
  <c r="W463" i="8" s="1"/>
  <c r="W472" i="8" a="1"/>
  <c r="W472" i="8" s="1"/>
  <c r="W481" i="8" a="1"/>
  <c r="W481" i="8" s="1"/>
  <c r="W490" i="8" a="1"/>
  <c r="W490" i="8" s="1"/>
  <c r="W495" i="8" a="1"/>
  <c r="W495" i="8" s="1"/>
  <c r="W349" i="8" a="1"/>
  <c r="W349" i="8" s="1"/>
  <c r="W354" i="8" a="1"/>
  <c r="W354" i="8" s="1"/>
  <c r="W365" i="8" a="1"/>
  <c r="W365" i="8" s="1"/>
  <c r="W370" i="8" a="1"/>
  <c r="W370" i="8" s="1"/>
  <c r="W381" i="8" a="1"/>
  <c r="W381" i="8" s="1"/>
  <c r="W386" i="8" a="1"/>
  <c r="W386" i="8" s="1"/>
  <c r="W397" i="8" a="1"/>
  <c r="W397" i="8" s="1"/>
  <c r="W402" i="8" a="1"/>
  <c r="W402" i="8" s="1"/>
  <c r="W413" i="8" a="1"/>
  <c r="W413" i="8" s="1"/>
  <c r="W422" i="8" a="1"/>
  <c r="W422" i="8" s="1"/>
  <c r="W427" i="8" a="1"/>
  <c r="W427" i="8" s="1"/>
  <c r="W436" i="8" a="1"/>
  <c r="W436" i="8" s="1"/>
  <c r="W445" i="8" a="1"/>
  <c r="W445" i="8" s="1"/>
  <c r="W454" i="8" a="1"/>
  <c r="W454" i="8" s="1"/>
  <c r="W459" i="8" a="1"/>
  <c r="W459" i="8" s="1"/>
  <c r="W468" i="8" a="1"/>
  <c r="W468" i="8" s="1"/>
  <c r="W477" i="8" a="1"/>
  <c r="W477" i="8" s="1"/>
  <c r="W486" i="8" a="1"/>
  <c r="W486" i="8" s="1"/>
  <c r="W491" i="8" a="1"/>
  <c r="W491" i="8" s="1"/>
  <c r="W500" i="8" a="1"/>
  <c r="W500" i="8" s="1"/>
  <c r="W344" i="8" a="1"/>
  <c r="W344" i="8" s="1"/>
  <c r="W355" i="8" a="1"/>
  <c r="W355" i="8" s="1"/>
  <c r="W360" i="8" a="1"/>
  <c r="W360" i="8" s="1"/>
  <c r="W371" i="8" a="1"/>
  <c r="W371" i="8" s="1"/>
  <c r="W376" i="8" a="1"/>
  <c r="W376" i="8" s="1"/>
  <c r="W387" i="8" a="1"/>
  <c r="W387" i="8" s="1"/>
  <c r="W392" i="8" a="1"/>
  <c r="W392" i="8" s="1"/>
  <c r="W403" i="8" a="1"/>
  <c r="W403" i="8" s="1"/>
  <c r="W408" i="8" a="1"/>
  <c r="W408" i="8" s="1"/>
  <c r="W418" i="8" a="1"/>
  <c r="W418" i="8" s="1"/>
  <c r="W423" i="8" a="1"/>
  <c r="W423" i="8" s="1"/>
  <c r="W432" i="8" a="1"/>
  <c r="W432" i="8" s="1"/>
  <c r="W441" i="8" a="1"/>
  <c r="W441" i="8" s="1"/>
  <c r="W450" i="8" a="1"/>
  <c r="W450" i="8" s="1"/>
  <c r="W455" i="8" a="1"/>
  <c r="W455" i="8" s="1"/>
  <c r="W464" i="8" a="1"/>
  <c r="W464" i="8" s="1"/>
  <c r="W473" i="8" a="1"/>
  <c r="W473" i="8" s="1"/>
  <c r="W482" i="8" a="1"/>
  <c r="W482" i="8" s="1"/>
  <c r="W487" i="8" a="1"/>
  <c r="W487" i="8" s="1"/>
  <c r="W496" i="8" a="1"/>
  <c r="W496" i="8" s="1"/>
  <c r="W345" i="8" a="1"/>
  <c r="W345" i="8" s="1"/>
  <c r="W350" i="8" a="1"/>
  <c r="W350" i="8" s="1"/>
  <c r="W361" i="8" a="1"/>
  <c r="W361" i="8" s="1"/>
  <c r="W366" i="8" a="1"/>
  <c r="W366" i="8" s="1"/>
  <c r="W377" i="8" a="1"/>
  <c r="W377" i="8" s="1"/>
  <c r="W382" i="8" a="1"/>
  <c r="W382" i="8" s="1"/>
  <c r="W393" i="8" a="1"/>
  <c r="W393" i="8" s="1"/>
  <c r="W398" i="8" a="1"/>
  <c r="W398" i="8" s="1"/>
  <c r="W409" i="8" a="1"/>
  <c r="W409" i="8" s="1"/>
  <c r="W414" i="8" a="1"/>
  <c r="W414" i="8" s="1"/>
  <c r="W419" i="8" a="1"/>
  <c r="W419" i="8" s="1"/>
  <c r="W428" i="8" a="1"/>
  <c r="W428" i="8" s="1"/>
  <c r="W437" i="8" a="1"/>
  <c r="W437" i="8" s="1"/>
  <c r="W446" i="8" a="1"/>
  <c r="W446" i="8" s="1"/>
  <c r="W451" i="8" a="1"/>
  <c r="W451" i="8" s="1"/>
  <c r="W460" i="8" a="1"/>
  <c r="W460" i="8" s="1"/>
  <c r="W469" i="8" a="1"/>
  <c r="W469" i="8" s="1"/>
  <c r="W478" i="8" a="1"/>
  <c r="W478" i="8" s="1"/>
  <c r="W483" i="8" a="1"/>
  <c r="W483" i="8" s="1"/>
  <c r="W492" i="8" a="1"/>
  <c r="W492" i="8" s="1"/>
  <c r="W351" i="8" a="1"/>
  <c r="W351" i="8" s="1"/>
  <c r="W356" i="8" a="1"/>
  <c r="W356" i="8" s="1"/>
  <c r="W367" i="8" a="1"/>
  <c r="W367" i="8" s="1"/>
  <c r="W372" i="8" a="1"/>
  <c r="W372" i="8" s="1"/>
  <c r="W383" i="8" a="1"/>
  <c r="W383" i="8" s="1"/>
  <c r="W388" i="8" a="1"/>
  <c r="W388" i="8" s="1"/>
  <c r="W399" i="8" a="1"/>
  <c r="W399" i="8" s="1"/>
  <c r="W404" i="8" a="1"/>
  <c r="W404" i="8" s="1"/>
  <c r="W415" i="8" a="1"/>
  <c r="W415" i="8" s="1"/>
  <c r="W424" i="8" a="1"/>
  <c r="W424" i="8" s="1"/>
  <c r="W433" i="8" a="1"/>
  <c r="W433" i="8" s="1"/>
  <c r="W442" i="8" a="1"/>
  <c r="W442" i="8" s="1"/>
  <c r="W447" i="8" a="1"/>
  <c r="W447" i="8" s="1"/>
  <c r="W456" i="8" a="1"/>
  <c r="W456" i="8" s="1"/>
  <c r="W465" i="8" a="1"/>
  <c r="W465" i="8" s="1"/>
  <c r="W474" i="8" a="1"/>
  <c r="W474" i="8" s="1"/>
  <c r="W479" i="8" a="1"/>
  <c r="W479" i="8" s="1"/>
  <c r="W488" i="8" a="1"/>
  <c r="W488" i="8" s="1"/>
  <c r="W497" i="8" a="1"/>
  <c r="W497" i="8" s="1"/>
  <c r="W346" i="8" a="1"/>
  <c r="W346" i="8" s="1"/>
  <c r="W357" i="8" a="1"/>
  <c r="W357" i="8" s="1"/>
  <c r="W362" i="8" a="1"/>
  <c r="W362" i="8" s="1"/>
  <c r="W373" i="8" a="1"/>
  <c r="W373" i="8" s="1"/>
  <c r="W378" i="8" a="1"/>
  <c r="W378" i="8" s="1"/>
  <c r="W389" i="8" a="1"/>
  <c r="W389" i="8" s="1"/>
  <c r="W394" i="8" a="1"/>
  <c r="W394" i="8" s="1"/>
  <c r="W405" i="8" a="1"/>
  <c r="W405" i="8" s="1"/>
  <c r="W410" i="8" a="1"/>
  <c r="W410" i="8" s="1"/>
  <c r="W420" i="8" a="1"/>
  <c r="W420" i="8" s="1"/>
  <c r="W429" i="8" a="1"/>
  <c r="W429" i="8" s="1"/>
  <c r="W438" i="8" a="1"/>
  <c r="W438" i="8" s="1"/>
  <c r="W443" i="8" a="1"/>
  <c r="W443" i="8" s="1"/>
  <c r="W452" i="8" a="1"/>
  <c r="W452" i="8" s="1"/>
  <c r="W461" i="8" a="1"/>
  <c r="W461" i="8" s="1"/>
  <c r="W470" i="8" a="1"/>
  <c r="W470" i="8" s="1"/>
  <c r="W475" i="8" a="1"/>
  <c r="W475" i="8" s="1"/>
  <c r="W484" i="8" a="1"/>
  <c r="W484" i="8" s="1"/>
  <c r="W493" i="8" a="1"/>
  <c r="W493" i="8" s="1"/>
  <c r="W347" i="8" a="1"/>
  <c r="W347" i="8" s="1"/>
  <c r="W352" i="8" a="1"/>
  <c r="W352" i="8" s="1"/>
  <c r="W363" i="8" a="1"/>
  <c r="W363" i="8" s="1"/>
  <c r="W368" i="8" a="1"/>
  <c r="W368" i="8" s="1"/>
  <c r="W379" i="8" a="1"/>
  <c r="W379" i="8" s="1"/>
  <c r="W384" i="8" a="1"/>
  <c r="W384" i="8" s="1"/>
  <c r="W395" i="8" a="1"/>
  <c r="W395" i="8" s="1"/>
  <c r="W400" i="8" a="1"/>
  <c r="W400" i="8" s="1"/>
  <c r="W411" i="8" a="1"/>
  <c r="W411" i="8" s="1"/>
  <c r="W416" i="8" a="1"/>
  <c r="W416" i="8" s="1"/>
  <c r="W425" i="8" a="1"/>
  <c r="W425" i="8" s="1"/>
  <c r="W434" i="8" a="1"/>
  <c r="W434" i="8" s="1"/>
  <c r="W439" i="8" a="1"/>
  <c r="W439" i="8" s="1"/>
  <c r="W448" i="8" a="1"/>
  <c r="W448" i="8" s="1"/>
  <c r="W457" i="8" a="1"/>
  <c r="W457" i="8" s="1"/>
  <c r="W466" i="8" a="1"/>
  <c r="W466" i="8" s="1"/>
  <c r="W471" i="8" a="1"/>
  <c r="W471" i="8" s="1"/>
  <c r="W480" i="8" a="1"/>
  <c r="W480" i="8" s="1"/>
  <c r="W489" i="8" a="1"/>
  <c r="W489" i="8" s="1"/>
  <c r="W498" i="8" a="1"/>
  <c r="W498" i="8" s="1"/>
  <c r="W353" i="8" a="1"/>
  <c r="W353" i="8" s="1"/>
  <c r="W435" i="8" a="1"/>
  <c r="W435" i="8" s="1"/>
  <c r="W358" i="8" a="1"/>
  <c r="W358" i="8" s="1"/>
  <c r="W401" i="8" a="1"/>
  <c r="W401" i="8" s="1"/>
  <c r="W476" i="8" a="1"/>
  <c r="W476" i="8" s="1"/>
  <c r="W406" i="8" a="1"/>
  <c r="W406" i="8" s="1"/>
  <c r="W444" i="8" a="1"/>
  <c r="W444" i="8" s="1"/>
  <c r="W369" i="8" a="1"/>
  <c r="W369" i="8" s="1"/>
  <c r="W485" i="8" a="1"/>
  <c r="W485" i="8" s="1"/>
  <c r="W374" i="8" a="1"/>
  <c r="W374" i="8" s="1"/>
  <c r="W453" i="8" a="1"/>
  <c r="W453" i="8" s="1"/>
  <c r="W421" i="8" a="1"/>
  <c r="W421" i="8" s="1"/>
  <c r="W494" i="8" a="1"/>
  <c r="W494" i="8" s="1"/>
  <c r="W341" i="8" a="1"/>
  <c r="W341" i="8" s="1"/>
  <c r="W385" i="8" a="1"/>
  <c r="W385" i="8" s="1"/>
  <c r="W462" i="8" a="1"/>
  <c r="W462" i="8" s="1"/>
  <c r="W430" i="8" a="1"/>
  <c r="W430" i="8" s="1"/>
  <c r="W467" i="8" a="1"/>
  <c r="W467" i="8" s="1"/>
  <c r="W499" i="8" a="1"/>
  <c r="W499" i="8" s="1"/>
  <c r="W390" i="8" a="1"/>
  <c r="W390" i="8" s="1"/>
  <c r="W311" i="8" a="1"/>
  <c r="W311" i="8" s="1"/>
  <c r="W315" i="8" a="1"/>
  <c r="W315" i="8" s="1"/>
  <c r="W308" i="8" a="1"/>
  <c r="W308" i="8" s="1"/>
  <c r="W312" i="8" a="1"/>
  <c r="W312" i="8" s="1"/>
  <c r="W309" i="8" a="1"/>
  <c r="W309" i="8" s="1"/>
  <c r="W313" i="8" a="1"/>
  <c r="W313" i="8" s="1"/>
  <c r="W321" i="8" a="1"/>
  <c r="W321" i="8" s="1"/>
  <c r="W329" i="8" a="1"/>
  <c r="W329" i="8" s="1"/>
  <c r="W337" i="8" a="1"/>
  <c r="W337" i="8" s="1"/>
  <c r="W310" i="8" a="1"/>
  <c r="W310" i="8" s="1"/>
  <c r="W322" i="8" a="1"/>
  <c r="W322" i="8" s="1"/>
  <c r="W330" i="8" a="1"/>
  <c r="W330" i="8" s="1"/>
  <c r="W338" i="8" a="1"/>
  <c r="W338" i="8" s="1"/>
  <c r="W314" i="8" a="1"/>
  <c r="W314" i="8" s="1"/>
  <c r="W323" i="8" a="1"/>
  <c r="W323" i="8" s="1"/>
  <c r="W331" i="8" a="1"/>
  <c r="W331" i="8" s="1"/>
  <c r="W336" i="8" a="1"/>
  <c r="W336" i="8" s="1"/>
  <c r="W316" i="8" a="1"/>
  <c r="W316" i="8" s="1"/>
  <c r="W324" i="8" a="1"/>
  <c r="W324" i="8" s="1"/>
  <c r="W332" i="8" a="1"/>
  <c r="W332" i="8" s="1"/>
  <c r="W317" i="8" a="1"/>
  <c r="W317" i="8" s="1"/>
  <c r="W325" i="8" a="1"/>
  <c r="W325" i="8" s="1"/>
  <c r="W333" i="8" a="1"/>
  <c r="W333" i="8" s="1"/>
  <c r="W318" i="8" a="1"/>
  <c r="W318" i="8" s="1"/>
  <c r="W326" i="8" a="1"/>
  <c r="W326" i="8" s="1"/>
  <c r="W334" i="8" a="1"/>
  <c r="W334" i="8" s="1"/>
  <c r="W320" i="8" a="1"/>
  <c r="W320" i="8" s="1"/>
  <c r="W319" i="8" a="1"/>
  <c r="W319" i="8" s="1"/>
  <c r="W327" i="8" a="1"/>
  <c r="W327" i="8" s="1"/>
  <c r="W335" i="8" a="1"/>
  <c r="W335" i="8" s="1"/>
  <c r="W328" i="8" a="1"/>
  <c r="W328" i="8" s="1"/>
  <c r="W233" i="8" a="1"/>
  <c r="W233" i="8" s="1"/>
  <c r="W239" i="8" a="1"/>
  <c r="W239" i="8" s="1"/>
  <c r="W244" i="8" a="1"/>
  <c r="W244" i="8" s="1"/>
  <c r="W234" i="8" a="1"/>
  <c r="W234" i="8" s="1"/>
  <c r="W250" i="8" a="1"/>
  <c r="W250" i="8" s="1"/>
  <c r="W266" i="8" a="1"/>
  <c r="W266" i="8" s="1"/>
  <c r="W282" i="8" a="1"/>
  <c r="W282" i="8" s="1"/>
  <c r="W298" i="8" a="1"/>
  <c r="W298" i="8" s="1"/>
  <c r="W235" i="8" a="1"/>
  <c r="W235" i="8" s="1"/>
  <c r="W240" i="8" a="1"/>
  <c r="W240" i="8" s="1"/>
  <c r="W246" i="8" a="1"/>
  <c r="W246" i="8" s="1"/>
  <c r="W262" i="8" a="1"/>
  <c r="W262" i="8" s="1"/>
  <c r="W278" i="8" a="1"/>
  <c r="W278" i="8" s="1"/>
  <c r="W294" i="8" a="1"/>
  <c r="W294" i="8" s="1"/>
  <c r="W231" i="8" a="1"/>
  <c r="W231" i="8" s="1"/>
  <c r="W236" i="8" a="1"/>
  <c r="W236" i="8" s="1"/>
  <c r="W241" i="8" a="1"/>
  <c r="W241" i="8" s="1"/>
  <c r="W247" i="8" a="1"/>
  <c r="W247" i="8" s="1"/>
  <c r="W232" i="8" a="1"/>
  <c r="W232" i="8" s="1"/>
  <c r="W237" i="8" a="1"/>
  <c r="W237" i="8" s="1"/>
  <c r="W243" i="8" a="1"/>
  <c r="W243" i="8" s="1"/>
  <c r="W248" i="8" a="1"/>
  <c r="W248" i="8" s="1"/>
  <c r="W251" i="8" a="1"/>
  <c r="W251" i="8" s="1"/>
  <c r="W258" i="8" a="1"/>
  <c r="W258" i="8" s="1"/>
  <c r="W272" i="8" a="1"/>
  <c r="W272" i="8" s="1"/>
  <c r="W286" i="8" a="1"/>
  <c r="W286" i="8" s="1"/>
  <c r="W238" i="8" a="1"/>
  <c r="W238" i="8" s="1"/>
  <c r="W252" i="8" a="1"/>
  <c r="W252" i="8" s="1"/>
  <c r="W259" i="8" a="1"/>
  <c r="W259" i="8" s="1"/>
  <c r="W265" i="8" a="1"/>
  <c r="W265" i="8" s="1"/>
  <c r="W273" i="8" a="1"/>
  <c r="W273" i="8" s="1"/>
  <c r="W242" i="8" a="1"/>
  <c r="W242" i="8" s="1"/>
  <c r="W267" i="8" a="1"/>
  <c r="W267" i="8" s="1"/>
  <c r="W274" i="8" a="1"/>
  <c r="W274" i="8" s="1"/>
  <c r="W288" i="8" a="1"/>
  <c r="W288" i="8" s="1"/>
  <c r="W302" i="8" a="1"/>
  <c r="W302" i="8" s="1"/>
  <c r="W253" i="8" a="1"/>
  <c r="W253" i="8" s="1"/>
  <c r="W260" i="8" a="1"/>
  <c r="W260" i="8" s="1"/>
  <c r="W268" i="8" a="1"/>
  <c r="W268" i="8" s="1"/>
  <c r="W275" i="8" a="1"/>
  <c r="W275" i="8" s="1"/>
  <c r="W281" i="8" a="1"/>
  <c r="W281" i="8" s="1"/>
  <c r="W289" i="8" a="1"/>
  <c r="W289" i="8" s="1"/>
  <c r="W245" i="8" a="1"/>
  <c r="W245" i="8" s="1"/>
  <c r="W254" i="8" a="1"/>
  <c r="W254" i="8" s="1"/>
  <c r="W261" i="8" a="1"/>
  <c r="W261" i="8" s="1"/>
  <c r="W283" i="8" a="1"/>
  <c r="W283" i="8" s="1"/>
  <c r="W255" i="8" a="1"/>
  <c r="W255" i="8" s="1"/>
  <c r="W263" i="8" a="1"/>
  <c r="W263" i="8" s="1"/>
  <c r="W269" i="8" a="1"/>
  <c r="W269" i="8" s="1"/>
  <c r="W276" i="8" a="1"/>
  <c r="W276" i="8" s="1"/>
  <c r="W284" i="8" a="1"/>
  <c r="W284" i="8" s="1"/>
  <c r="W256" i="8" a="1"/>
  <c r="W256" i="8" s="1"/>
  <c r="W270" i="8" a="1"/>
  <c r="W270" i="8" s="1"/>
  <c r="W277" i="8" a="1"/>
  <c r="W277" i="8" s="1"/>
  <c r="W299" i="8" a="1"/>
  <c r="W299" i="8" s="1"/>
  <c r="W305" i="8" a="1"/>
  <c r="W305" i="8" s="1"/>
  <c r="W271" i="8" a="1"/>
  <c r="W271" i="8" s="1"/>
  <c r="W293" i="8" a="1"/>
  <c r="W293" i="8" s="1"/>
  <c r="W303" i="8" a="1"/>
  <c r="W303" i="8" s="1"/>
  <c r="W279" i="8" a="1"/>
  <c r="W279" i="8" s="1"/>
  <c r="W295" i="8" a="1"/>
  <c r="W295" i="8" s="1"/>
  <c r="W280" i="8" a="1"/>
  <c r="W280" i="8" s="1"/>
  <c r="W296" i="8" a="1"/>
  <c r="W296" i="8" s="1"/>
  <c r="W304" i="8" a="1"/>
  <c r="W304" i="8" s="1"/>
  <c r="W285" i="8" a="1"/>
  <c r="W285" i="8" s="1"/>
  <c r="W306" i="8" a="1"/>
  <c r="W306" i="8" s="1"/>
  <c r="W287" i="8" a="1"/>
  <c r="W287" i="8" s="1"/>
  <c r="W297" i="8" a="1"/>
  <c r="W297" i="8" s="1"/>
  <c r="W249" i="8" a="1"/>
  <c r="W249" i="8" s="1"/>
  <c r="W290" i="8" a="1"/>
  <c r="W290" i="8" s="1"/>
  <c r="W300" i="8" a="1"/>
  <c r="W300" i="8" s="1"/>
  <c r="W257" i="8" a="1"/>
  <c r="W257" i="8" s="1"/>
  <c r="W291" i="8" a="1"/>
  <c r="W291" i="8" s="1"/>
  <c r="W264" i="8" a="1"/>
  <c r="W264" i="8" s="1"/>
  <c r="W292" i="8" a="1"/>
  <c r="W292" i="8" s="1"/>
  <c r="W301" i="8" a="1"/>
  <c r="W301" i="8" s="1"/>
  <c r="W30" i="8" a="1"/>
  <c r="W30" i="8" s="1"/>
  <c r="W34" i="8" a="1"/>
  <c r="W34" i="8" s="1"/>
  <c r="W31" i="8" a="1"/>
  <c r="W31" i="8" s="1"/>
  <c r="W35" i="8" a="1"/>
  <c r="W35" i="8" s="1"/>
  <c r="W32" i="8" a="1"/>
  <c r="W32" i="8" s="1"/>
  <c r="W36" i="8" a="1"/>
  <c r="W36" i="8" s="1"/>
  <c r="W40" i="8" a="1"/>
  <c r="W40" i="8" s="1"/>
  <c r="W45" i="8" a="1"/>
  <c r="W45" i="8" s="1"/>
  <c r="W50" i="8" a="1"/>
  <c r="W50" i="8" s="1"/>
  <c r="W56" i="8" a="1"/>
  <c r="W56" i="8" s="1"/>
  <c r="W61" i="8" a="1"/>
  <c r="W61" i="8" s="1"/>
  <c r="W66" i="8" a="1"/>
  <c r="W66" i="8" s="1"/>
  <c r="W72" i="8" a="1"/>
  <c r="W72" i="8" s="1"/>
  <c r="W77" i="8" a="1"/>
  <c r="W77" i="8" s="1"/>
  <c r="W82" i="8" a="1"/>
  <c r="W82" i="8" s="1"/>
  <c r="W88" i="8" a="1"/>
  <c r="W88" i="8" s="1"/>
  <c r="W93" i="8" a="1"/>
  <c r="W93" i="8" s="1"/>
  <c r="W98" i="8" a="1"/>
  <c r="W98" i="8" s="1"/>
  <c r="W33" i="8" a="1"/>
  <c r="W33" i="8" s="1"/>
  <c r="W51" i="8" a="1"/>
  <c r="W51" i="8" s="1"/>
  <c r="W67" i="8" a="1"/>
  <c r="W67" i="8" s="1"/>
  <c r="W83" i="8" a="1"/>
  <c r="W83" i="8" s="1"/>
  <c r="W99" i="8" a="1"/>
  <c r="W99" i="8" s="1"/>
  <c r="W115" i="8" a="1"/>
  <c r="W115" i="8" s="1"/>
  <c r="W131" i="8" a="1"/>
  <c r="W131" i="8" s="1"/>
  <c r="W147" i="8" a="1"/>
  <c r="W147" i="8" s="1"/>
  <c r="W163" i="8" a="1"/>
  <c r="W163" i="8" s="1"/>
  <c r="W179" i="8" a="1"/>
  <c r="W179" i="8" s="1"/>
  <c r="W194" i="8" a="1"/>
  <c r="W194" i="8" s="1"/>
  <c r="W199" i="8" a="1"/>
  <c r="W199" i="8" s="1"/>
  <c r="W208" i="8" a="1"/>
  <c r="W208" i="8" s="1"/>
  <c r="W217" i="8" a="1"/>
  <c r="W217" i="8" s="1"/>
  <c r="W226" i="8" a="1"/>
  <c r="W226" i="8" s="1"/>
  <c r="W41" i="8" a="1"/>
  <c r="W41" i="8" s="1"/>
  <c r="W46" i="8" a="1"/>
  <c r="W46" i="8" s="1"/>
  <c r="W52" i="8" a="1"/>
  <c r="W52" i="8" s="1"/>
  <c r="W57" i="8" a="1"/>
  <c r="W57" i="8" s="1"/>
  <c r="W62" i="8" a="1"/>
  <c r="W62" i="8" s="1"/>
  <c r="W68" i="8" a="1"/>
  <c r="W68" i="8" s="1"/>
  <c r="W73" i="8" a="1"/>
  <c r="W73" i="8" s="1"/>
  <c r="W78" i="8" a="1"/>
  <c r="W78" i="8" s="1"/>
  <c r="W84" i="8" a="1"/>
  <c r="W84" i="8" s="1"/>
  <c r="W89" i="8" a="1"/>
  <c r="W89" i="8" s="1"/>
  <c r="W94" i="8" a="1"/>
  <c r="W94" i="8" s="1"/>
  <c r="W100" i="8" a="1"/>
  <c r="W100" i="8" s="1"/>
  <c r="W116" i="8" a="1"/>
  <c r="W116" i="8" s="1"/>
  <c r="W47" i="8" a="1"/>
  <c r="W47" i="8" s="1"/>
  <c r="W63" i="8" a="1"/>
  <c r="W63" i="8" s="1"/>
  <c r="W79" i="8" a="1"/>
  <c r="W79" i="8" s="1"/>
  <c r="W95" i="8" a="1"/>
  <c r="W95" i="8" s="1"/>
  <c r="W111" i="8" a="1"/>
  <c r="W111" i="8" s="1"/>
  <c r="W127" i="8" a="1"/>
  <c r="W127" i="8" s="1"/>
  <c r="W143" i="8" a="1"/>
  <c r="W143" i="8" s="1"/>
  <c r="W159" i="8" a="1"/>
  <c r="W159" i="8" s="1"/>
  <c r="W175" i="8" a="1"/>
  <c r="W175" i="8" s="1"/>
  <c r="W191" i="8" a="1"/>
  <c r="W191" i="8" s="1"/>
  <c r="W200" i="8" a="1"/>
  <c r="W200" i="8" s="1"/>
  <c r="W209" i="8" a="1"/>
  <c r="W209" i="8" s="1"/>
  <c r="W218" i="8" a="1"/>
  <c r="W218" i="8" s="1"/>
  <c r="W223" i="8" a="1"/>
  <c r="W223" i="8" s="1"/>
  <c r="W37" i="8" a="1"/>
  <c r="W37" i="8" s="1"/>
  <c r="W42" i="8" a="1"/>
  <c r="W42" i="8" s="1"/>
  <c r="W48" i="8" a="1"/>
  <c r="W48" i="8" s="1"/>
  <c r="W53" i="8" a="1"/>
  <c r="W53" i="8" s="1"/>
  <c r="W58" i="8" a="1"/>
  <c r="W58" i="8" s="1"/>
  <c r="W64" i="8" a="1"/>
  <c r="W64" i="8" s="1"/>
  <c r="W69" i="8" a="1"/>
  <c r="W69" i="8" s="1"/>
  <c r="W74" i="8" a="1"/>
  <c r="W74" i="8" s="1"/>
  <c r="W80" i="8" a="1"/>
  <c r="W80" i="8" s="1"/>
  <c r="W85" i="8" a="1"/>
  <c r="W85" i="8" s="1"/>
  <c r="W90" i="8" a="1"/>
  <c r="W90" i="8" s="1"/>
  <c r="W96" i="8" a="1"/>
  <c r="W96" i="8" s="1"/>
  <c r="W43" i="8" a="1"/>
  <c r="W43" i="8" s="1"/>
  <c r="W59" i="8" a="1"/>
  <c r="W59" i="8" s="1"/>
  <c r="W75" i="8" a="1"/>
  <c r="W75" i="8" s="1"/>
  <c r="W91" i="8" a="1"/>
  <c r="W91" i="8" s="1"/>
  <c r="W123" i="8" a="1"/>
  <c r="W123" i="8" s="1"/>
  <c r="W139" i="8" a="1"/>
  <c r="W139" i="8" s="1"/>
  <c r="W155" i="8" a="1"/>
  <c r="W155" i="8" s="1"/>
  <c r="W171" i="8" a="1"/>
  <c r="W171" i="8" s="1"/>
  <c r="W187" i="8" a="1"/>
  <c r="W187" i="8" s="1"/>
  <c r="W192" i="8" a="1"/>
  <c r="W192" i="8" s="1"/>
  <c r="W201" i="8" a="1"/>
  <c r="W201" i="8" s="1"/>
  <c r="W210" i="8" a="1"/>
  <c r="W210" i="8" s="1"/>
  <c r="W215" i="8" a="1"/>
  <c r="W215" i="8" s="1"/>
  <c r="W38" i="8" a="1"/>
  <c r="W38" i="8" s="1"/>
  <c r="W44" i="8" a="1"/>
  <c r="W44" i="8" s="1"/>
  <c r="W49" i="8" a="1"/>
  <c r="W49" i="8" s="1"/>
  <c r="W54" i="8" a="1"/>
  <c r="W54" i="8" s="1"/>
  <c r="W60" i="8" a="1"/>
  <c r="W60" i="8" s="1"/>
  <c r="W65" i="8" a="1"/>
  <c r="W65" i="8" s="1"/>
  <c r="W70" i="8" a="1"/>
  <c r="W70" i="8" s="1"/>
  <c r="W76" i="8" a="1"/>
  <c r="W76" i="8" s="1"/>
  <c r="W81" i="8" a="1"/>
  <c r="W81" i="8" s="1"/>
  <c r="W86" i="8" a="1"/>
  <c r="W86" i="8" s="1"/>
  <c r="W92" i="8" a="1"/>
  <c r="W92" i="8" s="1"/>
  <c r="W97" i="8" a="1"/>
  <c r="W97" i="8" s="1"/>
  <c r="W112" i="8" a="1"/>
  <c r="W112" i="8" s="1"/>
  <c r="W121" i="8" a="1"/>
  <c r="W121" i="8" s="1"/>
  <c r="W138" i="8" a="1"/>
  <c r="W138" i="8" s="1"/>
  <c r="W146" i="8" a="1"/>
  <c r="W146" i="8" s="1"/>
  <c r="W156" i="8" a="1"/>
  <c r="W156" i="8" s="1"/>
  <c r="W164" i="8" a="1"/>
  <c r="W164" i="8" s="1"/>
  <c r="W181" i="8" a="1"/>
  <c r="W181" i="8" s="1"/>
  <c r="W189" i="8" a="1"/>
  <c r="W189" i="8" s="1"/>
  <c r="W197" i="8" a="1"/>
  <c r="W197" i="8" s="1"/>
  <c r="W204" i="8" a="1"/>
  <c r="W204" i="8" s="1"/>
  <c r="W219" i="8" a="1"/>
  <c r="W219" i="8" s="1"/>
  <c r="W55" i="8" a="1"/>
  <c r="W55" i="8" s="1"/>
  <c r="W113" i="8" a="1"/>
  <c r="W113" i="8" s="1"/>
  <c r="W122" i="8" a="1"/>
  <c r="W122" i="8" s="1"/>
  <c r="W130" i="8" a="1"/>
  <c r="W130" i="8" s="1"/>
  <c r="W140" i="8" a="1"/>
  <c r="W140" i="8" s="1"/>
  <c r="W148" i="8" a="1"/>
  <c r="W148" i="8" s="1"/>
  <c r="W165" i="8" a="1"/>
  <c r="W165" i="8" s="1"/>
  <c r="W173" i="8" a="1"/>
  <c r="W173" i="8" s="1"/>
  <c r="W182" i="8" a="1"/>
  <c r="W182" i="8" s="1"/>
  <c r="W190" i="8" a="1"/>
  <c r="W190" i="8" s="1"/>
  <c r="W205" i="8" a="1"/>
  <c r="W205" i="8" s="1"/>
  <c r="W212" i="8" a="1"/>
  <c r="W212" i="8" s="1"/>
  <c r="W124" i="8" a="1"/>
  <c r="W124" i="8" s="1"/>
  <c r="W132" i="8" a="1"/>
  <c r="W132" i="8" s="1"/>
  <c r="W149" i="8" a="1"/>
  <c r="W149" i="8" s="1"/>
  <c r="W157" i="8" a="1"/>
  <c r="W157" i="8" s="1"/>
  <c r="W166" i="8" a="1"/>
  <c r="W166" i="8" s="1"/>
  <c r="W174" i="8" a="1"/>
  <c r="W174" i="8" s="1"/>
  <c r="W183" i="8" a="1"/>
  <c r="W183" i="8" s="1"/>
  <c r="W198" i="8" a="1"/>
  <c r="W198" i="8" s="1"/>
  <c r="W206" i="8" a="1"/>
  <c r="W206" i="8" s="1"/>
  <c r="W213" i="8" a="1"/>
  <c r="W213" i="8" s="1"/>
  <c r="W220" i="8" a="1"/>
  <c r="W220" i="8" s="1"/>
  <c r="W114" i="8" a="1"/>
  <c r="W114" i="8" s="1"/>
  <c r="W133" i="8" a="1"/>
  <c r="W133" i="8" s="1"/>
  <c r="W141" i="8" a="1"/>
  <c r="W141" i="8" s="1"/>
  <c r="W150" i="8" a="1"/>
  <c r="W150" i="8" s="1"/>
  <c r="W158" i="8" a="1"/>
  <c r="W158" i="8" s="1"/>
  <c r="W167" i="8" a="1"/>
  <c r="W167" i="8" s="1"/>
  <c r="W176" i="8" a="1"/>
  <c r="W176" i="8" s="1"/>
  <c r="W184" i="8" a="1"/>
  <c r="W184" i="8" s="1"/>
  <c r="W207" i="8" a="1"/>
  <c r="W207" i="8" s="1"/>
  <c r="W214" i="8" a="1"/>
  <c r="W214" i="8" s="1"/>
  <c r="W71" i="8" a="1"/>
  <c r="W71" i="8" s="1"/>
  <c r="W117" i="8" a="1"/>
  <c r="W117" i="8" s="1"/>
  <c r="W125" i="8" a="1"/>
  <c r="W125" i="8" s="1"/>
  <c r="W134" i="8" a="1"/>
  <c r="W134" i="8" s="1"/>
  <c r="W142" i="8" a="1"/>
  <c r="W142" i="8" s="1"/>
  <c r="W151" i="8" a="1"/>
  <c r="W151" i="8" s="1"/>
  <c r="W160" i="8" a="1"/>
  <c r="W160" i="8" s="1"/>
  <c r="W168" i="8" a="1"/>
  <c r="W168" i="8" s="1"/>
  <c r="W177" i="8" a="1"/>
  <c r="W177" i="8" s="1"/>
  <c r="W185" i="8" a="1"/>
  <c r="W185" i="8" s="1"/>
  <c r="W118" i="8" a="1"/>
  <c r="W118" i="8" s="1"/>
  <c r="W126" i="8" a="1"/>
  <c r="W126" i="8" s="1"/>
  <c r="W135" i="8" a="1"/>
  <c r="W135" i="8" s="1"/>
  <c r="W144" i="8" a="1"/>
  <c r="W144" i="8" s="1"/>
  <c r="W152" i="8" a="1"/>
  <c r="W152" i="8" s="1"/>
  <c r="W161" i="8" a="1"/>
  <c r="W161" i="8" s="1"/>
  <c r="W169" i="8" a="1"/>
  <c r="W169" i="8" s="1"/>
  <c r="W186" i="8" a="1"/>
  <c r="W186" i="8" s="1"/>
  <c r="W216" i="8" a="1"/>
  <c r="W216" i="8" s="1"/>
  <c r="W222" i="8" a="1"/>
  <c r="W222" i="8" s="1"/>
  <c r="W136" i="8" a="1"/>
  <c r="W136" i="8" s="1"/>
  <c r="W170" i="8" a="1"/>
  <c r="W170" i="8" s="1"/>
  <c r="W196" i="8" a="1"/>
  <c r="W196" i="8" s="1"/>
  <c r="W87" i="8" a="1"/>
  <c r="W87" i="8" s="1"/>
  <c r="W137" i="8" a="1"/>
  <c r="W137" i="8" s="1"/>
  <c r="W172" i="8" a="1"/>
  <c r="W172" i="8" s="1"/>
  <c r="W145" i="8" a="1"/>
  <c r="W145" i="8" s="1"/>
  <c r="W178" i="8" a="1"/>
  <c r="W178" i="8" s="1"/>
  <c r="W202" i="8" a="1"/>
  <c r="W202" i="8" s="1"/>
  <c r="W109" i="8" a="1"/>
  <c r="W109" i="8" s="1"/>
  <c r="W180" i="8" a="1"/>
  <c r="W180" i="8" s="1"/>
  <c r="W203" i="8" a="1"/>
  <c r="W203" i="8" s="1"/>
  <c r="W221" i="8" a="1"/>
  <c r="W221" i="8" s="1"/>
  <c r="W119" i="8" a="1"/>
  <c r="W119" i="8" s="1"/>
  <c r="W153" i="8" a="1"/>
  <c r="W153" i="8" s="1"/>
  <c r="W188" i="8" a="1"/>
  <c r="W188" i="8" s="1"/>
  <c r="W120" i="8" a="1"/>
  <c r="W120" i="8" s="1"/>
  <c r="W154" i="8" a="1"/>
  <c r="W154" i="8" s="1"/>
  <c r="W224" i="8" a="1"/>
  <c r="W224" i="8" s="1"/>
  <c r="W39" i="8" a="1"/>
  <c r="W39" i="8" s="1"/>
  <c r="W128" i="8" a="1"/>
  <c r="W128" i="8" s="1"/>
  <c r="W193" i="8" a="1"/>
  <c r="W193" i="8" s="1"/>
  <c r="W162" i="8" a="1"/>
  <c r="W162" i="8" s="1"/>
  <c r="W195" i="8" a="1"/>
  <c r="W195" i="8" s="1"/>
  <c r="W211" i="8" a="1"/>
  <c r="W211" i="8" s="1"/>
  <c r="W225" i="8" a="1"/>
  <c r="W225" i="8" s="1"/>
  <c r="W129" i="8" a="1"/>
  <c r="W129" i="8" s="1"/>
  <c r="W24" i="8" a="1"/>
  <c r="W24" i="8" s="1"/>
  <c r="W28" i="8" a="1"/>
  <c r="W28" i="8" s="1"/>
  <c r="W25" i="8" a="1"/>
  <c r="W25" i="8" s="1"/>
  <c r="W26" i="8" a="1"/>
  <c r="W26" i="8" s="1"/>
  <c r="W27" i="8" a="1"/>
  <c r="W27" i="8" s="1"/>
  <c r="W23" i="8" a="1"/>
  <c r="W23" i="8" s="1"/>
  <c r="W907" i="8" a="1"/>
  <c r="W907" i="8" s="1"/>
  <c r="Y907" i="8" s="1" a="1"/>
  <c r="Y907" i="8" s="1"/>
  <c r="W7" i="8" a="1"/>
  <c r="W7" i="8" s="1"/>
  <c r="W22" i="8" a="1"/>
  <c r="W22" i="8" s="1"/>
  <c r="W18" i="8" a="1"/>
  <c r="W18" i="8" s="1"/>
  <c r="W21" i="8" a="1"/>
  <c r="W21" i="8" s="1"/>
  <c r="W19" i="8" a="1"/>
  <c r="W19" i="8" s="1"/>
  <c r="W20" i="8" a="1"/>
  <c r="W20" i="8" s="1"/>
  <c r="W16" i="8" a="1"/>
  <c r="W16" i="8" s="1"/>
  <c r="AG339" i="8"/>
  <c r="W6" i="8" a="1"/>
  <c r="W6" i="8" s="1"/>
  <c r="W11" i="8" a="1"/>
  <c r="W11" i="8" s="1"/>
  <c r="W2" i="8" a="1"/>
  <c r="W2" i="8" s="1"/>
  <c r="W15" i="8" a="1"/>
  <c r="W15" i="8" s="1"/>
  <c r="W8" i="8" a="1"/>
  <c r="W8" i="8" s="1"/>
  <c r="W3" i="8" a="1"/>
  <c r="W3" i="8" s="1"/>
  <c r="W12" i="8" a="1"/>
  <c r="W12" i="8" s="1"/>
  <c r="W13" i="8" a="1"/>
  <c r="W13" i="8" s="1"/>
  <c r="W4" i="8" a="1"/>
  <c r="W4" i="8" s="1"/>
  <c r="W9" i="8" a="1"/>
  <c r="W9" i="8" s="1"/>
  <c r="W5" i="8" a="1"/>
  <c r="W5" i="8" s="1"/>
  <c r="W10" i="8" a="1"/>
  <c r="W10" i="8" s="1"/>
  <c r="W14" i="8" a="1"/>
  <c r="W14" i="8" s="1"/>
  <c r="AH793" i="8"/>
  <c r="AH227" i="8"/>
  <c r="Q595" i="14"/>
  <c r="Q667" i="14"/>
  <c r="Q699" i="14"/>
  <c r="Q707" i="14"/>
  <c r="Q594" i="14"/>
  <c r="Q618" i="14"/>
  <c r="Q634" i="14"/>
  <c r="Q650" i="14"/>
  <c r="Q666" i="14"/>
  <c r="Q682" i="14"/>
  <c r="Q588" i="14"/>
  <c r="Q596" i="14"/>
  <c r="Q604" i="14"/>
  <c r="Q612" i="14"/>
  <c r="Q620" i="14"/>
  <c r="Q628" i="14"/>
  <c r="Q636" i="14"/>
  <c r="Q644" i="14"/>
  <c r="Q652" i="14"/>
  <c r="Q660" i="14"/>
  <c r="Q668" i="14"/>
  <c r="Q676" i="14"/>
  <c r="Q700" i="14"/>
  <c r="Q610" i="14"/>
  <c r="Q626" i="14"/>
  <c r="Q642" i="14"/>
  <c r="Q658" i="14"/>
  <c r="Q674" i="14"/>
  <c r="Q701" i="14"/>
  <c r="Q709" i="14"/>
  <c r="Q717" i="14"/>
  <c r="Q602" i="14"/>
  <c r="Q590" i="14"/>
  <c r="Q598" i="14"/>
  <c r="Q606" i="14"/>
  <c r="Q614" i="14"/>
  <c r="Q622" i="14"/>
  <c r="Q630" i="14"/>
  <c r="Q638" i="14"/>
  <c r="Q646" i="14"/>
  <c r="Q654" i="14"/>
  <c r="Q662" i="14"/>
  <c r="Q670" i="14"/>
  <c r="Q678" i="14"/>
  <c r="Q710" i="14"/>
  <c r="Q142" i="14"/>
  <c r="Q206" i="14"/>
  <c r="Q583" i="14"/>
  <c r="Q591" i="14"/>
  <c r="Q599" i="14"/>
  <c r="Q607" i="14"/>
  <c r="Q615" i="14"/>
  <c r="Q623" i="14"/>
  <c r="Q631" i="14"/>
  <c r="Q639" i="14"/>
  <c r="Q647" i="14"/>
  <c r="Q655" i="14"/>
  <c r="Q663" i="14"/>
  <c r="Q679" i="14"/>
  <c r="L687" i="14"/>
  <c r="H695" i="14"/>
  <c r="H703" i="14"/>
  <c r="H711" i="14"/>
  <c r="Q698" i="14"/>
  <c r="Q592" i="14"/>
  <c r="Q600" i="14"/>
  <c r="Q608" i="14"/>
  <c r="Q616" i="14"/>
  <c r="Q624" i="14"/>
  <c r="Q632" i="14"/>
  <c r="Q640" i="14"/>
  <c r="Q648" i="14"/>
  <c r="Q656" i="14"/>
  <c r="Q664" i="14"/>
  <c r="Q672" i="14"/>
  <c r="Q680" i="14"/>
  <c r="Q688" i="14"/>
  <c r="Q696" i="14"/>
  <c r="Q704" i="14"/>
  <c r="Q712" i="14"/>
  <c r="Q697" i="14"/>
  <c r="Q705" i="14"/>
  <c r="Q713" i="14"/>
  <c r="AH503" i="8"/>
  <c r="AG307" i="8"/>
  <c r="W585" i="8" a="1"/>
  <c r="W585" i="8" s="1"/>
  <c r="W29" i="8" a="1"/>
  <c r="W29" i="8" s="1"/>
  <c r="AG791" i="8"/>
  <c r="AG501" i="8"/>
  <c r="W17" i="8" a="1"/>
  <c r="W17" i="8" s="1"/>
  <c r="AH230" i="8"/>
  <c r="AH505" i="8"/>
  <c r="AH228" i="8"/>
  <c r="W867" i="8" a="1"/>
  <c r="W867" i="8" s="1"/>
  <c r="W228" i="8" a="1"/>
  <c r="W228" i="8" s="1"/>
  <c r="Z228" i="8" s="1" a="1"/>
  <c r="Z228" i="8" s="1"/>
  <c r="W504" i="8" a="1"/>
  <c r="W504" i="8" s="1"/>
  <c r="Z504" i="8" s="1" a="1"/>
  <c r="Z504" i="8" s="1"/>
  <c r="W794" i="8" a="1"/>
  <c r="W794" i="8" s="1"/>
  <c r="Z794" i="8" s="1" a="1"/>
  <c r="Z794" i="8" s="1"/>
  <c r="W871" i="8" a="1"/>
  <c r="W871" i="8" s="1"/>
  <c r="W879" i="8" a="1"/>
  <c r="W879" i="8" s="1"/>
  <c r="Z879" i="8" s="1" a="1"/>
  <c r="Z879" i="8" s="1"/>
  <c r="W887" i="8" a="1"/>
  <c r="W887" i="8" s="1"/>
  <c r="Z887" i="8" s="1" a="1"/>
  <c r="Z887" i="8" s="1"/>
  <c r="W895" i="8" a="1"/>
  <c r="W895" i="8" s="1"/>
  <c r="Z895" i="8" s="1" a="1"/>
  <c r="Z895" i="8" s="1"/>
  <c r="W903" i="8" a="1"/>
  <c r="W903" i="8" s="1"/>
  <c r="W229" i="8" a="1"/>
  <c r="W229" i="8" s="1"/>
  <c r="Z229" i="8" s="1" a="1"/>
  <c r="Z229" i="8" s="1"/>
  <c r="W505" i="8" a="1"/>
  <c r="W505" i="8" s="1"/>
  <c r="Z505" i="8" s="1" a="1"/>
  <c r="Z505" i="8" s="1"/>
  <c r="W795" i="8" a="1"/>
  <c r="W795" i="8" s="1"/>
  <c r="Z795" i="8" s="1" a="1"/>
  <c r="Z795" i="8" s="1"/>
  <c r="W872" i="8" a="1"/>
  <c r="W872" i="8" s="1"/>
  <c r="W880" i="8" a="1"/>
  <c r="W880" i="8" s="1"/>
  <c r="Z880" i="8" s="1" a="1"/>
  <c r="Z880" i="8" s="1"/>
  <c r="W888" i="8" a="1"/>
  <c r="W888" i="8" s="1"/>
  <c r="Z888" i="8" s="1" a="1"/>
  <c r="Z888" i="8" s="1"/>
  <c r="W896" i="8" a="1"/>
  <c r="W896" i="8" s="1"/>
  <c r="Z896" i="8" s="1" a="1"/>
  <c r="Z896" i="8" s="1"/>
  <c r="W904" i="8" a="1"/>
  <c r="W904" i="8" s="1"/>
  <c r="W501" i="8" a="1"/>
  <c r="W501" i="8" s="1"/>
  <c r="Z501" i="8" s="1" a="1"/>
  <c r="Z501" i="8" s="1"/>
  <c r="W791" i="8" a="1"/>
  <c r="W791" i="8" s="1"/>
  <c r="Z791" i="8" s="1" a="1"/>
  <c r="Z791" i="8" s="1"/>
  <c r="W868" i="8" a="1"/>
  <c r="W868" i="8" s="1"/>
  <c r="Z868" i="8" s="1" a="1"/>
  <c r="Z868" i="8" s="1"/>
  <c r="W876" i="8" a="1"/>
  <c r="W876" i="8" s="1"/>
  <c r="W884" i="8" a="1"/>
  <c r="W884" i="8" s="1"/>
  <c r="Z884" i="8" s="1" a="1"/>
  <c r="Z884" i="8" s="1"/>
  <c r="W892" i="8" a="1"/>
  <c r="W892" i="8" s="1"/>
  <c r="Z892" i="8" s="1" a="1"/>
  <c r="Z892" i="8" s="1"/>
  <c r="W900" i="8" a="1"/>
  <c r="W900" i="8" s="1"/>
  <c r="Z900" i="8" s="1" a="1"/>
  <c r="Z900" i="8" s="1"/>
  <c r="W506" i="8" a="1"/>
  <c r="W506" i="8" s="1"/>
  <c r="W865" i="8" a="1"/>
  <c r="W865" i="8" s="1"/>
  <c r="Z865" i="8" s="1" a="1"/>
  <c r="Z865" i="8" s="1"/>
  <c r="W873" i="8" a="1"/>
  <c r="W873" i="8" s="1"/>
  <c r="Z873" i="8" s="1" a="1"/>
  <c r="Z873" i="8" s="1"/>
  <c r="W881" i="8" a="1"/>
  <c r="W881" i="8" s="1"/>
  <c r="Z881" i="8" s="1" a="1"/>
  <c r="Z881" i="8" s="1"/>
  <c r="W889" i="8" a="1"/>
  <c r="W889" i="8" s="1"/>
  <c r="W897" i="8" a="1"/>
  <c r="W897" i="8" s="1"/>
  <c r="W905" i="8" a="1"/>
  <c r="W905" i="8" s="1"/>
  <c r="Z905" i="8" s="1" a="1"/>
  <c r="Z905" i="8" s="1"/>
  <c r="W230" i="8" a="1"/>
  <c r="W230" i="8" s="1"/>
  <c r="Z230" i="8" s="1" a="1"/>
  <c r="Z230" i="8" s="1"/>
  <c r="W502" i="8" a="1"/>
  <c r="W502" i="8" s="1"/>
  <c r="W792" i="8" a="1"/>
  <c r="W792" i="8" s="1"/>
  <c r="W869" i="8" a="1"/>
  <c r="W869" i="8" s="1"/>
  <c r="Z869" i="8" s="1" a="1"/>
  <c r="Z869" i="8" s="1"/>
  <c r="W877" i="8" a="1"/>
  <c r="W877" i="8" s="1"/>
  <c r="Z877" i="8" s="1" a="1"/>
  <c r="Z877" i="8" s="1"/>
  <c r="W885" i="8" a="1"/>
  <c r="W885" i="8" s="1"/>
  <c r="W893" i="8" a="1"/>
  <c r="W893" i="8" s="1"/>
  <c r="W901" i="8" a="1"/>
  <c r="W901" i="8" s="1"/>
  <c r="Z901" i="8" s="1" a="1"/>
  <c r="Z901" i="8" s="1"/>
  <c r="W307" i="8" a="1"/>
  <c r="W307" i="8" s="1"/>
  <c r="Z307" i="8" s="1" a="1"/>
  <c r="Z307" i="8" s="1"/>
  <c r="W789" i="8" a="1"/>
  <c r="W789" i="8" s="1"/>
  <c r="Z789" i="8" s="1" a="1"/>
  <c r="Z789" i="8" s="1"/>
  <c r="W866" i="8" a="1"/>
  <c r="W866" i="8" s="1"/>
  <c r="Z866" i="8" s="1" a="1"/>
  <c r="Z866" i="8" s="1"/>
  <c r="W874" i="8" a="1"/>
  <c r="W874" i="8" s="1"/>
  <c r="Z874" i="8" s="1" a="1"/>
  <c r="Z874" i="8" s="1"/>
  <c r="W882" i="8" a="1"/>
  <c r="W882" i="8" s="1"/>
  <c r="Z882" i="8" s="1" a="1"/>
  <c r="Z882" i="8" s="1"/>
  <c r="W890" i="8" a="1"/>
  <c r="W890" i="8" s="1"/>
  <c r="W898" i="8" a="1"/>
  <c r="W898" i="8" s="1"/>
  <c r="W906" i="8" a="1"/>
  <c r="W906" i="8" s="1"/>
  <c r="Z906" i="8" s="1" a="1"/>
  <c r="Z906" i="8" s="1"/>
  <c r="W227" i="8" a="1"/>
  <c r="W227" i="8" s="1"/>
  <c r="Z227" i="8" s="1" a="1"/>
  <c r="Z227" i="8" s="1"/>
  <c r="W503" i="8" a="1"/>
  <c r="W503" i="8" s="1"/>
  <c r="Z503" i="8" s="1" a="1"/>
  <c r="Z503" i="8" s="1"/>
  <c r="W793" i="8" a="1"/>
  <c r="W793" i="8" s="1"/>
  <c r="Z793" i="8" s="1" a="1"/>
  <c r="Z793" i="8" s="1"/>
  <c r="W870" i="8" a="1"/>
  <c r="W870" i="8" s="1"/>
  <c r="Z870" i="8" s="1" a="1"/>
  <c r="Z870" i="8" s="1"/>
  <c r="W878" i="8" a="1"/>
  <c r="W878" i="8" s="1"/>
  <c r="W886" i="8" a="1"/>
  <c r="W886" i="8" s="1"/>
  <c r="Z886" i="8" s="1" a="1"/>
  <c r="Z886" i="8" s="1"/>
  <c r="W894" i="8" a="1"/>
  <c r="W894" i="8" s="1"/>
  <c r="W902" i="8" a="1"/>
  <c r="W902" i="8" s="1"/>
  <c r="Z902" i="8" s="1" a="1"/>
  <c r="Z902" i="8" s="1"/>
  <c r="W339" i="8" a="1"/>
  <c r="W339" i="8" s="1"/>
  <c r="Z339" i="8" s="1" a="1"/>
  <c r="Z339" i="8" s="1"/>
  <c r="W790" i="8" a="1"/>
  <c r="W790" i="8" s="1"/>
  <c r="Z790" i="8" s="1" a="1"/>
  <c r="Z790" i="8" s="1"/>
  <c r="W875" i="8" a="1"/>
  <c r="W875" i="8" s="1"/>
  <c r="Z875" i="8" s="1" a="1"/>
  <c r="Z875" i="8" s="1"/>
  <c r="W883" i="8" a="1"/>
  <c r="W883" i="8" s="1"/>
  <c r="Z883" i="8" s="1" a="1"/>
  <c r="Z883" i="8" s="1"/>
  <c r="W891" i="8" a="1"/>
  <c r="W891" i="8" s="1"/>
  <c r="Z891" i="8" s="1" a="1"/>
  <c r="Z891" i="8" s="1"/>
  <c r="W899" i="8" a="1"/>
  <c r="W899" i="8" s="1"/>
  <c r="Z899" i="8" s="1" a="1"/>
  <c r="Z899" i="8" s="1"/>
  <c r="AH906" i="8"/>
  <c r="AH905" i="8"/>
  <c r="AG905" i="8"/>
  <c r="Q174" i="14"/>
  <c r="Q190" i="14"/>
  <c r="Q222" i="14"/>
  <c r="Q238" i="14"/>
  <c r="Q254" i="14"/>
  <c r="Q270" i="14"/>
  <c r="Q286" i="14"/>
  <c r="Q302" i="14"/>
  <c r="Q593" i="14"/>
  <c r="Q601" i="14"/>
  <c r="Q609" i="14"/>
  <c r="Q617" i="14"/>
  <c r="Q625" i="14"/>
  <c r="Q633" i="14"/>
  <c r="Q641" i="14"/>
  <c r="Q649" i="14"/>
  <c r="Q657" i="14"/>
  <c r="Q665" i="14"/>
  <c r="Q673" i="14"/>
  <c r="Q681" i="14"/>
  <c r="Q689" i="14"/>
  <c r="Q589" i="14"/>
  <c r="Q597" i="14"/>
  <c r="Q605" i="14"/>
  <c r="Q613" i="14"/>
  <c r="Q621" i="14"/>
  <c r="Q629" i="14"/>
  <c r="Q637" i="14"/>
  <c r="Q645" i="14"/>
  <c r="Q653" i="14"/>
  <c r="Q661" i="14"/>
  <c r="Q669" i="14"/>
  <c r="Q685" i="14"/>
  <c r="Q166" i="14"/>
  <c r="Q182" i="14"/>
  <c r="Q198" i="14"/>
  <c r="Q214" i="14"/>
  <c r="Q230" i="14"/>
  <c r="Q246" i="14"/>
  <c r="Q262" i="14"/>
  <c r="Q278" i="14"/>
  <c r="Q294" i="14"/>
  <c r="Q310" i="14"/>
  <c r="Q318" i="14"/>
  <c r="Q326" i="14"/>
  <c r="Q334" i="14"/>
  <c r="Q342" i="14"/>
  <c r="Q73" i="14"/>
  <c r="Q145" i="14"/>
  <c r="Q209" i="14"/>
  <c r="Q273" i="14"/>
  <c r="Q321" i="14"/>
  <c r="Q377" i="14"/>
  <c r="Q449" i="14"/>
  <c r="Q514" i="14"/>
  <c r="Q570" i="14"/>
  <c r="Q17" i="14"/>
  <c r="Q74" i="14"/>
  <c r="Q106" i="14"/>
  <c r="Q122" i="14"/>
  <c r="Q146" i="14"/>
  <c r="Q162" i="14"/>
  <c r="Q178" i="14"/>
  <c r="Q194" i="14"/>
  <c r="Q202" i="14"/>
  <c r="Q210" i="14"/>
  <c r="Q242" i="14"/>
  <c r="Q250" i="14"/>
  <c r="Q258" i="14"/>
  <c r="Q266" i="14"/>
  <c r="Q274" i="14"/>
  <c r="Q290" i="14"/>
  <c r="Q298" i="14"/>
  <c r="Q314" i="14"/>
  <c r="Q330" i="14"/>
  <c r="Q338" i="14"/>
  <c r="Q346" i="14"/>
  <c r="Q354" i="14"/>
  <c r="Q362" i="14"/>
  <c r="Q370" i="14"/>
  <c r="Q378" i="14"/>
  <c r="Q394" i="14"/>
  <c r="Q402" i="14"/>
  <c r="Q410" i="14"/>
  <c r="Q418" i="14"/>
  <c r="Q426" i="14"/>
  <c r="Q434" i="14"/>
  <c r="Q442" i="14"/>
  <c r="Q450" i="14"/>
  <c r="Q459" i="14"/>
  <c r="Q467" i="14"/>
  <c r="Q475" i="14"/>
  <c r="Q483" i="14"/>
  <c r="Q491" i="14"/>
  <c r="Q507" i="14"/>
  <c r="Q546" i="14"/>
  <c r="Q538" i="14"/>
  <c r="Q555" i="14"/>
  <c r="Q563" i="14"/>
  <c r="Q579" i="14"/>
  <c r="Q57" i="14"/>
  <c r="Q121" i="14"/>
  <c r="Q193" i="14"/>
  <c r="Q265" i="14"/>
  <c r="Q401" i="14"/>
  <c r="Q466" i="14"/>
  <c r="Q530" i="14"/>
  <c r="Q578" i="14"/>
  <c r="Q34" i="14"/>
  <c r="Q154" i="14"/>
  <c r="Q282" i="14"/>
  <c r="Q10" i="14"/>
  <c r="Q35" i="14"/>
  <c r="Q59" i="14"/>
  <c r="Q83" i="14"/>
  <c r="Q99" i="14"/>
  <c r="Q123" i="14"/>
  <c r="Q139" i="14"/>
  <c r="Q155" i="14"/>
  <c r="Q163" i="14"/>
  <c r="Q171" i="14"/>
  <c r="Q179" i="14"/>
  <c r="Q187" i="14"/>
  <c r="Q195" i="14"/>
  <c r="Q203" i="14"/>
  <c r="Q211" i="14"/>
  <c r="Q219" i="14"/>
  <c r="Q227" i="14"/>
  <c r="Q251" i="14"/>
  <c r="Q259" i="14"/>
  <c r="Q267" i="14"/>
  <c r="Q283" i="14"/>
  <c r="Q291" i="14"/>
  <c r="Q299" i="14"/>
  <c r="Q307" i="14"/>
  <c r="Q315" i="14"/>
  <c r="Q323" i="14"/>
  <c r="Q331" i="14"/>
  <c r="Q339" i="14"/>
  <c r="Q347" i="14"/>
  <c r="Q355" i="14"/>
  <c r="Q363" i="14"/>
  <c r="Q371" i="14"/>
  <c r="Q379" i="14"/>
  <c r="Q387" i="14"/>
  <c r="Q395" i="14"/>
  <c r="Q403" i="14"/>
  <c r="Q411" i="14"/>
  <c r="Q419" i="14"/>
  <c r="Q427" i="14"/>
  <c r="Q435" i="14"/>
  <c r="Q443" i="14"/>
  <c r="Q451" i="14"/>
  <c r="Q460" i="14"/>
  <c r="Q468" i="14"/>
  <c r="Q476" i="14"/>
  <c r="Q484" i="14"/>
  <c r="Q492" i="14"/>
  <c r="Q500" i="14"/>
  <c r="Q508" i="14"/>
  <c r="Q516" i="14"/>
  <c r="Q524" i="14"/>
  <c r="Q539" i="14"/>
  <c r="Q548" i="14"/>
  <c r="Q556" i="14"/>
  <c r="Q564" i="14"/>
  <c r="Q572" i="14"/>
  <c r="Q580" i="14"/>
  <c r="Q33" i="14"/>
  <c r="Q97" i="14"/>
  <c r="Q153" i="14"/>
  <c r="Q225" i="14"/>
  <c r="Q281" i="14"/>
  <c r="Q345" i="14"/>
  <c r="Q409" i="14"/>
  <c r="Q522" i="14"/>
  <c r="Q98" i="14"/>
  <c r="Q114" i="14"/>
  <c r="Q138" i="14"/>
  <c r="Q170" i="14"/>
  <c r="Q322" i="14"/>
  <c r="Q2" i="14"/>
  <c r="Q19" i="14"/>
  <c r="Q43" i="14"/>
  <c r="Q67" i="14"/>
  <c r="Q107" i="14"/>
  <c r="Q243" i="14"/>
  <c r="Q3" i="14"/>
  <c r="Q11" i="14"/>
  <c r="Q20" i="14"/>
  <c r="Q28" i="14"/>
  <c r="Q36" i="14"/>
  <c r="Q44" i="14"/>
  <c r="Q52" i="14"/>
  <c r="Q60" i="14"/>
  <c r="Q68" i="14"/>
  <c r="Q76" i="14"/>
  <c r="Q84" i="14"/>
  <c r="Q92" i="14"/>
  <c r="Q100" i="14"/>
  <c r="Q108" i="14"/>
  <c r="Q116" i="14"/>
  <c r="Q124" i="14"/>
  <c r="Q132" i="14"/>
  <c r="Q140" i="14"/>
  <c r="Q148" i="14"/>
  <c r="Q156" i="14"/>
  <c r="Q164" i="14"/>
  <c r="Q172" i="14"/>
  <c r="Q180" i="14"/>
  <c r="Q188" i="14"/>
  <c r="Q196" i="14"/>
  <c r="Q204" i="14"/>
  <c r="Q212" i="14"/>
  <c r="Q220" i="14"/>
  <c r="Q228" i="14"/>
  <c r="Q236" i="14"/>
  <c r="Q244" i="14"/>
  <c r="Q252" i="14"/>
  <c r="Q260" i="14"/>
  <c r="Q268" i="14"/>
  <c r="Q276" i="14"/>
  <c r="Q284" i="14"/>
  <c r="Q292" i="14"/>
  <c r="Q300" i="14"/>
  <c r="Q308" i="14"/>
  <c r="Q316" i="14"/>
  <c r="Q324" i="14"/>
  <c r="Q332" i="14"/>
  <c r="Q340" i="14"/>
  <c r="Q348" i="14"/>
  <c r="Q356" i="14"/>
  <c r="Q364" i="14"/>
  <c r="Q372" i="14"/>
  <c r="Q380" i="14"/>
  <c r="Q388" i="14"/>
  <c r="Q396" i="14"/>
  <c r="Q404" i="14"/>
  <c r="Q412" i="14"/>
  <c r="Q420" i="14"/>
  <c r="Q428" i="14"/>
  <c r="Q436" i="14"/>
  <c r="Q444" i="14"/>
  <c r="Q452" i="14"/>
  <c r="Q461" i="14"/>
  <c r="Q469" i="14"/>
  <c r="Q477" i="14"/>
  <c r="Q485" i="14"/>
  <c r="Q493" i="14"/>
  <c r="Q501" i="14"/>
  <c r="Q509" i="14"/>
  <c r="Q517" i="14"/>
  <c r="Q525" i="14"/>
  <c r="Q532" i="14"/>
  <c r="Q540" i="14"/>
  <c r="Q549" i="14"/>
  <c r="Q557" i="14"/>
  <c r="Q565" i="14"/>
  <c r="Q573" i="14"/>
  <c r="Q581" i="14"/>
  <c r="Q8" i="14"/>
  <c r="Q65" i="14"/>
  <c r="Q113" i="14"/>
  <c r="Q161" i="14"/>
  <c r="Q201" i="14"/>
  <c r="Q257" i="14"/>
  <c r="Q313" i="14"/>
  <c r="Q369" i="14"/>
  <c r="Q425" i="14"/>
  <c r="Q458" i="14"/>
  <c r="Q498" i="14"/>
  <c r="Q554" i="14"/>
  <c r="Q586" i="14"/>
  <c r="Q58" i="14"/>
  <c r="Q306" i="14"/>
  <c r="Q27" i="14"/>
  <c r="Q51" i="14"/>
  <c r="Q75" i="14"/>
  <c r="Q91" i="14"/>
  <c r="Q131" i="14"/>
  <c r="Q147" i="14"/>
  <c r="Q235" i="14"/>
  <c r="Q4" i="14"/>
  <c r="Q12" i="14"/>
  <c r="Q21" i="14"/>
  <c r="Q29" i="14"/>
  <c r="Q37" i="14"/>
  <c r="Q45" i="14"/>
  <c r="Q53" i="14"/>
  <c r="Q61" i="14"/>
  <c r="Q69" i="14"/>
  <c r="Q77" i="14"/>
  <c r="Q85" i="14"/>
  <c r="Q93" i="14"/>
  <c r="Q101" i="14"/>
  <c r="Q109" i="14"/>
  <c r="Q117" i="14"/>
  <c r="Q125" i="14"/>
  <c r="Q133" i="14"/>
  <c r="Q141" i="14"/>
  <c r="Q149" i="14"/>
  <c r="Q157" i="14"/>
  <c r="Q165" i="14"/>
  <c r="Q173" i="14"/>
  <c r="Q181" i="14"/>
  <c r="Q189" i="14"/>
  <c r="Q197" i="14"/>
  <c r="Q205" i="14"/>
  <c r="Q213" i="14"/>
  <c r="Q221" i="14"/>
  <c r="Q229" i="14"/>
  <c r="Q237" i="14"/>
  <c r="Q245" i="14"/>
  <c r="Q253" i="14"/>
  <c r="Q261" i="14"/>
  <c r="Q269" i="14"/>
  <c r="Q277" i="14"/>
  <c r="Q285" i="14"/>
  <c r="Q293" i="14"/>
  <c r="Q301" i="14"/>
  <c r="Q309" i="14"/>
  <c r="Q317" i="14"/>
  <c r="Q325" i="14"/>
  <c r="Q333" i="14"/>
  <c r="Q341" i="14"/>
  <c r="Q349" i="14"/>
  <c r="Q357" i="14"/>
  <c r="Q365" i="14"/>
  <c r="Q381" i="14"/>
  <c r="Q389" i="14"/>
  <c r="Q397" i="14"/>
  <c r="Q405" i="14"/>
  <c r="Q413" i="14"/>
  <c r="Q421" i="14"/>
  <c r="Q429" i="14"/>
  <c r="Q437" i="14"/>
  <c r="Q445" i="14"/>
  <c r="Q453" i="14"/>
  <c r="Q462" i="14"/>
  <c r="Q470" i="14"/>
  <c r="Q478" i="14"/>
  <c r="Q486" i="14"/>
  <c r="Q494" i="14"/>
  <c r="Q502" i="14"/>
  <c r="Q510" i="14"/>
  <c r="Q518" i="14"/>
  <c r="Q526" i="14"/>
  <c r="Q533" i="14"/>
  <c r="Q541" i="14"/>
  <c r="Q550" i="14"/>
  <c r="Q558" i="14"/>
  <c r="Q566" i="14"/>
  <c r="Q574" i="14"/>
  <c r="Q582" i="14"/>
  <c r="Q693" i="14"/>
  <c r="Q25" i="14"/>
  <c r="Q81" i="14"/>
  <c r="Q137" i="14"/>
  <c r="Q185" i="14"/>
  <c r="Q241" i="14"/>
  <c r="Q289" i="14"/>
  <c r="Q337" i="14"/>
  <c r="Q385" i="14"/>
  <c r="Q433" i="14"/>
  <c r="Q490" i="14"/>
  <c r="Q562" i="14"/>
  <c r="Q9" i="14"/>
  <c r="Q42" i="14"/>
  <c r="Q82" i="14"/>
  <c r="Q218" i="14"/>
  <c r="Q5" i="14"/>
  <c r="Q30" i="14"/>
  <c r="Q54" i="14"/>
  <c r="Q86" i="14"/>
  <c r="Q110" i="14"/>
  <c r="Q158" i="14"/>
  <c r="Q350" i="14"/>
  <c r="Q358" i="14"/>
  <c r="Q366" i="14"/>
  <c r="Q374" i="14"/>
  <c r="Q382" i="14"/>
  <c r="Q390" i="14"/>
  <c r="Q406" i="14"/>
  <c r="Q414" i="14"/>
  <c r="Q422" i="14"/>
  <c r="Q430" i="14"/>
  <c r="Q438" i="14"/>
  <c r="Q446" i="14"/>
  <c r="Q454" i="14"/>
  <c r="Q463" i="14"/>
  <c r="Q471" i="14"/>
  <c r="Q479" i="14"/>
  <c r="Q487" i="14"/>
  <c r="Q495" i="14"/>
  <c r="Q503" i="14"/>
  <c r="Q511" i="14"/>
  <c r="Q519" i="14"/>
  <c r="Q527" i="14"/>
  <c r="Q534" i="14"/>
  <c r="Q542" i="14"/>
  <c r="Q551" i="14"/>
  <c r="Q559" i="14"/>
  <c r="Q567" i="14"/>
  <c r="Q575" i="14"/>
  <c r="Q677" i="14"/>
  <c r="Q16" i="14"/>
  <c r="Q49" i="14"/>
  <c r="Q105" i="14"/>
  <c r="Q169" i="14"/>
  <c r="Q217" i="14"/>
  <c r="Q249" i="14"/>
  <c r="Q305" i="14"/>
  <c r="Q361" i="14"/>
  <c r="Q417" i="14"/>
  <c r="Q474" i="14"/>
  <c r="Q506" i="14"/>
  <c r="Q545" i="14"/>
  <c r="Q50" i="14"/>
  <c r="Q234" i="14"/>
  <c r="Q22" i="14"/>
  <c r="Q46" i="14"/>
  <c r="Q70" i="14"/>
  <c r="Q94" i="14"/>
  <c r="Q118" i="14"/>
  <c r="Q134" i="14"/>
  <c r="Q6" i="14"/>
  <c r="Q14" i="14"/>
  <c r="Q23" i="14"/>
  <c r="Q31" i="14"/>
  <c r="Q39" i="14"/>
  <c r="Q47" i="14"/>
  <c r="Q55" i="14"/>
  <c r="Q63" i="14"/>
  <c r="Q71" i="14"/>
  <c r="Q79" i="14"/>
  <c r="Q87" i="14"/>
  <c r="Q95" i="14"/>
  <c r="Q103" i="14"/>
  <c r="Q111" i="14"/>
  <c r="Q119" i="14"/>
  <c r="Q127" i="14"/>
  <c r="Q135" i="14"/>
  <c r="Q143" i="14"/>
  <c r="Q151" i="14"/>
  <c r="Q159" i="14"/>
  <c r="Q167" i="14"/>
  <c r="Q175" i="14"/>
  <c r="Q183" i="14"/>
  <c r="Q191" i="14"/>
  <c r="Q199" i="14"/>
  <c r="Q207" i="14"/>
  <c r="Q215" i="14"/>
  <c r="Q223" i="14"/>
  <c r="Q231" i="14"/>
  <c r="Q239" i="14"/>
  <c r="Q247" i="14"/>
  <c r="Q255" i="14"/>
  <c r="Q263" i="14"/>
  <c r="Q271" i="14"/>
  <c r="Q279" i="14"/>
  <c r="Q287" i="14"/>
  <c r="Q295" i="14"/>
  <c r="Q303" i="14"/>
  <c r="Q311" i="14"/>
  <c r="Q319" i="14"/>
  <c r="Q327" i="14"/>
  <c r="Q335" i="14"/>
  <c r="Q343" i="14"/>
  <c r="Q351" i="14"/>
  <c r="Q359" i="14"/>
  <c r="Q367" i="14"/>
  <c r="Q375" i="14"/>
  <c r="Q383" i="14"/>
  <c r="Q391" i="14"/>
  <c r="Q399" i="14"/>
  <c r="Q407" i="14"/>
  <c r="Q415" i="14"/>
  <c r="Q423" i="14"/>
  <c r="Q431" i="14"/>
  <c r="Q439" i="14"/>
  <c r="Q447" i="14"/>
  <c r="Q455" i="14"/>
  <c r="Q464" i="14"/>
  <c r="Q472" i="14"/>
  <c r="Q480" i="14"/>
  <c r="Q488" i="14"/>
  <c r="Q496" i="14"/>
  <c r="Q504" i="14"/>
  <c r="Q512" i="14"/>
  <c r="Q520" i="14"/>
  <c r="Q528" i="14"/>
  <c r="Q535" i="14"/>
  <c r="Q543" i="14"/>
  <c r="Q552" i="14"/>
  <c r="Q560" i="14"/>
  <c r="Q568" i="14"/>
  <c r="Q576" i="14"/>
  <c r="Q584" i="14"/>
  <c r="Q41" i="14"/>
  <c r="Q89" i="14"/>
  <c r="Q129" i="14"/>
  <c r="Q177" i="14"/>
  <c r="Q233" i="14"/>
  <c r="Q297" i="14"/>
  <c r="Q353" i="14"/>
  <c r="Q393" i="14"/>
  <c r="Q441" i="14"/>
  <c r="Q482" i="14"/>
  <c r="Q537" i="14"/>
  <c r="Q26" i="14"/>
  <c r="Q90" i="14"/>
  <c r="Q226" i="14"/>
  <c r="Q13" i="14"/>
  <c r="Q38" i="14"/>
  <c r="Q62" i="14"/>
  <c r="Q78" i="14"/>
  <c r="Q102" i="14"/>
  <c r="Q126" i="14"/>
  <c r="Q150" i="14"/>
  <c r="Q7" i="14"/>
  <c r="Q15" i="14"/>
  <c r="Q24" i="14"/>
  <c r="Q32" i="14"/>
  <c r="Q40" i="14"/>
  <c r="Q48" i="14"/>
  <c r="Q56" i="14"/>
  <c r="Q64" i="14"/>
  <c r="Q72" i="14"/>
  <c r="Q80" i="14"/>
  <c r="Q88" i="14"/>
  <c r="Q96" i="14"/>
  <c r="Q104" i="14"/>
  <c r="Q112" i="14"/>
  <c r="Q120" i="14"/>
  <c r="Q128" i="14"/>
  <c r="Q136" i="14"/>
  <c r="Q144" i="14"/>
  <c r="Q152" i="14"/>
  <c r="Q160" i="14"/>
  <c r="Q168" i="14"/>
  <c r="Q176" i="14"/>
  <c r="Q184" i="14"/>
  <c r="Q192" i="14"/>
  <c r="Q200" i="14"/>
  <c r="Q208" i="14"/>
  <c r="Q216" i="14"/>
  <c r="Q224" i="14"/>
  <c r="Q232" i="14"/>
  <c r="Q240" i="14"/>
  <c r="Q248" i="14"/>
  <c r="Q256" i="14"/>
  <c r="Q264" i="14"/>
  <c r="Q272" i="14"/>
  <c r="Q280" i="14"/>
  <c r="Q288" i="14"/>
  <c r="Q296" i="14"/>
  <c r="Q304" i="14"/>
  <c r="Q312" i="14"/>
  <c r="Q320" i="14"/>
  <c r="Q328" i="14"/>
  <c r="Q336" i="14"/>
  <c r="Q344" i="14"/>
  <c r="Q352" i="14"/>
  <c r="Q360" i="14"/>
  <c r="Q368" i="14"/>
  <c r="Q376" i="14"/>
  <c r="Q384" i="14"/>
  <c r="Q392" i="14"/>
  <c r="Q400" i="14"/>
  <c r="Q408" i="14"/>
  <c r="Q416" i="14"/>
  <c r="Q424" i="14"/>
  <c r="Q432" i="14"/>
  <c r="Q440" i="14"/>
  <c r="Q448" i="14"/>
  <c r="Q456" i="14"/>
  <c r="Q465" i="14"/>
  <c r="Q473" i="14"/>
  <c r="Q481" i="14"/>
  <c r="Q489" i="14"/>
  <c r="Q497" i="14"/>
  <c r="Q505" i="14"/>
  <c r="Q513" i="14"/>
  <c r="Q521" i="14"/>
  <c r="Q529" i="14"/>
  <c r="Q536" i="14"/>
  <c r="Q544" i="14"/>
  <c r="Q553" i="14"/>
  <c r="Q561" i="14"/>
  <c r="Q569" i="14"/>
  <c r="Q577" i="14"/>
  <c r="Q585" i="14"/>
  <c r="Q499" i="14"/>
  <c r="Q702" i="14"/>
  <c r="Q651" i="14"/>
  <c r="Q587" i="14"/>
  <c r="Q694" i="14"/>
  <c r="Q718" i="14"/>
  <c r="Q686" i="14"/>
  <c r="Q603" i="14"/>
  <c r="Q571" i="14"/>
  <c r="Q386" i="14"/>
  <c r="Q130" i="14"/>
  <c r="Q66" i="14"/>
  <c r="Q711" i="14"/>
  <c r="Q703" i="14"/>
  <c r="Q695" i="14"/>
  <c r="Q687" i="14"/>
  <c r="Q627" i="14"/>
  <c r="Q547" i="14"/>
  <c r="Q186" i="14"/>
  <c r="Q675" i="14"/>
  <c r="Q611" i="14"/>
  <c r="Q716" i="14"/>
  <c r="Q708" i="14"/>
  <c r="Q692" i="14"/>
  <c r="Q635" i="14"/>
  <c r="Q715" i="14"/>
  <c r="Q691" i="14"/>
  <c r="Q683" i="14"/>
  <c r="Q659" i="14"/>
  <c r="Q714" i="14"/>
  <c r="Q706" i="14"/>
  <c r="Q690" i="14"/>
  <c r="Q619" i="14"/>
  <c r="Q643" i="14"/>
  <c r="Q531" i="14"/>
  <c r="L688" i="14"/>
  <c r="H696" i="14"/>
  <c r="H704" i="14"/>
  <c r="H712" i="14"/>
  <c r="L689" i="14"/>
  <c r="H697" i="14"/>
  <c r="H705" i="14"/>
  <c r="H713" i="14"/>
  <c r="H706" i="14"/>
  <c r="H714" i="14"/>
  <c r="R298" i="14"/>
  <c r="H691" i="14"/>
  <c r="H699" i="14"/>
  <c r="H707" i="14"/>
  <c r="H715" i="14"/>
  <c r="H692" i="14"/>
  <c r="H700" i="14"/>
  <c r="H708" i="14"/>
  <c r="H716" i="14"/>
  <c r="L685" i="14"/>
  <c r="H693" i="14"/>
  <c r="H701" i="14"/>
  <c r="H709" i="14"/>
  <c r="H717" i="14"/>
  <c r="R716" i="14"/>
  <c r="H694" i="14"/>
  <c r="H702" i="14"/>
  <c r="H710" i="14"/>
  <c r="H718" i="14"/>
  <c r="R692" i="14"/>
  <c r="R646" i="14"/>
  <c r="R678" i="14"/>
  <c r="R700" i="14"/>
  <c r="R660" i="14"/>
  <c r="R635" i="14"/>
  <c r="R621" i="14"/>
  <c r="R532" i="14"/>
  <c r="R469" i="14"/>
  <c r="R629" i="14"/>
  <c r="R645" i="14"/>
  <c r="R661" i="14"/>
  <c r="R677" i="14"/>
  <c r="R609" i="14"/>
  <c r="R448" i="14"/>
  <c r="R276" i="14"/>
  <c r="L611" i="14"/>
  <c r="L619" i="14"/>
  <c r="L627" i="14"/>
  <c r="L635" i="14"/>
  <c r="L643" i="14"/>
  <c r="L651" i="14"/>
  <c r="M659" i="14"/>
  <c r="L667" i="14"/>
  <c r="L675" i="14"/>
  <c r="L683" i="14"/>
  <c r="R595" i="14"/>
  <c r="R426" i="14"/>
  <c r="R256" i="14"/>
  <c r="R673" i="14"/>
  <c r="R577" i="14"/>
  <c r="R404" i="14"/>
  <c r="R581" i="14"/>
  <c r="R597" i="14"/>
  <c r="R613" i="14"/>
  <c r="R718" i="14"/>
  <c r="R670" i="14"/>
  <c r="R555" i="14"/>
  <c r="R384" i="14"/>
  <c r="R362" i="14"/>
  <c r="R708" i="14"/>
  <c r="R513" i="14"/>
  <c r="R340" i="14"/>
  <c r="R543" i="14"/>
  <c r="R560" i="14"/>
  <c r="R568" i="14"/>
  <c r="R576" i="14"/>
  <c r="R584" i="14"/>
  <c r="R592" i="14"/>
  <c r="R600" i="14"/>
  <c r="R608" i="14"/>
  <c r="R616" i="14"/>
  <c r="R624" i="14"/>
  <c r="R640" i="14"/>
  <c r="R648" i="14"/>
  <c r="R656" i="14"/>
  <c r="R664" i="14"/>
  <c r="R672" i="14"/>
  <c r="R680" i="14"/>
  <c r="R491" i="14"/>
  <c r="R320" i="14"/>
  <c r="R54" i="14"/>
  <c r="R286" i="14"/>
  <c r="R58" i="14"/>
  <c r="R2" i="14"/>
  <c r="R91" i="14"/>
  <c r="R11" i="14"/>
  <c r="R28" i="14"/>
  <c r="R36" i="14"/>
  <c r="R44" i="14"/>
  <c r="R52" i="14"/>
  <c r="R60" i="14"/>
  <c r="R68" i="14"/>
  <c r="R76" i="14"/>
  <c r="R84" i="14"/>
  <c r="R92" i="14"/>
  <c r="R100" i="14"/>
  <c r="R116" i="14"/>
  <c r="R124" i="14"/>
  <c r="R132" i="14"/>
  <c r="R140" i="14"/>
  <c r="R710" i="14"/>
  <c r="R702" i="14"/>
  <c r="R694" i="14"/>
  <c r="R686" i="14"/>
  <c r="R676" i="14"/>
  <c r="R662" i="14"/>
  <c r="R651" i="14"/>
  <c r="R637" i="14"/>
  <c r="R625" i="14"/>
  <c r="R612" i="14"/>
  <c r="R561" i="14"/>
  <c r="R538" i="14"/>
  <c r="R517" i="14"/>
  <c r="R497" i="14"/>
  <c r="R475" i="14"/>
  <c r="R452" i="14"/>
  <c r="R432" i="14"/>
  <c r="R410" i="14"/>
  <c r="R388" i="14"/>
  <c r="R368" i="14"/>
  <c r="R346" i="14"/>
  <c r="R324" i="14"/>
  <c r="R304" i="14"/>
  <c r="R282" i="14"/>
  <c r="R260" i="14"/>
  <c r="R234" i="14"/>
  <c r="R202" i="14"/>
  <c r="R170" i="14"/>
  <c r="R130" i="14"/>
  <c r="R66" i="14"/>
  <c r="R78" i="14"/>
  <c r="R294" i="14"/>
  <c r="R19" i="14"/>
  <c r="R107" i="14"/>
  <c r="R3" i="14"/>
  <c r="R20" i="14"/>
  <c r="R108" i="14"/>
  <c r="R4" i="14"/>
  <c r="R12" i="14"/>
  <c r="R21" i="14"/>
  <c r="R29" i="14"/>
  <c r="R37" i="14"/>
  <c r="R45" i="14"/>
  <c r="R53" i="14"/>
  <c r="R61" i="14"/>
  <c r="R69" i="14"/>
  <c r="R77" i="14"/>
  <c r="R85" i="14"/>
  <c r="R93" i="14"/>
  <c r="R101" i="14"/>
  <c r="R109" i="14"/>
  <c r="R117" i="14"/>
  <c r="R125" i="14"/>
  <c r="R133" i="14"/>
  <c r="R141" i="14"/>
  <c r="R149" i="14"/>
  <c r="R157" i="14"/>
  <c r="R165" i="14"/>
  <c r="R173" i="14"/>
  <c r="R181" i="14"/>
  <c r="R189" i="14"/>
  <c r="R197" i="14"/>
  <c r="R205" i="14"/>
  <c r="R213" i="14"/>
  <c r="R221" i="14"/>
  <c r="R229" i="14"/>
  <c r="R237" i="14"/>
  <c r="R245" i="14"/>
  <c r="R253" i="14"/>
  <c r="R261" i="14"/>
  <c r="R269" i="14"/>
  <c r="R277" i="14"/>
  <c r="R285" i="14"/>
  <c r="R293" i="14"/>
  <c r="R301" i="14"/>
  <c r="R309" i="14"/>
  <c r="R317" i="14"/>
  <c r="R325" i="14"/>
  <c r="R333" i="14"/>
  <c r="R341" i="14"/>
  <c r="R349" i="14"/>
  <c r="R357" i="14"/>
  <c r="R365" i="14"/>
  <c r="R381" i="14"/>
  <c r="R389" i="14"/>
  <c r="R397" i="14"/>
  <c r="R405" i="14"/>
  <c r="R413" i="14"/>
  <c r="R421" i="14"/>
  <c r="R429" i="14"/>
  <c r="R437" i="14"/>
  <c r="R445" i="14"/>
  <c r="R453" i="14"/>
  <c r="R462" i="14"/>
  <c r="R470" i="14"/>
  <c r="R478" i="14"/>
  <c r="R486" i="14"/>
  <c r="R494" i="14"/>
  <c r="R502" i="14"/>
  <c r="R510" i="14"/>
  <c r="R518" i="14"/>
  <c r="R526" i="14"/>
  <c r="R533" i="14"/>
  <c r="R541" i="14"/>
  <c r="R550" i="14"/>
  <c r="R558" i="14"/>
  <c r="R566" i="14"/>
  <c r="R574" i="14"/>
  <c r="R582" i="14"/>
  <c r="R590" i="14"/>
  <c r="R598" i="14"/>
  <c r="R717" i="14"/>
  <c r="R709" i="14"/>
  <c r="R701" i="14"/>
  <c r="R693" i="14"/>
  <c r="R685" i="14"/>
  <c r="R675" i="14"/>
  <c r="R649" i="14"/>
  <c r="R636" i="14"/>
  <c r="R622" i="14"/>
  <c r="R611" i="14"/>
  <c r="R596" i="14"/>
  <c r="R579" i="14"/>
  <c r="R557" i="14"/>
  <c r="R536" i="14"/>
  <c r="R493" i="14"/>
  <c r="R473" i="14"/>
  <c r="R450" i="14"/>
  <c r="R428" i="14"/>
  <c r="R408" i="14"/>
  <c r="R386" i="14"/>
  <c r="R364" i="14"/>
  <c r="R344" i="14"/>
  <c r="R322" i="14"/>
  <c r="R300" i="14"/>
  <c r="R280" i="14"/>
  <c r="R258" i="14"/>
  <c r="R228" i="14"/>
  <c r="R196" i="14"/>
  <c r="R164" i="14"/>
  <c r="R122" i="14"/>
  <c r="R57" i="14"/>
  <c r="R22" i="14"/>
  <c r="R86" i="14"/>
  <c r="R110" i="14"/>
  <c r="R150" i="14"/>
  <c r="R174" i="14"/>
  <c r="R206" i="14"/>
  <c r="R246" i="14"/>
  <c r="R382" i="14"/>
  <c r="R226" i="14"/>
  <c r="R194" i="14"/>
  <c r="R50" i="14"/>
  <c r="R6" i="14"/>
  <c r="R14" i="14"/>
  <c r="R23" i="14"/>
  <c r="R31" i="14"/>
  <c r="R39" i="14"/>
  <c r="R47" i="14"/>
  <c r="R55" i="14"/>
  <c r="R63" i="14"/>
  <c r="R71" i="14"/>
  <c r="R79" i="14"/>
  <c r="R87" i="14"/>
  <c r="R95" i="14"/>
  <c r="R103" i="14"/>
  <c r="R111" i="14"/>
  <c r="R119" i="14"/>
  <c r="R127" i="14"/>
  <c r="R135" i="14"/>
  <c r="R143" i="14"/>
  <c r="R151" i="14"/>
  <c r="R159" i="14"/>
  <c r="R167" i="14"/>
  <c r="R175" i="14"/>
  <c r="R183" i="14"/>
  <c r="R191" i="14"/>
  <c r="R199" i="14"/>
  <c r="R207" i="14"/>
  <c r="R215" i="14"/>
  <c r="R223" i="14"/>
  <c r="R231" i="14"/>
  <c r="R239" i="14"/>
  <c r="R247" i="14"/>
  <c r="R255" i="14"/>
  <c r="R263" i="14"/>
  <c r="R271" i="14"/>
  <c r="R279" i="14"/>
  <c r="R287" i="14"/>
  <c r="R295" i="14"/>
  <c r="R303" i="14"/>
  <c r="R311" i="14"/>
  <c r="R319" i="14"/>
  <c r="R327" i="14"/>
  <c r="R335" i="14"/>
  <c r="R343" i="14"/>
  <c r="R351" i="14"/>
  <c r="R359" i="14"/>
  <c r="R367" i="14"/>
  <c r="R375" i="14"/>
  <c r="R383" i="14"/>
  <c r="R391" i="14"/>
  <c r="R399" i="14"/>
  <c r="R407" i="14"/>
  <c r="R415" i="14"/>
  <c r="R423" i="14"/>
  <c r="R431" i="14"/>
  <c r="R439" i="14"/>
  <c r="R447" i="14"/>
  <c r="R455" i="14"/>
  <c r="R464" i="14"/>
  <c r="R472" i="14"/>
  <c r="R480" i="14"/>
  <c r="R488" i="14"/>
  <c r="R496" i="14"/>
  <c r="R504" i="14"/>
  <c r="R512" i="14"/>
  <c r="R520" i="14"/>
  <c r="R528" i="14"/>
  <c r="R535" i="14"/>
  <c r="R552" i="14"/>
  <c r="R632" i="14"/>
  <c r="R715" i="14"/>
  <c r="R707" i="14"/>
  <c r="R699" i="14"/>
  <c r="R691" i="14"/>
  <c r="R683" i="14"/>
  <c r="R659" i="14"/>
  <c r="R633" i="14"/>
  <c r="R620" i="14"/>
  <c r="R606" i="14"/>
  <c r="R593" i="14"/>
  <c r="R573" i="14"/>
  <c r="R553" i="14"/>
  <c r="R531" i="14"/>
  <c r="R509" i="14"/>
  <c r="R489" i="14"/>
  <c r="R467" i="14"/>
  <c r="R444" i="14"/>
  <c r="R424" i="14"/>
  <c r="R402" i="14"/>
  <c r="R380" i="14"/>
  <c r="R360" i="14"/>
  <c r="R338" i="14"/>
  <c r="R316" i="14"/>
  <c r="R296" i="14"/>
  <c r="R274" i="14"/>
  <c r="R252" i="14"/>
  <c r="R220" i="14"/>
  <c r="R188" i="14"/>
  <c r="R156" i="14"/>
  <c r="R106" i="14"/>
  <c r="R42" i="14"/>
  <c r="R13" i="14"/>
  <c r="R62" i="14"/>
  <c r="R102" i="14"/>
  <c r="R142" i="14"/>
  <c r="R166" i="14"/>
  <c r="R190" i="14"/>
  <c r="R214" i="14"/>
  <c r="R230" i="14"/>
  <c r="R254" i="14"/>
  <c r="R270" i="14"/>
  <c r="R310" i="14"/>
  <c r="R334" i="14"/>
  <c r="R350" i="14"/>
  <c r="R366" i="14"/>
  <c r="R390" i="14"/>
  <c r="R406" i="14"/>
  <c r="R422" i="14"/>
  <c r="R438" i="14"/>
  <c r="R454" i="14"/>
  <c r="R471" i="14"/>
  <c r="R487" i="14"/>
  <c r="R503" i="14"/>
  <c r="R519" i="14"/>
  <c r="R534" i="14"/>
  <c r="R551" i="14"/>
  <c r="R567" i="14"/>
  <c r="R583" i="14"/>
  <c r="R599" i="14"/>
  <c r="R615" i="14"/>
  <c r="R631" i="14"/>
  <c r="R647" i="14"/>
  <c r="R655" i="14"/>
  <c r="R663" i="14"/>
  <c r="N679" i="14"/>
  <c r="R679" i="14"/>
  <c r="R162" i="14"/>
  <c r="R7" i="14"/>
  <c r="R15" i="14"/>
  <c r="R24" i="14"/>
  <c r="R32" i="14"/>
  <c r="R40" i="14"/>
  <c r="R48" i="14"/>
  <c r="R56" i="14"/>
  <c r="R64" i="14"/>
  <c r="R72" i="14"/>
  <c r="R80" i="14"/>
  <c r="R88" i="14"/>
  <c r="R96" i="14"/>
  <c r="R104" i="14"/>
  <c r="R112" i="14"/>
  <c r="R120" i="14"/>
  <c r="R128" i="14"/>
  <c r="R136" i="14"/>
  <c r="R144" i="14"/>
  <c r="R152" i="14"/>
  <c r="R160" i="14"/>
  <c r="R168" i="14"/>
  <c r="R176" i="14"/>
  <c r="R184" i="14"/>
  <c r="R192" i="14"/>
  <c r="R200" i="14"/>
  <c r="R208" i="14"/>
  <c r="R216" i="14"/>
  <c r="R224" i="14"/>
  <c r="R232" i="14"/>
  <c r="R240" i="14"/>
  <c r="R248" i="14"/>
  <c r="R714" i="14"/>
  <c r="R706" i="14"/>
  <c r="R698" i="14"/>
  <c r="R690" i="14"/>
  <c r="R681" i="14"/>
  <c r="R669" i="14"/>
  <c r="R657" i="14"/>
  <c r="R644" i="14"/>
  <c r="R630" i="14"/>
  <c r="R619" i="14"/>
  <c r="R605" i="14"/>
  <c r="R589" i="14"/>
  <c r="R571" i="14"/>
  <c r="R549" i="14"/>
  <c r="R529" i="14"/>
  <c r="R507" i="14"/>
  <c r="R485" i="14"/>
  <c r="R465" i="14"/>
  <c r="R442" i="14"/>
  <c r="R420" i="14"/>
  <c r="R400" i="14"/>
  <c r="R378" i="14"/>
  <c r="R356" i="14"/>
  <c r="R336" i="14"/>
  <c r="R314" i="14"/>
  <c r="R292" i="14"/>
  <c r="R272" i="14"/>
  <c r="R250" i="14"/>
  <c r="R218" i="14"/>
  <c r="R186" i="14"/>
  <c r="R154" i="14"/>
  <c r="R98" i="14"/>
  <c r="R34" i="14"/>
  <c r="R5" i="14"/>
  <c r="R30" i="14"/>
  <c r="R70" i="14"/>
  <c r="R94" i="14"/>
  <c r="R134" i="14"/>
  <c r="R158" i="14"/>
  <c r="R182" i="14"/>
  <c r="R198" i="14"/>
  <c r="R222" i="14"/>
  <c r="R238" i="14"/>
  <c r="R262" i="14"/>
  <c r="R278" i="14"/>
  <c r="R326" i="14"/>
  <c r="R342" i="14"/>
  <c r="R358" i="14"/>
  <c r="R374" i="14"/>
  <c r="R414" i="14"/>
  <c r="R430" i="14"/>
  <c r="R446" i="14"/>
  <c r="R463" i="14"/>
  <c r="R479" i="14"/>
  <c r="R495" i="14"/>
  <c r="R511" i="14"/>
  <c r="R527" i="14"/>
  <c r="R542" i="14"/>
  <c r="R559" i="14"/>
  <c r="R575" i="14"/>
  <c r="R591" i="14"/>
  <c r="R607" i="14"/>
  <c r="R623" i="14"/>
  <c r="R639" i="14"/>
  <c r="R114" i="14"/>
  <c r="R8" i="14"/>
  <c r="R16" i="14"/>
  <c r="R25" i="14"/>
  <c r="R33" i="14"/>
  <c r="R41" i="14"/>
  <c r="R49" i="14"/>
  <c r="R65" i="14"/>
  <c r="R73" i="14"/>
  <c r="R81" i="14"/>
  <c r="R89" i="14"/>
  <c r="R97" i="14"/>
  <c r="R105" i="14"/>
  <c r="R113" i="14"/>
  <c r="R121" i="14"/>
  <c r="R129" i="14"/>
  <c r="R137" i="14"/>
  <c r="R145" i="14"/>
  <c r="R153" i="14"/>
  <c r="R161" i="14"/>
  <c r="R169" i="14"/>
  <c r="R177" i="14"/>
  <c r="R185" i="14"/>
  <c r="R193" i="14"/>
  <c r="R201" i="14"/>
  <c r="R209" i="14"/>
  <c r="R217" i="14"/>
  <c r="R225" i="14"/>
  <c r="R233" i="14"/>
  <c r="R241" i="14"/>
  <c r="R249" i="14"/>
  <c r="R257" i="14"/>
  <c r="R265" i="14"/>
  <c r="R273" i="14"/>
  <c r="R281" i="14"/>
  <c r="R289" i="14"/>
  <c r="R297" i="14"/>
  <c r="R305" i="14"/>
  <c r="R313" i="14"/>
  <c r="R321" i="14"/>
  <c r="R337" i="14"/>
  <c r="R345" i="14"/>
  <c r="R353" i="14"/>
  <c r="R361" i="14"/>
  <c r="R369" i="14"/>
  <c r="R377" i="14"/>
  <c r="R385" i="14"/>
  <c r="R393" i="14"/>
  <c r="R401" i="14"/>
  <c r="R409" i="14"/>
  <c r="R417" i="14"/>
  <c r="R425" i="14"/>
  <c r="R433" i="14"/>
  <c r="R441" i="14"/>
  <c r="R449" i="14"/>
  <c r="R458" i="14"/>
  <c r="R466" i="14"/>
  <c r="R474" i="14"/>
  <c r="R482" i="14"/>
  <c r="R490" i="14"/>
  <c r="R498" i="14"/>
  <c r="R506" i="14"/>
  <c r="R514" i="14"/>
  <c r="R522" i="14"/>
  <c r="R530" i="14"/>
  <c r="R537" i="14"/>
  <c r="R545" i="14"/>
  <c r="R554" i="14"/>
  <c r="R562" i="14"/>
  <c r="R570" i="14"/>
  <c r="R578" i="14"/>
  <c r="R586" i="14"/>
  <c r="R594" i="14"/>
  <c r="R602" i="14"/>
  <c r="R610" i="14"/>
  <c r="O618" i="14"/>
  <c r="R618" i="14"/>
  <c r="O626" i="14"/>
  <c r="R626" i="14"/>
  <c r="O634" i="14"/>
  <c r="R634" i="14"/>
  <c r="O642" i="14"/>
  <c r="R642" i="14"/>
  <c r="O650" i="14"/>
  <c r="R650" i="14"/>
  <c r="O658" i="14"/>
  <c r="R658" i="14"/>
  <c r="O666" i="14"/>
  <c r="R666" i="14"/>
  <c r="O674" i="14"/>
  <c r="R674" i="14"/>
  <c r="O682" i="14"/>
  <c r="R682" i="14"/>
  <c r="R713" i="14"/>
  <c r="R705" i="14"/>
  <c r="R697" i="14"/>
  <c r="R689" i="14"/>
  <c r="R668" i="14"/>
  <c r="R654" i="14"/>
  <c r="R643" i="14"/>
  <c r="R617" i="14"/>
  <c r="R604" i="14"/>
  <c r="R588" i="14"/>
  <c r="R569" i="14"/>
  <c r="R547" i="14"/>
  <c r="R525" i="14"/>
  <c r="R505" i="14"/>
  <c r="R483" i="14"/>
  <c r="R461" i="14"/>
  <c r="R440" i="14"/>
  <c r="R418" i="14"/>
  <c r="R396" i="14"/>
  <c r="R376" i="14"/>
  <c r="R354" i="14"/>
  <c r="R332" i="14"/>
  <c r="R312" i="14"/>
  <c r="R290" i="14"/>
  <c r="R268" i="14"/>
  <c r="R244" i="14"/>
  <c r="R212" i="14"/>
  <c r="R180" i="14"/>
  <c r="R148" i="14"/>
  <c r="R90" i="14"/>
  <c r="R26" i="14"/>
  <c r="R38" i="14"/>
  <c r="R118" i="14"/>
  <c r="R302" i="14"/>
  <c r="R546" i="14"/>
  <c r="R712" i="14"/>
  <c r="R704" i="14"/>
  <c r="R696" i="14"/>
  <c r="R688" i="14"/>
  <c r="R667" i="14"/>
  <c r="R653" i="14"/>
  <c r="R641" i="14"/>
  <c r="R628" i="14"/>
  <c r="R614" i="14"/>
  <c r="R603" i="14"/>
  <c r="R587" i="14"/>
  <c r="R565" i="14"/>
  <c r="R544" i="14"/>
  <c r="R501" i="14"/>
  <c r="R481" i="14"/>
  <c r="R459" i="14"/>
  <c r="R436" i="14"/>
  <c r="R416" i="14"/>
  <c r="R394" i="14"/>
  <c r="R372" i="14"/>
  <c r="R352" i="14"/>
  <c r="R330" i="14"/>
  <c r="R308" i="14"/>
  <c r="R288" i="14"/>
  <c r="R266" i="14"/>
  <c r="R242" i="14"/>
  <c r="R210" i="14"/>
  <c r="R178" i="14"/>
  <c r="R146" i="14"/>
  <c r="R82" i="14"/>
  <c r="R17" i="14"/>
  <c r="R46" i="14"/>
  <c r="R126" i="14"/>
  <c r="R318" i="14"/>
  <c r="R10" i="14"/>
  <c r="R27" i="14"/>
  <c r="R35" i="14"/>
  <c r="R43" i="14"/>
  <c r="R51" i="14"/>
  <c r="R59" i="14"/>
  <c r="R67" i="14"/>
  <c r="R75" i="14"/>
  <c r="R83" i="14"/>
  <c r="R99" i="14"/>
  <c r="R123" i="14"/>
  <c r="R131" i="14"/>
  <c r="R139" i="14"/>
  <c r="R147" i="14"/>
  <c r="R155" i="14"/>
  <c r="R163" i="14"/>
  <c r="R171" i="14"/>
  <c r="R179" i="14"/>
  <c r="R187" i="14"/>
  <c r="R195" i="14"/>
  <c r="R203" i="14"/>
  <c r="R211" i="14"/>
  <c r="R219" i="14"/>
  <c r="R227" i="14"/>
  <c r="R235" i="14"/>
  <c r="R243" i="14"/>
  <c r="R251" i="14"/>
  <c r="R259" i="14"/>
  <c r="R267" i="14"/>
  <c r="R283" i="14"/>
  <c r="R291" i="14"/>
  <c r="R299" i="14"/>
  <c r="R307" i="14"/>
  <c r="R315" i="14"/>
  <c r="R323" i="14"/>
  <c r="R331" i="14"/>
  <c r="R339" i="14"/>
  <c r="R347" i="14"/>
  <c r="R355" i="14"/>
  <c r="R363" i="14"/>
  <c r="R371" i="14"/>
  <c r="R379" i="14"/>
  <c r="R387" i="14"/>
  <c r="R395" i="14"/>
  <c r="R403" i="14"/>
  <c r="R411" i="14"/>
  <c r="R419" i="14"/>
  <c r="R427" i="14"/>
  <c r="R435" i="14"/>
  <c r="R443" i="14"/>
  <c r="R451" i="14"/>
  <c r="R460" i="14"/>
  <c r="R468" i="14"/>
  <c r="R476" i="14"/>
  <c r="R484" i="14"/>
  <c r="R492" i="14"/>
  <c r="R500" i="14"/>
  <c r="R508" i="14"/>
  <c r="R516" i="14"/>
  <c r="R524" i="14"/>
  <c r="R539" i="14"/>
  <c r="R548" i="14"/>
  <c r="R556" i="14"/>
  <c r="R564" i="14"/>
  <c r="R572" i="14"/>
  <c r="R580" i="14"/>
  <c r="R711" i="14"/>
  <c r="R703" i="14"/>
  <c r="R695" i="14"/>
  <c r="R687" i="14"/>
  <c r="R665" i="14"/>
  <c r="R652" i="14"/>
  <c r="R638" i="14"/>
  <c r="R627" i="14"/>
  <c r="R601" i="14"/>
  <c r="R585" i="14"/>
  <c r="R563" i="14"/>
  <c r="R540" i="14"/>
  <c r="R521" i="14"/>
  <c r="R499" i="14"/>
  <c r="R477" i="14"/>
  <c r="R456" i="14"/>
  <c r="R434" i="14"/>
  <c r="R412" i="14"/>
  <c r="R392" i="14"/>
  <c r="R370" i="14"/>
  <c r="R348" i="14"/>
  <c r="R328" i="14"/>
  <c r="R306" i="14"/>
  <c r="R284" i="14"/>
  <c r="R264" i="14"/>
  <c r="R236" i="14"/>
  <c r="R204" i="14"/>
  <c r="R172" i="14"/>
  <c r="R138" i="14"/>
  <c r="R74" i="14"/>
  <c r="R9" i="14"/>
  <c r="O698" i="14"/>
  <c r="P714" i="14"/>
  <c r="P704" i="14"/>
  <c r="P677" i="14"/>
  <c r="P645" i="14"/>
  <c r="P543" i="14"/>
  <c r="P560" i="14"/>
  <c r="P568" i="14"/>
  <c r="P576" i="14"/>
  <c r="P584" i="14"/>
  <c r="P592" i="14"/>
  <c r="P600" i="14"/>
  <c r="P608" i="14"/>
  <c r="P616" i="14"/>
  <c r="P624" i="14"/>
  <c r="P640" i="14"/>
  <c r="P648" i="14"/>
  <c r="P656" i="14"/>
  <c r="P664" i="14"/>
  <c r="P672" i="14"/>
  <c r="P680" i="14"/>
  <c r="P613" i="14"/>
  <c r="P581" i="14"/>
  <c r="P661" i="14"/>
  <c r="P597" i="14"/>
  <c r="P629" i="14"/>
  <c r="N422" i="14"/>
  <c r="N430" i="14"/>
  <c r="N438" i="14"/>
  <c r="N446" i="14"/>
  <c r="N454" i="14"/>
  <c r="N471" i="14"/>
  <c r="N479" i="14"/>
  <c r="N487" i="14"/>
  <c r="N495" i="14"/>
  <c r="N503" i="14"/>
  <c r="N511" i="14"/>
  <c r="O519" i="14"/>
  <c r="O527" i="14"/>
  <c r="O534" i="14"/>
  <c r="O542" i="14"/>
  <c r="P551" i="14"/>
  <c r="O559" i="14"/>
  <c r="O567" i="14"/>
  <c r="O575" i="14"/>
  <c r="P583" i="14"/>
  <c r="O591" i="14"/>
  <c r="P599" i="14"/>
  <c r="O607" i="14"/>
  <c r="O615" i="14"/>
  <c r="O623" i="14"/>
  <c r="O631" i="14"/>
  <c r="O639" i="14"/>
  <c r="P647" i="14"/>
  <c r="O655" i="14"/>
  <c r="P663" i="14"/>
  <c r="N463" i="14"/>
  <c r="P359" i="14"/>
  <c r="P367" i="14"/>
  <c r="P375" i="14"/>
  <c r="P383" i="14"/>
  <c r="P391" i="14"/>
  <c r="P399" i="14"/>
  <c r="P407" i="14"/>
  <c r="P423" i="14"/>
  <c r="P431" i="14"/>
  <c r="P439" i="14"/>
  <c r="P447" i="14"/>
  <c r="P455" i="14"/>
  <c r="P464" i="14"/>
  <c r="P472" i="14"/>
  <c r="P480" i="14"/>
  <c r="P496" i="14"/>
  <c r="P520" i="14"/>
  <c r="P528" i="14"/>
  <c r="P535" i="14"/>
  <c r="P698" i="14"/>
  <c r="P474" i="14"/>
  <c r="O610" i="14"/>
  <c r="P546" i="14"/>
  <c r="P363" i="14"/>
  <c r="P371" i="14"/>
  <c r="P379" i="14"/>
  <c r="P387" i="14"/>
  <c r="P395" i="14"/>
  <c r="P403" i="14"/>
  <c r="P411" i="14"/>
  <c r="P419" i="14"/>
  <c r="P427" i="14"/>
  <c r="P435" i="14"/>
  <c r="P443" i="14"/>
  <c r="P451" i="14"/>
  <c r="P460" i="14"/>
  <c r="P468" i="14"/>
  <c r="P476" i="14"/>
  <c r="P484" i="14"/>
  <c r="P492" i="14"/>
  <c r="P500" i="14"/>
  <c r="P508" i="14"/>
  <c r="P516" i="14"/>
  <c r="P524" i="14"/>
  <c r="P539" i="14"/>
  <c r="P548" i="14"/>
  <c r="P556" i="14"/>
  <c r="P564" i="14"/>
  <c r="P572" i="14"/>
  <c r="P580" i="14"/>
  <c r="P588" i="14"/>
  <c r="P596" i="14"/>
  <c r="P604" i="14"/>
  <c r="P612" i="14"/>
  <c r="P620" i="14"/>
  <c r="P628" i="14"/>
  <c r="P636" i="14"/>
  <c r="P644" i="14"/>
  <c r="P652" i="14"/>
  <c r="P660" i="14"/>
  <c r="P668" i="14"/>
  <c r="P676" i="14"/>
  <c r="P40" i="14"/>
  <c r="P80" i="14"/>
  <c r="P104" i="14"/>
  <c r="P128" i="14"/>
  <c r="P168" i="14"/>
  <c r="P208" i="14"/>
  <c r="P240" i="14"/>
  <c r="P272" i="14"/>
  <c r="P304" i="14"/>
  <c r="P336" i="14"/>
  <c r="P368" i="14"/>
  <c r="P392" i="14"/>
  <c r="P424" i="14"/>
  <c r="P448" i="14"/>
  <c r="P489" i="14"/>
  <c r="P553" i="14"/>
  <c r="P585" i="14"/>
  <c r="P609" i="14"/>
  <c r="P617" i="14"/>
  <c r="P625" i="14"/>
  <c r="P633" i="14"/>
  <c r="P649" i="14"/>
  <c r="P657" i="14"/>
  <c r="P665" i="14"/>
  <c r="P673" i="14"/>
  <c r="P8" i="14"/>
  <c r="P16" i="14"/>
  <c r="P25" i="14"/>
  <c r="P33" i="14"/>
  <c r="P41" i="14"/>
  <c r="P49" i="14"/>
  <c r="P57" i="14"/>
  <c r="P65" i="14"/>
  <c r="P73" i="14"/>
  <c r="P81" i="14"/>
  <c r="P89" i="14"/>
  <c r="P97" i="14"/>
  <c r="P105" i="14"/>
  <c r="P113" i="14"/>
  <c r="P121" i="14"/>
  <c r="P129" i="14"/>
  <c r="P137" i="14"/>
  <c r="P145" i="14"/>
  <c r="P153" i="14"/>
  <c r="P161" i="14"/>
  <c r="P169" i="14"/>
  <c r="P177" i="14"/>
  <c r="P185" i="14"/>
  <c r="P193" i="14"/>
  <c r="P201" i="14"/>
  <c r="P209" i="14"/>
  <c r="P217" i="14"/>
  <c r="P225" i="14"/>
  <c r="P233" i="14"/>
  <c r="P241" i="14"/>
  <c r="P249" i="14"/>
  <c r="P257" i="14"/>
  <c r="P265" i="14"/>
  <c r="O321" i="14"/>
  <c r="O337" i="14"/>
  <c r="O345" i="14"/>
  <c r="O353" i="14"/>
  <c r="O361" i="14"/>
  <c r="O369" i="14"/>
  <c r="O377" i="14"/>
  <c r="O385" i="14"/>
  <c r="O393" i="14"/>
  <c r="O401" i="14"/>
  <c r="O409" i="14"/>
  <c r="O417" i="14"/>
  <c r="O425" i="14"/>
  <c r="O433" i="14"/>
  <c r="O441" i="14"/>
  <c r="O449" i="14"/>
  <c r="O458" i="14"/>
  <c r="O466" i="14"/>
  <c r="O474" i="14"/>
  <c r="O482" i="14"/>
  <c r="O490" i="14"/>
  <c r="O498" i="14"/>
  <c r="O506" i="14"/>
  <c r="O514" i="14"/>
  <c r="O522" i="14"/>
  <c r="O530" i="14"/>
  <c r="O537" i="14"/>
  <c r="O545" i="14"/>
  <c r="O554" i="14"/>
  <c r="O562" i="14"/>
  <c r="O570" i="14"/>
  <c r="O578" i="14"/>
  <c r="O586" i="14"/>
  <c r="O594" i="14"/>
  <c r="O602" i="14"/>
  <c r="P699" i="14"/>
  <c r="P15" i="14"/>
  <c r="P56" i="14"/>
  <c r="P112" i="14"/>
  <c r="P152" i="14"/>
  <c r="P192" i="14"/>
  <c r="P224" i="14"/>
  <c r="P264" i="14"/>
  <c r="P312" i="14"/>
  <c r="P360" i="14"/>
  <c r="P400" i="14"/>
  <c r="P432" i="14"/>
  <c r="P465" i="14"/>
  <c r="P497" i="14"/>
  <c r="P544" i="14"/>
  <c r="P9" i="14"/>
  <c r="P74" i="14"/>
  <c r="P138" i="14"/>
  <c r="P162" i="14"/>
  <c r="P170" i="14"/>
  <c r="P178" i="14"/>
  <c r="P186" i="14"/>
  <c r="P194" i="14"/>
  <c r="P202" i="14"/>
  <c r="P210" i="14"/>
  <c r="P218" i="14"/>
  <c r="P226" i="14"/>
  <c r="P234" i="14"/>
  <c r="P242" i="14"/>
  <c r="P250" i="14"/>
  <c r="P266" i="14"/>
  <c r="P274" i="14"/>
  <c r="P282" i="14"/>
  <c r="P298" i="14"/>
  <c r="P306" i="14"/>
  <c r="P314" i="14"/>
  <c r="P322" i="14"/>
  <c r="P330" i="14"/>
  <c r="P338" i="14"/>
  <c r="P346" i="14"/>
  <c r="P354" i="14"/>
  <c r="P370" i="14"/>
  <c r="P378" i="14"/>
  <c r="P386" i="14"/>
  <c r="P394" i="14"/>
  <c r="P402" i="14"/>
  <c r="P410" i="14"/>
  <c r="P418" i="14"/>
  <c r="P426" i="14"/>
  <c r="P434" i="14"/>
  <c r="P442" i="14"/>
  <c r="P450" i="14"/>
  <c r="P459" i="14"/>
  <c r="P467" i="14"/>
  <c r="P475" i="14"/>
  <c r="P483" i="14"/>
  <c r="P491" i="14"/>
  <c r="P499" i="14"/>
  <c r="P507" i="14"/>
  <c r="P538" i="14"/>
  <c r="P547" i="14"/>
  <c r="P555" i="14"/>
  <c r="P563" i="14"/>
  <c r="P571" i="14"/>
  <c r="L587" i="14"/>
  <c r="L595" i="14"/>
  <c r="L603" i="14"/>
  <c r="P26" i="14"/>
  <c r="P34" i="14"/>
  <c r="P66" i="14"/>
  <c r="P146" i="14"/>
  <c r="P258" i="14"/>
  <c r="P2" i="14"/>
  <c r="P10" i="14"/>
  <c r="P19" i="14"/>
  <c r="P27" i="14"/>
  <c r="P35" i="14"/>
  <c r="P43" i="14"/>
  <c r="P51" i="14"/>
  <c r="P59" i="14"/>
  <c r="P67" i="14"/>
  <c r="P75" i="14"/>
  <c r="P83" i="14"/>
  <c r="P91" i="14"/>
  <c r="P99" i="14"/>
  <c r="P107" i="14"/>
  <c r="P123" i="14"/>
  <c r="P131" i="14"/>
  <c r="P139" i="14"/>
  <c r="P147" i="14"/>
  <c r="P155" i="14"/>
  <c r="P163" i="14"/>
  <c r="P171" i="14"/>
  <c r="P179" i="14"/>
  <c r="P187" i="14"/>
  <c r="P195" i="14"/>
  <c r="P203" i="14"/>
  <c r="P211" i="14"/>
  <c r="P219" i="14"/>
  <c r="P227" i="14"/>
  <c r="P235" i="14"/>
  <c r="P243" i="14"/>
  <c r="P251" i="14"/>
  <c r="P259" i="14"/>
  <c r="P267" i="14"/>
  <c r="P283" i="14"/>
  <c r="P291" i="14"/>
  <c r="P299" i="14"/>
  <c r="P307" i="14"/>
  <c r="P315" i="14"/>
  <c r="P323" i="14"/>
  <c r="P331" i="14"/>
  <c r="P339" i="14"/>
  <c r="P347" i="14"/>
  <c r="P355" i="14"/>
  <c r="P531" i="14"/>
  <c r="P682" i="14"/>
  <c r="P32" i="14"/>
  <c r="P88" i="14"/>
  <c r="P120" i="14"/>
  <c r="P176" i="14"/>
  <c r="P200" i="14"/>
  <c r="P232" i="14"/>
  <c r="P256" i="14"/>
  <c r="P288" i="14"/>
  <c r="P320" i="14"/>
  <c r="P344" i="14"/>
  <c r="P376" i="14"/>
  <c r="P416" i="14"/>
  <c r="P569" i="14"/>
  <c r="P17" i="14"/>
  <c r="P42" i="14"/>
  <c r="P58" i="14"/>
  <c r="P82" i="14"/>
  <c r="P90" i="14"/>
  <c r="P98" i="14"/>
  <c r="P122" i="14"/>
  <c r="P154" i="14"/>
  <c r="P290" i="14"/>
  <c r="P11" i="14"/>
  <c r="P28" i="14"/>
  <c r="P52" i="14"/>
  <c r="P68" i="14"/>
  <c r="P84" i="14"/>
  <c r="P100" i="14"/>
  <c r="P116" i="14"/>
  <c r="P140" i="14"/>
  <c r="P148" i="14"/>
  <c r="P164" i="14"/>
  <c r="P172" i="14"/>
  <c r="P180" i="14"/>
  <c r="P188" i="14"/>
  <c r="P196" i="14"/>
  <c r="P204" i="14"/>
  <c r="P212" i="14"/>
  <c r="P220" i="14"/>
  <c r="P228" i="14"/>
  <c r="P236" i="14"/>
  <c r="P252" i="14"/>
  <c r="P260" i="14"/>
  <c r="P659" i="14"/>
  <c r="P48" i="14"/>
  <c r="P72" i="14"/>
  <c r="P96" i="14"/>
  <c r="P136" i="14"/>
  <c r="P184" i="14"/>
  <c r="P216" i="14"/>
  <c r="P248" i="14"/>
  <c r="P280" i="14"/>
  <c r="P296" i="14"/>
  <c r="P328" i="14"/>
  <c r="P352" i="14"/>
  <c r="P384" i="14"/>
  <c r="P408" i="14"/>
  <c r="P440" i="14"/>
  <c r="P456" i="14"/>
  <c r="P481" i="14"/>
  <c r="P505" i="14"/>
  <c r="P561" i="14"/>
  <c r="P130" i="14"/>
  <c r="P3" i="14"/>
  <c r="P20" i="14"/>
  <c r="P36" i="14"/>
  <c r="P44" i="14"/>
  <c r="P60" i="14"/>
  <c r="P76" i="14"/>
  <c r="P92" i="14"/>
  <c r="P108" i="14"/>
  <c r="P124" i="14"/>
  <c r="P132" i="14"/>
  <c r="P156" i="14"/>
  <c r="P244" i="14"/>
  <c r="P4" i="14"/>
  <c r="P12" i="14"/>
  <c r="P21" i="14"/>
  <c r="P29" i="14"/>
  <c r="P37" i="14"/>
  <c r="P45" i="14"/>
  <c r="P53" i="14"/>
  <c r="P61" i="14"/>
  <c r="P69" i="14"/>
  <c r="P77" i="14"/>
  <c r="P85" i="14"/>
  <c r="P93" i="14"/>
  <c r="P101" i="14"/>
  <c r="P109" i="14"/>
  <c r="P117" i="14"/>
  <c r="P125" i="14"/>
  <c r="P133" i="14"/>
  <c r="P141" i="14"/>
  <c r="P149" i="14"/>
  <c r="P157" i="14"/>
  <c r="P165" i="14"/>
  <c r="P173" i="14"/>
  <c r="P181" i="14"/>
  <c r="P189" i="14"/>
  <c r="P197" i="14"/>
  <c r="P205" i="14"/>
  <c r="P213" i="14"/>
  <c r="P221" i="14"/>
  <c r="P229" i="14"/>
  <c r="P237" i="14"/>
  <c r="P245" i="14"/>
  <c r="P253" i="14"/>
  <c r="P261" i="14"/>
  <c r="P269" i="14"/>
  <c r="O677" i="14"/>
  <c r="P642" i="14"/>
  <c r="P7" i="14"/>
  <c r="P64" i="14"/>
  <c r="P160" i="14"/>
  <c r="P5" i="14"/>
  <c r="P13" i="14"/>
  <c r="P22" i="14"/>
  <c r="P30" i="14"/>
  <c r="P38" i="14"/>
  <c r="P46" i="14"/>
  <c r="P54" i="14"/>
  <c r="P102" i="14"/>
  <c r="P110" i="14"/>
  <c r="P118" i="14"/>
  <c r="P134" i="14"/>
  <c r="P142" i="14"/>
  <c r="P150" i="14"/>
  <c r="P158" i="14"/>
  <c r="P166" i="14"/>
  <c r="P174" i="14"/>
  <c r="P182" i="14"/>
  <c r="P190" i="14"/>
  <c r="P198" i="14"/>
  <c r="P206" i="14"/>
  <c r="P214" i="14"/>
  <c r="P222" i="14"/>
  <c r="P230" i="14"/>
  <c r="P238" i="14"/>
  <c r="P246" i="14"/>
  <c r="P254" i="14"/>
  <c r="P262" i="14"/>
  <c r="N318" i="14"/>
  <c r="N326" i="14"/>
  <c r="N334" i="14"/>
  <c r="N342" i="14"/>
  <c r="N350" i="14"/>
  <c r="N358" i="14"/>
  <c r="N366" i="14"/>
  <c r="N374" i="14"/>
  <c r="N382" i="14"/>
  <c r="N390" i="14"/>
  <c r="N406" i="14"/>
  <c r="N414" i="14"/>
  <c r="O613" i="14"/>
  <c r="P24" i="14"/>
  <c r="P144" i="14"/>
  <c r="P521" i="14"/>
  <c r="P62" i="14"/>
  <c r="P70" i="14"/>
  <c r="P78" i="14"/>
  <c r="P86" i="14"/>
  <c r="P94" i="14"/>
  <c r="P126" i="14"/>
  <c r="P6" i="14"/>
  <c r="P14" i="14"/>
  <c r="P23" i="14"/>
  <c r="P31" i="14"/>
  <c r="P39" i="14"/>
  <c r="P47" i="14"/>
  <c r="P55" i="14"/>
  <c r="P63" i="14"/>
  <c r="P71" i="14"/>
  <c r="P79" i="14"/>
  <c r="P87" i="14"/>
  <c r="P95" i="14"/>
  <c r="P103" i="14"/>
  <c r="P111" i="14"/>
  <c r="P119" i="14"/>
  <c r="P127" i="14"/>
  <c r="P135" i="14"/>
  <c r="P143" i="14"/>
  <c r="P151" i="14"/>
  <c r="P159" i="14"/>
  <c r="P167" i="14"/>
  <c r="P175" i="14"/>
  <c r="P183" i="14"/>
  <c r="P191" i="14"/>
  <c r="P199" i="14"/>
  <c r="P207" i="14"/>
  <c r="P215" i="14"/>
  <c r="P231" i="14"/>
  <c r="P239" i="14"/>
  <c r="P247" i="14"/>
  <c r="P255" i="14"/>
  <c r="P263" i="14"/>
  <c r="P271" i="14"/>
  <c r="P279" i="14"/>
  <c r="P295" i="14"/>
  <c r="P303" i="14"/>
  <c r="P311" i="14"/>
  <c r="P319" i="14"/>
  <c r="P327" i="14"/>
  <c r="P335" i="14"/>
  <c r="P343" i="14"/>
  <c r="P441" i="14"/>
  <c r="P409" i="14"/>
  <c r="P715" i="14"/>
  <c r="P696" i="14"/>
  <c r="P618" i="14"/>
  <c r="P377" i="14"/>
  <c r="P691" i="14"/>
  <c r="P595" i="14"/>
  <c r="P345" i="14"/>
  <c r="P712" i="14"/>
  <c r="P690" i="14"/>
  <c r="P570" i="14"/>
  <c r="O712" i="14"/>
  <c r="P707" i="14"/>
  <c r="P688" i="14"/>
  <c r="P537" i="14"/>
  <c r="O706" i="14"/>
  <c r="P706" i="14"/>
  <c r="P683" i="14"/>
  <c r="P506" i="14"/>
  <c r="N695" i="14"/>
  <c r="O663" i="14"/>
  <c r="O599" i="14"/>
  <c r="O454" i="14"/>
  <c r="P639" i="14"/>
  <c r="O223" i="14"/>
  <c r="P223" i="14"/>
  <c r="O287" i="14"/>
  <c r="P287" i="14"/>
  <c r="O351" i="14"/>
  <c r="P351" i="14"/>
  <c r="O415" i="14"/>
  <c r="P415" i="14"/>
  <c r="O488" i="14"/>
  <c r="P488" i="14"/>
  <c r="O504" i="14"/>
  <c r="P504" i="14"/>
  <c r="O512" i="14"/>
  <c r="P512" i="14"/>
  <c r="O552" i="14"/>
  <c r="P552" i="14"/>
  <c r="N632" i="14"/>
  <c r="P632" i="14"/>
  <c r="N687" i="14"/>
  <c r="O704" i="14"/>
  <c r="O661" i="14"/>
  <c r="O597" i="14"/>
  <c r="O422" i="14"/>
  <c r="P713" i="14"/>
  <c r="P705" i="14"/>
  <c r="P697" i="14"/>
  <c r="P689" i="14"/>
  <c r="P679" i="14"/>
  <c r="P658" i="14"/>
  <c r="P635" i="14"/>
  <c r="P615" i="14"/>
  <c r="P594" i="14"/>
  <c r="P567" i="14"/>
  <c r="P534" i="14"/>
  <c r="P503" i="14"/>
  <c r="P471" i="14"/>
  <c r="P438" i="14"/>
  <c r="P406" i="14"/>
  <c r="P374" i="14"/>
  <c r="P342" i="14"/>
  <c r="N294" i="14"/>
  <c r="P294" i="14"/>
  <c r="O473" i="14"/>
  <c r="P473" i="14"/>
  <c r="O513" i="14"/>
  <c r="P513" i="14"/>
  <c r="O529" i="14"/>
  <c r="P529" i="14"/>
  <c r="O536" i="14"/>
  <c r="P536" i="14"/>
  <c r="O577" i="14"/>
  <c r="P577" i="14"/>
  <c r="N593" i="14"/>
  <c r="P593" i="14"/>
  <c r="N601" i="14"/>
  <c r="P601" i="14"/>
  <c r="N641" i="14"/>
  <c r="P641" i="14"/>
  <c r="N681" i="14"/>
  <c r="P681" i="14"/>
  <c r="N657" i="14"/>
  <c r="O647" i="14"/>
  <c r="O583" i="14"/>
  <c r="O390" i="14"/>
  <c r="P675" i="14"/>
  <c r="P655" i="14"/>
  <c r="P634" i="14"/>
  <c r="P611" i="14"/>
  <c r="P591" i="14"/>
  <c r="P562" i="14"/>
  <c r="P530" i="14"/>
  <c r="P498" i="14"/>
  <c r="P466" i="14"/>
  <c r="P433" i="14"/>
  <c r="P401" i="14"/>
  <c r="P369" i="14"/>
  <c r="P337" i="14"/>
  <c r="N286" i="14"/>
  <c r="P286" i="14"/>
  <c r="O273" i="14"/>
  <c r="P273" i="14"/>
  <c r="O281" i="14"/>
  <c r="P281" i="14"/>
  <c r="O289" i="14"/>
  <c r="P289" i="14"/>
  <c r="O297" i="14"/>
  <c r="P297" i="14"/>
  <c r="O305" i="14"/>
  <c r="P305" i="14"/>
  <c r="O313" i="14"/>
  <c r="P313" i="14"/>
  <c r="N640" i="14"/>
  <c r="O696" i="14"/>
  <c r="O645" i="14"/>
  <c r="O581" i="14"/>
  <c r="O358" i="14"/>
  <c r="P711" i="14"/>
  <c r="P703" i="14"/>
  <c r="P695" i="14"/>
  <c r="P687" i="14"/>
  <c r="P674" i="14"/>
  <c r="P651" i="14"/>
  <c r="P631" i="14"/>
  <c r="P610" i="14"/>
  <c r="P587" i="14"/>
  <c r="P559" i="14"/>
  <c r="P527" i="14"/>
  <c r="P495" i="14"/>
  <c r="P463" i="14"/>
  <c r="P430" i="14"/>
  <c r="P366" i="14"/>
  <c r="P334" i="14"/>
  <c r="O50" i="14"/>
  <c r="P50" i="14"/>
  <c r="O106" i="14"/>
  <c r="P106" i="14"/>
  <c r="O114" i="14"/>
  <c r="P114" i="14"/>
  <c r="N362" i="14"/>
  <c r="P362" i="14"/>
  <c r="L579" i="14"/>
  <c r="P579" i="14"/>
  <c r="N568" i="14"/>
  <c r="O690" i="14"/>
  <c r="P718" i="14"/>
  <c r="P710" i="14"/>
  <c r="P702" i="14"/>
  <c r="P694" i="14"/>
  <c r="P686" i="14"/>
  <c r="P650" i="14"/>
  <c r="P627" i="14"/>
  <c r="P607" i="14"/>
  <c r="P586" i="14"/>
  <c r="P554" i="14"/>
  <c r="P522" i="14"/>
  <c r="P490" i="14"/>
  <c r="P458" i="14"/>
  <c r="P425" i="14"/>
  <c r="P393" i="14"/>
  <c r="P361" i="14"/>
  <c r="N278" i="14"/>
  <c r="P278" i="14"/>
  <c r="N310" i="14"/>
  <c r="P310" i="14"/>
  <c r="N504" i="14"/>
  <c r="O688" i="14"/>
  <c r="O629" i="14"/>
  <c r="O551" i="14"/>
  <c r="P717" i="14"/>
  <c r="P709" i="14"/>
  <c r="P701" i="14"/>
  <c r="P693" i="14"/>
  <c r="P685" i="14"/>
  <c r="P667" i="14"/>
  <c r="P626" i="14"/>
  <c r="P603" i="14"/>
  <c r="P519" i="14"/>
  <c r="P487" i="14"/>
  <c r="P454" i="14"/>
  <c r="P422" i="14"/>
  <c r="P390" i="14"/>
  <c r="P358" i="14"/>
  <c r="P326" i="14"/>
  <c r="N302" i="14"/>
  <c r="P302" i="14"/>
  <c r="N268" i="14"/>
  <c r="P268" i="14"/>
  <c r="N276" i="14"/>
  <c r="P276" i="14"/>
  <c r="N284" i="14"/>
  <c r="P284" i="14"/>
  <c r="N292" i="14"/>
  <c r="P292" i="14"/>
  <c r="N300" i="14"/>
  <c r="P300" i="14"/>
  <c r="N308" i="14"/>
  <c r="P308" i="14"/>
  <c r="N316" i="14"/>
  <c r="P316" i="14"/>
  <c r="N324" i="14"/>
  <c r="P324" i="14"/>
  <c r="N332" i="14"/>
  <c r="P332" i="14"/>
  <c r="N340" i="14"/>
  <c r="P340" i="14"/>
  <c r="N348" i="14"/>
  <c r="P348" i="14"/>
  <c r="N356" i="14"/>
  <c r="P356" i="14"/>
  <c r="N364" i="14"/>
  <c r="P364" i="14"/>
  <c r="N372" i="14"/>
  <c r="P372" i="14"/>
  <c r="N380" i="14"/>
  <c r="P380" i="14"/>
  <c r="N388" i="14"/>
  <c r="P388" i="14"/>
  <c r="N396" i="14"/>
  <c r="P396" i="14"/>
  <c r="N404" i="14"/>
  <c r="P404" i="14"/>
  <c r="N412" i="14"/>
  <c r="P412" i="14"/>
  <c r="N420" i="14"/>
  <c r="P420" i="14"/>
  <c r="N428" i="14"/>
  <c r="P428" i="14"/>
  <c r="N436" i="14"/>
  <c r="P436" i="14"/>
  <c r="N444" i="14"/>
  <c r="P444" i="14"/>
  <c r="N452" i="14"/>
  <c r="P452" i="14"/>
  <c r="N461" i="14"/>
  <c r="P461" i="14"/>
  <c r="N469" i="14"/>
  <c r="P469" i="14"/>
  <c r="N477" i="14"/>
  <c r="P477" i="14"/>
  <c r="N485" i="14"/>
  <c r="P485" i="14"/>
  <c r="N493" i="14"/>
  <c r="P493" i="14"/>
  <c r="N501" i="14"/>
  <c r="P501" i="14"/>
  <c r="N509" i="14"/>
  <c r="P509" i="14"/>
  <c r="O517" i="14"/>
  <c r="P517" i="14"/>
  <c r="O525" i="14"/>
  <c r="P525" i="14"/>
  <c r="O532" i="14"/>
  <c r="P532" i="14"/>
  <c r="O540" i="14"/>
  <c r="P540" i="14"/>
  <c r="O549" i="14"/>
  <c r="P549" i="14"/>
  <c r="O557" i="14"/>
  <c r="P557" i="14"/>
  <c r="O565" i="14"/>
  <c r="P565" i="14"/>
  <c r="O573" i="14"/>
  <c r="P573" i="14"/>
  <c r="O589" i="14"/>
  <c r="P589" i="14"/>
  <c r="O605" i="14"/>
  <c r="P605" i="14"/>
  <c r="O621" i="14"/>
  <c r="P621" i="14"/>
  <c r="O637" i="14"/>
  <c r="P637" i="14"/>
  <c r="O653" i="14"/>
  <c r="P653" i="14"/>
  <c r="O669" i="14"/>
  <c r="P669" i="14"/>
  <c r="N712" i="14"/>
  <c r="O714" i="14"/>
  <c r="O679" i="14"/>
  <c r="P716" i="14"/>
  <c r="P708" i="14"/>
  <c r="P700" i="14"/>
  <c r="P692" i="14"/>
  <c r="P666" i="14"/>
  <c r="P643" i="14"/>
  <c r="P623" i="14"/>
  <c r="P602" i="14"/>
  <c r="P578" i="14"/>
  <c r="P545" i="14"/>
  <c r="P514" i="14"/>
  <c r="P482" i="14"/>
  <c r="P449" i="14"/>
  <c r="P417" i="14"/>
  <c r="P385" i="14"/>
  <c r="P353" i="14"/>
  <c r="P321" i="14"/>
  <c r="N270" i="14"/>
  <c r="P270" i="14"/>
  <c r="O277" i="14"/>
  <c r="P277" i="14"/>
  <c r="O285" i="14"/>
  <c r="P285" i="14"/>
  <c r="O293" i="14"/>
  <c r="P293" i="14"/>
  <c r="O301" i="14"/>
  <c r="P301" i="14"/>
  <c r="O309" i="14"/>
  <c r="P309" i="14"/>
  <c r="O317" i="14"/>
  <c r="P317" i="14"/>
  <c r="O325" i="14"/>
  <c r="P325" i="14"/>
  <c r="O333" i="14"/>
  <c r="P333" i="14"/>
  <c r="O341" i="14"/>
  <c r="P341" i="14"/>
  <c r="O349" i="14"/>
  <c r="P349" i="14"/>
  <c r="O357" i="14"/>
  <c r="P357" i="14"/>
  <c r="O365" i="14"/>
  <c r="P365" i="14"/>
  <c r="O381" i="14"/>
  <c r="P381" i="14"/>
  <c r="O389" i="14"/>
  <c r="P389" i="14"/>
  <c r="O397" i="14"/>
  <c r="P397" i="14"/>
  <c r="O405" i="14"/>
  <c r="P405" i="14"/>
  <c r="O413" i="14"/>
  <c r="P413" i="14"/>
  <c r="O421" i="14"/>
  <c r="P421" i="14"/>
  <c r="O429" i="14"/>
  <c r="P429" i="14"/>
  <c r="O437" i="14"/>
  <c r="P437" i="14"/>
  <c r="O445" i="14"/>
  <c r="P445" i="14"/>
  <c r="O453" i="14"/>
  <c r="P453" i="14"/>
  <c r="O462" i="14"/>
  <c r="P462" i="14"/>
  <c r="O470" i="14"/>
  <c r="P470" i="14"/>
  <c r="O478" i="14"/>
  <c r="P478" i="14"/>
  <c r="O486" i="14"/>
  <c r="P486" i="14"/>
  <c r="O494" i="14"/>
  <c r="P494" i="14"/>
  <c r="O502" i="14"/>
  <c r="P502" i="14"/>
  <c r="O510" i="14"/>
  <c r="P510" i="14"/>
  <c r="O518" i="14"/>
  <c r="P518" i="14"/>
  <c r="O526" i="14"/>
  <c r="P526" i="14"/>
  <c r="O533" i="14"/>
  <c r="P533" i="14"/>
  <c r="O541" i="14"/>
  <c r="P541" i="14"/>
  <c r="O550" i="14"/>
  <c r="P550" i="14"/>
  <c r="O558" i="14"/>
  <c r="P558" i="14"/>
  <c r="O566" i="14"/>
  <c r="P566" i="14"/>
  <c r="O574" i="14"/>
  <c r="P574" i="14"/>
  <c r="O582" i="14"/>
  <c r="P582" i="14"/>
  <c r="O590" i="14"/>
  <c r="P590" i="14"/>
  <c r="O598" i="14"/>
  <c r="P598" i="14"/>
  <c r="O606" i="14"/>
  <c r="P606" i="14"/>
  <c r="O614" i="14"/>
  <c r="P614" i="14"/>
  <c r="O622" i="14"/>
  <c r="P622" i="14"/>
  <c r="O630" i="14"/>
  <c r="P630" i="14"/>
  <c r="O638" i="14"/>
  <c r="P638" i="14"/>
  <c r="O646" i="14"/>
  <c r="P646" i="14"/>
  <c r="O654" i="14"/>
  <c r="P654" i="14"/>
  <c r="O662" i="14"/>
  <c r="P662" i="14"/>
  <c r="O670" i="14"/>
  <c r="P670" i="14"/>
  <c r="O678" i="14"/>
  <c r="P678" i="14"/>
  <c r="N703" i="14"/>
  <c r="O487" i="14"/>
  <c r="P619" i="14"/>
  <c r="P575" i="14"/>
  <c r="P542" i="14"/>
  <c r="P511" i="14"/>
  <c r="P479" i="14"/>
  <c r="P446" i="14"/>
  <c r="P414" i="14"/>
  <c r="P382" i="14"/>
  <c r="P350" i="14"/>
  <c r="P318" i="14"/>
  <c r="N34" i="14"/>
  <c r="O34" i="14"/>
  <c r="N82" i="14"/>
  <c r="O82" i="14"/>
  <c r="N98" i="14"/>
  <c r="O98" i="14"/>
  <c r="N130" i="14"/>
  <c r="O130" i="14"/>
  <c r="L154" i="14"/>
  <c r="O154" i="14"/>
  <c r="L186" i="14"/>
  <c r="O186" i="14"/>
  <c r="L210" i="14"/>
  <c r="O210" i="14"/>
  <c r="L234" i="14"/>
  <c r="O234" i="14"/>
  <c r="L258" i="14"/>
  <c r="O258" i="14"/>
  <c r="L274" i="14"/>
  <c r="O274" i="14"/>
  <c r="L290" i="14"/>
  <c r="O290" i="14"/>
  <c r="M306" i="14"/>
  <c r="O306" i="14"/>
  <c r="L322" i="14"/>
  <c r="O322" i="14"/>
  <c r="L338" i="14"/>
  <c r="O338" i="14"/>
  <c r="L354" i="14"/>
  <c r="O354" i="14"/>
  <c r="L378" i="14"/>
  <c r="O378" i="14"/>
  <c r="L394" i="14"/>
  <c r="O394" i="14"/>
  <c r="L418" i="14"/>
  <c r="O418" i="14"/>
  <c r="L434" i="14"/>
  <c r="O434" i="14"/>
  <c r="L442" i="14"/>
  <c r="O442" i="14"/>
  <c r="L450" i="14"/>
  <c r="O450" i="14"/>
  <c r="L459" i="14"/>
  <c r="O459" i="14"/>
  <c r="M467" i="14"/>
  <c r="O467" i="14"/>
  <c r="L475" i="14"/>
  <c r="O475" i="14"/>
  <c r="L483" i="14"/>
  <c r="O483" i="14"/>
  <c r="L491" i="14"/>
  <c r="O491" i="14"/>
  <c r="L499" i="14"/>
  <c r="O499" i="14"/>
  <c r="L507" i="14"/>
  <c r="O507" i="14"/>
  <c r="N546" i="14"/>
  <c r="O546" i="14"/>
  <c r="L538" i="14"/>
  <c r="O538" i="14"/>
  <c r="L547" i="14"/>
  <c r="O547" i="14"/>
  <c r="L555" i="14"/>
  <c r="O555" i="14"/>
  <c r="L563" i="14"/>
  <c r="O563" i="14"/>
  <c r="L571" i="14"/>
  <c r="O571" i="14"/>
  <c r="N603" i="14"/>
  <c r="N555" i="14"/>
  <c r="N106" i="14"/>
  <c r="O326" i="14"/>
  <c r="O294" i="14"/>
  <c r="N42" i="14"/>
  <c r="O42" i="14"/>
  <c r="N66" i="14"/>
  <c r="O66" i="14"/>
  <c r="N90" i="14"/>
  <c r="O90" i="14"/>
  <c r="N122" i="14"/>
  <c r="O122" i="14"/>
  <c r="N146" i="14"/>
  <c r="O146" i="14"/>
  <c r="L170" i="14"/>
  <c r="O170" i="14"/>
  <c r="L202" i="14"/>
  <c r="O202" i="14"/>
  <c r="L218" i="14"/>
  <c r="O218" i="14"/>
  <c r="L242" i="14"/>
  <c r="O242" i="14"/>
  <c r="L250" i="14"/>
  <c r="O250" i="14"/>
  <c r="L266" i="14"/>
  <c r="O266" i="14"/>
  <c r="L282" i="14"/>
  <c r="O282" i="14"/>
  <c r="L298" i="14"/>
  <c r="O298" i="14"/>
  <c r="L314" i="14"/>
  <c r="O314" i="14"/>
  <c r="L330" i="14"/>
  <c r="O330" i="14"/>
  <c r="L346" i="14"/>
  <c r="O346" i="14"/>
  <c r="L362" i="14"/>
  <c r="O362" i="14"/>
  <c r="L386" i="14"/>
  <c r="O386" i="14"/>
  <c r="L426" i="14"/>
  <c r="O426" i="14"/>
  <c r="N2" i="14"/>
  <c r="O2" i="14"/>
  <c r="N10" i="14"/>
  <c r="O10" i="14"/>
  <c r="N19" i="14"/>
  <c r="O19" i="14"/>
  <c r="N27" i="14"/>
  <c r="O27" i="14"/>
  <c r="N35" i="14"/>
  <c r="O35" i="14"/>
  <c r="N43" i="14"/>
  <c r="O43" i="14"/>
  <c r="N51" i="14"/>
  <c r="O51" i="14"/>
  <c r="N59" i="14"/>
  <c r="O59" i="14"/>
  <c r="N67" i="14"/>
  <c r="O67" i="14"/>
  <c r="N75" i="14"/>
  <c r="O75" i="14"/>
  <c r="N83" i="14"/>
  <c r="O83" i="14"/>
  <c r="N91" i="14"/>
  <c r="O91" i="14"/>
  <c r="N99" i="14"/>
  <c r="O99" i="14"/>
  <c r="N107" i="14"/>
  <c r="O107" i="14"/>
  <c r="N123" i="14"/>
  <c r="O123" i="14"/>
  <c r="N131" i="14"/>
  <c r="O131" i="14"/>
  <c r="N139" i="14"/>
  <c r="O139" i="14"/>
  <c r="N147" i="14"/>
  <c r="O147" i="14"/>
  <c r="N155" i="14"/>
  <c r="O155" i="14"/>
  <c r="N163" i="14"/>
  <c r="O163" i="14"/>
  <c r="N171" i="14"/>
  <c r="O171" i="14"/>
  <c r="N179" i="14"/>
  <c r="O179" i="14"/>
  <c r="N187" i="14"/>
  <c r="O187" i="14"/>
  <c r="N195" i="14"/>
  <c r="O195" i="14"/>
  <c r="N203" i="14"/>
  <c r="O203" i="14"/>
  <c r="N211" i="14"/>
  <c r="O211" i="14"/>
  <c r="N219" i="14"/>
  <c r="O219" i="14"/>
  <c r="N227" i="14"/>
  <c r="O227" i="14"/>
  <c r="N235" i="14"/>
  <c r="O235" i="14"/>
  <c r="N243" i="14"/>
  <c r="O243" i="14"/>
  <c r="N251" i="14"/>
  <c r="O251" i="14"/>
  <c r="N259" i="14"/>
  <c r="O259" i="14"/>
  <c r="N267" i="14"/>
  <c r="O267" i="14"/>
  <c r="N283" i="14"/>
  <c r="O283" i="14"/>
  <c r="N291" i="14"/>
  <c r="O291" i="14"/>
  <c r="N299" i="14"/>
  <c r="O299" i="14"/>
  <c r="N307" i="14"/>
  <c r="O307" i="14"/>
  <c r="N315" i="14"/>
  <c r="O315" i="14"/>
  <c r="N323" i="14"/>
  <c r="O323" i="14"/>
  <c r="N331" i="14"/>
  <c r="O331" i="14"/>
  <c r="N339" i="14"/>
  <c r="O339" i="14"/>
  <c r="N347" i="14"/>
  <c r="O347" i="14"/>
  <c r="N355" i="14"/>
  <c r="O355" i="14"/>
  <c r="N363" i="14"/>
  <c r="O363" i="14"/>
  <c r="N371" i="14"/>
  <c r="O371" i="14"/>
  <c r="N379" i="14"/>
  <c r="O379" i="14"/>
  <c r="N387" i="14"/>
  <c r="O387" i="14"/>
  <c r="N395" i="14"/>
  <c r="O395" i="14"/>
  <c r="N403" i="14"/>
  <c r="O403" i="14"/>
  <c r="N411" i="14"/>
  <c r="O411" i="14"/>
  <c r="N419" i="14"/>
  <c r="O419" i="14"/>
  <c r="N427" i="14"/>
  <c r="O427" i="14"/>
  <c r="N435" i="14"/>
  <c r="O435" i="14"/>
  <c r="N443" i="14"/>
  <c r="O443" i="14"/>
  <c r="N451" i="14"/>
  <c r="O451" i="14"/>
  <c r="N460" i="14"/>
  <c r="O460" i="14"/>
  <c r="N468" i="14"/>
  <c r="O468" i="14"/>
  <c r="N476" i="14"/>
  <c r="O476" i="14"/>
  <c r="N484" i="14"/>
  <c r="O484" i="14"/>
  <c r="N492" i="14"/>
  <c r="O492" i="14"/>
  <c r="N500" i="14"/>
  <c r="O500" i="14"/>
  <c r="N508" i="14"/>
  <c r="O508" i="14"/>
  <c r="N516" i="14"/>
  <c r="O516" i="14"/>
  <c r="N524" i="14"/>
  <c r="O524" i="14"/>
  <c r="L531" i="14"/>
  <c r="O531" i="14"/>
  <c r="N539" i="14"/>
  <c r="O539" i="14"/>
  <c r="N548" i="14"/>
  <c r="O548" i="14"/>
  <c r="N556" i="14"/>
  <c r="O556" i="14"/>
  <c r="N564" i="14"/>
  <c r="O564" i="14"/>
  <c r="N572" i="14"/>
  <c r="O572" i="14"/>
  <c r="N580" i="14"/>
  <c r="O580" i="14"/>
  <c r="N588" i="14"/>
  <c r="O588" i="14"/>
  <c r="N596" i="14"/>
  <c r="O596" i="14"/>
  <c r="N604" i="14"/>
  <c r="O604" i="14"/>
  <c r="N612" i="14"/>
  <c r="O612" i="14"/>
  <c r="N620" i="14"/>
  <c r="O620" i="14"/>
  <c r="N628" i="14"/>
  <c r="O628" i="14"/>
  <c r="N636" i="14"/>
  <c r="O636" i="14"/>
  <c r="N644" i="14"/>
  <c r="O644" i="14"/>
  <c r="N652" i="14"/>
  <c r="O652" i="14"/>
  <c r="N660" i="14"/>
  <c r="O660" i="14"/>
  <c r="N668" i="14"/>
  <c r="O668" i="14"/>
  <c r="N676" i="14"/>
  <c r="O676" i="14"/>
  <c r="N688" i="14"/>
  <c r="N653" i="14"/>
  <c r="N552" i="14"/>
  <c r="N499" i="14"/>
  <c r="N306" i="14"/>
  <c r="N50" i="14"/>
  <c r="O711" i="14"/>
  <c r="O703" i="14"/>
  <c r="O695" i="14"/>
  <c r="O687" i="14"/>
  <c r="O675" i="14"/>
  <c r="O659" i="14"/>
  <c r="O643" i="14"/>
  <c r="O627" i="14"/>
  <c r="O611" i="14"/>
  <c r="O595" i="14"/>
  <c r="O579" i="14"/>
  <c r="O485" i="14"/>
  <c r="O452" i="14"/>
  <c r="O420" i="14"/>
  <c r="O388" i="14"/>
  <c r="O356" i="14"/>
  <c r="O324" i="14"/>
  <c r="O292" i="14"/>
  <c r="N26" i="14"/>
  <c r="O26" i="14"/>
  <c r="N58" i="14"/>
  <c r="O58" i="14"/>
  <c r="L178" i="14"/>
  <c r="O178" i="14"/>
  <c r="M370" i="14"/>
  <c r="O370" i="14"/>
  <c r="N3" i="14"/>
  <c r="O3" i="14"/>
  <c r="N11" i="14"/>
  <c r="O11" i="14"/>
  <c r="N20" i="14"/>
  <c r="O20" i="14"/>
  <c r="N28" i="14"/>
  <c r="O28" i="14"/>
  <c r="N36" i="14"/>
  <c r="O36" i="14"/>
  <c r="N44" i="14"/>
  <c r="O44" i="14"/>
  <c r="N52" i="14"/>
  <c r="O52" i="14"/>
  <c r="N60" i="14"/>
  <c r="O60" i="14"/>
  <c r="N68" i="14"/>
  <c r="O68" i="14"/>
  <c r="N76" i="14"/>
  <c r="O76" i="14"/>
  <c r="N84" i="14"/>
  <c r="O84" i="14"/>
  <c r="N92" i="14"/>
  <c r="O92" i="14"/>
  <c r="N100" i="14"/>
  <c r="O100" i="14"/>
  <c r="N108" i="14"/>
  <c r="O108" i="14"/>
  <c r="N116" i="14"/>
  <c r="O116" i="14"/>
  <c r="N124" i="14"/>
  <c r="O124" i="14"/>
  <c r="N132" i="14"/>
  <c r="O132" i="14"/>
  <c r="N140" i="14"/>
  <c r="O140" i="14"/>
  <c r="N148" i="14"/>
  <c r="O148" i="14"/>
  <c r="N156" i="14"/>
  <c r="O156" i="14"/>
  <c r="N164" i="14"/>
  <c r="O164" i="14"/>
  <c r="N172" i="14"/>
  <c r="O172" i="14"/>
  <c r="N180" i="14"/>
  <c r="O180" i="14"/>
  <c r="N188" i="14"/>
  <c r="O188" i="14"/>
  <c r="N196" i="14"/>
  <c r="O196" i="14"/>
  <c r="N204" i="14"/>
  <c r="O204" i="14"/>
  <c r="N212" i="14"/>
  <c r="O212" i="14"/>
  <c r="N220" i="14"/>
  <c r="O220" i="14"/>
  <c r="N228" i="14"/>
  <c r="O228" i="14"/>
  <c r="N236" i="14"/>
  <c r="O236" i="14"/>
  <c r="N244" i="14"/>
  <c r="O244" i="14"/>
  <c r="N252" i="14"/>
  <c r="O252" i="14"/>
  <c r="N260" i="14"/>
  <c r="O260" i="14"/>
  <c r="N715" i="14"/>
  <c r="N538" i="14"/>
  <c r="N488" i="14"/>
  <c r="N298" i="14"/>
  <c r="O718" i="14"/>
  <c r="O710" i="14"/>
  <c r="O702" i="14"/>
  <c r="O694" i="14"/>
  <c r="O686" i="14"/>
  <c r="O511" i="14"/>
  <c r="O479" i="14"/>
  <c r="O446" i="14"/>
  <c r="O414" i="14"/>
  <c r="O382" i="14"/>
  <c r="O350" i="14"/>
  <c r="O318" i="14"/>
  <c r="O286" i="14"/>
  <c r="L402" i="14"/>
  <c r="O402" i="14"/>
  <c r="N4" i="14"/>
  <c r="O4" i="14"/>
  <c r="N12" i="14"/>
  <c r="O12" i="14"/>
  <c r="N21" i="14"/>
  <c r="O21" i="14"/>
  <c r="N29" i="14"/>
  <c r="O29" i="14"/>
  <c r="N37" i="14"/>
  <c r="O37" i="14"/>
  <c r="N45" i="14"/>
  <c r="O45" i="14"/>
  <c r="N53" i="14"/>
  <c r="O53" i="14"/>
  <c r="N61" i="14"/>
  <c r="O61" i="14"/>
  <c r="N69" i="14"/>
  <c r="O69" i="14"/>
  <c r="N77" i="14"/>
  <c r="O77" i="14"/>
  <c r="N85" i="14"/>
  <c r="O85" i="14"/>
  <c r="N93" i="14"/>
  <c r="O93" i="14"/>
  <c r="N101" i="14"/>
  <c r="O101" i="14"/>
  <c r="N109" i="14"/>
  <c r="O109" i="14"/>
  <c r="N117" i="14"/>
  <c r="O117" i="14"/>
  <c r="N125" i="14"/>
  <c r="O125" i="14"/>
  <c r="N133" i="14"/>
  <c r="O133" i="14"/>
  <c r="N141" i="14"/>
  <c r="O141" i="14"/>
  <c r="N149" i="14"/>
  <c r="O149" i="14"/>
  <c r="N157" i="14"/>
  <c r="O157" i="14"/>
  <c r="N165" i="14"/>
  <c r="O165" i="14"/>
  <c r="N173" i="14"/>
  <c r="O173" i="14"/>
  <c r="N181" i="14"/>
  <c r="O181" i="14"/>
  <c r="N189" i="14"/>
  <c r="O189" i="14"/>
  <c r="N197" i="14"/>
  <c r="O197" i="14"/>
  <c r="N205" i="14"/>
  <c r="O205" i="14"/>
  <c r="N213" i="14"/>
  <c r="O213" i="14"/>
  <c r="N221" i="14"/>
  <c r="O221" i="14"/>
  <c r="N229" i="14"/>
  <c r="O229" i="14"/>
  <c r="N237" i="14"/>
  <c r="O237" i="14"/>
  <c r="N245" i="14"/>
  <c r="O245" i="14"/>
  <c r="N253" i="14"/>
  <c r="O253" i="14"/>
  <c r="N261" i="14"/>
  <c r="O261" i="14"/>
  <c r="N269" i="14"/>
  <c r="O269" i="14"/>
  <c r="N589" i="14"/>
  <c r="N536" i="14"/>
  <c r="N475" i="14"/>
  <c r="N242" i="14"/>
  <c r="O717" i="14"/>
  <c r="O709" i="14"/>
  <c r="O701" i="14"/>
  <c r="O693" i="14"/>
  <c r="O685" i="14"/>
  <c r="O509" i="14"/>
  <c r="O477" i="14"/>
  <c r="O444" i="14"/>
  <c r="O412" i="14"/>
  <c r="O380" i="14"/>
  <c r="O348" i="14"/>
  <c r="O316" i="14"/>
  <c r="O284" i="14"/>
  <c r="N74" i="14"/>
  <c r="O74" i="14"/>
  <c r="N138" i="14"/>
  <c r="O138" i="14"/>
  <c r="L162" i="14"/>
  <c r="O162" i="14"/>
  <c r="L194" i="14"/>
  <c r="O194" i="14"/>
  <c r="L226" i="14"/>
  <c r="O226" i="14"/>
  <c r="L410" i="14"/>
  <c r="O410" i="14"/>
  <c r="N5" i="14"/>
  <c r="O5" i="14"/>
  <c r="N13" i="14"/>
  <c r="O13" i="14"/>
  <c r="N22" i="14"/>
  <c r="O22" i="14"/>
  <c r="N30" i="14"/>
  <c r="O30" i="14"/>
  <c r="N38" i="14"/>
  <c r="O38" i="14"/>
  <c r="N46" i="14"/>
  <c r="O46" i="14"/>
  <c r="N54" i="14"/>
  <c r="O54" i="14"/>
  <c r="N62" i="14"/>
  <c r="O62" i="14"/>
  <c r="N70" i="14"/>
  <c r="O70" i="14"/>
  <c r="N78" i="14"/>
  <c r="O78" i="14"/>
  <c r="N86" i="14"/>
  <c r="O86" i="14"/>
  <c r="N94" i="14"/>
  <c r="O94" i="14"/>
  <c r="N102" i="14"/>
  <c r="O102" i="14"/>
  <c r="N110" i="14"/>
  <c r="O110" i="14"/>
  <c r="N118" i="14"/>
  <c r="O118" i="14"/>
  <c r="N126" i="14"/>
  <c r="O126" i="14"/>
  <c r="N134" i="14"/>
  <c r="O134" i="14"/>
  <c r="N142" i="14"/>
  <c r="O142" i="14"/>
  <c r="N150" i="14"/>
  <c r="O150" i="14"/>
  <c r="N158" i="14"/>
  <c r="O158" i="14"/>
  <c r="N166" i="14"/>
  <c r="O166" i="14"/>
  <c r="N174" i="14"/>
  <c r="O174" i="14"/>
  <c r="N182" i="14"/>
  <c r="O182" i="14"/>
  <c r="N190" i="14"/>
  <c r="O190" i="14"/>
  <c r="N198" i="14"/>
  <c r="O198" i="14"/>
  <c r="N206" i="14"/>
  <c r="O206" i="14"/>
  <c r="N214" i="14"/>
  <c r="O214" i="14"/>
  <c r="N222" i="14"/>
  <c r="O222" i="14"/>
  <c r="N230" i="14"/>
  <c r="O230" i="14"/>
  <c r="N238" i="14"/>
  <c r="O238" i="14"/>
  <c r="N246" i="14"/>
  <c r="O246" i="14"/>
  <c r="N254" i="14"/>
  <c r="O254" i="14"/>
  <c r="N262" i="14"/>
  <c r="O262" i="14"/>
  <c r="N711" i="14"/>
  <c r="N577" i="14"/>
  <c r="N529" i="14"/>
  <c r="N473" i="14"/>
  <c r="N234" i="14"/>
  <c r="O716" i="14"/>
  <c r="O708" i="14"/>
  <c r="O700" i="14"/>
  <c r="O692" i="14"/>
  <c r="O503" i="14"/>
  <c r="O471" i="14"/>
  <c r="O438" i="14"/>
  <c r="O406" i="14"/>
  <c r="O374" i="14"/>
  <c r="O342" i="14"/>
  <c r="O310" i="14"/>
  <c r="O278" i="14"/>
  <c r="N247" i="14"/>
  <c r="O247" i="14"/>
  <c r="N255" i="14"/>
  <c r="O255" i="14"/>
  <c r="N263" i="14"/>
  <c r="O263" i="14"/>
  <c r="N271" i="14"/>
  <c r="O271" i="14"/>
  <c r="N279" i="14"/>
  <c r="O279" i="14"/>
  <c r="N295" i="14"/>
  <c r="O295" i="14"/>
  <c r="N303" i="14"/>
  <c r="O303" i="14"/>
  <c r="N311" i="14"/>
  <c r="O311" i="14"/>
  <c r="N319" i="14"/>
  <c r="O319" i="14"/>
  <c r="N327" i="14"/>
  <c r="O327" i="14"/>
  <c r="N335" i="14"/>
  <c r="O335" i="14"/>
  <c r="N343" i="14"/>
  <c r="O343" i="14"/>
  <c r="N359" i="14"/>
  <c r="O359" i="14"/>
  <c r="N367" i="14"/>
  <c r="O367" i="14"/>
  <c r="N375" i="14"/>
  <c r="O375" i="14"/>
  <c r="N383" i="14"/>
  <c r="O383" i="14"/>
  <c r="N391" i="14"/>
  <c r="O391" i="14"/>
  <c r="N399" i="14"/>
  <c r="O399" i="14"/>
  <c r="N407" i="14"/>
  <c r="O407" i="14"/>
  <c r="N423" i="14"/>
  <c r="O423" i="14"/>
  <c r="N431" i="14"/>
  <c r="O431" i="14"/>
  <c r="N439" i="14"/>
  <c r="O439" i="14"/>
  <c r="N447" i="14"/>
  <c r="O447" i="14"/>
  <c r="N455" i="14"/>
  <c r="O455" i="14"/>
  <c r="N464" i="14"/>
  <c r="O464" i="14"/>
  <c r="N472" i="14"/>
  <c r="O472" i="14"/>
  <c r="N480" i="14"/>
  <c r="O480" i="14"/>
  <c r="N496" i="14"/>
  <c r="O496" i="14"/>
  <c r="N520" i="14"/>
  <c r="O520" i="14"/>
  <c r="N528" i="14"/>
  <c r="O528" i="14"/>
  <c r="N535" i="14"/>
  <c r="O535" i="14"/>
  <c r="N543" i="14"/>
  <c r="O543" i="14"/>
  <c r="N560" i="14"/>
  <c r="O560" i="14"/>
  <c r="O568" i="14"/>
  <c r="O576" i="14"/>
  <c r="O584" i="14"/>
  <c r="O592" i="14"/>
  <c r="O600" i="14"/>
  <c r="O608" i="14"/>
  <c r="O616" i="14"/>
  <c r="O624" i="14"/>
  <c r="O632" i="14"/>
  <c r="O640" i="14"/>
  <c r="O648" i="14"/>
  <c r="O656" i="14"/>
  <c r="O664" i="14"/>
  <c r="O672" i="14"/>
  <c r="O680" i="14"/>
  <c r="N704" i="14"/>
  <c r="N667" i="14"/>
  <c r="N627" i="14"/>
  <c r="N576" i="14"/>
  <c r="N525" i="14"/>
  <c r="N434" i="14"/>
  <c r="N178" i="14"/>
  <c r="O715" i="14"/>
  <c r="O707" i="14"/>
  <c r="O699" i="14"/>
  <c r="O691" i="14"/>
  <c r="O683" i="14"/>
  <c r="O667" i="14"/>
  <c r="O651" i="14"/>
  <c r="O635" i="14"/>
  <c r="O619" i="14"/>
  <c r="O603" i="14"/>
  <c r="O587" i="14"/>
  <c r="O501" i="14"/>
  <c r="O469" i="14"/>
  <c r="O436" i="14"/>
  <c r="O404" i="14"/>
  <c r="O372" i="14"/>
  <c r="O340" i="14"/>
  <c r="O308" i="14"/>
  <c r="O276" i="14"/>
  <c r="N17" i="14"/>
  <c r="O17" i="14"/>
  <c r="N6" i="14"/>
  <c r="O6" i="14"/>
  <c r="N23" i="14"/>
  <c r="O23" i="14"/>
  <c r="N39" i="14"/>
  <c r="O39" i="14"/>
  <c r="N55" i="14"/>
  <c r="O55" i="14"/>
  <c r="N71" i="14"/>
  <c r="O71" i="14"/>
  <c r="N95" i="14"/>
  <c r="O95" i="14"/>
  <c r="N111" i="14"/>
  <c r="O111" i="14"/>
  <c r="N127" i="14"/>
  <c r="O127" i="14"/>
  <c r="N135" i="14"/>
  <c r="O135" i="14"/>
  <c r="N151" i="14"/>
  <c r="O151" i="14"/>
  <c r="N159" i="14"/>
  <c r="O159" i="14"/>
  <c r="N167" i="14"/>
  <c r="O167" i="14"/>
  <c r="N175" i="14"/>
  <c r="O175" i="14"/>
  <c r="N183" i="14"/>
  <c r="O183" i="14"/>
  <c r="N191" i="14"/>
  <c r="O191" i="14"/>
  <c r="N199" i="14"/>
  <c r="O199" i="14"/>
  <c r="N207" i="14"/>
  <c r="O207" i="14"/>
  <c r="N215" i="14"/>
  <c r="O215" i="14"/>
  <c r="N239" i="14"/>
  <c r="O239" i="14"/>
  <c r="N7" i="14"/>
  <c r="O7" i="14"/>
  <c r="N15" i="14"/>
  <c r="O15" i="14"/>
  <c r="N24" i="14"/>
  <c r="O24" i="14"/>
  <c r="N32" i="14"/>
  <c r="O32" i="14"/>
  <c r="N40" i="14"/>
  <c r="O40" i="14"/>
  <c r="N48" i="14"/>
  <c r="O48" i="14"/>
  <c r="N56" i="14"/>
  <c r="O56" i="14"/>
  <c r="N64" i="14"/>
  <c r="O64" i="14"/>
  <c r="N72" i="14"/>
  <c r="O72" i="14"/>
  <c r="N80" i="14"/>
  <c r="O80" i="14"/>
  <c r="N88" i="14"/>
  <c r="O88" i="14"/>
  <c r="N96" i="14"/>
  <c r="O96" i="14"/>
  <c r="N104" i="14"/>
  <c r="O104" i="14"/>
  <c r="N112" i="14"/>
  <c r="O112" i="14"/>
  <c r="N120" i="14"/>
  <c r="O120" i="14"/>
  <c r="N128" i="14"/>
  <c r="O128" i="14"/>
  <c r="N136" i="14"/>
  <c r="O136" i="14"/>
  <c r="N144" i="14"/>
  <c r="O144" i="14"/>
  <c r="N152" i="14"/>
  <c r="O152" i="14"/>
  <c r="N160" i="14"/>
  <c r="O160" i="14"/>
  <c r="N168" i="14"/>
  <c r="O168" i="14"/>
  <c r="N176" i="14"/>
  <c r="O176" i="14"/>
  <c r="N184" i="14"/>
  <c r="O184" i="14"/>
  <c r="N192" i="14"/>
  <c r="O192" i="14"/>
  <c r="N200" i="14"/>
  <c r="O200" i="14"/>
  <c r="N208" i="14"/>
  <c r="O208" i="14"/>
  <c r="N216" i="14"/>
  <c r="O216" i="14"/>
  <c r="N224" i="14"/>
  <c r="O224" i="14"/>
  <c r="N232" i="14"/>
  <c r="O232" i="14"/>
  <c r="N240" i="14"/>
  <c r="O240" i="14"/>
  <c r="N248" i="14"/>
  <c r="O248" i="14"/>
  <c r="N256" i="14"/>
  <c r="O256" i="14"/>
  <c r="N264" i="14"/>
  <c r="O264" i="14"/>
  <c r="N272" i="14"/>
  <c r="O272" i="14"/>
  <c r="N280" i="14"/>
  <c r="O280" i="14"/>
  <c r="N288" i="14"/>
  <c r="O288" i="14"/>
  <c r="N296" i="14"/>
  <c r="O296" i="14"/>
  <c r="N304" i="14"/>
  <c r="O304" i="14"/>
  <c r="N312" i="14"/>
  <c r="O312" i="14"/>
  <c r="N320" i="14"/>
  <c r="O320" i="14"/>
  <c r="N328" i="14"/>
  <c r="O328" i="14"/>
  <c r="N336" i="14"/>
  <c r="O336" i="14"/>
  <c r="N344" i="14"/>
  <c r="O344" i="14"/>
  <c r="N352" i="14"/>
  <c r="O352" i="14"/>
  <c r="N360" i="14"/>
  <c r="O360" i="14"/>
  <c r="N368" i="14"/>
  <c r="O368" i="14"/>
  <c r="N376" i="14"/>
  <c r="O376" i="14"/>
  <c r="N384" i="14"/>
  <c r="O384" i="14"/>
  <c r="N392" i="14"/>
  <c r="O392" i="14"/>
  <c r="N400" i="14"/>
  <c r="O400" i="14"/>
  <c r="N408" i="14"/>
  <c r="O408" i="14"/>
  <c r="N416" i="14"/>
  <c r="O416" i="14"/>
  <c r="N424" i="14"/>
  <c r="O424" i="14"/>
  <c r="N432" i="14"/>
  <c r="O432" i="14"/>
  <c r="N440" i="14"/>
  <c r="O440" i="14"/>
  <c r="N448" i="14"/>
  <c r="O448" i="14"/>
  <c r="N456" i="14"/>
  <c r="O456" i="14"/>
  <c r="N465" i="14"/>
  <c r="O465" i="14"/>
  <c r="N481" i="14"/>
  <c r="O481" i="14"/>
  <c r="N489" i="14"/>
  <c r="O489" i="14"/>
  <c r="N497" i="14"/>
  <c r="O497" i="14"/>
  <c r="N505" i="14"/>
  <c r="O505" i="14"/>
  <c r="N521" i="14"/>
  <c r="O521" i="14"/>
  <c r="N544" i="14"/>
  <c r="O544" i="14"/>
  <c r="N553" i="14"/>
  <c r="O553" i="14"/>
  <c r="N561" i="14"/>
  <c r="O561" i="14"/>
  <c r="N569" i="14"/>
  <c r="O569" i="14"/>
  <c r="O585" i="14"/>
  <c r="O593" i="14"/>
  <c r="O601" i="14"/>
  <c r="O609" i="14"/>
  <c r="O617" i="14"/>
  <c r="O625" i="14"/>
  <c r="O633" i="14"/>
  <c r="O641" i="14"/>
  <c r="O649" i="14"/>
  <c r="O657" i="14"/>
  <c r="O665" i="14"/>
  <c r="O673" i="14"/>
  <c r="O681" i="14"/>
  <c r="N665" i="14"/>
  <c r="N619" i="14"/>
  <c r="N513" i="14"/>
  <c r="N426" i="14"/>
  <c r="N170" i="14"/>
  <c r="O495" i="14"/>
  <c r="O463" i="14"/>
  <c r="O430" i="14"/>
  <c r="O366" i="14"/>
  <c r="O334" i="14"/>
  <c r="O302" i="14"/>
  <c r="O270" i="14"/>
  <c r="N9" i="14"/>
  <c r="O9" i="14"/>
  <c r="N14" i="14"/>
  <c r="O14" i="14"/>
  <c r="N31" i="14"/>
  <c r="O31" i="14"/>
  <c r="N47" i="14"/>
  <c r="O47" i="14"/>
  <c r="N63" i="14"/>
  <c r="O63" i="14"/>
  <c r="N79" i="14"/>
  <c r="O79" i="14"/>
  <c r="N87" i="14"/>
  <c r="O87" i="14"/>
  <c r="N103" i="14"/>
  <c r="O103" i="14"/>
  <c r="N119" i="14"/>
  <c r="O119" i="14"/>
  <c r="N143" i="14"/>
  <c r="O143" i="14"/>
  <c r="N231" i="14"/>
  <c r="O231" i="14"/>
  <c r="N8" i="14"/>
  <c r="O8" i="14"/>
  <c r="N16" i="14"/>
  <c r="O16" i="14"/>
  <c r="N25" i="14"/>
  <c r="O25" i="14"/>
  <c r="N33" i="14"/>
  <c r="O33" i="14"/>
  <c r="N41" i="14"/>
  <c r="O41" i="14"/>
  <c r="N49" i="14"/>
  <c r="O49" i="14"/>
  <c r="N57" i="14"/>
  <c r="O57" i="14"/>
  <c r="N65" i="14"/>
  <c r="O65" i="14"/>
  <c r="N73" i="14"/>
  <c r="O73" i="14"/>
  <c r="N81" i="14"/>
  <c r="O81" i="14"/>
  <c r="N89" i="14"/>
  <c r="O89" i="14"/>
  <c r="N97" i="14"/>
  <c r="O97" i="14"/>
  <c r="N105" i="14"/>
  <c r="O105" i="14"/>
  <c r="N113" i="14"/>
  <c r="O113" i="14"/>
  <c r="N121" i="14"/>
  <c r="O121" i="14"/>
  <c r="N129" i="14"/>
  <c r="O129" i="14"/>
  <c r="N137" i="14"/>
  <c r="O137" i="14"/>
  <c r="N145" i="14"/>
  <c r="O145" i="14"/>
  <c r="N153" i="14"/>
  <c r="O153" i="14"/>
  <c r="N161" i="14"/>
  <c r="O161" i="14"/>
  <c r="N169" i="14"/>
  <c r="O169" i="14"/>
  <c r="N177" i="14"/>
  <c r="O177" i="14"/>
  <c r="N185" i="14"/>
  <c r="O185" i="14"/>
  <c r="N193" i="14"/>
  <c r="O193" i="14"/>
  <c r="N201" i="14"/>
  <c r="O201" i="14"/>
  <c r="N209" i="14"/>
  <c r="O209" i="14"/>
  <c r="N217" i="14"/>
  <c r="O217" i="14"/>
  <c r="N225" i="14"/>
  <c r="O225" i="14"/>
  <c r="N233" i="14"/>
  <c r="O233" i="14"/>
  <c r="N241" i="14"/>
  <c r="O241" i="14"/>
  <c r="N249" i="14"/>
  <c r="O249" i="14"/>
  <c r="N257" i="14"/>
  <c r="O257" i="14"/>
  <c r="N265" i="14"/>
  <c r="O265" i="14"/>
  <c r="N696" i="14"/>
  <c r="N664" i="14"/>
  <c r="N616" i="14"/>
  <c r="N563" i="14"/>
  <c r="N512" i="14"/>
  <c r="N370" i="14"/>
  <c r="N114" i="14"/>
  <c r="O713" i="14"/>
  <c r="O705" i="14"/>
  <c r="O697" i="14"/>
  <c r="O689" i="14"/>
  <c r="O493" i="14"/>
  <c r="O461" i="14"/>
  <c r="O428" i="14"/>
  <c r="O396" i="14"/>
  <c r="O364" i="14"/>
  <c r="O332" i="14"/>
  <c r="O300" i="14"/>
  <c r="O268" i="14"/>
  <c r="N297" i="14"/>
  <c r="N305" i="14"/>
  <c r="N313" i="14"/>
  <c r="N321" i="14"/>
  <c r="N337" i="14"/>
  <c r="N345" i="14"/>
  <c r="N353" i="14"/>
  <c r="N361" i="14"/>
  <c r="N369" i="14"/>
  <c r="N377" i="14"/>
  <c r="N385" i="14"/>
  <c r="N401" i="14"/>
  <c r="N409" i="14"/>
  <c r="N417" i="14"/>
  <c r="N425" i="14"/>
  <c r="N433" i="14"/>
  <c r="N441" i="14"/>
  <c r="N449" i="14"/>
  <c r="N458" i="14"/>
  <c r="N466" i="14"/>
  <c r="N474" i="14"/>
  <c r="N482" i="14"/>
  <c r="N490" i="14"/>
  <c r="N498" i="14"/>
  <c r="N506" i="14"/>
  <c r="N514" i="14"/>
  <c r="N522" i="14"/>
  <c r="N530" i="14"/>
  <c r="N537" i="14"/>
  <c r="N545" i="14"/>
  <c r="N554" i="14"/>
  <c r="N562" i="14"/>
  <c r="N570" i="14"/>
  <c r="N578" i="14"/>
  <c r="N586" i="14"/>
  <c r="N594" i="14"/>
  <c r="N602" i="14"/>
  <c r="N610" i="14"/>
  <c r="N618" i="14"/>
  <c r="N626" i="14"/>
  <c r="N634" i="14"/>
  <c r="N642" i="14"/>
  <c r="N650" i="14"/>
  <c r="N658" i="14"/>
  <c r="N666" i="14"/>
  <c r="N674" i="14"/>
  <c r="N682" i="14"/>
  <c r="N714" i="14"/>
  <c r="N706" i="14"/>
  <c r="N698" i="14"/>
  <c r="N690" i="14"/>
  <c r="N669" i="14"/>
  <c r="N605" i="14"/>
  <c r="N540" i="14"/>
  <c r="N491" i="14"/>
  <c r="N450" i="14"/>
  <c r="N386" i="14"/>
  <c r="N322" i="14"/>
  <c r="N258" i="14"/>
  <c r="N194" i="14"/>
  <c r="N273" i="14"/>
  <c r="N281" i="14"/>
  <c r="N289" i="14"/>
  <c r="N393" i="14"/>
  <c r="N713" i="14"/>
  <c r="N705" i="14"/>
  <c r="N697" i="14"/>
  <c r="N689" i="14"/>
  <c r="N680" i="14"/>
  <c r="N656" i="14"/>
  <c r="N643" i="14"/>
  <c r="N629" i="14"/>
  <c r="N617" i="14"/>
  <c r="N592" i="14"/>
  <c r="N579" i="14"/>
  <c r="N565" i="14"/>
  <c r="N442" i="14"/>
  <c r="N378" i="14"/>
  <c r="N314" i="14"/>
  <c r="N250" i="14"/>
  <c r="N186" i="14"/>
  <c r="N277" i="14"/>
  <c r="N285" i="14"/>
  <c r="N293" i="14"/>
  <c r="N301" i="14"/>
  <c r="N309" i="14"/>
  <c r="N317" i="14"/>
  <c r="N325" i="14"/>
  <c r="N333" i="14"/>
  <c r="N341" i="14"/>
  <c r="N349" i="14"/>
  <c r="N357" i="14"/>
  <c r="N365" i="14"/>
  <c r="N381" i="14"/>
  <c r="N389" i="14"/>
  <c r="N397" i="14"/>
  <c r="N405" i="14"/>
  <c r="N413" i="14"/>
  <c r="N421" i="14"/>
  <c r="N429" i="14"/>
  <c r="N437" i="14"/>
  <c r="N445" i="14"/>
  <c r="N453" i="14"/>
  <c r="N462" i="14"/>
  <c r="N470" i="14"/>
  <c r="N478" i="14"/>
  <c r="N486" i="14"/>
  <c r="N494" i="14"/>
  <c r="N502" i="14"/>
  <c r="N510" i="14"/>
  <c r="N518" i="14"/>
  <c r="N526" i="14"/>
  <c r="N533" i="14"/>
  <c r="N541" i="14"/>
  <c r="N550" i="14"/>
  <c r="N558" i="14"/>
  <c r="N566" i="14"/>
  <c r="N574" i="14"/>
  <c r="N582" i="14"/>
  <c r="N590" i="14"/>
  <c r="N598" i="14"/>
  <c r="N606" i="14"/>
  <c r="N614" i="14"/>
  <c r="N622" i="14"/>
  <c r="N630" i="14"/>
  <c r="N638" i="14"/>
  <c r="N646" i="14"/>
  <c r="N654" i="14"/>
  <c r="N662" i="14"/>
  <c r="N670" i="14"/>
  <c r="N678" i="14"/>
  <c r="N718" i="14"/>
  <c r="N710" i="14"/>
  <c r="N702" i="14"/>
  <c r="N694" i="14"/>
  <c r="N686" i="14"/>
  <c r="N651" i="14"/>
  <c r="N637" i="14"/>
  <c r="N625" i="14"/>
  <c r="N600" i="14"/>
  <c r="N587" i="14"/>
  <c r="N573" i="14"/>
  <c r="N418" i="14"/>
  <c r="N354" i="14"/>
  <c r="N290" i="14"/>
  <c r="N226" i="14"/>
  <c r="N162" i="14"/>
  <c r="N519" i="14"/>
  <c r="N527" i="14"/>
  <c r="N534" i="14"/>
  <c r="N542" i="14"/>
  <c r="N551" i="14"/>
  <c r="N559" i="14"/>
  <c r="N567" i="14"/>
  <c r="N575" i="14"/>
  <c r="N583" i="14"/>
  <c r="N591" i="14"/>
  <c r="N599" i="14"/>
  <c r="N607" i="14"/>
  <c r="N615" i="14"/>
  <c r="N623" i="14"/>
  <c r="N631" i="14"/>
  <c r="N639" i="14"/>
  <c r="N647" i="14"/>
  <c r="N655" i="14"/>
  <c r="N663" i="14"/>
  <c r="N717" i="14"/>
  <c r="N709" i="14"/>
  <c r="N701" i="14"/>
  <c r="N693" i="14"/>
  <c r="N685" i="14"/>
  <c r="N675" i="14"/>
  <c r="N661" i="14"/>
  <c r="N649" i="14"/>
  <c r="N624" i="14"/>
  <c r="N611" i="14"/>
  <c r="N597" i="14"/>
  <c r="N585" i="14"/>
  <c r="N547" i="14"/>
  <c r="N532" i="14"/>
  <c r="N483" i="14"/>
  <c r="N410" i="14"/>
  <c r="N346" i="14"/>
  <c r="N282" i="14"/>
  <c r="N218" i="14"/>
  <c r="N154" i="14"/>
  <c r="N549" i="14"/>
  <c r="N223" i="14"/>
  <c r="N287" i="14"/>
  <c r="N351" i="14"/>
  <c r="N415" i="14"/>
  <c r="N716" i="14"/>
  <c r="N708" i="14"/>
  <c r="N700" i="14"/>
  <c r="N692" i="14"/>
  <c r="N673" i="14"/>
  <c r="N648" i="14"/>
  <c r="N635" i="14"/>
  <c r="N621" i="14"/>
  <c r="N609" i="14"/>
  <c r="N584" i="14"/>
  <c r="N571" i="14"/>
  <c r="N557" i="14"/>
  <c r="N507" i="14"/>
  <c r="N467" i="14"/>
  <c r="N402" i="14"/>
  <c r="N338" i="14"/>
  <c r="N274" i="14"/>
  <c r="N210" i="14"/>
  <c r="N677" i="14"/>
  <c r="N613" i="14"/>
  <c r="N707" i="14"/>
  <c r="N699" i="14"/>
  <c r="N691" i="14"/>
  <c r="N683" i="14"/>
  <c r="N672" i="14"/>
  <c r="N659" i="14"/>
  <c r="N645" i="14"/>
  <c r="N633" i="14"/>
  <c r="N608" i="14"/>
  <c r="N595" i="14"/>
  <c r="N581" i="14"/>
  <c r="N531" i="14"/>
  <c r="N517" i="14"/>
  <c r="N459" i="14"/>
  <c r="N394" i="14"/>
  <c r="N330" i="14"/>
  <c r="N266" i="14"/>
  <c r="N202" i="14"/>
  <c r="L585" i="14"/>
  <c r="L593" i="14"/>
  <c r="L601" i="14"/>
  <c r="L609" i="14"/>
  <c r="L617" i="14"/>
  <c r="L625" i="14"/>
  <c r="L633" i="14"/>
  <c r="L641" i="14"/>
  <c r="L649" i="14"/>
  <c r="L657" i="14"/>
  <c r="L665" i="14"/>
  <c r="L673" i="14"/>
  <c r="L681" i="14"/>
  <c r="M273" i="14"/>
  <c r="M281" i="14"/>
  <c r="M289" i="14"/>
  <c r="M297" i="14"/>
  <c r="M305" i="14"/>
  <c r="M313" i="14"/>
  <c r="M321" i="14"/>
  <c r="M337" i="14"/>
  <c r="M345" i="14"/>
  <c r="M353" i="14"/>
  <c r="M361" i="14"/>
  <c r="M369" i="14"/>
  <c r="M377" i="14"/>
  <c r="M385" i="14"/>
  <c r="M393" i="14"/>
  <c r="M401" i="14"/>
  <c r="M409" i="14"/>
  <c r="M417" i="14"/>
  <c r="M425" i="14"/>
  <c r="M433" i="14"/>
  <c r="M441" i="14"/>
  <c r="M449" i="14"/>
  <c r="M458" i="14"/>
  <c r="M466" i="14"/>
  <c r="M474" i="14"/>
  <c r="M482" i="14"/>
  <c r="M490" i="14"/>
  <c r="M498" i="14"/>
  <c r="M506" i="14"/>
  <c r="M514" i="14"/>
  <c r="M522" i="14"/>
  <c r="M530" i="14"/>
  <c r="M537" i="14"/>
  <c r="M545" i="14"/>
  <c r="M554" i="14"/>
  <c r="M562" i="14"/>
  <c r="M570" i="14"/>
  <c r="M578" i="14"/>
  <c r="M586" i="14"/>
  <c r="M594" i="14"/>
  <c r="M602" i="14"/>
  <c r="M610" i="14"/>
  <c r="M618" i="14"/>
  <c r="M626" i="14"/>
  <c r="M634" i="14"/>
  <c r="M642" i="14"/>
  <c r="M650" i="14"/>
  <c r="M658" i="14"/>
  <c r="M666" i="14"/>
  <c r="M674" i="14"/>
  <c r="M682" i="14"/>
  <c r="M58" i="14"/>
  <c r="M546" i="14"/>
  <c r="M688" i="14"/>
  <c r="M648" i="14"/>
  <c r="M608" i="14"/>
  <c r="M563" i="14"/>
  <c r="M434" i="14"/>
  <c r="M19" i="14"/>
  <c r="M43" i="14"/>
  <c r="M59" i="14"/>
  <c r="M67" i="14"/>
  <c r="M83" i="14"/>
  <c r="M99" i="14"/>
  <c r="M107" i="14"/>
  <c r="M123" i="14"/>
  <c r="M147" i="14"/>
  <c r="M155" i="14"/>
  <c r="M163" i="14"/>
  <c r="M171" i="14"/>
  <c r="M179" i="14"/>
  <c r="M187" i="14"/>
  <c r="M195" i="14"/>
  <c r="M211" i="14"/>
  <c r="M219" i="14"/>
  <c r="M227" i="14"/>
  <c r="M235" i="14"/>
  <c r="M243" i="14"/>
  <c r="M251" i="14"/>
  <c r="M259" i="14"/>
  <c r="M267" i="14"/>
  <c r="M283" i="14"/>
  <c r="M291" i="14"/>
  <c r="M299" i="14"/>
  <c r="M307" i="14"/>
  <c r="M315" i="14"/>
  <c r="M323" i="14"/>
  <c r="M331" i="14"/>
  <c r="M339" i="14"/>
  <c r="M347" i="14"/>
  <c r="M355" i="14"/>
  <c r="M363" i="14"/>
  <c r="M371" i="14"/>
  <c r="M379" i="14"/>
  <c r="M387" i="14"/>
  <c r="M395" i="14"/>
  <c r="M403" i="14"/>
  <c r="M411" i="14"/>
  <c r="M419" i="14"/>
  <c r="M427" i="14"/>
  <c r="M435" i="14"/>
  <c r="M443" i="14"/>
  <c r="M451" i="14"/>
  <c r="M460" i="14"/>
  <c r="M468" i="14"/>
  <c r="M476" i="14"/>
  <c r="M484" i="14"/>
  <c r="M492" i="14"/>
  <c r="M500" i="14"/>
  <c r="M508" i="14"/>
  <c r="M516" i="14"/>
  <c r="M524" i="14"/>
  <c r="M539" i="14"/>
  <c r="M548" i="14"/>
  <c r="M556" i="14"/>
  <c r="M564" i="14"/>
  <c r="M572" i="14"/>
  <c r="M580" i="14"/>
  <c r="M588" i="14"/>
  <c r="M596" i="14"/>
  <c r="M604" i="14"/>
  <c r="M612" i="14"/>
  <c r="M620" i="14"/>
  <c r="M628" i="14"/>
  <c r="M687" i="14"/>
  <c r="M643" i="14"/>
  <c r="M600" i="14"/>
  <c r="M547" i="14"/>
  <c r="M415" i="14"/>
  <c r="M2" i="14"/>
  <c r="M35" i="14"/>
  <c r="M51" i="14"/>
  <c r="M75" i="14"/>
  <c r="M203" i="14"/>
  <c r="M3" i="14"/>
  <c r="M11" i="14"/>
  <c r="M20" i="14"/>
  <c r="M28" i="14"/>
  <c r="M36" i="14"/>
  <c r="M44" i="14"/>
  <c r="M52" i="14"/>
  <c r="M60" i="14"/>
  <c r="M68" i="14"/>
  <c r="M76" i="14"/>
  <c r="M84" i="14"/>
  <c r="M92" i="14"/>
  <c r="M100" i="14"/>
  <c r="M108" i="14"/>
  <c r="M116" i="14"/>
  <c r="M124" i="14"/>
  <c r="M132" i="14"/>
  <c r="M140" i="14"/>
  <c r="M148" i="14"/>
  <c r="M156" i="14"/>
  <c r="M164" i="14"/>
  <c r="M172" i="14"/>
  <c r="M180" i="14"/>
  <c r="M188" i="14"/>
  <c r="M196" i="14"/>
  <c r="M204" i="14"/>
  <c r="M212" i="14"/>
  <c r="M220" i="14"/>
  <c r="M228" i="14"/>
  <c r="M236" i="14"/>
  <c r="M244" i="14"/>
  <c r="M252" i="14"/>
  <c r="M260" i="14"/>
  <c r="M268" i="14"/>
  <c r="M276" i="14"/>
  <c r="L284" i="14"/>
  <c r="L292" i="14"/>
  <c r="L300" i="14"/>
  <c r="L308" i="14"/>
  <c r="L316" i="14"/>
  <c r="L324" i="14"/>
  <c r="L332" i="14"/>
  <c r="L340" i="14"/>
  <c r="L348" i="14"/>
  <c r="L356" i="14"/>
  <c r="L364" i="14"/>
  <c r="L372" i="14"/>
  <c r="L380" i="14"/>
  <c r="L388" i="14"/>
  <c r="L396" i="14"/>
  <c r="L404" i="14"/>
  <c r="L412" i="14"/>
  <c r="L420" i="14"/>
  <c r="L428" i="14"/>
  <c r="L436" i="14"/>
  <c r="L444" i="14"/>
  <c r="L452" i="14"/>
  <c r="L461" i="14"/>
  <c r="L469" i="14"/>
  <c r="L477" i="14"/>
  <c r="M485" i="14"/>
  <c r="L493" i="14"/>
  <c r="L501" i="14"/>
  <c r="L509" i="14"/>
  <c r="L517" i="14"/>
  <c r="L525" i="14"/>
  <c r="L532" i="14"/>
  <c r="L540" i="14"/>
  <c r="L549" i="14"/>
  <c r="L557" i="14"/>
  <c r="M565" i="14"/>
  <c r="L573" i="14"/>
  <c r="L581" i="14"/>
  <c r="L589" i="14"/>
  <c r="L597" i="14"/>
  <c r="L605" i="14"/>
  <c r="L613" i="14"/>
  <c r="L621" i="14"/>
  <c r="L629" i="14"/>
  <c r="L637" i="14"/>
  <c r="L645" i="14"/>
  <c r="L653" i="14"/>
  <c r="L661" i="14"/>
  <c r="L669" i="14"/>
  <c r="L677" i="14"/>
  <c r="M712" i="14"/>
  <c r="M680" i="14"/>
  <c r="M640" i="14"/>
  <c r="M595" i="14"/>
  <c r="M531" i="14"/>
  <c r="M394" i="14"/>
  <c r="M91" i="14"/>
  <c r="M4" i="14"/>
  <c r="M12" i="14"/>
  <c r="M21" i="14"/>
  <c r="M29" i="14"/>
  <c r="M37" i="14"/>
  <c r="M45" i="14"/>
  <c r="M53" i="14"/>
  <c r="M61" i="14"/>
  <c r="M69" i="14"/>
  <c r="M77" i="14"/>
  <c r="M85" i="14"/>
  <c r="M93" i="14"/>
  <c r="M101" i="14"/>
  <c r="M109" i="14"/>
  <c r="M117" i="14"/>
  <c r="M125" i="14"/>
  <c r="M133" i="14"/>
  <c r="M141" i="14"/>
  <c r="M149" i="14"/>
  <c r="M157" i="14"/>
  <c r="M165" i="14"/>
  <c r="M173" i="14"/>
  <c r="M181" i="14"/>
  <c r="M189" i="14"/>
  <c r="M197" i="14"/>
  <c r="M205" i="14"/>
  <c r="M213" i="14"/>
  <c r="M221" i="14"/>
  <c r="M229" i="14"/>
  <c r="M237" i="14"/>
  <c r="M245" i="14"/>
  <c r="M253" i="14"/>
  <c r="M261" i="14"/>
  <c r="M269" i="14"/>
  <c r="M711" i="14"/>
  <c r="M675" i="14"/>
  <c r="M632" i="14"/>
  <c r="M592" i="14"/>
  <c r="M351" i="14"/>
  <c r="M27" i="14"/>
  <c r="M139" i="14"/>
  <c r="M5" i="14"/>
  <c r="M13" i="14"/>
  <c r="M22" i="14"/>
  <c r="M30" i="14"/>
  <c r="M38" i="14"/>
  <c r="M46" i="14"/>
  <c r="M54" i="14"/>
  <c r="M62" i="14"/>
  <c r="M70" i="14"/>
  <c r="M78" i="14"/>
  <c r="M86" i="14"/>
  <c r="M94" i="14"/>
  <c r="M102" i="14"/>
  <c r="M110" i="14"/>
  <c r="M118" i="14"/>
  <c r="M126" i="14"/>
  <c r="M134" i="14"/>
  <c r="M142" i="14"/>
  <c r="M150" i="14"/>
  <c r="M158" i="14"/>
  <c r="M166" i="14"/>
  <c r="M174" i="14"/>
  <c r="M182" i="14"/>
  <c r="M190" i="14"/>
  <c r="M198" i="14"/>
  <c r="M206" i="14"/>
  <c r="M214" i="14"/>
  <c r="M222" i="14"/>
  <c r="M230" i="14"/>
  <c r="M238" i="14"/>
  <c r="M246" i="14"/>
  <c r="M254" i="14"/>
  <c r="M262" i="14"/>
  <c r="M270" i="14"/>
  <c r="M278" i="14"/>
  <c r="M286" i="14"/>
  <c r="M294" i="14"/>
  <c r="M302" i="14"/>
  <c r="M310" i="14"/>
  <c r="M318" i="14"/>
  <c r="M326" i="14"/>
  <c r="M334" i="14"/>
  <c r="M342" i="14"/>
  <c r="M350" i="14"/>
  <c r="M358" i="14"/>
  <c r="M366" i="14"/>
  <c r="M374" i="14"/>
  <c r="M382" i="14"/>
  <c r="M390" i="14"/>
  <c r="M406" i="14"/>
  <c r="M414" i="14"/>
  <c r="M422" i="14"/>
  <c r="M430" i="14"/>
  <c r="M438" i="14"/>
  <c r="M446" i="14"/>
  <c r="M454" i="14"/>
  <c r="M463" i="14"/>
  <c r="M471" i="14"/>
  <c r="M479" i="14"/>
  <c r="M487" i="14"/>
  <c r="M495" i="14"/>
  <c r="M503" i="14"/>
  <c r="M511" i="14"/>
  <c r="M519" i="14"/>
  <c r="M527" i="14"/>
  <c r="M534" i="14"/>
  <c r="M542" i="14"/>
  <c r="M551" i="14"/>
  <c r="M559" i="14"/>
  <c r="M567" i="14"/>
  <c r="M575" i="14"/>
  <c r="M583" i="14"/>
  <c r="M591" i="14"/>
  <c r="M599" i="14"/>
  <c r="M607" i="14"/>
  <c r="M615" i="14"/>
  <c r="M623" i="14"/>
  <c r="M631" i="14"/>
  <c r="M639" i="14"/>
  <c r="M647" i="14"/>
  <c r="M655" i="14"/>
  <c r="M663" i="14"/>
  <c r="M679" i="14"/>
  <c r="M704" i="14"/>
  <c r="M672" i="14"/>
  <c r="M627" i="14"/>
  <c r="M584" i="14"/>
  <c r="M499" i="14"/>
  <c r="M330" i="14"/>
  <c r="M6" i="14"/>
  <c r="M14" i="14"/>
  <c r="M23" i="14"/>
  <c r="M31" i="14"/>
  <c r="M39" i="14"/>
  <c r="M47" i="14"/>
  <c r="M55" i="14"/>
  <c r="M63" i="14"/>
  <c r="M71" i="14"/>
  <c r="M79" i="14"/>
  <c r="M87" i="14"/>
  <c r="M95" i="14"/>
  <c r="M103" i="14"/>
  <c r="M111" i="14"/>
  <c r="M119" i="14"/>
  <c r="M127" i="14"/>
  <c r="M135" i="14"/>
  <c r="M143" i="14"/>
  <c r="M151" i="14"/>
  <c r="M159" i="14"/>
  <c r="M167" i="14"/>
  <c r="M175" i="14"/>
  <c r="M183" i="14"/>
  <c r="M191" i="14"/>
  <c r="M199" i="14"/>
  <c r="M207" i="14"/>
  <c r="M215" i="14"/>
  <c r="M231" i="14"/>
  <c r="M239" i="14"/>
  <c r="M247" i="14"/>
  <c r="M255" i="14"/>
  <c r="M263" i="14"/>
  <c r="M271" i="14"/>
  <c r="M279" i="14"/>
  <c r="M295" i="14"/>
  <c r="M303" i="14"/>
  <c r="M311" i="14"/>
  <c r="M319" i="14"/>
  <c r="M327" i="14"/>
  <c r="M335" i="14"/>
  <c r="M343" i="14"/>
  <c r="M359" i="14"/>
  <c r="M367" i="14"/>
  <c r="M375" i="14"/>
  <c r="M383" i="14"/>
  <c r="M391" i="14"/>
  <c r="M399" i="14"/>
  <c r="M407" i="14"/>
  <c r="M423" i="14"/>
  <c r="M431" i="14"/>
  <c r="M439" i="14"/>
  <c r="M447" i="14"/>
  <c r="M455" i="14"/>
  <c r="M464" i="14"/>
  <c r="M472" i="14"/>
  <c r="M480" i="14"/>
  <c r="M488" i="14"/>
  <c r="M496" i="14"/>
  <c r="M504" i="14"/>
  <c r="M512" i="14"/>
  <c r="M520" i="14"/>
  <c r="M528" i="14"/>
  <c r="M535" i="14"/>
  <c r="M543" i="14"/>
  <c r="M552" i="14"/>
  <c r="M560" i="14"/>
  <c r="M703" i="14"/>
  <c r="M664" i="14"/>
  <c r="M624" i="14"/>
  <c r="M579" i="14"/>
  <c r="M483" i="14"/>
  <c r="M287" i="14"/>
  <c r="M10" i="14"/>
  <c r="M131" i="14"/>
  <c r="M7" i="14"/>
  <c r="M15" i="14"/>
  <c r="M24" i="14"/>
  <c r="M32" i="14"/>
  <c r="M40" i="14"/>
  <c r="M48" i="14"/>
  <c r="M56" i="14"/>
  <c r="M64" i="14"/>
  <c r="M72" i="14"/>
  <c r="M80" i="14"/>
  <c r="M88" i="14"/>
  <c r="M96" i="14"/>
  <c r="M104" i="14"/>
  <c r="M112" i="14"/>
  <c r="M120" i="14"/>
  <c r="M128" i="14"/>
  <c r="M136" i="14"/>
  <c r="M144" i="14"/>
  <c r="M152" i="14"/>
  <c r="M160" i="14"/>
  <c r="M168" i="14"/>
  <c r="M176" i="14"/>
  <c r="M184" i="14"/>
  <c r="M192" i="14"/>
  <c r="M200" i="14"/>
  <c r="M208" i="14"/>
  <c r="M216" i="14"/>
  <c r="M224" i="14"/>
  <c r="M232" i="14"/>
  <c r="M240" i="14"/>
  <c r="M248" i="14"/>
  <c r="M256" i="14"/>
  <c r="M264" i="14"/>
  <c r="M272" i="14"/>
  <c r="M280" i="14"/>
  <c r="M288" i="14"/>
  <c r="M296" i="14"/>
  <c r="M304" i="14"/>
  <c r="M312" i="14"/>
  <c r="M320" i="14"/>
  <c r="M328" i="14"/>
  <c r="M336" i="14"/>
  <c r="M344" i="14"/>
  <c r="M352" i="14"/>
  <c r="M360" i="14"/>
  <c r="M368" i="14"/>
  <c r="M376" i="14"/>
  <c r="M384" i="14"/>
  <c r="M392" i="14"/>
  <c r="M400" i="14"/>
  <c r="M408" i="14"/>
  <c r="M416" i="14"/>
  <c r="M424" i="14"/>
  <c r="M432" i="14"/>
  <c r="M440" i="14"/>
  <c r="M448" i="14"/>
  <c r="M456" i="14"/>
  <c r="M465" i="14"/>
  <c r="M473" i="14"/>
  <c r="M481" i="14"/>
  <c r="M489" i="14"/>
  <c r="M497" i="14"/>
  <c r="M505" i="14"/>
  <c r="M513" i="14"/>
  <c r="M521" i="14"/>
  <c r="M529" i="14"/>
  <c r="M536" i="14"/>
  <c r="M544" i="14"/>
  <c r="L553" i="14"/>
  <c r="L561" i="14"/>
  <c r="L569" i="14"/>
  <c r="L577" i="14"/>
  <c r="M696" i="14"/>
  <c r="M616" i="14"/>
  <c r="M576" i="14"/>
  <c r="M223" i="14"/>
  <c r="M8" i="14"/>
  <c r="M16" i="14"/>
  <c r="M25" i="14"/>
  <c r="M33" i="14"/>
  <c r="M41" i="14"/>
  <c r="M49" i="14"/>
  <c r="M65" i="14"/>
  <c r="M73" i="14"/>
  <c r="M81" i="14"/>
  <c r="M89" i="14"/>
  <c r="M97" i="14"/>
  <c r="M105" i="14"/>
  <c r="M113" i="14"/>
  <c r="M121" i="14"/>
  <c r="M129" i="14"/>
  <c r="M137" i="14"/>
  <c r="M145" i="14"/>
  <c r="M153" i="14"/>
  <c r="M161" i="14"/>
  <c r="M169" i="14"/>
  <c r="M177" i="14"/>
  <c r="M185" i="14"/>
  <c r="M193" i="14"/>
  <c r="M201" i="14"/>
  <c r="M209" i="14"/>
  <c r="M217" i="14"/>
  <c r="M225" i="14"/>
  <c r="M233" i="14"/>
  <c r="M241" i="14"/>
  <c r="M249" i="14"/>
  <c r="M257" i="14"/>
  <c r="M265" i="14"/>
  <c r="M695" i="14"/>
  <c r="M656" i="14"/>
  <c r="M611" i="14"/>
  <c r="M568" i="14"/>
  <c r="M450" i="14"/>
  <c r="L565" i="14"/>
  <c r="M372" i="14"/>
  <c r="M308" i="14"/>
  <c r="M266" i="14"/>
  <c r="M202" i="14"/>
  <c r="L277" i="14"/>
  <c r="M277" i="14"/>
  <c r="L285" i="14"/>
  <c r="M285" i="14"/>
  <c r="L293" i="14"/>
  <c r="M293" i="14"/>
  <c r="L301" i="14"/>
  <c r="M301" i="14"/>
  <c r="L309" i="14"/>
  <c r="M309" i="14"/>
  <c r="L317" i="14"/>
  <c r="M317" i="14"/>
  <c r="L325" i="14"/>
  <c r="M325" i="14"/>
  <c r="L333" i="14"/>
  <c r="M333" i="14"/>
  <c r="L341" i="14"/>
  <c r="M341" i="14"/>
  <c r="L349" i="14"/>
  <c r="M349" i="14"/>
  <c r="L357" i="14"/>
  <c r="M357" i="14"/>
  <c r="L365" i="14"/>
  <c r="M365" i="14"/>
  <c r="L381" i="14"/>
  <c r="M381" i="14"/>
  <c r="L389" i="14"/>
  <c r="M389" i="14"/>
  <c r="L397" i="14"/>
  <c r="M397" i="14"/>
  <c r="L405" i="14"/>
  <c r="M405" i="14"/>
  <c r="L413" i="14"/>
  <c r="M413" i="14"/>
  <c r="L421" i="14"/>
  <c r="M421" i="14"/>
  <c r="L429" i="14"/>
  <c r="M429" i="14"/>
  <c r="L437" i="14"/>
  <c r="M437" i="14"/>
  <c r="L445" i="14"/>
  <c r="M445" i="14"/>
  <c r="L453" i="14"/>
  <c r="M453" i="14"/>
  <c r="L462" i="14"/>
  <c r="M462" i="14"/>
  <c r="L470" i="14"/>
  <c r="M470" i="14"/>
  <c r="L478" i="14"/>
  <c r="M478" i="14"/>
  <c r="L486" i="14"/>
  <c r="M486" i="14"/>
  <c r="L494" i="14"/>
  <c r="M494" i="14"/>
  <c r="L502" i="14"/>
  <c r="M502" i="14"/>
  <c r="L510" i="14"/>
  <c r="M510" i="14"/>
  <c r="L518" i="14"/>
  <c r="M518" i="14"/>
  <c r="L526" i="14"/>
  <c r="M526" i="14"/>
  <c r="L533" i="14"/>
  <c r="M533" i="14"/>
  <c r="L541" i="14"/>
  <c r="M541" i="14"/>
  <c r="L550" i="14"/>
  <c r="M550" i="14"/>
  <c r="L558" i="14"/>
  <c r="M558" i="14"/>
  <c r="L566" i="14"/>
  <c r="M566" i="14"/>
  <c r="L574" i="14"/>
  <c r="M574" i="14"/>
  <c r="L582" i="14"/>
  <c r="M582" i="14"/>
  <c r="L590" i="14"/>
  <c r="M590" i="14"/>
  <c r="L598" i="14"/>
  <c r="M598" i="14"/>
  <c r="L606" i="14"/>
  <c r="M606" i="14"/>
  <c r="L614" i="14"/>
  <c r="M614" i="14"/>
  <c r="L622" i="14"/>
  <c r="M622" i="14"/>
  <c r="L630" i="14"/>
  <c r="M630" i="14"/>
  <c r="L638" i="14"/>
  <c r="M638" i="14"/>
  <c r="L646" i="14"/>
  <c r="M646" i="14"/>
  <c r="L654" i="14"/>
  <c r="M654" i="14"/>
  <c r="L662" i="14"/>
  <c r="M662" i="14"/>
  <c r="L670" i="14"/>
  <c r="M670" i="14"/>
  <c r="L678" i="14"/>
  <c r="M678" i="14"/>
  <c r="M718" i="14"/>
  <c r="M710" i="14"/>
  <c r="M702" i="14"/>
  <c r="M694" i="14"/>
  <c r="M686" i="14"/>
  <c r="M673" i="14"/>
  <c r="M657" i="14"/>
  <c r="M641" i="14"/>
  <c r="M625" i="14"/>
  <c r="M609" i="14"/>
  <c r="M593" i="14"/>
  <c r="M577" i="14"/>
  <c r="M561" i="14"/>
  <c r="M412" i="14"/>
  <c r="M348" i="14"/>
  <c r="M284" i="14"/>
  <c r="M242" i="14"/>
  <c r="M178" i="14"/>
  <c r="M717" i="14"/>
  <c r="M709" i="14"/>
  <c r="M701" i="14"/>
  <c r="M693" i="14"/>
  <c r="M685" i="14"/>
  <c r="M410" i="14"/>
  <c r="M388" i="14"/>
  <c r="M346" i="14"/>
  <c r="M324" i="14"/>
  <c r="M282" i="14"/>
  <c r="M218" i="14"/>
  <c r="M716" i="14"/>
  <c r="M708" i="14"/>
  <c r="M700" i="14"/>
  <c r="M692" i="14"/>
  <c r="M669" i="14"/>
  <c r="M653" i="14"/>
  <c r="M637" i="14"/>
  <c r="M621" i="14"/>
  <c r="M605" i="14"/>
  <c r="M589" i="14"/>
  <c r="M573" i="14"/>
  <c r="M557" i="14"/>
  <c r="M540" i="14"/>
  <c r="M525" i="14"/>
  <c r="M509" i="14"/>
  <c r="M493" i="14"/>
  <c r="M477" i="14"/>
  <c r="M461" i="14"/>
  <c r="M444" i="14"/>
  <c r="M428" i="14"/>
  <c r="M386" i="14"/>
  <c r="M364" i="14"/>
  <c r="M322" i="14"/>
  <c r="M300" i="14"/>
  <c r="M258" i="14"/>
  <c r="M194" i="14"/>
  <c r="M715" i="14"/>
  <c r="M707" i="14"/>
  <c r="M699" i="14"/>
  <c r="M691" i="14"/>
  <c r="M683" i="14"/>
  <c r="M667" i="14"/>
  <c r="M651" i="14"/>
  <c r="M635" i="14"/>
  <c r="M619" i="14"/>
  <c r="M603" i="14"/>
  <c r="M587" i="14"/>
  <c r="M571" i="14"/>
  <c r="M555" i="14"/>
  <c r="M538" i="14"/>
  <c r="M507" i="14"/>
  <c r="M491" i="14"/>
  <c r="M475" i="14"/>
  <c r="M459" i="14"/>
  <c r="M442" i="14"/>
  <c r="M426" i="14"/>
  <c r="M404" i="14"/>
  <c r="M362" i="14"/>
  <c r="M340" i="14"/>
  <c r="M298" i="14"/>
  <c r="M234" i="14"/>
  <c r="M170" i="14"/>
  <c r="L57" i="14"/>
  <c r="M57" i="14"/>
  <c r="M714" i="14"/>
  <c r="M706" i="14"/>
  <c r="M698" i="14"/>
  <c r="M690" i="14"/>
  <c r="M681" i="14"/>
  <c r="M665" i="14"/>
  <c r="M649" i="14"/>
  <c r="M633" i="14"/>
  <c r="M617" i="14"/>
  <c r="M601" i="14"/>
  <c r="M585" i="14"/>
  <c r="M569" i="14"/>
  <c r="M553" i="14"/>
  <c r="M402" i="14"/>
  <c r="M380" i="14"/>
  <c r="M338" i="14"/>
  <c r="M316" i="14"/>
  <c r="M274" i="14"/>
  <c r="M210" i="14"/>
  <c r="L9" i="14"/>
  <c r="M9" i="14"/>
  <c r="L17" i="14"/>
  <c r="M17" i="14"/>
  <c r="L26" i="14"/>
  <c r="M26" i="14"/>
  <c r="L34" i="14"/>
  <c r="M34" i="14"/>
  <c r="L42" i="14"/>
  <c r="M42" i="14"/>
  <c r="L50" i="14"/>
  <c r="M50" i="14"/>
  <c r="L66" i="14"/>
  <c r="M66" i="14"/>
  <c r="L74" i="14"/>
  <c r="M74" i="14"/>
  <c r="L82" i="14"/>
  <c r="M82" i="14"/>
  <c r="L90" i="14"/>
  <c r="M90" i="14"/>
  <c r="L98" i="14"/>
  <c r="M98" i="14"/>
  <c r="L106" i="14"/>
  <c r="M106" i="14"/>
  <c r="L114" i="14"/>
  <c r="M114" i="14"/>
  <c r="L122" i="14"/>
  <c r="M122" i="14"/>
  <c r="L130" i="14"/>
  <c r="M130" i="14"/>
  <c r="L138" i="14"/>
  <c r="M138" i="14"/>
  <c r="L146" i="14"/>
  <c r="M146" i="14"/>
  <c r="M713" i="14"/>
  <c r="M705" i="14"/>
  <c r="M697" i="14"/>
  <c r="M689" i="14"/>
  <c r="M420" i="14"/>
  <c r="M378" i="14"/>
  <c r="M356" i="14"/>
  <c r="M314" i="14"/>
  <c r="M292" i="14"/>
  <c r="M250" i="14"/>
  <c r="M186" i="14"/>
  <c r="M162" i="14"/>
  <c r="L636" i="14"/>
  <c r="M636" i="14"/>
  <c r="L644" i="14"/>
  <c r="M644" i="14"/>
  <c r="L652" i="14"/>
  <c r="M652" i="14"/>
  <c r="L660" i="14"/>
  <c r="M660" i="14"/>
  <c r="L668" i="14"/>
  <c r="M668" i="14"/>
  <c r="L676" i="14"/>
  <c r="M676" i="14"/>
  <c r="M677" i="14"/>
  <c r="M661" i="14"/>
  <c r="M645" i="14"/>
  <c r="M629" i="14"/>
  <c r="M613" i="14"/>
  <c r="M597" i="14"/>
  <c r="M581" i="14"/>
  <c r="M549" i="14"/>
  <c r="M532" i="14"/>
  <c r="M517" i="14"/>
  <c r="M501" i="14"/>
  <c r="M469" i="14"/>
  <c r="M452" i="14"/>
  <c r="M436" i="14"/>
  <c r="M418" i="14"/>
  <c r="M396" i="14"/>
  <c r="M354" i="14"/>
  <c r="M332" i="14"/>
  <c r="M290" i="14"/>
  <c r="M226" i="14"/>
  <c r="M154" i="14"/>
  <c r="L78" i="14"/>
  <c r="L14" i="14"/>
  <c r="L111" i="14"/>
  <c r="L8" i="14"/>
  <c r="L16" i="14"/>
  <c r="L25" i="14"/>
  <c r="L33" i="14"/>
  <c r="L41" i="14"/>
  <c r="L49" i="14"/>
  <c r="L65" i="14"/>
  <c r="L73" i="14"/>
  <c r="L81" i="14"/>
  <c r="L89" i="14"/>
  <c r="L97" i="14"/>
  <c r="L105" i="14"/>
  <c r="L113" i="14"/>
  <c r="L121" i="14"/>
  <c r="L129" i="14"/>
  <c r="L137" i="14"/>
  <c r="L145" i="14"/>
  <c r="L153" i="14"/>
  <c r="L161" i="14"/>
  <c r="L169" i="14"/>
  <c r="L177" i="14"/>
  <c r="L185" i="14"/>
  <c r="L193" i="14"/>
  <c r="L201" i="14"/>
  <c r="L209" i="14"/>
  <c r="L217" i="14"/>
  <c r="L225" i="14"/>
  <c r="L233" i="14"/>
  <c r="L241" i="14"/>
  <c r="L249" i="14"/>
  <c r="L257" i="14"/>
  <c r="L265" i="14"/>
  <c r="L273" i="14"/>
  <c r="L281" i="14"/>
  <c r="L289" i="14"/>
  <c r="L297" i="14"/>
  <c r="L305" i="14"/>
  <c r="L313" i="14"/>
  <c r="L321" i="14"/>
  <c r="L337" i="14"/>
  <c r="L345" i="14"/>
  <c r="L353" i="14"/>
  <c r="L361" i="14"/>
  <c r="L369" i="14"/>
  <c r="L377" i="14"/>
  <c r="L385" i="14"/>
  <c r="L393" i="14"/>
  <c r="L401" i="14"/>
  <c r="L409" i="14"/>
  <c r="L417" i="14"/>
  <c r="L425" i="14"/>
  <c r="L433" i="14"/>
  <c r="L441" i="14"/>
  <c r="L449" i="14"/>
  <c r="L458" i="14"/>
  <c r="L466" i="14"/>
  <c r="L474" i="14"/>
  <c r="L482" i="14"/>
  <c r="L490" i="14"/>
  <c r="L498" i="14"/>
  <c r="L506" i="14"/>
  <c r="L514" i="14"/>
  <c r="L522" i="14"/>
  <c r="L530" i="14"/>
  <c r="L537" i="14"/>
  <c r="L545" i="14"/>
  <c r="L554" i="14"/>
  <c r="L562" i="14"/>
  <c r="L570" i="14"/>
  <c r="L578" i="14"/>
  <c r="L586" i="14"/>
  <c r="L594" i="14"/>
  <c r="L602" i="14"/>
  <c r="L610" i="14"/>
  <c r="L618" i="14"/>
  <c r="L626" i="14"/>
  <c r="L634" i="14"/>
  <c r="L642" i="14"/>
  <c r="L650" i="14"/>
  <c r="L658" i="14"/>
  <c r="L666" i="14"/>
  <c r="L674" i="14"/>
  <c r="L682" i="14"/>
  <c r="L485" i="14"/>
  <c r="L546" i="14"/>
  <c r="L467" i="14"/>
  <c r="L2" i="14"/>
  <c r="L10" i="14"/>
  <c r="L19" i="14"/>
  <c r="L27" i="14"/>
  <c r="L35" i="14"/>
  <c r="L43" i="14"/>
  <c r="L51" i="14"/>
  <c r="L59" i="14"/>
  <c r="L67" i="14"/>
  <c r="L75" i="14"/>
  <c r="L83" i="14"/>
  <c r="L91" i="14"/>
  <c r="L99" i="14"/>
  <c r="L107" i="14"/>
  <c r="L123" i="14"/>
  <c r="L131" i="14"/>
  <c r="L139" i="14"/>
  <c r="L147" i="14"/>
  <c r="L155" i="14"/>
  <c r="L163" i="14"/>
  <c r="L171" i="14"/>
  <c r="L179" i="14"/>
  <c r="L187" i="14"/>
  <c r="L195" i="14"/>
  <c r="L203" i="14"/>
  <c r="L211" i="14"/>
  <c r="L219" i="14"/>
  <c r="L227" i="14"/>
  <c r="L235" i="14"/>
  <c r="L243" i="14"/>
  <c r="L251" i="14"/>
  <c r="L259" i="14"/>
  <c r="L267" i="14"/>
  <c r="L283" i="14"/>
  <c r="L291" i="14"/>
  <c r="L299" i="14"/>
  <c r="L307" i="14"/>
  <c r="L315" i="14"/>
  <c r="L323" i="14"/>
  <c r="L331" i="14"/>
  <c r="L339" i="14"/>
  <c r="L347" i="14"/>
  <c r="L355" i="14"/>
  <c r="L363" i="14"/>
  <c r="L371" i="14"/>
  <c r="L379" i="14"/>
  <c r="L387" i="14"/>
  <c r="L395" i="14"/>
  <c r="L403" i="14"/>
  <c r="L411" i="14"/>
  <c r="L419" i="14"/>
  <c r="L427" i="14"/>
  <c r="L435" i="14"/>
  <c r="L443" i="14"/>
  <c r="L451" i="14"/>
  <c r="L460" i="14"/>
  <c r="L468" i="14"/>
  <c r="L476" i="14"/>
  <c r="L484" i="14"/>
  <c r="L492" i="14"/>
  <c r="L500" i="14"/>
  <c r="L508" i="14"/>
  <c r="L516" i="14"/>
  <c r="L524" i="14"/>
  <c r="L539" i="14"/>
  <c r="L548" i="14"/>
  <c r="L556" i="14"/>
  <c r="L564" i="14"/>
  <c r="L572" i="14"/>
  <c r="L580" i="14"/>
  <c r="L588" i="14"/>
  <c r="L596" i="14"/>
  <c r="L604" i="14"/>
  <c r="L612" i="14"/>
  <c r="L620" i="14"/>
  <c r="L628" i="14"/>
  <c r="L370" i="14"/>
  <c r="L58" i="14"/>
  <c r="L3" i="14"/>
  <c r="L11" i="14"/>
  <c r="L20" i="14"/>
  <c r="L28" i="14"/>
  <c r="L36" i="14"/>
  <c r="L44" i="14"/>
  <c r="L52" i="14"/>
  <c r="L60" i="14"/>
  <c r="L68" i="14"/>
  <c r="L76" i="14"/>
  <c r="L84" i="14"/>
  <c r="L92" i="14"/>
  <c r="L100" i="14"/>
  <c r="L108" i="14"/>
  <c r="L116" i="14"/>
  <c r="L124" i="14"/>
  <c r="L132" i="14"/>
  <c r="L140" i="14"/>
  <c r="L148" i="14"/>
  <c r="L156" i="14"/>
  <c r="L164" i="14"/>
  <c r="L172" i="14"/>
  <c r="L180" i="14"/>
  <c r="L188" i="14"/>
  <c r="L196" i="14"/>
  <c r="L204" i="14"/>
  <c r="L212" i="14"/>
  <c r="L220" i="14"/>
  <c r="L228" i="14"/>
  <c r="L236" i="14"/>
  <c r="L244" i="14"/>
  <c r="L252" i="14"/>
  <c r="L260" i="14"/>
  <c r="L268" i="14"/>
  <c r="L276" i="14"/>
  <c r="L709" i="14"/>
  <c r="L306" i="14"/>
  <c r="L4" i="14"/>
  <c r="L12" i="14"/>
  <c r="L21" i="14"/>
  <c r="L29" i="14"/>
  <c r="L37" i="14"/>
  <c r="L45" i="14"/>
  <c r="L53" i="14"/>
  <c r="L61" i="14"/>
  <c r="L69" i="14"/>
  <c r="L77" i="14"/>
  <c r="L85" i="14"/>
  <c r="L93" i="14"/>
  <c r="L101" i="14"/>
  <c r="L109" i="14"/>
  <c r="L117" i="14"/>
  <c r="L125" i="14"/>
  <c r="L133" i="14"/>
  <c r="L141" i="14"/>
  <c r="L149" i="14"/>
  <c r="L157" i="14"/>
  <c r="L165" i="14"/>
  <c r="L173" i="14"/>
  <c r="L181" i="14"/>
  <c r="L189" i="14"/>
  <c r="L197" i="14"/>
  <c r="L205" i="14"/>
  <c r="L213" i="14"/>
  <c r="L221" i="14"/>
  <c r="L229" i="14"/>
  <c r="L237" i="14"/>
  <c r="L245" i="14"/>
  <c r="L253" i="14"/>
  <c r="L261" i="14"/>
  <c r="L269" i="14"/>
  <c r="L659" i="14"/>
  <c r="L5" i="14"/>
  <c r="L13" i="14"/>
  <c r="L22" i="14"/>
  <c r="L38" i="14"/>
  <c r="L46" i="14"/>
  <c r="L54" i="14"/>
  <c r="L62" i="14"/>
  <c r="L86" i="14"/>
  <c r="L94" i="14"/>
  <c r="L102" i="14"/>
  <c r="L110" i="14"/>
  <c r="L118" i="14"/>
  <c r="L126" i="14"/>
  <c r="L134" i="14"/>
  <c r="L142" i="14"/>
  <c r="L150" i="14"/>
  <c r="L158" i="14"/>
  <c r="L166" i="14"/>
  <c r="L174" i="14"/>
  <c r="L182" i="14"/>
  <c r="L190" i="14"/>
  <c r="L198" i="14"/>
  <c r="L206" i="14"/>
  <c r="L214" i="14"/>
  <c r="L222" i="14"/>
  <c r="L230" i="14"/>
  <c r="L238" i="14"/>
  <c r="L246" i="14"/>
  <c r="L254" i="14"/>
  <c r="L262" i="14"/>
  <c r="L270" i="14"/>
  <c r="L278" i="14"/>
  <c r="L286" i="14"/>
  <c r="L294" i="14"/>
  <c r="L302" i="14"/>
  <c r="L310" i="14"/>
  <c r="L318" i="14"/>
  <c r="L326" i="14"/>
  <c r="L334" i="14"/>
  <c r="L342" i="14"/>
  <c r="L350" i="14"/>
  <c r="L358" i="14"/>
  <c r="L366" i="14"/>
  <c r="L374" i="14"/>
  <c r="L382" i="14"/>
  <c r="L390" i="14"/>
  <c r="L406" i="14"/>
  <c r="L414" i="14"/>
  <c r="L422" i="14"/>
  <c r="L430" i="14"/>
  <c r="L438" i="14"/>
  <c r="L446" i="14"/>
  <c r="L454" i="14"/>
  <c r="L463" i="14"/>
  <c r="L471" i="14"/>
  <c r="L479" i="14"/>
  <c r="L487" i="14"/>
  <c r="L495" i="14"/>
  <c r="L503" i="14"/>
  <c r="L511" i="14"/>
  <c r="L519" i="14"/>
  <c r="L527" i="14"/>
  <c r="L534" i="14"/>
  <c r="L542" i="14"/>
  <c r="L551" i="14"/>
  <c r="L559" i="14"/>
  <c r="L567" i="14"/>
  <c r="L575" i="14"/>
  <c r="L583" i="14"/>
  <c r="L591" i="14"/>
  <c r="L599" i="14"/>
  <c r="L607" i="14"/>
  <c r="L615" i="14"/>
  <c r="L623" i="14"/>
  <c r="L631" i="14"/>
  <c r="L639" i="14"/>
  <c r="L647" i="14"/>
  <c r="L655" i="14"/>
  <c r="L663" i="14"/>
  <c r="L679" i="14"/>
  <c r="L30" i="14"/>
  <c r="L6" i="14"/>
  <c r="L31" i="14"/>
  <c r="L39" i="14"/>
  <c r="L55" i="14"/>
  <c r="L63" i="14"/>
  <c r="L71" i="14"/>
  <c r="L79" i="14"/>
  <c r="L87" i="14"/>
  <c r="L95" i="14"/>
  <c r="L103" i="14"/>
  <c r="L119" i="14"/>
  <c r="L135" i="14"/>
  <c r="L143" i="14"/>
  <c r="L151" i="14"/>
  <c r="L159" i="14"/>
  <c r="L167" i="14"/>
  <c r="L175" i="14"/>
  <c r="L183" i="14"/>
  <c r="L191" i="14"/>
  <c r="L199" i="14"/>
  <c r="L207" i="14"/>
  <c r="L215" i="14"/>
  <c r="L223" i="14"/>
  <c r="L231" i="14"/>
  <c r="L239" i="14"/>
  <c r="L247" i="14"/>
  <c r="L255" i="14"/>
  <c r="L263" i="14"/>
  <c r="L271" i="14"/>
  <c r="L279" i="14"/>
  <c r="L287" i="14"/>
  <c r="L295" i="14"/>
  <c r="L303" i="14"/>
  <c r="L311" i="14"/>
  <c r="L319" i="14"/>
  <c r="L327" i="14"/>
  <c r="L335" i="14"/>
  <c r="L343" i="14"/>
  <c r="L351" i="14"/>
  <c r="L359" i="14"/>
  <c r="L367" i="14"/>
  <c r="L375" i="14"/>
  <c r="L383" i="14"/>
  <c r="L391" i="14"/>
  <c r="L399" i="14"/>
  <c r="L407" i="14"/>
  <c r="L415" i="14"/>
  <c r="L423" i="14"/>
  <c r="L431" i="14"/>
  <c r="L439" i="14"/>
  <c r="L447" i="14"/>
  <c r="L455" i="14"/>
  <c r="L464" i="14"/>
  <c r="L472" i="14"/>
  <c r="L480" i="14"/>
  <c r="L488" i="14"/>
  <c r="L496" i="14"/>
  <c r="L504" i="14"/>
  <c r="L512" i="14"/>
  <c r="L520" i="14"/>
  <c r="L528" i="14"/>
  <c r="L535" i="14"/>
  <c r="L543" i="14"/>
  <c r="L552" i="14"/>
  <c r="L560" i="14"/>
  <c r="L568" i="14"/>
  <c r="L576" i="14"/>
  <c r="L584" i="14"/>
  <c r="L592" i="14"/>
  <c r="L600" i="14"/>
  <c r="L608" i="14"/>
  <c r="L616" i="14"/>
  <c r="L624" i="14"/>
  <c r="L632" i="14"/>
  <c r="L640" i="14"/>
  <c r="L648" i="14"/>
  <c r="L656" i="14"/>
  <c r="L664" i="14"/>
  <c r="L672" i="14"/>
  <c r="L680" i="14"/>
  <c r="L70" i="14"/>
  <c r="L23" i="14"/>
  <c r="L47" i="14"/>
  <c r="L127" i="14"/>
  <c r="L7" i="14"/>
  <c r="L15" i="14"/>
  <c r="L24" i="14"/>
  <c r="L32" i="14"/>
  <c r="L40" i="14"/>
  <c r="L48" i="14"/>
  <c r="L56" i="14"/>
  <c r="L64" i="14"/>
  <c r="L72" i="14"/>
  <c r="L80" i="14"/>
  <c r="L88" i="14"/>
  <c r="L96" i="14"/>
  <c r="L104" i="14"/>
  <c r="L112" i="14"/>
  <c r="L120" i="14"/>
  <c r="L128" i="14"/>
  <c r="L136" i="14"/>
  <c r="L144" i="14"/>
  <c r="L152" i="14"/>
  <c r="L160" i="14"/>
  <c r="L168" i="14"/>
  <c r="L176" i="14"/>
  <c r="L184" i="14"/>
  <c r="L192" i="14"/>
  <c r="L200" i="14"/>
  <c r="L208" i="14"/>
  <c r="L216" i="14"/>
  <c r="L224" i="14"/>
  <c r="L232" i="14"/>
  <c r="L240" i="14"/>
  <c r="L248" i="14"/>
  <c r="L256" i="14"/>
  <c r="L264" i="14"/>
  <c r="L272" i="14"/>
  <c r="L280" i="14"/>
  <c r="L288" i="14"/>
  <c r="L296" i="14"/>
  <c r="L304" i="14"/>
  <c r="L312" i="14"/>
  <c r="L320" i="14"/>
  <c r="L328" i="14"/>
  <c r="L336" i="14"/>
  <c r="L344" i="14"/>
  <c r="L352" i="14"/>
  <c r="L360" i="14"/>
  <c r="L368" i="14"/>
  <c r="L376" i="14"/>
  <c r="L384" i="14"/>
  <c r="L392" i="14"/>
  <c r="L400" i="14"/>
  <c r="L408" i="14"/>
  <c r="L416" i="14"/>
  <c r="L424" i="14"/>
  <c r="L432" i="14"/>
  <c r="L440" i="14"/>
  <c r="L448" i="14"/>
  <c r="L456" i="14"/>
  <c r="L465" i="14"/>
  <c r="L473" i="14"/>
  <c r="L481" i="14"/>
  <c r="L489" i="14"/>
  <c r="L497" i="14"/>
  <c r="L505" i="14"/>
  <c r="L513" i="14"/>
  <c r="L521" i="14"/>
  <c r="L529" i="14"/>
  <c r="L536" i="14"/>
  <c r="L544" i="14"/>
  <c r="L717" i="14"/>
  <c r="L701" i="14"/>
  <c r="L693" i="14"/>
  <c r="L716" i="14"/>
  <c r="L708" i="14"/>
  <c r="L700" i="14"/>
  <c r="L692" i="14"/>
  <c r="L715" i="14"/>
  <c r="L707" i="14"/>
  <c r="L699" i="14"/>
  <c r="L691" i="14"/>
  <c r="L714" i="14"/>
  <c r="L706" i="14"/>
  <c r="L698" i="14"/>
  <c r="L690" i="14"/>
  <c r="L713" i="14"/>
  <c r="L705" i="14"/>
  <c r="L697" i="14"/>
  <c r="L712" i="14"/>
  <c r="L704" i="14"/>
  <c r="L696" i="14"/>
  <c r="L711" i="14"/>
  <c r="L703" i="14"/>
  <c r="L695" i="14"/>
  <c r="L718" i="14"/>
  <c r="L710" i="14"/>
  <c r="L702" i="14"/>
  <c r="L694" i="14"/>
  <c r="L686" i="14"/>
  <c r="H689" i="14"/>
  <c r="H685" i="14"/>
  <c r="H686" i="14"/>
  <c r="H687" i="14"/>
  <c r="H688" i="14"/>
  <c r="H645" i="14"/>
  <c r="H653" i="14"/>
  <c r="H661" i="14"/>
  <c r="H669" i="14"/>
  <c r="H677" i="14"/>
  <c r="H597" i="14"/>
  <c r="H605" i="14"/>
  <c r="H613" i="14"/>
  <c r="H621" i="14"/>
  <c r="H629" i="14"/>
  <c r="H637" i="14"/>
  <c r="H309" i="14"/>
  <c r="H317" i="14"/>
  <c r="H325" i="14"/>
  <c r="H333" i="14"/>
  <c r="H341" i="14"/>
  <c r="H349" i="14"/>
  <c r="H357" i="14"/>
  <c r="H365" i="14"/>
  <c r="H381" i="14"/>
  <c r="H389" i="14"/>
  <c r="H397" i="14"/>
  <c r="H405" i="14"/>
  <c r="H413" i="14"/>
  <c r="H421" i="14"/>
  <c r="H429" i="14"/>
  <c r="H437" i="14"/>
  <c r="H445" i="14"/>
  <c r="H453" i="14"/>
  <c r="H462" i="14"/>
  <c r="H470" i="14"/>
  <c r="H478" i="14"/>
  <c r="H486" i="14"/>
  <c r="H494" i="14"/>
  <c r="H502" i="14"/>
  <c r="H510" i="14"/>
  <c r="H518" i="14"/>
  <c r="H526" i="14"/>
  <c r="H533" i="14"/>
  <c r="H541" i="14"/>
  <c r="H550" i="14"/>
  <c r="H558" i="14"/>
  <c r="H566" i="14"/>
  <c r="H574" i="14"/>
  <c r="H582" i="14"/>
  <c r="H590" i="14"/>
  <c r="H598" i="14"/>
  <c r="H614" i="14"/>
  <c r="H622" i="14"/>
  <c r="H630" i="14"/>
  <c r="H638" i="14"/>
  <c r="H646" i="14"/>
  <c r="H654" i="14"/>
  <c r="H662" i="14"/>
  <c r="H670" i="14"/>
  <c r="H678" i="14"/>
  <c r="H612" i="14"/>
  <c r="H620" i="14"/>
  <c r="H628" i="14"/>
  <c r="H636" i="14"/>
  <c r="H644" i="14"/>
  <c r="H652" i="14"/>
  <c r="H660" i="14"/>
  <c r="H668" i="14"/>
  <c r="H676" i="14"/>
  <c r="H204" i="14"/>
  <c r="H212" i="14"/>
  <c r="H220" i="14"/>
  <c r="H228" i="14"/>
  <c r="H236" i="14"/>
  <c r="H244" i="14"/>
  <c r="H252" i="14"/>
  <c r="H260" i="14"/>
  <c r="H268" i="14"/>
  <c r="H276" i="14"/>
  <c r="H284" i="14"/>
  <c r="H292" i="14"/>
  <c r="H300" i="14"/>
  <c r="H308" i="14"/>
  <c r="H316" i="14"/>
  <c r="H324" i="14"/>
  <c r="H332" i="14"/>
  <c r="H340" i="14"/>
  <c r="H348" i="14"/>
  <c r="H356" i="14"/>
  <c r="H364" i="14"/>
  <c r="H372" i="14"/>
  <c r="H380" i="14"/>
  <c r="H388" i="14"/>
  <c r="H396" i="14"/>
  <c r="H404" i="14"/>
  <c r="H412" i="14"/>
  <c r="H420" i="14"/>
  <c r="H428" i="14"/>
  <c r="H436" i="14"/>
  <c r="H444" i="14"/>
  <c r="H452" i="14"/>
  <c r="H461" i="14"/>
  <c r="H469" i="14"/>
  <c r="H477" i="14"/>
  <c r="H485" i="14"/>
  <c r="H493" i="14"/>
  <c r="H501" i="14"/>
  <c r="H509" i="14"/>
  <c r="H517" i="14"/>
  <c r="H525" i="14"/>
  <c r="H532" i="14"/>
  <c r="H540" i="14"/>
  <c r="H549" i="14"/>
  <c r="H557" i="14"/>
  <c r="H565" i="14"/>
  <c r="H573" i="14"/>
  <c r="H581" i="14"/>
  <c r="H589" i="14"/>
  <c r="H205" i="14"/>
  <c r="H213" i="14"/>
  <c r="H221" i="14"/>
  <c r="H229" i="14"/>
  <c r="H237" i="14"/>
  <c r="H245" i="14"/>
  <c r="H253" i="14"/>
  <c r="H261" i="14"/>
  <c r="H269" i="14"/>
  <c r="H277" i="14"/>
  <c r="H285" i="14"/>
  <c r="H293" i="14"/>
  <c r="H301" i="14"/>
  <c r="H623" i="14"/>
  <c r="H631" i="14"/>
  <c r="H639" i="14"/>
  <c r="H647" i="14"/>
  <c r="H655" i="14"/>
  <c r="H663" i="14"/>
  <c r="H679" i="14"/>
  <c r="H7" i="14"/>
  <c r="H15" i="14"/>
  <c r="H24" i="14"/>
  <c r="H32" i="14"/>
  <c r="H40" i="14"/>
  <c r="H48" i="14"/>
  <c r="H56" i="14"/>
  <c r="H64" i="14"/>
  <c r="H72" i="14"/>
  <c r="H80" i="14"/>
  <c r="H88" i="14"/>
  <c r="H96" i="14"/>
  <c r="H104" i="14"/>
  <c r="H112" i="14"/>
  <c r="H120" i="14"/>
  <c r="H128" i="14"/>
  <c r="H136" i="14"/>
  <c r="H144" i="14"/>
  <c r="H152" i="14"/>
  <c r="H160" i="14"/>
  <c r="H168" i="14"/>
  <c r="H176" i="14"/>
  <c r="H184" i="14"/>
  <c r="H192" i="14"/>
  <c r="H200" i="14"/>
  <c r="H208" i="14"/>
  <c r="H216" i="14"/>
  <c r="H224" i="14"/>
  <c r="H232" i="14"/>
  <c r="H240" i="14"/>
  <c r="H248" i="14"/>
  <c r="H256" i="14"/>
  <c r="H264" i="14"/>
  <c r="H272" i="14"/>
  <c r="H280" i="14"/>
  <c r="H288" i="14"/>
  <c r="H296" i="14"/>
  <c r="H304" i="14"/>
  <c r="H312" i="14"/>
  <c r="H320" i="14"/>
  <c r="H328" i="14"/>
  <c r="H336" i="14"/>
  <c r="H344" i="14"/>
  <c r="H352" i="14"/>
  <c r="H360" i="14"/>
  <c r="H368" i="14"/>
  <c r="H376" i="14"/>
  <c r="H384" i="14"/>
  <c r="H392" i="14"/>
  <c r="H400" i="14"/>
  <c r="H408" i="14"/>
  <c r="H416" i="14"/>
  <c r="H424" i="14"/>
  <c r="H432" i="14"/>
  <c r="H440" i="14"/>
  <c r="H448" i="14"/>
  <c r="H456" i="14"/>
  <c r="H465" i="14"/>
  <c r="H473" i="14"/>
  <c r="H481" i="14"/>
  <c r="H489" i="14"/>
  <c r="H497" i="14"/>
  <c r="H505" i="14"/>
  <c r="H513" i="14"/>
  <c r="H521" i="14"/>
  <c r="H529" i="14"/>
  <c r="H536" i="14"/>
  <c r="H544" i="14"/>
  <c r="H553" i="14"/>
  <c r="H561" i="14"/>
  <c r="H569" i="14"/>
  <c r="H577" i="14"/>
  <c r="H585" i="14"/>
  <c r="H593" i="14"/>
  <c r="H601" i="14"/>
  <c r="H609" i="14"/>
  <c r="H617" i="14"/>
  <c r="H625" i="14"/>
  <c r="H633" i="14"/>
  <c r="H641" i="14"/>
  <c r="H649" i="14"/>
  <c r="H657" i="14"/>
  <c r="H665" i="14"/>
  <c r="H673" i="14"/>
  <c r="H681" i="14"/>
  <c r="H2" i="14"/>
  <c r="H10" i="14"/>
  <c r="H19" i="14"/>
  <c r="H27" i="14"/>
  <c r="H35" i="14"/>
  <c r="H43" i="14"/>
  <c r="H51" i="14"/>
  <c r="H59" i="14"/>
  <c r="H67" i="14"/>
  <c r="H75" i="14"/>
  <c r="H83" i="14"/>
  <c r="H91" i="14"/>
  <c r="H99" i="14"/>
  <c r="H107" i="14"/>
  <c r="H123" i="14"/>
  <c r="H131" i="14"/>
  <c r="H139" i="14"/>
  <c r="H147" i="14"/>
  <c r="H155" i="14"/>
  <c r="H163" i="14"/>
  <c r="H171" i="14"/>
  <c r="H179" i="14"/>
  <c r="H187" i="14"/>
  <c r="H195" i="14"/>
  <c r="H203" i="14"/>
  <c r="H211" i="14"/>
  <c r="H219" i="14"/>
  <c r="H227" i="14"/>
  <c r="H235" i="14"/>
  <c r="H243" i="14"/>
  <c r="H251" i="14"/>
  <c r="H259" i="14"/>
  <c r="H267" i="14"/>
  <c r="H283" i="14"/>
  <c r="H291" i="14"/>
  <c r="H299" i="14"/>
  <c r="H307" i="14"/>
  <c r="H315" i="14"/>
  <c r="H323" i="14"/>
  <c r="H331" i="14"/>
  <c r="H339" i="14"/>
  <c r="H347" i="14"/>
  <c r="H355" i="14"/>
  <c r="H363" i="14"/>
  <c r="H371" i="14"/>
  <c r="H379" i="14"/>
  <c r="H387" i="14"/>
  <c r="H395" i="14"/>
  <c r="H403" i="14"/>
  <c r="H411" i="14"/>
  <c r="H419" i="14"/>
  <c r="H427" i="14"/>
  <c r="H435" i="14"/>
  <c r="H443" i="14"/>
  <c r="H451" i="14"/>
  <c r="H460" i="14"/>
  <c r="H468" i="14"/>
  <c r="H476" i="14"/>
  <c r="H484" i="14"/>
  <c r="H492" i="14"/>
  <c r="H500" i="14"/>
  <c r="H508" i="14"/>
  <c r="H516" i="14"/>
  <c r="H524" i="14"/>
  <c r="H531" i="14"/>
  <c r="H539" i="14"/>
  <c r="H548" i="14"/>
  <c r="H556" i="14"/>
  <c r="H564" i="14"/>
  <c r="H572" i="14"/>
  <c r="H580" i="14"/>
  <c r="H588" i="14"/>
  <c r="H596" i="14"/>
  <c r="H604" i="14"/>
  <c r="H3" i="14"/>
  <c r="H11" i="14"/>
  <c r="H20" i="14"/>
  <c r="H28" i="14"/>
  <c r="H36" i="14"/>
  <c r="H44" i="14"/>
  <c r="H52" i="14"/>
  <c r="H60" i="14"/>
  <c r="H68" i="14"/>
  <c r="H76" i="14"/>
  <c r="H84" i="14"/>
  <c r="H92" i="14"/>
  <c r="H100" i="14"/>
  <c r="H108" i="14"/>
  <c r="H116" i="14"/>
  <c r="H124" i="14"/>
  <c r="H132" i="14"/>
  <c r="H140" i="14"/>
  <c r="H148" i="14"/>
  <c r="H156" i="14"/>
  <c r="H164" i="14"/>
  <c r="H172" i="14"/>
  <c r="H180" i="14"/>
  <c r="H188" i="14"/>
  <c r="H196" i="14"/>
  <c r="H698" i="14"/>
  <c r="H4" i="14"/>
  <c r="H12" i="14"/>
  <c r="H21" i="14"/>
  <c r="H29" i="14"/>
  <c r="H37" i="14"/>
  <c r="H45" i="14"/>
  <c r="H53" i="14"/>
  <c r="H61" i="14"/>
  <c r="H69" i="14"/>
  <c r="H77" i="14"/>
  <c r="H85" i="14"/>
  <c r="H93" i="14"/>
  <c r="H101" i="14"/>
  <c r="H109" i="14"/>
  <c r="H117" i="14"/>
  <c r="H125" i="14"/>
  <c r="H133" i="14"/>
  <c r="H141" i="14"/>
  <c r="H149" i="14"/>
  <c r="H157" i="14"/>
  <c r="H165" i="14"/>
  <c r="H173" i="14"/>
  <c r="H181" i="14"/>
  <c r="H189" i="14"/>
  <c r="H197" i="14"/>
  <c r="H690" i="14"/>
  <c r="H5" i="14"/>
  <c r="H13" i="14"/>
  <c r="H22" i="14"/>
  <c r="H30" i="14"/>
  <c r="H38" i="14"/>
  <c r="H46" i="14"/>
  <c r="H54" i="14"/>
  <c r="H62" i="14"/>
  <c r="H70" i="14"/>
  <c r="H78" i="14"/>
  <c r="H86" i="14"/>
  <c r="H94" i="14"/>
  <c r="H102" i="14"/>
  <c r="H110" i="14"/>
  <c r="H118" i="14"/>
  <c r="H126" i="14"/>
  <c r="H134" i="14"/>
  <c r="H142" i="14"/>
  <c r="H150" i="14"/>
  <c r="H158" i="14"/>
  <c r="H166" i="14"/>
  <c r="H174" i="14"/>
  <c r="H182" i="14"/>
  <c r="H190" i="14"/>
  <c r="H198" i="14"/>
  <c r="H206" i="14"/>
  <c r="H214" i="14"/>
  <c r="H222" i="14"/>
  <c r="H230" i="14"/>
  <c r="H238" i="14"/>
  <c r="H246" i="14"/>
  <c r="H254" i="14"/>
  <c r="H262" i="14"/>
  <c r="H270" i="14"/>
  <c r="H278" i="14"/>
  <c r="H286" i="14"/>
  <c r="H294" i="14"/>
  <c r="H302" i="14"/>
  <c r="H310" i="14"/>
  <c r="H318" i="14"/>
  <c r="H326" i="14"/>
  <c r="H334" i="14"/>
  <c r="H342" i="14"/>
  <c r="H350" i="14"/>
  <c r="H358" i="14"/>
  <c r="H366" i="14"/>
  <c r="H374" i="14"/>
  <c r="H382" i="14"/>
  <c r="H390" i="14"/>
  <c r="H406" i="14"/>
  <c r="H414" i="14"/>
  <c r="H422" i="14"/>
  <c r="H430" i="14"/>
  <c r="H438" i="14"/>
  <c r="H446" i="14"/>
  <c r="H454" i="14"/>
  <c r="H463" i="14"/>
  <c r="H471" i="14"/>
  <c r="H479" i="14"/>
  <c r="H487" i="14"/>
  <c r="H495" i="14"/>
  <c r="H503" i="14"/>
  <c r="H511" i="14"/>
  <c r="H519" i="14"/>
  <c r="H527" i="14"/>
  <c r="H534" i="14"/>
  <c r="H542" i="14"/>
  <c r="H551" i="14"/>
  <c r="H559" i="14"/>
  <c r="H567" i="14"/>
  <c r="H575" i="14"/>
  <c r="H583" i="14"/>
  <c r="H591" i="14"/>
  <c r="H599" i="14"/>
  <c r="H607" i="14"/>
  <c r="H615" i="14"/>
  <c r="H6" i="14"/>
  <c r="H14" i="14"/>
  <c r="H23" i="14"/>
  <c r="H31" i="14"/>
  <c r="H39" i="14"/>
  <c r="H47" i="14"/>
  <c r="H55" i="14"/>
  <c r="H63" i="14"/>
  <c r="H71" i="14"/>
  <c r="H79" i="14"/>
  <c r="H87" i="14"/>
  <c r="H95" i="14"/>
  <c r="H103" i="14"/>
  <c r="H111" i="14"/>
  <c r="H119" i="14"/>
  <c r="H127" i="14"/>
  <c r="H135" i="14"/>
  <c r="H143" i="14"/>
  <c r="H151" i="14"/>
  <c r="H159" i="14"/>
  <c r="H167" i="14"/>
  <c r="H175" i="14"/>
  <c r="H183" i="14"/>
  <c r="H191" i="14"/>
  <c r="H199" i="14"/>
  <c r="H207" i="14"/>
  <c r="H215" i="14"/>
  <c r="H223" i="14"/>
  <c r="H231" i="14"/>
  <c r="H247" i="14"/>
  <c r="H255" i="14"/>
  <c r="H263" i="14"/>
  <c r="H271" i="14"/>
  <c r="H279" i="14"/>
  <c r="H287" i="14"/>
  <c r="H295" i="14"/>
  <c r="H303" i="14"/>
  <c r="H311" i="14"/>
  <c r="H319" i="14"/>
  <c r="H327" i="14"/>
  <c r="H335" i="14"/>
  <c r="H343" i="14"/>
  <c r="H351" i="14"/>
  <c r="H359" i="14"/>
  <c r="H367" i="14"/>
  <c r="H375" i="14"/>
  <c r="H383" i="14"/>
  <c r="H391" i="14"/>
  <c r="H399" i="14"/>
  <c r="H407" i="14"/>
  <c r="H415" i="14"/>
  <c r="H423" i="14"/>
  <c r="H431" i="14"/>
  <c r="H439" i="14"/>
  <c r="H447" i="14"/>
  <c r="H455" i="14"/>
  <c r="H464" i="14"/>
  <c r="H472" i="14"/>
  <c r="H480" i="14"/>
  <c r="H488" i="14"/>
  <c r="H496" i="14"/>
  <c r="H504" i="14"/>
  <c r="H512" i="14"/>
  <c r="H520" i="14"/>
  <c r="H528" i="14"/>
  <c r="H535" i="14"/>
  <c r="H543" i="14"/>
  <c r="H552" i="14"/>
  <c r="H560" i="14"/>
  <c r="H568" i="14"/>
  <c r="H576" i="14"/>
  <c r="H584" i="14"/>
  <c r="H600" i="14"/>
  <c r="H608" i="14"/>
  <c r="H616" i="14"/>
  <c r="H624" i="14"/>
  <c r="H632" i="14"/>
  <c r="H640" i="14"/>
  <c r="H648" i="14"/>
  <c r="H656" i="14"/>
  <c r="H664" i="14"/>
  <c r="H672" i="14"/>
  <c r="H680" i="14"/>
  <c r="H606" i="14"/>
  <c r="H592" i="14"/>
  <c r="H8" i="14"/>
  <c r="H16" i="14"/>
  <c r="H25" i="14"/>
  <c r="H33" i="14"/>
  <c r="H41" i="14"/>
  <c r="H49" i="14"/>
  <c r="H57" i="14"/>
  <c r="H65" i="14"/>
  <c r="H73" i="14"/>
  <c r="H81" i="14"/>
  <c r="H89" i="14"/>
  <c r="H97" i="14"/>
  <c r="H105" i="14"/>
  <c r="H113" i="14"/>
  <c r="H121" i="14"/>
  <c r="H129" i="14"/>
  <c r="H137" i="14"/>
  <c r="H145" i="14"/>
  <c r="H153" i="14"/>
  <c r="H161" i="14"/>
  <c r="H169" i="14"/>
  <c r="H177" i="14"/>
  <c r="H185" i="14"/>
  <c r="H193" i="14"/>
  <c r="H201" i="14"/>
  <c r="H209" i="14"/>
  <c r="H217" i="14"/>
  <c r="H225" i="14"/>
  <c r="H233" i="14"/>
  <c r="H241" i="14"/>
  <c r="H249" i="14"/>
  <c r="H257" i="14"/>
  <c r="H265" i="14"/>
  <c r="H273" i="14"/>
  <c r="H281" i="14"/>
  <c r="H289" i="14"/>
  <c r="H297" i="14"/>
  <c r="H305" i="14"/>
  <c r="H313" i="14"/>
  <c r="H321" i="14"/>
  <c r="H337" i="14"/>
  <c r="H345" i="14"/>
  <c r="H353" i="14"/>
  <c r="H361" i="14"/>
  <c r="H369" i="14"/>
  <c r="H377" i="14"/>
  <c r="H385" i="14"/>
  <c r="H393" i="14"/>
  <c r="H401" i="14"/>
  <c r="H409" i="14"/>
  <c r="H417" i="14"/>
  <c r="H425" i="14"/>
  <c r="H433" i="14"/>
  <c r="H441" i="14"/>
  <c r="H449" i="14"/>
  <c r="H458" i="14"/>
  <c r="H466" i="14"/>
  <c r="H474" i="14"/>
  <c r="H482" i="14"/>
  <c r="H490" i="14"/>
  <c r="H498" i="14"/>
  <c r="H506" i="14"/>
  <c r="H514" i="14"/>
  <c r="H522" i="14"/>
  <c r="H530" i="14"/>
  <c r="H537" i="14"/>
  <c r="H545" i="14"/>
  <c r="H554" i="14"/>
  <c r="H562" i="14"/>
  <c r="H570" i="14"/>
  <c r="H578" i="14"/>
  <c r="H586" i="14"/>
  <c r="H594" i="14"/>
  <c r="H602" i="14"/>
  <c r="H610" i="14"/>
  <c r="H618" i="14"/>
  <c r="H626" i="14"/>
  <c r="H634" i="14"/>
  <c r="H642" i="14"/>
  <c r="H650" i="14"/>
  <c r="H658" i="14"/>
  <c r="H666" i="14"/>
  <c r="H674" i="14"/>
  <c r="H682" i="14"/>
  <c r="H239" i="14"/>
  <c r="H9" i="14"/>
  <c r="H17" i="14"/>
  <c r="H26" i="14"/>
  <c r="H34" i="14"/>
  <c r="H42" i="14"/>
  <c r="H50" i="14"/>
  <c r="H58" i="14"/>
  <c r="H66" i="14"/>
  <c r="H74" i="14"/>
  <c r="H82" i="14"/>
  <c r="H90" i="14"/>
  <c r="H98" i="14"/>
  <c r="H106" i="14"/>
  <c r="H114" i="14"/>
  <c r="H122" i="14"/>
  <c r="H130" i="14"/>
  <c r="H138" i="14"/>
  <c r="H146" i="14"/>
  <c r="H154" i="14"/>
  <c r="H162" i="14"/>
  <c r="H170" i="14"/>
  <c r="H178" i="14"/>
  <c r="H186" i="14"/>
  <c r="H194" i="14"/>
  <c r="H202" i="14"/>
  <c r="H210" i="14"/>
  <c r="H218" i="14"/>
  <c r="H226" i="14"/>
  <c r="H234" i="14"/>
  <c r="H242" i="14"/>
  <c r="H250" i="14"/>
  <c r="H258" i="14"/>
  <c r="H266" i="14"/>
  <c r="H274" i="14"/>
  <c r="H282" i="14"/>
  <c r="H290" i="14"/>
  <c r="H298" i="14"/>
  <c r="H306" i="14"/>
  <c r="H314" i="14"/>
  <c r="H322" i="14"/>
  <c r="H330" i="14"/>
  <c r="H338" i="14"/>
  <c r="H346" i="14"/>
  <c r="H354" i="14"/>
  <c r="H362" i="14"/>
  <c r="H370" i="14"/>
  <c r="H378" i="14"/>
  <c r="H386" i="14"/>
  <c r="H394" i="14"/>
  <c r="H402" i="14"/>
  <c r="H410" i="14"/>
  <c r="H418" i="14"/>
  <c r="H426" i="14"/>
  <c r="H434" i="14"/>
  <c r="H442" i="14"/>
  <c r="H450" i="14"/>
  <c r="H459" i="14"/>
  <c r="H467" i="14"/>
  <c r="H475" i="14"/>
  <c r="H483" i="14"/>
  <c r="H491" i="14"/>
  <c r="H499" i="14"/>
  <c r="H507" i="14"/>
  <c r="H546" i="14"/>
  <c r="H538" i="14"/>
  <c r="H547" i="14"/>
  <c r="H555" i="14"/>
  <c r="H563" i="14"/>
  <c r="H571" i="14"/>
  <c r="H579" i="14"/>
  <c r="H587" i="14"/>
  <c r="H595" i="14"/>
  <c r="H603" i="14"/>
  <c r="H611" i="14"/>
  <c r="H619" i="14"/>
  <c r="H627" i="14"/>
  <c r="H635" i="14"/>
  <c r="H643" i="14"/>
  <c r="H651" i="14"/>
  <c r="H659" i="14"/>
  <c r="H667" i="14"/>
  <c r="H675" i="14"/>
  <c r="H683" i="14"/>
  <c r="AG794" i="8"/>
  <c r="AG793" i="8"/>
  <c r="AG228" i="8"/>
  <c r="AH790" i="8"/>
  <c r="AH789" i="8"/>
  <c r="AH307" i="8"/>
  <c r="AG506" i="8"/>
  <c r="AG230" i="8"/>
  <c r="AH792" i="8"/>
  <c r="AH502" i="8"/>
  <c r="AG795" i="8"/>
  <c r="AG505" i="8"/>
  <c r="AG229" i="8"/>
  <c r="AH791" i="8"/>
  <c r="AH501" i="8"/>
  <c r="AH339" i="8"/>
  <c r="AG227" i="8"/>
  <c r="AG503" i="8"/>
  <c r="H6" i="17"/>
  <c r="G6" i="17"/>
  <c r="D6" i="17"/>
  <c r="L18" i="16" l="1"/>
  <c r="H36" i="5"/>
  <c r="H6" i="5"/>
  <c r="E17" i="1" a="1"/>
  <c r="E17" i="1" s="1"/>
  <c r="D17" i="1" a="1"/>
  <c r="D17" i="1" s="1"/>
  <c r="X910" i="8" a="1"/>
  <c r="X910" i="8" s="1"/>
  <c r="Z910" i="8" a="1"/>
  <c r="Z910" i="8" s="1"/>
  <c r="AA910" i="8" s="1"/>
  <c r="O18" i="16" a="1"/>
  <c r="O18" i="16" s="1"/>
  <c r="U17" i="1" a="1"/>
  <c r="U17" i="1" s="1"/>
  <c r="AD504" i="8"/>
  <c r="AD899" i="8"/>
  <c r="AD791" i="8"/>
  <c r="AD886" i="8"/>
  <c r="AD891" i="8"/>
  <c r="AD882" i="8"/>
  <c r="AD877" i="8"/>
  <c r="AD881" i="8"/>
  <c r="AD868" i="8"/>
  <c r="AD795" i="8"/>
  <c r="AD794" i="8"/>
  <c r="AD870" i="8"/>
  <c r="AD869" i="8"/>
  <c r="AD866" i="8"/>
  <c r="AD229" i="8"/>
  <c r="AD228" i="8"/>
  <c r="AD505" i="8"/>
  <c r="AD865" i="8"/>
  <c r="AD503" i="8"/>
  <c r="AD789" i="8"/>
  <c r="AD874" i="8"/>
  <c r="AD793" i="8"/>
  <c r="AD501" i="8"/>
  <c r="AD339" i="8"/>
  <c r="AD227" i="8"/>
  <c r="AD307" i="8"/>
  <c r="AD230" i="8"/>
  <c r="AD900" i="8"/>
  <c r="AD896" i="8"/>
  <c r="AD895" i="8"/>
  <c r="AD883" i="8"/>
  <c r="AD875" i="8"/>
  <c r="AD790" i="8"/>
  <c r="AD902" i="8"/>
  <c r="AD906" i="8"/>
  <c r="AD901" i="8"/>
  <c r="AD905" i="8"/>
  <c r="AD892" i="8"/>
  <c r="AD888" i="8"/>
  <c r="AD887" i="8"/>
  <c r="AD873" i="8"/>
  <c r="AD884" i="8"/>
  <c r="AD880" i="8"/>
  <c r="AD879" i="8"/>
  <c r="X1181" i="8" a="1"/>
  <c r="X1181" i="8" s="1"/>
  <c r="Z1181" i="8" a="1"/>
  <c r="Z1181" i="8" s="1"/>
  <c r="Y1181" i="8" a="1"/>
  <c r="Y1181" i="8" s="1"/>
  <c r="Z1179" i="8" a="1"/>
  <c r="Z1179" i="8" s="1"/>
  <c r="X1179" i="8" a="1"/>
  <c r="X1179" i="8" s="1"/>
  <c r="Y1179" i="8" a="1"/>
  <c r="Y1179" i="8" s="1"/>
  <c r="X1235" i="8" a="1"/>
  <c r="X1235" i="8" s="1"/>
  <c r="Z1235" i="8" a="1"/>
  <c r="Z1235" i="8" s="1"/>
  <c r="Y1235" i="8" a="1"/>
  <c r="Y1235" i="8" s="1"/>
  <c r="X1241" i="8" a="1"/>
  <c r="X1241" i="8" s="1"/>
  <c r="Y1241" i="8" a="1"/>
  <c r="Y1241" i="8" s="1"/>
  <c r="Z1241" i="8" a="1"/>
  <c r="Z1241" i="8" s="1"/>
  <c r="X1115" i="8" a="1"/>
  <c r="X1115" i="8" s="1"/>
  <c r="Z1115" i="8" a="1"/>
  <c r="Z1115" i="8" s="1"/>
  <c r="Y1115" i="8" a="1"/>
  <c r="Y1115" i="8" s="1"/>
  <c r="X1203" i="8" a="1"/>
  <c r="X1203" i="8" s="1"/>
  <c r="Z1203" i="8" a="1"/>
  <c r="Z1203" i="8" s="1"/>
  <c r="Y1203" i="8" a="1"/>
  <c r="Y1203" i="8" s="1"/>
  <c r="X1245" i="8" a="1"/>
  <c r="X1245" i="8" s="1"/>
  <c r="Y1245" i="8" a="1"/>
  <c r="Y1245" i="8" s="1"/>
  <c r="Z1245" i="8" a="1"/>
  <c r="Z1245" i="8" s="1"/>
  <c r="X1081" i="8" a="1"/>
  <c r="X1081" i="8" s="1"/>
  <c r="Y1081" i="8" a="1"/>
  <c r="Y1081" i="8" s="1"/>
  <c r="Z1081" i="8" a="1"/>
  <c r="Z1081" i="8" s="1"/>
  <c r="X1189" i="8" a="1"/>
  <c r="X1189" i="8" s="1"/>
  <c r="Z1189" i="8" a="1"/>
  <c r="Z1189" i="8" s="1"/>
  <c r="Y1189" i="8" a="1"/>
  <c r="Y1189" i="8" s="1"/>
  <c r="X1249" i="8" a="1"/>
  <c r="X1249" i="8" s="1"/>
  <c r="Z1249" i="8" a="1"/>
  <c r="Z1249" i="8" s="1"/>
  <c r="Y1249" i="8" a="1"/>
  <c r="Y1249" i="8" s="1"/>
  <c r="Y1100" i="8" a="1"/>
  <c r="Y1100" i="8" s="1"/>
  <c r="X1100" i="8" a="1"/>
  <c r="X1100" i="8" s="1"/>
  <c r="Z1100" i="8" a="1"/>
  <c r="Z1100" i="8" s="1"/>
  <c r="X1206" i="8" a="1"/>
  <c r="X1206" i="8" s="1"/>
  <c r="Z1206" i="8" a="1"/>
  <c r="Z1206" i="8" s="1"/>
  <c r="Y1206" i="8" a="1"/>
  <c r="Y1206" i="8" s="1"/>
  <c r="Y936" i="8" a="1"/>
  <c r="Y936" i="8" s="1"/>
  <c r="Z936" i="8" a="1"/>
  <c r="Z936" i="8" s="1"/>
  <c r="X936" i="8" a="1"/>
  <c r="X936" i="8" s="1"/>
  <c r="X1119" i="8" a="1"/>
  <c r="X1119" i="8" s="1"/>
  <c r="Y1119" i="8" a="1"/>
  <c r="Y1119" i="8" s="1"/>
  <c r="Z1119" i="8" a="1"/>
  <c r="Z1119" i="8" s="1"/>
  <c r="X1153" i="8" a="1"/>
  <c r="X1153" i="8" s="1"/>
  <c r="Y1153" i="8" a="1"/>
  <c r="Y1153" i="8" s="1"/>
  <c r="Z1153" i="8" a="1"/>
  <c r="Z1153" i="8" s="1"/>
  <c r="X1089" i="8" a="1"/>
  <c r="X1089" i="8" s="1"/>
  <c r="Z1089" i="8" a="1"/>
  <c r="Z1089" i="8" s="1"/>
  <c r="Y1089" i="8" a="1"/>
  <c r="Y1089" i="8" s="1"/>
  <c r="X1025" i="8" a="1"/>
  <c r="X1025" i="8" s="1"/>
  <c r="Y1025" i="8" a="1"/>
  <c r="Y1025" i="8" s="1"/>
  <c r="Z1025" i="8" a="1"/>
  <c r="Z1025" i="8" s="1"/>
  <c r="X961" i="8" a="1"/>
  <c r="X961" i="8" s="1"/>
  <c r="Z961" i="8" a="1"/>
  <c r="Z961" i="8" s="1"/>
  <c r="Y961" i="8" a="1"/>
  <c r="Y961" i="8" s="1"/>
  <c r="Y1171" i="8" a="1"/>
  <c r="Y1171" i="8" s="1"/>
  <c r="X1171" i="8" a="1"/>
  <c r="X1171" i="8" s="1"/>
  <c r="Z1171" i="8" a="1"/>
  <c r="Z1171" i="8" s="1"/>
  <c r="Y1107" i="8" a="1"/>
  <c r="Y1107" i="8" s="1"/>
  <c r="X1107" i="8" a="1"/>
  <c r="X1107" i="8" s="1"/>
  <c r="Z1107" i="8" a="1"/>
  <c r="Z1107" i="8" s="1"/>
  <c r="Y1043" i="8" a="1"/>
  <c r="Y1043" i="8" s="1"/>
  <c r="X1043" i="8" a="1"/>
  <c r="X1043" i="8" s="1"/>
  <c r="Z1043" i="8" a="1"/>
  <c r="Z1043" i="8" s="1"/>
  <c r="Y979" i="8" a="1"/>
  <c r="Y979" i="8" s="1"/>
  <c r="X979" i="8" a="1"/>
  <c r="X979" i="8" s="1"/>
  <c r="Z979" i="8" a="1"/>
  <c r="Z979" i="8" s="1"/>
  <c r="Y915" i="8" a="1"/>
  <c r="Y915" i="8" s="1"/>
  <c r="X915" i="8" a="1"/>
  <c r="X915" i="8" s="1"/>
  <c r="Z915" i="8" a="1"/>
  <c r="Z915" i="8" s="1"/>
  <c r="X991" i="8" a="1"/>
  <c r="X991" i="8" s="1"/>
  <c r="Y991" i="8" a="1"/>
  <c r="Y991" i="8" s="1"/>
  <c r="Z991" i="8" a="1"/>
  <c r="Z991" i="8" s="1"/>
  <c r="X927" i="8" a="1"/>
  <c r="X927" i="8" s="1"/>
  <c r="Y927" i="8" a="1"/>
  <c r="Y927" i="8" s="1"/>
  <c r="Z927" i="8" a="1"/>
  <c r="Z927" i="8" s="1"/>
  <c r="X1150" i="8" a="1"/>
  <c r="X1150" i="8" s="1"/>
  <c r="Z1150" i="8" a="1"/>
  <c r="Z1150" i="8" s="1"/>
  <c r="Y1150" i="8" a="1"/>
  <c r="Y1150" i="8" s="1"/>
  <c r="Y1086" i="8" a="1"/>
  <c r="Y1086" i="8" s="1"/>
  <c r="X1086" i="8" a="1"/>
  <c r="X1086" i="8" s="1"/>
  <c r="Z1086" i="8" a="1"/>
  <c r="Z1086" i="8" s="1"/>
  <c r="Y1022" i="8" a="1"/>
  <c r="Y1022" i="8" s="1"/>
  <c r="Z1022" i="8" a="1"/>
  <c r="Z1022" i="8" s="1"/>
  <c r="X1022" i="8" a="1"/>
  <c r="X1022" i="8" s="1"/>
  <c r="Y958" i="8" a="1"/>
  <c r="Y958" i="8" s="1"/>
  <c r="X958" i="8" a="1"/>
  <c r="X958" i="8" s="1"/>
  <c r="Z958" i="8" a="1"/>
  <c r="Z958" i="8" s="1"/>
  <c r="X1175" i="8" a="1"/>
  <c r="X1175" i="8" s="1"/>
  <c r="Z1175" i="8" a="1"/>
  <c r="Z1175" i="8" s="1"/>
  <c r="Y1175" i="8" a="1"/>
  <c r="Y1175" i="8" s="1"/>
  <c r="X1111" i="8" a="1"/>
  <c r="X1111" i="8" s="1"/>
  <c r="Y1111" i="8" a="1"/>
  <c r="Y1111" i="8" s="1"/>
  <c r="Z1111" i="8" a="1"/>
  <c r="Z1111" i="8" s="1"/>
  <c r="X1047" i="8" a="1"/>
  <c r="X1047" i="8" s="1"/>
  <c r="Z1047" i="8" a="1"/>
  <c r="Z1047" i="8" s="1"/>
  <c r="Y1047" i="8" a="1"/>
  <c r="Y1047" i="8" s="1"/>
  <c r="X983" i="8" a="1"/>
  <c r="X983" i="8" s="1"/>
  <c r="Y983" i="8" a="1"/>
  <c r="Y983" i="8" s="1"/>
  <c r="Z983" i="8" a="1"/>
  <c r="Z983" i="8" s="1"/>
  <c r="Y919" i="8" a="1"/>
  <c r="Y919" i="8" s="1"/>
  <c r="X919" i="8" a="1"/>
  <c r="X919" i="8" s="1"/>
  <c r="Z919" i="8" a="1"/>
  <c r="Z919" i="8" s="1"/>
  <c r="X1110" i="8" a="1"/>
  <c r="X1110" i="8" s="1"/>
  <c r="Y1110" i="8" a="1"/>
  <c r="Y1110" i="8" s="1"/>
  <c r="Z1110" i="8" a="1"/>
  <c r="Z1110" i="8" s="1"/>
  <c r="X1046" i="8" a="1"/>
  <c r="X1046" i="8" s="1"/>
  <c r="Y1046" i="8" a="1"/>
  <c r="Y1046" i="8" s="1"/>
  <c r="Z1046" i="8" a="1"/>
  <c r="Z1046" i="8" s="1"/>
  <c r="X982" i="8" a="1"/>
  <c r="X982" i="8" s="1"/>
  <c r="Y982" i="8" a="1"/>
  <c r="Y982" i="8" s="1"/>
  <c r="Z982" i="8" a="1"/>
  <c r="Z982" i="8" s="1"/>
  <c r="X918" i="8" a="1"/>
  <c r="X918" i="8" s="1"/>
  <c r="Z918" i="8" a="1"/>
  <c r="Z918" i="8" s="1"/>
  <c r="Y918" i="8" a="1"/>
  <c r="Y918" i="8" s="1"/>
  <c r="Z1148" i="8" a="1"/>
  <c r="Z1148" i="8" s="1"/>
  <c r="Y1148" i="8" a="1"/>
  <c r="Y1148" i="8" s="1"/>
  <c r="X1148" i="8" a="1"/>
  <c r="X1148" i="8" s="1"/>
  <c r="X1084" i="8" a="1"/>
  <c r="X1084" i="8" s="1"/>
  <c r="Y1084" i="8" a="1"/>
  <c r="Y1084" i="8" s="1"/>
  <c r="Z1084" i="8" a="1"/>
  <c r="Z1084" i="8" s="1"/>
  <c r="X1020" i="8" a="1"/>
  <c r="X1020" i="8" s="1"/>
  <c r="Z1020" i="8" a="1"/>
  <c r="Z1020" i="8" s="1"/>
  <c r="Y1020" i="8" a="1"/>
  <c r="Y1020" i="8" s="1"/>
  <c r="X956" i="8" a="1"/>
  <c r="X956" i="8" s="1"/>
  <c r="Y956" i="8" a="1"/>
  <c r="Y956" i="8" s="1"/>
  <c r="Z956" i="8" a="1"/>
  <c r="Z956" i="8" s="1"/>
  <c r="X1239" i="8" a="1"/>
  <c r="X1239" i="8" s="1"/>
  <c r="Y1239" i="8" a="1"/>
  <c r="Y1239" i="8" s="1"/>
  <c r="Z1239" i="8" a="1"/>
  <c r="Z1239" i="8" s="1"/>
  <c r="Y1087" i="8" a="1"/>
  <c r="Y1087" i="8" s="1"/>
  <c r="Z1087" i="8" a="1"/>
  <c r="Z1087" i="8" s="1"/>
  <c r="X1087" i="8" a="1"/>
  <c r="X1087" i="8" s="1"/>
  <c r="X1223" i="8" a="1"/>
  <c r="X1223" i="8" s="1"/>
  <c r="Z1223" i="8" a="1"/>
  <c r="Z1223" i="8" s="1"/>
  <c r="Y1223" i="8" a="1"/>
  <c r="Y1223" i="8" s="1"/>
  <c r="X1232" i="8" a="1"/>
  <c r="X1232" i="8" s="1"/>
  <c r="Y1232" i="8" a="1"/>
  <c r="Y1232" i="8" s="1"/>
  <c r="Z1232" i="8" a="1"/>
  <c r="Z1232" i="8" s="1"/>
  <c r="X974" i="8" a="1"/>
  <c r="X974" i="8" s="1"/>
  <c r="Y974" i="8" a="1"/>
  <c r="Y974" i="8" s="1"/>
  <c r="Z974" i="8" a="1"/>
  <c r="Z974" i="8" s="1"/>
  <c r="X1198" i="8" a="1"/>
  <c r="X1198" i="8" s="1"/>
  <c r="Y1198" i="8" a="1"/>
  <c r="Y1198" i="8" s="1"/>
  <c r="Z1198" i="8" a="1"/>
  <c r="Z1198" i="8" s="1"/>
  <c r="Z1229" i="8" a="1"/>
  <c r="Z1229" i="8" s="1"/>
  <c r="Y1229" i="8" a="1"/>
  <c r="Y1229" i="8" s="1"/>
  <c r="X1229" i="8" a="1"/>
  <c r="X1229" i="8" s="1"/>
  <c r="X1055" i="8" a="1"/>
  <c r="X1055" i="8" s="1"/>
  <c r="Y1055" i="8" a="1"/>
  <c r="Y1055" i="8" s="1"/>
  <c r="Z1055" i="8" a="1"/>
  <c r="Z1055" i="8" s="1"/>
  <c r="X1173" i="8" a="1"/>
  <c r="X1173" i="8" s="1"/>
  <c r="Z1173" i="8" a="1"/>
  <c r="Z1173" i="8" s="1"/>
  <c r="Y1173" i="8" a="1"/>
  <c r="Y1173" i="8" s="1"/>
  <c r="X1233" i="8" a="1"/>
  <c r="X1233" i="8" s="1"/>
  <c r="Y1233" i="8" a="1"/>
  <c r="Y1233" i="8" s="1"/>
  <c r="Z1233" i="8" a="1"/>
  <c r="Z1233" i="8" s="1"/>
  <c r="X1074" i="8" a="1"/>
  <c r="X1074" i="8" s="1"/>
  <c r="Y1074" i="8" a="1"/>
  <c r="Y1074" i="8" s="1"/>
  <c r="Z1074" i="8" a="1"/>
  <c r="Z1074" i="8" s="1"/>
  <c r="Z1200" i="8" a="1"/>
  <c r="Z1200" i="8" s="1"/>
  <c r="X1200" i="8" a="1"/>
  <c r="X1200" i="8" s="1"/>
  <c r="Y1200" i="8" a="1"/>
  <c r="Y1200" i="8" s="1"/>
  <c r="X1237" i="8" a="1"/>
  <c r="X1237" i="8" s="1"/>
  <c r="Z1237" i="8" a="1"/>
  <c r="Z1237" i="8" s="1"/>
  <c r="Y1237" i="8" a="1"/>
  <c r="Y1237" i="8" s="1"/>
  <c r="X1068" i="8" a="1"/>
  <c r="X1068" i="8" s="1"/>
  <c r="Y1068" i="8" a="1"/>
  <c r="Y1068" i="8" s="1"/>
  <c r="Z1068" i="8" a="1"/>
  <c r="Z1068" i="8" s="1"/>
  <c r="X1146" i="8" a="1"/>
  <c r="X1146" i="8" s="1"/>
  <c r="Y1146" i="8" a="1"/>
  <c r="Y1146" i="8" s="1"/>
  <c r="Z1146" i="8" a="1"/>
  <c r="Z1146" i="8" s="1"/>
  <c r="X1082" i="8" a="1"/>
  <c r="X1082" i="8" s="1"/>
  <c r="Y1082" i="8" a="1"/>
  <c r="Y1082" i="8" s="1"/>
  <c r="Z1082" i="8" a="1"/>
  <c r="Z1082" i="8" s="1"/>
  <c r="X1018" i="8" a="1"/>
  <c r="X1018" i="8" s="1"/>
  <c r="Y1018" i="8" a="1"/>
  <c r="Y1018" i="8" s="1"/>
  <c r="Z1018" i="8" a="1"/>
  <c r="Z1018" i="8" s="1"/>
  <c r="X954" i="8" a="1"/>
  <c r="X954" i="8" s="1"/>
  <c r="Y954" i="8" a="1"/>
  <c r="Y954" i="8" s="1"/>
  <c r="Z954" i="8" a="1"/>
  <c r="Z954" i="8" s="1"/>
  <c r="Y1165" i="8" a="1"/>
  <c r="Y1165" i="8" s="1"/>
  <c r="X1165" i="8" a="1"/>
  <c r="X1165" i="8" s="1"/>
  <c r="Z1165" i="8" a="1"/>
  <c r="Z1165" i="8" s="1"/>
  <c r="Y1101" i="8" a="1"/>
  <c r="Y1101" i="8" s="1"/>
  <c r="Z1101" i="8" a="1"/>
  <c r="Z1101" i="8" s="1"/>
  <c r="X1101" i="8" a="1"/>
  <c r="X1101" i="8" s="1"/>
  <c r="Y1037" i="8" a="1"/>
  <c r="Y1037" i="8" s="1"/>
  <c r="X1037" i="8" a="1"/>
  <c r="X1037" i="8" s="1"/>
  <c r="Z1037" i="8" a="1"/>
  <c r="Z1037" i="8" s="1"/>
  <c r="Y973" i="8" a="1"/>
  <c r="Y973" i="8" s="1"/>
  <c r="Z973" i="8" a="1"/>
  <c r="Z973" i="8" s="1"/>
  <c r="X973" i="8" a="1"/>
  <c r="X973" i="8" s="1"/>
  <c r="X1049" i="8" a="1"/>
  <c r="X1049" i="8" s="1"/>
  <c r="Y1049" i="8" a="1"/>
  <c r="Y1049" i="8" s="1"/>
  <c r="Z1049" i="8" a="1"/>
  <c r="Z1049" i="8" s="1"/>
  <c r="X985" i="8" a="1"/>
  <c r="X985" i="8" s="1"/>
  <c r="Y985" i="8" a="1"/>
  <c r="Y985" i="8" s="1"/>
  <c r="Z985" i="8" a="1"/>
  <c r="Z985" i="8" s="1"/>
  <c r="X921" i="8" a="1"/>
  <c r="X921" i="8" s="1"/>
  <c r="Y921" i="8" a="1"/>
  <c r="Y921" i="8" s="1"/>
  <c r="Z921" i="8" a="1"/>
  <c r="Z921" i="8" s="1"/>
  <c r="X1144" i="8" a="1"/>
  <c r="X1144" i="8" s="1"/>
  <c r="Z1144" i="8" a="1"/>
  <c r="Z1144" i="8" s="1"/>
  <c r="Y1144" i="8" a="1"/>
  <c r="Y1144" i="8" s="1"/>
  <c r="X1080" i="8" a="1"/>
  <c r="X1080" i="8" s="1"/>
  <c r="Y1080" i="8" a="1"/>
  <c r="Y1080" i="8" s="1"/>
  <c r="Z1080" i="8" a="1"/>
  <c r="Z1080" i="8" s="1"/>
  <c r="X1016" i="8" a="1"/>
  <c r="X1016" i="8" s="1"/>
  <c r="Y1016" i="8" a="1"/>
  <c r="Y1016" i="8" s="1"/>
  <c r="Z1016" i="8" a="1"/>
  <c r="Z1016" i="8" s="1"/>
  <c r="X952" i="8" a="1"/>
  <c r="X952" i="8" s="1"/>
  <c r="Y952" i="8" a="1"/>
  <c r="Y952" i="8" s="1"/>
  <c r="Z952" i="8" a="1"/>
  <c r="Z952" i="8" s="1"/>
  <c r="X1169" i="8" a="1"/>
  <c r="X1169" i="8" s="1"/>
  <c r="Z1169" i="8" a="1"/>
  <c r="Z1169" i="8" s="1"/>
  <c r="Y1169" i="8" a="1"/>
  <c r="Y1169" i="8" s="1"/>
  <c r="X1105" i="8" a="1"/>
  <c r="X1105" i="8" s="1"/>
  <c r="Y1105" i="8" a="1"/>
  <c r="Y1105" i="8" s="1"/>
  <c r="Z1105" i="8" a="1"/>
  <c r="Z1105" i="8" s="1"/>
  <c r="X1041" i="8" a="1"/>
  <c r="X1041" i="8" s="1"/>
  <c r="Y1041" i="8" a="1"/>
  <c r="Y1041" i="8" s="1"/>
  <c r="Z1041" i="8" a="1"/>
  <c r="Z1041" i="8" s="1"/>
  <c r="X977" i="8" a="1"/>
  <c r="X977" i="8" s="1"/>
  <c r="Y977" i="8" a="1"/>
  <c r="Y977" i="8" s="1"/>
  <c r="Z977" i="8" a="1"/>
  <c r="Z977" i="8" s="1"/>
  <c r="X913" i="8" a="1"/>
  <c r="X913" i="8" s="1"/>
  <c r="Y913" i="8" a="1"/>
  <c r="Y913" i="8" s="1"/>
  <c r="Z913" i="8" a="1"/>
  <c r="Z913" i="8" s="1"/>
  <c r="X1104" i="8" a="1"/>
  <c r="X1104" i="8" s="1"/>
  <c r="Y1104" i="8" a="1"/>
  <c r="Y1104" i="8" s="1"/>
  <c r="Z1104" i="8" a="1"/>
  <c r="Z1104" i="8" s="1"/>
  <c r="X1040" i="8" a="1"/>
  <c r="X1040" i="8" s="1"/>
  <c r="Y1040" i="8" a="1"/>
  <c r="Y1040" i="8" s="1"/>
  <c r="Z1040" i="8" a="1"/>
  <c r="Z1040" i="8" s="1"/>
  <c r="X976" i="8" a="1"/>
  <c r="X976" i="8" s="1"/>
  <c r="Y976" i="8" a="1"/>
  <c r="Y976" i="8" s="1"/>
  <c r="Z976" i="8" a="1"/>
  <c r="Z976" i="8" s="1"/>
  <c r="Y912" i="8" a="1"/>
  <c r="Y912" i="8" s="1"/>
  <c r="X912" i="8" a="1"/>
  <c r="X912" i="8" s="1"/>
  <c r="Z912" i="8" a="1"/>
  <c r="Z912" i="8" s="1"/>
  <c r="X1135" i="8" a="1"/>
  <c r="X1135" i="8" s="1"/>
  <c r="Y1135" i="8" a="1"/>
  <c r="Y1135" i="8" s="1"/>
  <c r="Z1135" i="8" a="1"/>
  <c r="Z1135" i="8" s="1"/>
  <c r="Y1071" i="8" a="1"/>
  <c r="Y1071" i="8" s="1"/>
  <c r="Z1071" i="8" a="1"/>
  <c r="Z1071" i="8" s="1"/>
  <c r="X1071" i="8" a="1"/>
  <c r="X1071" i="8" s="1"/>
  <c r="Y1007" i="8" a="1"/>
  <c r="Y1007" i="8" s="1"/>
  <c r="X1007" i="8" a="1"/>
  <c r="X1007" i="8" s="1"/>
  <c r="Z1007" i="8" a="1"/>
  <c r="Z1007" i="8" s="1"/>
  <c r="Y943" i="8" a="1"/>
  <c r="Y943" i="8" s="1"/>
  <c r="X943" i="8" a="1"/>
  <c r="X943" i="8" s="1"/>
  <c r="Z943" i="8" a="1"/>
  <c r="Z943" i="8" s="1"/>
  <c r="Y968" i="8" a="1"/>
  <c r="Y968" i="8" s="1"/>
  <c r="X968" i="8" a="1"/>
  <c r="X968" i="8" s="1"/>
  <c r="Z968" i="8" a="1"/>
  <c r="Z968" i="8" s="1"/>
  <c r="X1113" i="8" a="1"/>
  <c r="X1113" i="8" s="1"/>
  <c r="Y1113" i="8" a="1"/>
  <c r="Y1113" i="8" s="1"/>
  <c r="Z1113" i="8" a="1"/>
  <c r="Z1113" i="8" s="1"/>
  <c r="X1244" i="8" a="1"/>
  <c r="X1244" i="8" s="1"/>
  <c r="Y1244" i="8" a="1"/>
  <c r="Y1244" i="8" s="1"/>
  <c r="Z1244" i="8" a="1"/>
  <c r="Z1244" i="8" s="1"/>
  <c r="Z1242" i="8" a="1"/>
  <c r="Z1242" i="8" s="1"/>
  <c r="X1242" i="8" a="1"/>
  <c r="X1242" i="8" s="1"/>
  <c r="Y1242" i="8" a="1"/>
  <c r="Y1242" i="8" s="1"/>
  <c r="X1138" i="8" a="1"/>
  <c r="X1138" i="8" s="1"/>
  <c r="Y1138" i="8" a="1"/>
  <c r="Y1138" i="8" s="1"/>
  <c r="Z1138" i="8" a="1"/>
  <c r="Z1138" i="8" s="1"/>
  <c r="Y917" i="8" a="1"/>
  <c r="Y917" i="8" s="1"/>
  <c r="X917" i="8" a="1"/>
  <c r="X917" i="8" s="1"/>
  <c r="Z917" i="8" a="1"/>
  <c r="Z917" i="8" s="1"/>
  <c r="X1177" i="8" a="1"/>
  <c r="X1177" i="8" s="1"/>
  <c r="Y1177" i="8" a="1"/>
  <c r="Y1177" i="8" s="1"/>
  <c r="Z1177" i="8" a="1"/>
  <c r="Z1177" i="8" s="1"/>
  <c r="X1213" i="8" a="1"/>
  <c r="X1213" i="8" s="1"/>
  <c r="Z1213" i="8" a="1"/>
  <c r="Z1213" i="8" s="1"/>
  <c r="Y1213" i="8" a="1"/>
  <c r="Y1213" i="8" s="1"/>
  <c r="Y1006" i="8" a="1"/>
  <c r="Y1006" i="8" s="1"/>
  <c r="X1006" i="8" a="1"/>
  <c r="X1006" i="8" s="1"/>
  <c r="Z1006" i="8" a="1"/>
  <c r="Z1006" i="8" s="1"/>
  <c r="X1128" i="8" a="1"/>
  <c r="X1128" i="8" s="1"/>
  <c r="Y1128" i="8" a="1"/>
  <c r="Y1128" i="8" s="1"/>
  <c r="Z1128" i="8" a="1"/>
  <c r="Z1128" i="8" s="1"/>
  <c r="X1217" i="8" a="1"/>
  <c r="X1217" i="8" s="1"/>
  <c r="Z1217" i="8" a="1"/>
  <c r="Z1217" i="8" s="1"/>
  <c r="Y1217" i="8" a="1"/>
  <c r="Y1217" i="8" s="1"/>
  <c r="X1045" i="8" a="1"/>
  <c r="X1045" i="8" s="1"/>
  <c r="Z1045" i="8" a="1"/>
  <c r="Z1045" i="8" s="1"/>
  <c r="Y1045" i="8" a="1"/>
  <c r="Y1045" i="8" s="1"/>
  <c r="X1168" i="8" a="1"/>
  <c r="X1168" i="8" s="1"/>
  <c r="Z1168" i="8" a="1"/>
  <c r="Z1168" i="8" s="1"/>
  <c r="Y1168" i="8" a="1"/>
  <c r="Y1168" i="8" s="1"/>
  <c r="Z1221" i="8" a="1"/>
  <c r="Z1221" i="8" s="1"/>
  <c r="X1221" i="8" a="1"/>
  <c r="X1221" i="8" s="1"/>
  <c r="Y1221" i="8" a="1"/>
  <c r="Y1221" i="8" s="1"/>
  <c r="Y1032" i="8" a="1"/>
  <c r="Y1032" i="8" s="1"/>
  <c r="X1032" i="8" a="1"/>
  <c r="X1032" i="8" s="1"/>
  <c r="Z1032" i="8" a="1"/>
  <c r="Z1032" i="8" s="1"/>
  <c r="X1140" i="8" a="1"/>
  <c r="X1140" i="8" s="1"/>
  <c r="Y1140" i="8" a="1"/>
  <c r="Y1140" i="8" s="1"/>
  <c r="Z1140" i="8" a="1"/>
  <c r="Z1140" i="8" s="1"/>
  <c r="X1076" i="8" a="1"/>
  <c r="X1076" i="8" s="1"/>
  <c r="Y1076" i="8" a="1"/>
  <c r="Y1076" i="8" s="1"/>
  <c r="Z1076" i="8" a="1"/>
  <c r="Z1076" i="8" s="1"/>
  <c r="X1012" i="8" a="1"/>
  <c r="X1012" i="8" s="1"/>
  <c r="Y1012" i="8" a="1"/>
  <c r="Y1012" i="8" s="1"/>
  <c r="Z1012" i="8" a="1"/>
  <c r="Z1012" i="8" s="1"/>
  <c r="X948" i="8" a="1"/>
  <c r="X948" i="8" s="1"/>
  <c r="Y948" i="8" a="1"/>
  <c r="Y948" i="8" s="1"/>
  <c r="Z948" i="8" a="1"/>
  <c r="Z948" i="8" s="1"/>
  <c r="Z1158" i="8" a="1"/>
  <c r="Z1158" i="8" s="1"/>
  <c r="X1158" i="8" a="1"/>
  <c r="X1158" i="8" s="1"/>
  <c r="Y1158" i="8" a="1"/>
  <c r="Y1158" i="8" s="1"/>
  <c r="Z1094" i="8" a="1"/>
  <c r="Z1094" i="8" s="1"/>
  <c r="X1094" i="8" a="1"/>
  <c r="X1094" i="8" s="1"/>
  <c r="Y1094" i="8" a="1"/>
  <c r="Y1094" i="8" s="1"/>
  <c r="Y1030" i="8" a="1"/>
  <c r="Y1030" i="8" s="1"/>
  <c r="Z1030" i="8" a="1"/>
  <c r="Z1030" i="8" s="1"/>
  <c r="X1030" i="8" a="1"/>
  <c r="X1030" i="8" s="1"/>
  <c r="Y966" i="8" a="1"/>
  <c r="Y966" i="8" s="1"/>
  <c r="Z966" i="8" a="1"/>
  <c r="Z966" i="8" s="1"/>
  <c r="X966" i="8" a="1"/>
  <c r="X966" i="8" s="1"/>
  <c r="Y1042" i="8" a="1"/>
  <c r="Y1042" i="8" s="1"/>
  <c r="X1042" i="8" a="1"/>
  <c r="X1042" i="8" s="1"/>
  <c r="Z1042" i="8" a="1"/>
  <c r="Z1042" i="8" s="1"/>
  <c r="X978" i="8" a="1"/>
  <c r="X978" i="8" s="1"/>
  <c r="Z978" i="8" a="1"/>
  <c r="Z978" i="8" s="1"/>
  <c r="Y978" i="8" a="1"/>
  <c r="Y978" i="8" s="1"/>
  <c r="Y914" i="8" a="1"/>
  <c r="Y914" i="8" s="1"/>
  <c r="X914" i="8" a="1"/>
  <c r="X914" i="8" s="1"/>
  <c r="Z914" i="8" a="1"/>
  <c r="Z914" i="8" s="1"/>
  <c r="X1131" i="8" a="1"/>
  <c r="X1131" i="8" s="1"/>
  <c r="Y1131" i="8" a="1"/>
  <c r="Y1131" i="8" s="1"/>
  <c r="Z1131" i="8" a="1"/>
  <c r="Z1131" i="8" s="1"/>
  <c r="X1067" i="8" a="1"/>
  <c r="X1067" i="8" s="1"/>
  <c r="Y1067" i="8" a="1"/>
  <c r="Y1067" i="8" s="1"/>
  <c r="Z1067" i="8" a="1"/>
  <c r="Z1067" i="8" s="1"/>
  <c r="X1003" i="8" a="1"/>
  <c r="X1003" i="8" s="1"/>
  <c r="Y1003" i="8" a="1"/>
  <c r="Y1003" i="8" s="1"/>
  <c r="Z1003" i="8" a="1"/>
  <c r="Z1003" i="8" s="1"/>
  <c r="X939" i="8" a="1"/>
  <c r="X939" i="8" s="1"/>
  <c r="Y939" i="8" a="1"/>
  <c r="Y939" i="8" s="1"/>
  <c r="Z939" i="8" a="1"/>
  <c r="Z939" i="8" s="1"/>
  <c r="X1162" i="8" a="1"/>
  <c r="X1162" i="8" s="1"/>
  <c r="Z1162" i="8" a="1"/>
  <c r="Z1162" i="8" s="1"/>
  <c r="Y1162" i="8" a="1"/>
  <c r="Y1162" i="8" s="1"/>
  <c r="X1098" i="8" a="1"/>
  <c r="X1098" i="8" s="1"/>
  <c r="Y1098" i="8" a="1"/>
  <c r="Y1098" i="8" s="1"/>
  <c r="Z1098" i="8" a="1"/>
  <c r="Z1098" i="8" s="1"/>
  <c r="X1034" i="8" a="1"/>
  <c r="X1034" i="8" s="1"/>
  <c r="Y1034" i="8" a="1"/>
  <c r="Y1034" i="8" s="1"/>
  <c r="Z1034" i="8" a="1"/>
  <c r="Z1034" i="8" s="1"/>
  <c r="X970" i="8" a="1"/>
  <c r="X970" i="8" s="1"/>
  <c r="Y970" i="8" a="1"/>
  <c r="Y970" i="8" s="1"/>
  <c r="Z970" i="8" a="1"/>
  <c r="Z970" i="8" s="1"/>
  <c r="X1155" i="8" a="1"/>
  <c r="X1155" i="8" s="1"/>
  <c r="Y1155" i="8" a="1"/>
  <c r="Y1155" i="8" s="1"/>
  <c r="Z1155" i="8" a="1"/>
  <c r="Z1155" i="8" s="1"/>
  <c r="Y1091" i="8" a="1"/>
  <c r="Y1091" i="8" s="1"/>
  <c r="Z1091" i="8" a="1"/>
  <c r="Z1091" i="8" s="1"/>
  <c r="X1091" i="8" a="1"/>
  <c r="X1091" i="8" s="1"/>
  <c r="Y1027" i="8" a="1"/>
  <c r="Y1027" i="8" s="1"/>
  <c r="X1027" i="8" a="1"/>
  <c r="X1027" i="8" s="1"/>
  <c r="Z1027" i="8" a="1"/>
  <c r="Z1027" i="8" s="1"/>
  <c r="Y963" i="8" a="1"/>
  <c r="Y963" i="8" s="1"/>
  <c r="X963" i="8" a="1"/>
  <c r="X963" i="8" s="1"/>
  <c r="Z963" i="8" a="1"/>
  <c r="Z963" i="8" s="1"/>
  <c r="Z1191" i="8" a="1"/>
  <c r="Z1191" i="8" s="1"/>
  <c r="Y1191" i="8" a="1"/>
  <c r="Y1191" i="8" s="1"/>
  <c r="X1191" i="8" a="1"/>
  <c r="X1191" i="8" s="1"/>
  <c r="X1129" i="8" a="1"/>
  <c r="X1129" i="8" s="1"/>
  <c r="Y1129" i="8" a="1"/>
  <c r="Y1129" i="8" s="1"/>
  <c r="Z1129" i="8" a="1"/>
  <c r="Z1129" i="8" s="1"/>
  <c r="X1065" i="8" a="1"/>
  <c r="X1065" i="8" s="1"/>
  <c r="Y1065" i="8" a="1"/>
  <c r="Y1065" i="8" s="1"/>
  <c r="Z1065" i="8" a="1"/>
  <c r="Z1065" i="8" s="1"/>
  <c r="X1001" i="8" a="1"/>
  <c r="X1001" i="8" s="1"/>
  <c r="Y1001" i="8" a="1"/>
  <c r="Y1001" i="8" s="1"/>
  <c r="Z1001" i="8" a="1"/>
  <c r="Z1001" i="8" s="1"/>
  <c r="X937" i="8" a="1"/>
  <c r="X937" i="8" s="1"/>
  <c r="Y937" i="8" a="1"/>
  <c r="Y937" i="8" s="1"/>
  <c r="Z937" i="8" a="1"/>
  <c r="Z937" i="8" s="1"/>
  <c r="Y1228" i="8" a="1"/>
  <c r="Y1228" i="8" s="1"/>
  <c r="X1228" i="8" a="1"/>
  <c r="X1228" i="8" s="1"/>
  <c r="Z1228" i="8" a="1"/>
  <c r="Z1228" i="8" s="1"/>
  <c r="X1238" i="8" a="1"/>
  <c r="X1238" i="8" s="1"/>
  <c r="Z1238" i="8" a="1"/>
  <c r="Z1238" i="8" s="1"/>
  <c r="Y1238" i="8" a="1"/>
  <c r="Y1238" i="8" s="1"/>
  <c r="X1225" i="8" a="1"/>
  <c r="X1225" i="8" s="1"/>
  <c r="Y1225" i="8" a="1"/>
  <c r="Y1225" i="8" s="1"/>
  <c r="Z1225" i="8" a="1"/>
  <c r="Z1225" i="8" s="1"/>
  <c r="Z1234" i="8" a="1"/>
  <c r="Z1234" i="8" s="1"/>
  <c r="Y1234" i="8" a="1"/>
  <c r="Y1234" i="8" s="1"/>
  <c r="X1234" i="8" a="1"/>
  <c r="X1234" i="8" s="1"/>
  <c r="X1019" i="8" a="1"/>
  <c r="X1019" i="8" s="1"/>
  <c r="Y1019" i="8" a="1"/>
  <c r="Y1019" i="8" s="1"/>
  <c r="Z1019" i="8" a="1"/>
  <c r="Z1019" i="8" s="1"/>
  <c r="X1230" i="8" a="1"/>
  <c r="X1230" i="8" s="1"/>
  <c r="Z1230" i="8" a="1"/>
  <c r="Z1230" i="8" s="1"/>
  <c r="Y1230" i="8" a="1"/>
  <c r="Y1230" i="8" s="1"/>
  <c r="X1160" i="8" a="1"/>
  <c r="X1160" i="8" s="1"/>
  <c r="Z1160" i="8" a="1"/>
  <c r="Z1160" i="8" s="1"/>
  <c r="Y1160" i="8" a="1"/>
  <c r="Y1160" i="8" s="1"/>
  <c r="X1197" i="8" a="1"/>
  <c r="X1197" i="8" s="1"/>
  <c r="Z1197" i="8" a="1"/>
  <c r="Z1197" i="8" s="1"/>
  <c r="Y1197" i="8" a="1"/>
  <c r="Y1197" i="8" s="1"/>
  <c r="X955" i="8" a="1"/>
  <c r="X955" i="8" s="1"/>
  <c r="Y955" i="8" a="1"/>
  <c r="Y955" i="8" s="1"/>
  <c r="Z955" i="8" a="1"/>
  <c r="Z955" i="8" s="1"/>
  <c r="X1102" i="8" a="1"/>
  <c r="X1102" i="8" s="1"/>
  <c r="Y1102" i="8" a="1"/>
  <c r="Y1102" i="8" s="1"/>
  <c r="Z1102" i="8" a="1"/>
  <c r="Z1102" i="8" s="1"/>
  <c r="X1201" i="8" a="1"/>
  <c r="X1201" i="8" s="1"/>
  <c r="Z1201" i="8" a="1"/>
  <c r="Z1201" i="8" s="1"/>
  <c r="Y1201" i="8" a="1"/>
  <c r="Y1201" i="8" s="1"/>
  <c r="Y942" i="8" a="1"/>
  <c r="Y942" i="8" s="1"/>
  <c r="X942" i="8" a="1"/>
  <c r="X942" i="8" s="1"/>
  <c r="Z942" i="8" a="1"/>
  <c r="Z942" i="8" s="1"/>
  <c r="X1147" i="8" a="1"/>
  <c r="X1147" i="8" s="1"/>
  <c r="Y1147" i="8" a="1"/>
  <c r="Y1147" i="8" s="1"/>
  <c r="Z1147" i="8" a="1"/>
  <c r="Z1147" i="8" s="1"/>
  <c r="Z1205" i="8" a="1"/>
  <c r="Z1205" i="8" s="1"/>
  <c r="Y1205" i="8" a="1"/>
  <c r="Y1205" i="8" s="1"/>
  <c r="X1205" i="8" a="1"/>
  <c r="X1205" i="8" s="1"/>
  <c r="X981" i="8" a="1"/>
  <c r="X981" i="8" s="1"/>
  <c r="Z981" i="8" a="1"/>
  <c r="Z981" i="8" s="1"/>
  <c r="Y981" i="8" a="1"/>
  <c r="Y981" i="8" s="1"/>
  <c r="X1127" i="8" a="1"/>
  <c r="X1127" i="8" s="1"/>
  <c r="Y1127" i="8" a="1"/>
  <c r="Y1127" i="8" s="1"/>
  <c r="Z1127" i="8" a="1"/>
  <c r="Z1127" i="8" s="1"/>
  <c r="Z1063" i="8" a="1"/>
  <c r="Z1063" i="8" s="1"/>
  <c r="Y1063" i="8" a="1"/>
  <c r="Y1063" i="8" s="1"/>
  <c r="X1063" i="8" a="1"/>
  <c r="X1063" i="8" s="1"/>
  <c r="X999" i="8" a="1"/>
  <c r="X999" i="8" s="1"/>
  <c r="Y999" i="8" a="1"/>
  <c r="Y999" i="8" s="1"/>
  <c r="Z999" i="8" a="1"/>
  <c r="Z999" i="8" s="1"/>
  <c r="X935" i="8" a="1"/>
  <c r="X935" i="8" s="1"/>
  <c r="Z935" i="8" a="1"/>
  <c r="Z935" i="8" s="1"/>
  <c r="Y935" i="8" a="1"/>
  <c r="Y935" i="8" s="1"/>
  <c r="X1152" i="8" a="1"/>
  <c r="X1152" i="8" s="1"/>
  <c r="Y1152" i="8" a="1"/>
  <c r="Y1152" i="8" s="1"/>
  <c r="Z1152" i="8" a="1"/>
  <c r="Z1152" i="8" s="1"/>
  <c r="X1088" i="8" a="1"/>
  <c r="X1088" i="8" s="1"/>
  <c r="Z1088" i="8" a="1"/>
  <c r="Z1088" i="8" s="1"/>
  <c r="Y1088" i="8" a="1"/>
  <c r="Y1088" i="8" s="1"/>
  <c r="X1024" i="8" a="1"/>
  <c r="X1024" i="8" s="1"/>
  <c r="Y1024" i="8" a="1"/>
  <c r="Y1024" i="8" s="1"/>
  <c r="Z1024" i="8" a="1"/>
  <c r="Z1024" i="8" s="1"/>
  <c r="X960" i="8" a="1"/>
  <c r="X960" i="8" s="1"/>
  <c r="Z960" i="8" a="1"/>
  <c r="Z960" i="8" s="1"/>
  <c r="Y960" i="8" a="1"/>
  <c r="Y960" i="8" s="1"/>
  <c r="X1036" i="8" a="1"/>
  <c r="X1036" i="8" s="1"/>
  <c r="Z1036" i="8" a="1"/>
  <c r="Z1036" i="8" s="1"/>
  <c r="Y1036" i="8" a="1"/>
  <c r="Y1036" i="8" s="1"/>
  <c r="Z972" i="8" a="1"/>
  <c r="Z972" i="8" s="1"/>
  <c r="Y972" i="8" a="1"/>
  <c r="Y972" i="8" s="1"/>
  <c r="X972" i="8" a="1"/>
  <c r="X972" i="8" s="1"/>
  <c r="X1188" i="8" a="1"/>
  <c r="X1188" i="8" s="1"/>
  <c r="Z1188" i="8" a="1"/>
  <c r="Z1188" i="8" s="1"/>
  <c r="Y1188" i="8" a="1"/>
  <c r="Y1188" i="8" s="1"/>
  <c r="X1125" i="8" a="1"/>
  <c r="X1125" i="8" s="1"/>
  <c r="Z1125" i="8" a="1"/>
  <c r="Z1125" i="8" s="1"/>
  <c r="Y1125" i="8" a="1"/>
  <c r="Y1125" i="8" s="1"/>
  <c r="X1061" i="8" a="1"/>
  <c r="X1061" i="8" s="1"/>
  <c r="Z1061" i="8" a="1"/>
  <c r="Z1061" i="8" s="1"/>
  <c r="Y1061" i="8" a="1"/>
  <c r="Y1061" i="8" s="1"/>
  <c r="X997" i="8" a="1"/>
  <c r="X997" i="8" s="1"/>
  <c r="Z997" i="8" a="1"/>
  <c r="Z997" i="8" s="1"/>
  <c r="Y997" i="8" a="1"/>
  <c r="Y997" i="8" s="1"/>
  <c r="X933" i="8" a="1"/>
  <c r="X933" i="8" s="1"/>
  <c r="Z933" i="8" a="1"/>
  <c r="Z933" i="8" s="1"/>
  <c r="Y933" i="8" a="1"/>
  <c r="Y933" i="8" s="1"/>
  <c r="Z1156" i="8" a="1"/>
  <c r="Z1156" i="8" s="1"/>
  <c r="X1156" i="8" a="1"/>
  <c r="X1156" i="8" s="1"/>
  <c r="Y1156" i="8" a="1"/>
  <c r="Y1156" i="8" s="1"/>
  <c r="Y1092" i="8" a="1"/>
  <c r="Y1092" i="8" s="1"/>
  <c r="X1092" i="8" a="1"/>
  <c r="X1092" i="8" s="1"/>
  <c r="Z1092" i="8" a="1"/>
  <c r="Z1092" i="8" s="1"/>
  <c r="Y1028" i="8" a="1"/>
  <c r="Y1028" i="8" s="1"/>
  <c r="Z1028" i="8" a="1"/>
  <c r="Z1028" i="8" s="1"/>
  <c r="X1028" i="8" a="1"/>
  <c r="X1028" i="8" s="1"/>
  <c r="Y964" i="8" a="1"/>
  <c r="Y964" i="8" s="1"/>
  <c r="X964" i="8" a="1"/>
  <c r="X964" i="8" s="1"/>
  <c r="Z964" i="8" a="1"/>
  <c r="Z964" i="8" s="1"/>
  <c r="Y1149" i="8" a="1"/>
  <c r="Y1149" i="8" s="1"/>
  <c r="X1149" i="8" a="1"/>
  <c r="X1149" i="8" s="1"/>
  <c r="Z1149" i="8" a="1"/>
  <c r="Z1149" i="8" s="1"/>
  <c r="Y1085" i="8" a="1"/>
  <c r="Y1085" i="8" s="1"/>
  <c r="X1085" i="8" a="1"/>
  <c r="X1085" i="8" s="1"/>
  <c r="Z1085" i="8" a="1"/>
  <c r="Z1085" i="8" s="1"/>
  <c r="Y1021" i="8" a="1"/>
  <c r="Y1021" i="8" s="1"/>
  <c r="X1021" i="8" a="1"/>
  <c r="X1021" i="8" s="1"/>
  <c r="Z1021" i="8" a="1"/>
  <c r="Z1021" i="8" s="1"/>
  <c r="Y957" i="8" a="1"/>
  <c r="Y957" i="8" s="1"/>
  <c r="Z957" i="8" a="1"/>
  <c r="Z957" i="8" s="1"/>
  <c r="X957" i="8" a="1"/>
  <c r="X957" i="8" s="1"/>
  <c r="Y1186" i="8" a="1"/>
  <c r="Y1186" i="8" s="1"/>
  <c r="X1186" i="8" a="1"/>
  <c r="X1186" i="8" s="1"/>
  <c r="Z1186" i="8" a="1"/>
  <c r="Z1186" i="8" s="1"/>
  <c r="X1122" i="8" a="1"/>
  <c r="X1122" i="8" s="1"/>
  <c r="Z1122" i="8" a="1"/>
  <c r="Z1122" i="8" s="1"/>
  <c r="Y1122" i="8" a="1"/>
  <c r="Y1122" i="8" s="1"/>
  <c r="X1058" i="8" a="1"/>
  <c r="X1058" i="8" s="1"/>
  <c r="Z1058" i="8" a="1"/>
  <c r="Z1058" i="8" s="1"/>
  <c r="Y1058" i="8" a="1"/>
  <c r="Y1058" i="8" s="1"/>
  <c r="Z994" i="8" a="1"/>
  <c r="Z994" i="8" s="1"/>
  <c r="X994" i="8" a="1"/>
  <c r="X994" i="8" s="1"/>
  <c r="Y994" i="8" a="1"/>
  <c r="Y994" i="8" s="1"/>
  <c r="Z930" i="8" a="1"/>
  <c r="Z930" i="8" s="1"/>
  <c r="X930" i="8" a="1"/>
  <c r="X930" i="8" s="1"/>
  <c r="Y930" i="8" a="1"/>
  <c r="Y930" i="8" s="1"/>
  <c r="Z923" i="8" a="1"/>
  <c r="Z923" i="8" s="1"/>
  <c r="Y923" i="8" a="1"/>
  <c r="Y923" i="8" s="1"/>
  <c r="X923" i="8" a="1"/>
  <c r="X923" i="8" s="1"/>
  <c r="X1246" i="8" a="1"/>
  <c r="X1246" i="8" s="1"/>
  <c r="Z1246" i="8" a="1"/>
  <c r="Z1246" i="8" s="1"/>
  <c r="Y1246" i="8" a="1"/>
  <c r="Y1246" i="8" s="1"/>
  <c r="X1204" i="8" a="1"/>
  <c r="X1204" i="8" s="1"/>
  <c r="Z1204" i="8" a="1"/>
  <c r="Z1204" i="8" s="1"/>
  <c r="Y1204" i="8" a="1"/>
  <c r="Y1204" i="8" s="1"/>
  <c r="X1220" i="8" a="1"/>
  <c r="X1220" i="8" s="1"/>
  <c r="Y1220" i="8" a="1"/>
  <c r="Y1220" i="8" s="1"/>
  <c r="Z1220" i="8" a="1"/>
  <c r="Z1220" i="8" s="1"/>
  <c r="X1240" i="8" a="1"/>
  <c r="X1240" i="8" s="1"/>
  <c r="Y1240" i="8" a="1"/>
  <c r="Y1240" i="8" s="1"/>
  <c r="Z1240" i="8" a="1"/>
  <c r="Z1240" i="8" s="1"/>
  <c r="X1224" i="8" a="1"/>
  <c r="X1224" i="8" s="1"/>
  <c r="Z1224" i="8" a="1"/>
  <c r="Z1224" i="8" s="1"/>
  <c r="Y1224" i="8" a="1"/>
  <c r="Y1224" i="8" s="1"/>
  <c r="Y1134" i="8" a="1"/>
  <c r="Y1134" i="8" s="1"/>
  <c r="Z1134" i="8" a="1"/>
  <c r="Z1134" i="8" s="1"/>
  <c r="X1134" i="8" a="1"/>
  <c r="X1134" i="8" s="1"/>
  <c r="X1190" i="8" a="1"/>
  <c r="X1190" i="8" s="1"/>
  <c r="Y1190" i="8" a="1"/>
  <c r="Y1190" i="8" s="1"/>
  <c r="Z1190" i="8" a="1"/>
  <c r="Z1190" i="8" s="1"/>
  <c r="X1218" i="8" a="1"/>
  <c r="X1218" i="8" s="1"/>
  <c r="Z1218" i="8" a="1"/>
  <c r="Z1218" i="8" s="1"/>
  <c r="Y1218" i="8" a="1"/>
  <c r="Y1218" i="8" s="1"/>
  <c r="Z1077" i="8" a="1"/>
  <c r="Z1077" i="8" s="1"/>
  <c r="Y1077" i="8" a="1"/>
  <c r="Y1077" i="8" s="1"/>
  <c r="X1077" i="8" a="1"/>
  <c r="X1077" i="8" s="1"/>
  <c r="X1195" i="8" a="1"/>
  <c r="X1195" i="8" s="1"/>
  <c r="Z1195" i="8" a="1"/>
  <c r="Z1195" i="8" s="1"/>
  <c r="Y1195" i="8" a="1"/>
  <c r="Y1195" i="8" s="1"/>
  <c r="Y1227" i="8" a="1"/>
  <c r="Y1227" i="8" s="1"/>
  <c r="X1227" i="8" a="1"/>
  <c r="X1227" i="8" s="1"/>
  <c r="Z1227" i="8" a="1"/>
  <c r="Z1227" i="8" s="1"/>
  <c r="X1096" i="8" a="1"/>
  <c r="X1096" i="8" s="1"/>
  <c r="Z1096" i="8" a="1"/>
  <c r="Z1096" i="8" s="1"/>
  <c r="Y1096" i="8" a="1"/>
  <c r="Y1096" i="8" s="1"/>
  <c r="X1194" i="8" a="1"/>
  <c r="X1194" i="8" s="1"/>
  <c r="Y1194" i="8" a="1"/>
  <c r="Y1194" i="8" s="1"/>
  <c r="Z1194" i="8" a="1"/>
  <c r="Z1194" i="8" s="1"/>
  <c r="X1185" i="8" a="1"/>
  <c r="X1185" i="8" s="1"/>
  <c r="Z1185" i="8" a="1"/>
  <c r="Z1185" i="8" s="1"/>
  <c r="Y1185" i="8" a="1"/>
  <c r="Y1185" i="8" s="1"/>
  <c r="X1121" i="8" a="1"/>
  <c r="X1121" i="8" s="1"/>
  <c r="Y1121" i="8" a="1"/>
  <c r="Y1121" i="8" s="1"/>
  <c r="Z1121" i="8" a="1"/>
  <c r="Z1121" i="8" s="1"/>
  <c r="X1057" i="8" a="1"/>
  <c r="X1057" i="8" s="1"/>
  <c r="Z1057" i="8" a="1"/>
  <c r="Z1057" i="8" s="1"/>
  <c r="Y1057" i="8" a="1"/>
  <c r="Y1057" i="8" s="1"/>
  <c r="X993" i="8" a="1"/>
  <c r="X993" i="8" s="1"/>
  <c r="Y993" i="8" a="1"/>
  <c r="Y993" i="8" s="1"/>
  <c r="Z993" i="8" a="1"/>
  <c r="Z993" i="8" s="1"/>
  <c r="X929" i="8" a="1"/>
  <c r="X929" i="8" s="1"/>
  <c r="Z929" i="8" a="1"/>
  <c r="Z929" i="8" s="1"/>
  <c r="Y929" i="8" a="1"/>
  <c r="Y929" i="8" s="1"/>
  <c r="X1139" i="8" a="1"/>
  <c r="X1139" i="8" s="1"/>
  <c r="Y1139" i="8" a="1"/>
  <c r="Y1139" i="8" s="1"/>
  <c r="Z1139" i="8" a="1"/>
  <c r="Z1139" i="8" s="1"/>
  <c r="Y1075" i="8" a="1"/>
  <c r="Y1075" i="8" s="1"/>
  <c r="X1075" i="8" a="1"/>
  <c r="X1075" i="8" s="1"/>
  <c r="Z1075" i="8" a="1"/>
  <c r="Z1075" i="8" s="1"/>
  <c r="Y1011" i="8" a="1"/>
  <c r="Y1011" i="8" s="1"/>
  <c r="X1011" i="8" a="1"/>
  <c r="X1011" i="8" s="1"/>
  <c r="Z1011" i="8" a="1"/>
  <c r="Z1011" i="8" s="1"/>
  <c r="Y947" i="8" a="1"/>
  <c r="Y947" i="8" s="1"/>
  <c r="X947" i="8" a="1"/>
  <c r="X947" i="8" s="1"/>
  <c r="Z947" i="8" a="1"/>
  <c r="Z947" i="8" s="1"/>
  <c r="Y1023" i="8" a="1"/>
  <c r="Y1023" i="8" s="1"/>
  <c r="X1023" i="8" a="1"/>
  <c r="X1023" i="8" s="1"/>
  <c r="Z1023" i="8" a="1"/>
  <c r="Z1023" i="8" s="1"/>
  <c r="Y959" i="8" a="1"/>
  <c r="Y959" i="8" s="1"/>
  <c r="Z959" i="8" a="1"/>
  <c r="Z959" i="8" s="1"/>
  <c r="X959" i="8" a="1"/>
  <c r="X959" i="8" s="1"/>
  <c r="X1182" i="8" a="1"/>
  <c r="X1182" i="8" s="1"/>
  <c r="Z1182" i="8" a="1"/>
  <c r="Z1182" i="8" s="1"/>
  <c r="Y1182" i="8" a="1"/>
  <c r="Y1182" i="8" s="1"/>
  <c r="X1118" i="8" a="1"/>
  <c r="X1118" i="8" s="1"/>
  <c r="Z1118" i="8" a="1"/>
  <c r="Z1118" i="8" s="1"/>
  <c r="Y1118" i="8" a="1"/>
  <c r="Y1118" i="8" s="1"/>
  <c r="Y1054" i="8" a="1"/>
  <c r="Y1054" i="8" s="1"/>
  <c r="X1054" i="8" a="1"/>
  <c r="X1054" i="8" s="1"/>
  <c r="Z1054" i="8" a="1"/>
  <c r="Z1054" i="8" s="1"/>
  <c r="Y990" i="8" a="1"/>
  <c r="Y990" i="8" s="1"/>
  <c r="X990" i="8" a="1"/>
  <c r="X990" i="8" s="1"/>
  <c r="Z990" i="8" a="1"/>
  <c r="Z990" i="8" s="1"/>
  <c r="Y926" i="8" a="1"/>
  <c r="Y926" i="8" s="1"/>
  <c r="X926" i="8" a="1"/>
  <c r="X926" i="8" s="1"/>
  <c r="Z926" i="8" a="1"/>
  <c r="Z926" i="8" s="1"/>
  <c r="X1143" i="8" a="1"/>
  <c r="X1143" i="8" s="1"/>
  <c r="Y1143" i="8" a="1"/>
  <c r="Y1143" i="8" s="1"/>
  <c r="Z1143" i="8" a="1"/>
  <c r="Z1143" i="8" s="1"/>
  <c r="X1079" i="8" a="1"/>
  <c r="X1079" i="8" s="1"/>
  <c r="Z1079" i="8" a="1"/>
  <c r="Z1079" i="8" s="1"/>
  <c r="Y1079" i="8" a="1"/>
  <c r="Y1079" i="8" s="1"/>
  <c r="X1015" i="8" a="1"/>
  <c r="X1015" i="8" s="1"/>
  <c r="Z1015" i="8" a="1"/>
  <c r="Z1015" i="8" s="1"/>
  <c r="Y1015" i="8" a="1"/>
  <c r="Y1015" i="8" s="1"/>
  <c r="X951" i="8" a="1"/>
  <c r="X951" i="8" s="1"/>
  <c r="Z951" i="8" a="1"/>
  <c r="Z951" i="8" s="1"/>
  <c r="Y951" i="8" a="1"/>
  <c r="Y951" i="8" s="1"/>
  <c r="X1142" i="8" a="1"/>
  <c r="X1142" i="8" s="1"/>
  <c r="Y1142" i="8" a="1"/>
  <c r="Y1142" i="8" s="1"/>
  <c r="Z1142" i="8" a="1"/>
  <c r="Z1142" i="8" s="1"/>
  <c r="X1078" i="8" a="1"/>
  <c r="X1078" i="8" s="1"/>
  <c r="Z1078" i="8" a="1"/>
  <c r="Z1078" i="8" s="1"/>
  <c r="Y1078" i="8" a="1"/>
  <c r="Y1078" i="8" s="1"/>
  <c r="Y1014" i="8" a="1"/>
  <c r="Y1014" i="8" s="1"/>
  <c r="X1014" i="8" a="1"/>
  <c r="X1014" i="8" s="1"/>
  <c r="Z1014" i="8" a="1"/>
  <c r="Z1014" i="8" s="1"/>
  <c r="Z950" i="8" a="1"/>
  <c r="Z950" i="8" s="1"/>
  <c r="X950" i="8" a="1"/>
  <c r="X950" i="8" s="1"/>
  <c r="Y950" i="8" a="1"/>
  <c r="Y950" i="8" s="1"/>
  <c r="X1180" i="8" a="1"/>
  <c r="X1180" i="8" s="1"/>
  <c r="Z1180" i="8" a="1"/>
  <c r="Z1180" i="8" s="1"/>
  <c r="Y1180" i="8" a="1"/>
  <c r="Y1180" i="8" s="1"/>
  <c r="X1116" i="8" a="1"/>
  <c r="X1116" i="8" s="1"/>
  <c r="Y1116" i="8" a="1"/>
  <c r="Y1116" i="8" s="1"/>
  <c r="Z1116" i="8" a="1"/>
  <c r="Z1116" i="8" s="1"/>
  <c r="X1052" i="8" a="1"/>
  <c r="X1052" i="8" s="1"/>
  <c r="Y1052" i="8" a="1"/>
  <c r="Y1052" i="8" s="1"/>
  <c r="Z1052" i="8" a="1"/>
  <c r="Z1052" i="8" s="1"/>
  <c r="X988" i="8" a="1"/>
  <c r="X988" i="8" s="1"/>
  <c r="Y988" i="8" a="1"/>
  <c r="Y988" i="8" s="1"/>
  <c r="Z988" i="8" a="1"/>
  <c r="Z988" i="8" s="1"/>
  <c r="X924" i="8" a="1"/>
  <c r="X924" i="8" s="1"/>
  <c r="Y924" i="8" a="1"/>
  <c r="Y924" i="8" s="1"/>
  <c r="Z924" i="8" a="1"/>
  <c r="Z924" i="8" s="1"/>
  <c r="X1248" i="8" a="1"/>
  <c r="X1248" i="8" s="1"/>
  <c r="Z1248" i="8" a="1"/>
  <c r="Z1248" i="8" s="1"/>
  <c r="Y1248" i="8" a="1"/>
  <c r="Y1248" i="8" s="1"/>
  <c r="X1236" i="8" a="1"/>
  <c r="X1236" i="8" s="1"/>
  <c r="Y1236" i="8" a="1"/>
  <c r="Y1236" i="8" s="1"/>
  <c r="Z1236" i="8" a="1"/>
  <c r="Z1236" i="8" s="1"/>
  <c r="X1164" i="8" a="1"/>
  <c r="X1164" i="8" s="1"/>
  <c r="Z1164" i="8" a="1"/>
  <c r="Z1164" i="8" s="1"/>
  <c r="Y1164" i="8" a="1"/>
  <c r="Y1164" i="8" s="1"/>
  <c r="Z1199" i="8" a="1"/>
  <c r="Z1199" i="8" s="1"/>
  <c r="X1199" i="8" a="1"/>
  <c r="X1199" i="8" s="1"/>
  <c r="Y1199" i="8" a="1"/>
  <c r="Y1199" i="8" s="1"/>
  <c r="X1231" i="8" a="1"/>
  <c r="X1231" i="8" s="1"/>
  <c r="Z1231" i="8" a="1"/>
  <c r="Z1231" i="8" s="1"/>
  <c r="Y1231" i="8" a="1"/>
  <c r="Y1231" i="8" s="1"/>
  <c r="Z1219" i="8" a="1"/>
  <c r="Z1219" i="8" s="1"/>
  <c r="Y1219" i="8" a="1"/>
  <c r="Y1219" i="8" s="1"/>
  <c r="X1219" i="8" a="1"/>
  <c r="X1219" i="8" s="1"/>
  <c r="X1109" i="8" a="1"/>
  <c r="X1109" i="8" s="1"/>
  <c r="Z1109" i="8" a="1"/>
  <c r="Z1109" i="8" s="1"/>
  <c r="Y1109" i="8" a="1"/>
  <c r="Y1109" i="8" s="1"/>
  <c r="X1174" i="8" a="1"/>
  <c r="X1174" i="8" s="1"/>
  <c r="Y1174" i="8" a="1"/>
  <c r="Y1174" i="8" s="1"/>
  <c r="Z1174" i="8" a="1"/>
  <c r="Z1174" i="8" s="1"/>
  <c r="X1212" i="8" a="1"/>
  <c r="X1212" i="8" s="1"/>
  <c r="Y1212" i="8" a="1"/>
  <c r="Y1212" i="8" s="1"/>
  <c r="Z1212" i="8" a="1"/>
  <c r="Z1212" i="8" s="1"/>
  <c r="Y1051" i="8" a="1"/>
  <c r="Y1051" i="8" s="1"/>
  <c r="Z1051" i="8" a="1"/>
  <c r="Z1051" i="8" s="1"/>
  <c r="X1051" i="8" a="1"/>
  <c r="X1051" i="8" s="1"/>
  <c r="X1187" i="8" a="1"/>
  <c r="X1187" i="8" s="1"/>
  <c r="Z1187" i="8" a="1"/>
  <c r="Z1187" i="8" s="1"/>
  <c r="Y1187" i="8" a="1"/>
  <c r="Y1187" i="8" s="1"/>
  <c r="Z1222" i="8" a="1"/>
  <c r="Z1222" i="8" s="1"/>
  <c r="X1222" i="8" a="1"/>
  <c r="X1222" i="8" s="1"/>
  <c r="Y1222" i="8" a="1"/>
  <c r="Y1222" i="8" s="1"/>
  <c r="Y1070" i="8" a="1"/>
  <c r="Y1070" i="8" s="1"/>
  <c r="X1070" i="8" a="1"/>
  <c r="X1070" i="8" s="1"/>
  <c r="Z1070" i="8" a="1"/>
  <c r="Z1070" i="8" s="1"/>
  <c r="X1183" i="8" a="1"/>
  <c r="X1183" i="8" s="1"/>
  <c r="Y1183" i="8" a="1"/>
  <c r="Y1183" i="8" s="1"/>
  <c r="Z1183" i="8" a="1"/>
  <c r="Z1183" i="8" s="1"/>
  <c r="X1178" i="8" a="1"/>
  <c r="X1178" i="8" s="1"/>
  <c r="Y1178" i="8" a="1"/>
  <c r="Y1178" i="8" s="1"/>
  <c r="Z1178" i="8" a="1"/>
  <c r="Z1178" i="8" s="1"/>
  <c r="Y1114" i="8" a="1"/>
  <c r="Y1114" i="8" s="1"/>
  <c r="Z1114" i="8" a="1"/>
  <c r="Z1114" i="8" s="1"/>
  <c r="X1114" i="8" a="1"/>
  <c r="X1114" i="8" s="1"/>
  <c r="Y1050" i="8" a="1"/>
  <c r="Y1050" i="8" s="1"/>
  <c r="X1050" i="8" a="1"/>
  <c r="X1050" i="8" s="1"/>
  <c r="Z1050" i="8" a="1"/>
  <c r="Z1050" i="8" s="1"/>
  <c r="Y986" i="8" a="1"/>
  <c r="Y986" i="8" s="1"/>
  <c r="X986" i="8" a="1"/>
  <c r="X986" i="8" s="1"/>
  <c r="Z986" i="8" a="1"/>
  <c r="Z986" i="8" s="1"/>
  <c r="X922" i="8" a="1"/>
  <c r="X922" i="8" s="1"/>
  <c r="Z922" i="8" a="1"/>
  <c r="Z922" i="8" s="1"/>
  <c r="Y922" i="8" a="1"/>
  <c r="Y922" i="8" s="1"/>
  <c r="Y1133" i="8" a="1"/>
  <c r="Y1133" i="8" s="1"/>
  <c r="X1133" i="8" a="1"/>
  <c r="X1133" i="8" s="1"/>
  <c r="Z1133" i="8" a="1"/>
  <c r="Z1133" i="8" s="1"/>
  <c r="Y1069" i="8" a="1"/>
  <c r="Y1069" i="8" s="1"/>
  <c r="X1069" i="8" a="1"/>
  <c r="X1069" i="8" s="1"/>
  <c r="Z1069" i="8" a="1"/>
  <c r="Z1069" i="8" s="1"/>
  <c r="Y1005" i="8" a="1"/>
  <c r="Y1005" i="8" s="1"/>
  <c r="X1005" i="8" a="1"/>
  <c r="X1005" i="8" s="1"/>
  <c r="Z1005" i="8" a="1"/>
  <c r="Z1005" i="8" s="1"/>
  <c r="Y941" i="8" a="1"/>
  <c r="Y941" i="8" s="1"/>
  <c r="X941" i="8" a="1"/>
  <c r="X941" i="8" s="1"/>
  <c r="Z941" i="8" a="1"/>
  <c r="Z941" i="8" s="1"/>
  <c r="X1017" i="8" a="1"/>
  <c r="X1017" i="8" s="1"/>
  <c r="Y1017" i="8" a="1"/>
  <c r="Y1017" i="8" s="1"/>
  <c r="Z1017" i="8" a="1"/>
  <c r="Z1017" i="8" s="1"/>
  <c r="X953" i="8" a="1"/>
  <c r="X953" i="8" s="1"/>
  <c r="Y953" i="8" a="1"/>
  <c r="Y953" i="8" s="1"/>
  <c r="Z953" i="8" a="1"/>
  <c r="Z953" i="8" s="1"/>
  <c r="Z1176" i="8" a="1"/>
  <c r="Z1176" i="8" s="1"/>
  <c r="X1176" i="8" a="1"/>
  <c r="X1176" i="8" s="1"/>
  <c r="Y1176" i="8" a="1"/>
  <c r="Y1176" i="8" s="1"/>
  <c r="X1112" i="8" a="1"/>
  <c r="X1112" i="8" s="1"/>
  <c r="Y1112" i="8" a="1"/>
  <c r="Y1112" i="8" s="1"/>
  <c r="Z1112" i="8" a="1"/>
  <c r="Z1112" i="8" s="1"/>
  <c r="Y1048" i="8" a="1"/>
  <c r="Y1048" i="8" s="1"/>
  <c r="Z1048" i="8" a="1"/>
  <c r="Z1048" i="8" s="1"/>
  <c r="X1048" i="8" a="1"/>
  <c r="X1048" i="8" s="1"/>
  <c r="Y984" i="8" a="1"/>
  <c r="Y984" i="8" s="1"/>
  <c r="X984" i="8" a="1"/>
  <c r="X984" i="8" s="1"/>
  <c r="Z984" i="8" a="1"/>
  <c r="Z984" i="8" s="1"/>
  <c r="Y920" i="8" a="1"/>
  <c r="Y920" i="8" s="1"/>
  <c r="X920" i="8" a="1"/>
  <c r="X920" i="8" s="1"/>
  <c r="Z920" i="8" a="1"/>
  <c r="Z920" i="8" s="1"/>
  <c r="X1137" i="8" a="1"/>
  <c r="X1137" i="8" s="1"/>
  <c r="Z1137" i="8" a="1"/>
  <c r="Z1137" i="8" s="1"/>
  <c r="Y1137" i="8" a="1"/>
  <c r="Y1137" i="8" s="1"/>
  <c r="X1073" i="8" a="1"/>
  <c r="X1073" i="8" s="1"/>
  <c r="Y1073" i="8" a="1"/>
  <c r="Y1073" i="8" s="1"/>
  <c r="Z1073" i="8" a="1"/>
  <c r="Z1073" i="8" s="1"/>
  <c r="X1009" i="8" a="1"/>
  <c r="X1009" i="8" s="1"/>
  <c r="Y1009" i="8" a="1"/>
  <c r="Y1009" i="8" s="1"/>
  <c r="Z1009" i="8" a="1"/>
  <c r="Z1009" i="8" s="1"/>
  <c r="X945" i="8" a="1"/>
  <c r="X945" i="8" s="1"/>
  <c r="Y945" i="8" a="1"/>
  <c r="Y945" i="8" s="1"/>
  <c r="Z945" i="8" a="1"/>
  <c r="Z945" i="8" s="1"/>
  <c r="Z1136" i="8" a="1"/>
  <c r="Z1136" i="8" s="1"/>
  <c r="X1136" i="8" a="1"/>
  <c r="X1136" i="8" s="1"/>
  <c r="Y1136" i="8" a="1"/>
  <c r="Y1136" i="8" s="1"/>
  <c r="Y1072" i="8" a="1"/>
  <c r="Y1072" i="8" s="1"/>
  <c r="X1072" i="8" a="1"/>
  <c r="X1072" i="8" s="1"/>
  <c r="Z1072" i="8" a="1"/>
  <c r="Z1072" i="8" s="1"/>
  <c r="Y1008" i="8" a="1"/>
  <c r="Y1008" i="8" s="1"/>
  <c r="Z1008" i="8" a="1"/>
  <c r="Z1008" i="8" s="1"/>
  <c r="X1008" i="8" a="1"/>
  <c r="X1008" i="8" s="1"/>
  <c r="Y944" i="8" a="1"/>
  <c r="Y944" i="8" s="1"/>
  <c r="X944" i="8" a="1"/>
  <c r="X944" i="8" s="1"/>
  <c r="Z944" i="8" a="1"/>
  <c r="Z944" i="8" s="1"/>
  <c r="X1167" i="8" a="1"/>
  <c r="X1167" i="8" s="1"/>
  <c r="Y1167" i="8" a="1"/>
  <c r="Y1167" i="8" s="1"/>
  <c r="Z1167" i="8" a="1"/>
  <c r="Z1167" i="8" s="1"/>
  <c r="X1103" i="8" a="1"/>
  <c r="X1103" i="8" s="1"/>
  <c r="Y1103" i="8" a="1"/>
  <c r="Y1103" i="8" s="1"/>
  <c r="Z1103" i="8" a="1"/>
  <c r="Z1103" i="8" s="1"/>
  <c r="X1039" i="8" a="1"/>
  <c r="X1039" i="8" s="1"/>
  <c r="Y1039" i="8" a="1"/>
  <c r="Y1039" i="8" s="1"/>
  <c r="Z1039" i="8" a="1"/>
  <c r="Z1039" i="8" s="1"/>
  <c r="X975" i="8" a="1"/>
  <c r="X975" i="8" s="1"/>
  <c r="Y975" i="8" a="1"/>
  <c r="Y975" i="8" s="1"/>
  <c r="Z975" i="8" a="1"/>
  <c r="Z975" i="8" s="1"/>
  <c r="Y911" i="8" a="1"/>
  <c r="Y911" i="8" s="1"/>
  <c r="X911" i="8" a="1"/>
  <c r="X911" i="8" s="1"/>
  <c r="Z911" i="8" a="1"/>
  <c r="Z911" i="8" s="1"/>
  <c r="X1210" i="8" a="1"/>
  <c r="X1210" i="8" s="1"/>
  <c r="Y1210" i="8" a="1"/>
  <c r="Y1210" i="8" s="1"/>
  <c r="Z1210" i="8" a="1"/>
  <c r="Z1210" i="8" s="1"/>
  <c r="X1226" i="8" a="1"/>
  <c r="X1226" i="8" s="1"/>
  <c r="Z1226" i="8" a="1"/>
  <c r="Z1226" i="8" s="1"/>
  <c r="Y1226" i="8" a="1"/>
  <c r="Y1226" i="8" s="1"/>
  <c r="Y1064" i="8" a="1"/>
  <c r="Y1064" i="8" s="1"/>
  <c r="X1064" i="8" a="1"/>
  <c r="X1064" i="8" s="1"/>
  <c r="Z1064" i="8" a="1"/>
  <c r="Z1064" i="8" s="1"/>
  <c r="Z1141" i="8" a="1"/>
  <c r="Z1141" i="8" s="1"/>
  <c r="X1141" i="8" a="1"/>
  <c r="X1141" i="8" s="1"/>
  <c r="Y1141" i="8" a="1"/>
  <c r="Y1141" i="8" s="1"/>
  <c r="Z1215" i="8" a="1"/>
  <c r="Z1215" i="8" s="1"/>
  <c r="Y1215" i="8" a="1"/>
  <c r="Y1215" i="8" s="1"/>
  <c r="X1215" i="8" a="1"/>
  <c r="X1215" i="8" s="1"/>
  <c r="Y1214" i="8" a="1"/>
  <c r="Y1214" i="8" s="1"/>
  <c r="X1214" i="8" a="1"/>
  <c r="X1214" i="8" s="1"/>
  <c r="Z1214" i="8" a="1"/>
  <c r="Z1214" i="8" s="1"/>
  <c r="X1083" i="8" a="1"/>
  <c r="X1083" i="8" s="1"/>
  <c r="Y1083" i="8" a="1"/>
  <c r="Y1083" i="8" s="1"/>
  <c r="Z1083" i="8" a="1"/>
  <c r="Z1083" i="8" s="1"/>
  <c r="X1132" i="8" a="1"/>
  <c r="X1132" i="8" s="1"/>
  <c r="Y1132" i="8" a="1"/>
  <c r="Y1132" i="8" s="1"/>
  <c r="Z1132" i="8" a="1"/>
  <c r="Z1132" i="8" s="1"/>
  <c r="X1207" i="8" a="1"/>
  <c r="X1207" i="8" s="1"/>
  <c r="Z1207" i="8" a="1"/>
  <c r="Z1207" i="8" s="1"/>
  <c r="Y1207" i="8" a="1"/>
  <c r="Y1207" i="8" s="1"/>
  <c r="Y1000" i="8" a="1"/>
  <c r="Y1000" i="8" s="1"/>
  <c r="X1000" i="8" a="1"/>
  <c r="X1000" i="8" s="1"/>
  <c r="Z1000" i="8" a="1"/>
  <c r="Z1000" i="8" s="1"/>
  <c r="X1170" i="8" a="1"/>
  <c r="X1170" i="8" s="1"/>
  <c r="Y1170" i="8" a="1"/>
  <c r="Y1170" i="8" s="1"/>
  <c r="Z1170" i="8" a="1"/>
  <c r="Z1170" i="8" s="1"/>
  <c r="X1216" i="8" a="1"/>
  <c r="X1216" i="8" s="1"/>
  <c r="Y1216" i="8" a="1"/>
  <c r="Y1216" i="8" s="1"/>
  <c r="Z1216" i="8" a="1"/>
  <c r="Z1216" i="8" s="1"/>
  <c r="X1038" i="8" a="1"/>
  <c r="X1038" i="8" s="1"/>
  <c r="Y1038" i="8" a="1"/>
  <c r="Y1038" i="8" s="1"/>
  <c r="Z1038" i="8" a="1"/>
  <c r="Z1038" i="8" s="1"/>
  <c r="X1166" i="8" a="1"/>
  <c r="X1166" i="8" s="1"/>
  <c r="Y1166" i="8" a="1"/>
  <c r="Y1166" i="8" s="1"/>
  <c r="Z1166" i="8" a="1"/>
  <c r="Z1166" i="8" s="1"/>
  <c r="Z1172" i="8" a="1"/>
  <c r="Z1172" i="8" s="1"/>
  <c r="Y1172" i="8" a="1"/>
  <c r="Y1172" i="8" s="1"/>
  <c r="X1172" i="8" a="1"/>
  <c r="X1172" i="8" s="1"/>
  <c r="Y1108" i="8" a="1"/>
  <c r="Y1108" i="8" s="1"/>
  <c r="X1108" i="8" a="1"/>
  <c r="X1108" i="8" s="1"/>
  <c r="Z1108" i="8" a="1"/>
  <c r="Z1108" i="8" s="1"/>
  <c r="Y1044" i="8" a="1"/>
  <c r="Y1044" i="8" s="1"/>
  <c r="Z1044" i="8" a="1"/>
  <c r="Z1044" i="8" s="1"/>
  <c r="X1044" i="8" a="1"/>
  <c r="X1044" i="8" s="1"/>
  <c r="Y980" i="8" a="1"/>
  <c r="Y980" i="8" s="1"/>
  <c r="X980" i="8" a="1"/>
  <c r="X980" i="8" s="1"/>
  <c r="Z980" i="8" a="1"/>
  <c r="Z980" i="8" s="1"/>
  <c r="Z916" i="8" a="1"/>
  <c r="Z916" i="8" s="1"/>
  <c r="Y916" i="8" a="1"/>
  <c r="Y916" i="8" s="1"/>
  <c r="X916" i="8" a="1"/>
  <c r="X916" i="8" s="1"/>
  <c r="X1126" i="8" a="1"/>
  <c r="X1126" i="8" s="1"/>
  <c r="Y1126" i="8" a="1"/>
  <c r="Y1126" i="8" s="1"/>
  <c r="Z1126" i="8" a="1"/>
  <c r="Z1126" i="8" s="1"/>
  <c r="X1062" i="8" a="1"/>
  <c r="X1062" i="8" s="1"/>
  <c r="Y1062" i="8" a="1"/>
  <c r="Y1062" i="8" s="1"/>
  <c r="Z1062" i="8" a="1"/>
  <c r="Z1062" i="8" s="1"/>
  <c r="X998" i="8" a="1"/>
  <c r="X998" i="8" s="1"/>
  <c r="Y998" i="8" a="1"/>
  <c r="Y998" i="8" s="1"/>
  <c r="Z998" i="8" a="1"/>
  <c r="Z998" i="8" s="1"/>
  <c r="X934" i="8" a="1"/>
  <c r="X934" i="8" s="1"/>
  <c r="Y934" i="8" a="1"/>
  <c r="Y934" i="8" s="1"/>
  <c r="Z934" i="8" a="1"/>
  <c r="Z934" i="8" s="1"/>
  <c r="X1010" i="8" a="1"/>
  <c r="X1010" i="8" s="1"/>
  <c r="Y1010" i="8" a="1"/>
  <c r="Y1010" i="8" s="1"/>
  <c r="Z1010" i="8" a="1"/>
  <c r="Z1010" i="8" s="1"/>
  <c r="X946" i="8" a="1"/>
  <c r="X946" i="8" s="1"/>
  <c r="Y946" i="8" a="1"/>
  <c r="Y946" i="8" s="1"/>
  <c r="Z946" i="8" a="1"/>
  <c r="Z946" i="8" s="1"/>
  <c r="X1163" i="8" a="1"/>
  <c r="X1163" i="8" s="1"/>
  <c r="Z1163" i="8" a="1"/>
  <c r="Z1163" i="8" s="1"/>
  <c r="Y1163" i="8" a="1"/>
  <c r="Y1163" i="8" s="1"/>
  <c r="Y1099" i="8" a="1"/>
  <c r="Y1099" i="8" s="1"/>
  <c r="X1099" i="8" a="1"/>
  <c r="X1099" i="8" s="1"/>
  <c r="Z1099" i="8" a="1"/>
  <c r="Z1099" i="8" s="1"/>
  <c r="X1035" i="8" a="1"/>
  <c r="X1035" i="8" s="1"/>
  <c r="Z1035" i="8" a="1"/>
  <c r="Z1035" i="8" s="1"/>
  <c r="Y1035" i="8" a="1"/>
  <c r="Y1035" i="8" s="1"/>
  <c r="Y971" i="8" a="1"/>
  <c r="Y971" i="8" s="1"/>
  <c r="X971" i="8" a="1"/>
  <c r="X971" i="8" s="1"/>
  <c r="Z971" i="8" a="1"/>
  <c r="Z971" i="8" s="1"/>
  <c r="X1196" i="8" a="1"/>
  <c r="X1196" i="8" s="1"/>
  <c r="Y1196" i="8" a="1"/>
  <c r="Y1196" i="8" s="1"/>
  <c r="Z1196" i="8" a="1"/>
  <c r="Z1196" i="8" s="1"/>
  <c r="Z1130" i="8" a="1"/>
  <c r="Z1130" i="8" s="1"/>
  <c r="X1130" i="8" a="1"/>
  <c r="X1130" i="8" s="1"/>
  <c r="Y1130" i="8" a="1"/>
  <c r="Y1130" i="8" s="1"/>
  <c r="Y1066" i="8" a="1"/>
  <c r="Y1066" i="8" s="1"/>
  <c r="X1066" i="8" a="1"/>
  <c r="X1066" i="8" s="1"/>
  <c r="Z1066" i="8" a="1"/>
  <c r="Z1066" i="8" s="1"/>
  <c r="Y1002" i="8" a="1"/>
  <c r="Y1002" i="8" s="1"/>
  <c r="Z1002" i="8" a="1"/>
  <c r="Z1002" i="8" s="1"/>
  <c r="X1002" i="8" a="1"/>
  <c r="X1002" i="8" s="1"/>
  <c r="Y938" i="8" a="1"/>
  <c r="Y938" i="8" s="1"/>
  <c r="X938" i="8" a="1"/>
  <c r="X938" i="8" s="1"/>
  <c r="Z938" i="8" a="1"/>
  <c r="Z938" i="8" s="1"/>
  <c r="X1123" i="8" a="1"/>
  <c r="X1123" i="8" s="1"/>
  <c r="Y1123" i="8" a="1"/>
  <c r="Y1123" i="8" s="1"/>
  <c r="Z1123" i="8" a="1"/>
  <c r="Z1123" i="8" s="1"/>
  <c r="X1059" i="8" a="1"/>
  <c r="X1059" i="8" s="1"/>
  <c r="Y1059" i="8" a="1"/>
  <c r="Y1059" i="8" s="1"/>
  <c r="Z1059" i="8" a="1"/>
  <c r="Z1059" i="8" s="1"/>
  <c r="X995" i="8" a="1"/>
  <c r="X995" i="8" s="1"/>
  <c r="Y995" i="8" a="1"/>
  <c r="Y995" i="8" s="1"/>
  <c r="Z995" i="8" a="1"/>
  <c r="Z995" i="8" s="1"/>
  <c r="X931" i="8" a="1"/>
  <c r="X931" i="8" s="1"/>
  <c r="Y931" i="8" a="1"/>
  <c r="Y931" i="8" s="1"/>
  <c r="Z931" i="8" a="1"/>
  <c r="Z931" i="8" s="1"/>
  <c r="X1161" i="8" a="1"/>
  <c r="X1161" i="8" s="1"/>
  <c r="Y1161" i="8" a="1"/>
  <c r="Y1161" i="8" s="1"/>
  <c r="Z1161" i="8" a="1"/>
  <c r="Z1161" i="8" s="1"/>
  <c r="X1097" i="8" a="1"/>
  <c r="X1097" i="8" s="1"/>
  <c r="Y1097" i="8" a="1"/>
  <c r="Y1097" i="8" s="1"/>
  <c r="Z1097" i="8" a="1"/>
  <c r="Z1097" i="8" s="1"/>
  <c r="X1033" i="8" a="1"/>
  <c r="X1033" i="8" s="1"/>
  <c r="Y1033" i="8" a="1"/>
  <c r="Y1033" i="8" s="1"/>
  <c r="Z1033" i="8" a="1"/>
  <c r="Z1033" i="8" s="1"/>
  <c r="X969" i="8" a="1"/>
  <c r="X969" i="8" s="1"/>
  <c r="Y969" i="8" a="1"/>
  <c r="Y969" i="8" s="1"/>
  <c r="Z969" i="8" a="1"/>
  <c r="Z969" i="8" s="1"/>
  <c r="X1247" i="8" a="1"/>
  <c r="X1247" i="8" s="1"/>
  <c r="Z1247" i="8" a="1"/>
  <c r="Z1247" i="8" s="1"/>
  <c r="Y1247" i="8" a="1"/>
  <c r="Y1247" i="8" s="1"/>
  <c r="X1209" i="8" a="1"/>
  <c r="X1209" i="8" s="1"/>
  <c r="Y1209" i="8" a="1"/>
  <c r="Y1209" i="8" s="1"/>
  <c r="Z1209" i="8" a="1"/>
  <c r="Z1209" i="8" s="1"/>
  <c r="X1243" i="8" a="1"/>
  <c r="X1243" i="8" s="1"/>
  <c r="Y1243" i="8" a="1"/>
  <c r="Y1243" i="8" s="1"/>
  <c r="Z1243" i="8" a="1"/>
  <c r="Z1243" i="8" s="1"/>
  <c r="X1250" i="8" a="1"/>
  <c r="X1250" i="8" s="1"/>
  <c r="Z1250" i="8" a="1"/>
  <c r="Z1250" i="8" s="1"/>
  <c r="Y1250" i="8" a="1"/>
  <c r="Y1250" i="8" s="1"/>
  <c r="X1193" i="8" a="1"/>
  <c r="X1193" i="8" s="1"/>
  <c r="Y1193" i="8" a="1"/>
  <c r="Y1193" i="8" s="1"/>
  <c r="Z1193" i="8" a="1"/>
  <c r="Z1193" i="8" s="1"/>
  <c r="X1208" i="8" a="1"/>
  <c r="X1208" i="8" s="1"/>
  <c r="Y1208" i="8" a="1"/>
  <c r="Y1208" i="8" s="1"/>
  <c r="Z1208" i="8" a="1"/>
  <c r="Z1208" i="8" s="1"/>
  <c r="Z1013" i="8" a="1"/>
  <c r="Z1013" i="8" s="1"/>
  <c r="X1013" i="8" a="1"/>
  <c r="X1013" i="8" s="1"/>
  <c r="Y1013" i="8" a="1"/>
  <c r="Y1013" i="8" s="1"/>
  <c r="Z1106" i="8" a="1"/>
  <c r="Z1106" i="8" s="1"/>
  <c r="Y1106" i="8" a="1"/>
  <c r="Y1106" i="8" s="1"/>
  <c r="X1106" i="8" a="1"/>
  <c r="X1106" i="8" s="1"/>
  <c r="X1202" i="8" a="1"/>
  <c r="X1202" i="8" s="1"/>
  <c r="Y1202" i="8" a="1"/>
  <c r="Y1202" i="8" s="1"/>
  <c r="Z1202" i="8" a="1"/>
  <c r="Z1202" i="8" s="1"/>
  <c r="Z949" i="8" a="1"/>
  <c r="Z949" i="8" s="1"/>
  <c r="X949" i="8" a="1"/>
  <c r="X949" i="8" s="1"/>
  <c r="Y949" i="8" a="1"/>
  <c r="Y949" i="8" s="1"/>
  <c r="X1151" i="8" a="1"/>
  <c r="X1151" i="8" s="1"/>
  <c r="Z1151" i="8" a="1"/>
  <c r="Z1151" i="8" s="1"/>
  <c r="Y1151" i="8" a="1"/>
  <c r="Y1151" i="8" s="1"/>
  <c r="X1211" i="8" a="1"/>
  <c r="X1211" i="8" s="1"/>
  <c r="Z1211" i="8" a="1"/>
  <c r="Z1211" i="8" s="1"/>
  <c r="Y1211" i="8" a="1"/>
  <c r="Y1211" i="8" s="1"/>
  <c r="Y987" i="8" a="1"/>
  <c r="Y987" i="8" s="1"/>
  <c r="X987" i="8" a="1"/>
  <c r="X987" i="8" s="1"/>
  <c r="Z987" i="8" a="1"/>
  <c r="Z987" i="8" s="1"/>
  <c r="X1145" i="8" a="1"/>
  <c r="X1145" i="8" s="1"/>
  <c r="Y1145" i="8" a="1"/>
  <c r="Y1145" i="8" s="1"/>
  <c r="Z1145" i="8" a="1"/>
  <c r="Z1145" i="8" s="1"/>
  <c r="X1159" i="8" a="1"/>
  <c r="X1159" i="8" s="1"/>
  <c r="Y1159" i="8" a="1"/>
  <c r="Y1159" i="8" s="1"/>
  <c r="Z1159" i="8" a="1"/>
  <c r="Z1159" i="8" s="1"/>
  <c r="X1095" i="8" a="1"/>
  <c r="X1095" i="8" s="1"/>
  <c r="Z1095" i="8" a="1"/>
  <c r="Z1095" i="8" s="1"/>
  <c r="Y1095" i="8" a="1"/>
  <c r="Y1095" i="8" s="1"/>
  <c r="X1031" i="8" a="1"/>
  <c r="X1031" i="8" s="1"/>
  <c r="Y1031" i="8" a="1"/>
  <c r="Y1031" i="8" s="1"/>
  <c r="Z1031" i="8" a="1"/>
  <c r="Z1031" i="8" s="1"/>
  <c r="X967" i="8" a="1"/>
  <c r="X967" i="8" s="1"/>
  <c r="Y967" i="8" a="1"/>
  <c r="Y967" i="8" s="1"/>
  <c r="Z967" i="8" a="1"/>
  <c r="Z967" i="8" s="1"/>
  <c r="Y1184" i="8" a="1"/>
  <c r="Y1184" i="8" s="1"/>
  <c r="X1184" i="8" a="1"/>
  <c r="X1184" i="8" s="1"/>
  <c r="Z1184" i="8" a="1"/>
  <c r="Z1184" i="8" s="1"/>
  <c r="X1120" i="8" a="1"/>
  <c r="X1120" i="8" s="1"/>
  <c r="Z1120" i="8" a="1"/>
  <c r="Z1120" i="8" s="1"/>
  <c r="Y1120" i="8" a="1"/>
  <c r="Y1120" i="8" s="1"/>
  <c r="X1056" i="8" a="1"/>
  <c r="X1056" i="8" s="1"/>
  <c r="Y1056" i="8" a="1"/>
  <c r="Y1056" i="8" s="1"/>
  <c r="Z1056" i="8" a="1"/>
  <c r="Z1056" i="8" s="1"/>
  <c r="Z992" i="8" a="1"/>
  <c r="Z992" i="8" s="1"/>
  <c r="Y992" i="8" a="1"/>
  <c r="Y992" i="8" s="1"/>
  <c r="X992" i="8" a="1"/>
  <c r="X992" i="8" s="1"/>
  <c r="X928" i="8" a="1"/>
  <c r="X928" i="8" s="1"/>
  <c r="Y928" i="8" a="1"/>
  <c r="Y928" i="8" s="1"/>
  <c r="Z928" i="8" a="1"/>
  <c r="Z928" i="8" s="1"/>
  <c r="X1004" i="8" a="1"/>
  <c r="X1004" i="8" s="1"/>
  <c r="Z1004" i="8" a="1"/>
  <c r="Z1004" i="8" s="1"/>
  <c r="Y1004" i="8" a="1"/>
  <c r="Y1004" i="8" s="1"/>
  <c r="X940" i="8" a="1"/>
  <c r="X940" i="8" s="1"/>
  <c r="Y940" i="8" a="1"/>
  <c r="Y940" i="8" s="1"/>
  <c r="Z940" i="8" a="1"/>
  <c r="Z940" i="8" s="1"/>
  <c r="Z1157" i="8" a="1"/>
  <c r="Z1157" i="8" s="1"/>
  <c r="X1157" i="8" a="1"/>
  <c r="X1157" i="8" s="1"/>
  <c r="Y1157" i="8" a="1"/>
  <c r="Y1157" i="8" s="1"/>
  <c r="Z1093" i="8" a="1"/>
  <c r="Z1093" i="8" s="1"/>
  <c r="X1093" i="8" a="1"/>
  <c r="X1093" i="8" s="1"/>
  <c r="Y1093" i="8" a="1"/>
  <c r="Y1093" i="8" s="1"/>
  <c r="Z1029" i="8" a="1"/>
  <c r="Z1029" i="8" s="1"/>
  <c r="Y1029" i="8" a="1"/>
  <c r="Y1029" i="8" s="1"/>
  <c r="X1029" i="8" a="1"/>
  <c r="X1029" i="8" s="1"/>
  <c r="Z965" i="8" a="1"/>
  <c r="Z965" i="8" s="1"/>
  <c r="X965" i="8" a="1"/>
  <c r="X965" i="8" s="1"/>
  <c r="Y965" i="8" a="1"/>
  <c r="Y965" i="8" s="1"/>
  <c r="X1192" i="8" a="1"/>
  <c r="X1192" i="8" s="1"/>
  <c r="Z1192" i="8" a="1"/>
  <c r="Z1192" i="8" s="1"/>
  <c r="Y1192" i="8" a="1"/>
  <c r="Y1192" i="8" s="1"/>
  <c r="X1124" i="8" a="1"/>
  <c r="X1124" i="8" s="1"/>
  <c r="Y1124" i="8" a="1"/>
  <c r="Y1124" i="8" s="1"/>
  <c r="Z1124" i="8" a="1"/>
  <c r="Z1124" i="8" s="1"/>
  <c r="X1060" i="8" a="1"/>
  <c r="X1060" i="8" s="1"/>
  <c r="Y1060" i="8" a="1"/>
  <c r="Y1060" i="8" s="1"/>
  <c r="Z1060" i="8" a="1"/>
  <c r="Z1060" i="8" s="1"/>
  <c r="X996" i="8" a="1"/>
  <c r="X996" i="8" s="1"/>
  <c r="Y996" i="8" a="1"/>
  <c r="Y996" i="8" s="1"/>
  <c r="Z996" i="8" a="1"/>
  <c r="Z996" i="8" s="1"/>
  <c r="X932" i="8" a="1"/>
  <c r="X932" i="8" s="1"/>
  <c r="Y932" i="8" a="1"/>
  <c r="Y932" i="8" s="1"/>
  <c r="Z932" i="8" a="1"/>
  <c r="Z932" i="8" s="1"/>
  <c r="Y1117" i="8" a="1"/>
  <c r="Y1117" i="8" s="1"/>
  <c r="X1117" i="8" a="1"/>
  <c r="X1117" i="8" s="1"/>
  <c r="Z1117" i="8" a="1"/>
  <c r="Z1117" i="8" s="1"/>
  <c r="Y1053" i="8" a="1"/>
  <c r="Y1053" i="8" s="1"/>
  <c r="X1053" i="8" a="1"/>
  <c r="X1053" i="8" s="1"/>
  <c r="Z1053" i="8" a="1"/>
  <c r="Z1053" i="8" s="1"/>
  <c r="Y989" i="8" a="1"/>
  <c r="Y989" i="8" s="1"/>
  <c r="X989" i="8" a="1"/>
  <c r="X989" i="8" s="1"/>
  <c r="Z989" i="8" a="1"/>
  <c r="Z989" i="8" s="1"/>
  <c r="Y925" i="8" a="1"/>
  <c r="Y925" i="8" s="1"/>
  <c r="X925" i="8" a="1"/>
  <c r="X925" i="8" s="1"/>
  <c r="Z925" i="8" a="1"/>
  <c r="Z925" i="8" s="1"/>
  <c r="X1154" i="8" a="1"/>
  <c r="X1154" i="8" s="1"/>
  <c r="Y1154" i="8" a="1"/>
  <c r="Y1154" i="8" s="1"/>
  <c r="Z1154" i="8" a="1"/>
  <c r="Z1154" i="8" s="1"/>
  <c r="X1090" i="8" a="1"/>
  <c r="X1090" i="8" s="1"/>
  <c r="Y1090" i="8" a="1"/>
  <c r="Y1090" i="8" s="1"/>
  <c r="Z1090" i="8" a="1"/>
  <c r="Z1090" i="8" s="1"/>
  <c r="X1026" i="8" a="1"/>
  <c r="X1026" i="8" s="1"/>
  <c r="Y1026" i="8" a="1"/>
  <c r="Y1026" i="8" s="1"/>
  <c r="Z1026" i="8" a="1"/>
  <c r="Z1026" i="8" s="1"/>
  <c r="X962" i="8" a="1"/>
  <c r="X962" i="8" s="1"/>
  <c r="Z962" i="8" a="1"/>
  <c r="Z962" i="8" s="1"/>
  <c r="Y962" i="8" a="1"/>
  <c r="Y962" i="8" s="1"/>
  <c r="Z909" i="8" a="1"/>
  <c r="Z909" i="8" s="1"/>
  <c r="AD909" i="8" s="1"/>
  <c r="Y909" i="8" a="1"/>
  <c r="Y909" i="8" s="1"/>
  <c r="X908" i="8" a="1"/>
  <c r="X908" i="8" s="1"/>
  <c r="Z908" i="8" a="1"/>
  <c r="Z908" i="8" s="1"/>
  <c r="AD908" i="8" s="1"/>
  <c r="X820" i="8" a="1"/>
  <c r="X820" i="8" s="1"/>
  <c r="Z820" i="8" a="1"/>
  <c r="Z820" i="8" s="1"/>
  <c r="AD820" i="8" s="1"/>
  <c r="Y820" i="8" a="1"/>
  <c r="Y820" i="8" s="1"/>
  <c r="Y811" i="8" a="1"/>
  <c r="Y811" i="8" s="1"/>
  <c r="Z811" i="8" a="1"/>
  <c r="Z811" i="8" s="1"/>
  <c r="AD811" i="8" s="1"/>
  <c r="X811" i="8" a="1"/>
  <c r="X811" i="8" s="1"/>
  <c r="X857" i="8" a="1"/>
  <c r="X857" i="8" s="1"/>
  <c r="Z857" i="8" a="1"/>
  <c r="Z857" i="8" s="1"/>
  <c r="AD857" i="8" s="1"/>
  <c r="Y857" i="8" a="1"/>
  <c r="Y857" i="8" s="1"/>
  <c r="Y856" i="8" a="1"/>
  <c r="Y856" i="8" s="1"/>
  <c r="Z856" i="8" a="1"/>
  <c r="Z856" i="8" s="1"/>
  <c r="AD856" i="8" s="1"/>
  <c r="X856" i="8" a="1"/>
  <c r="X856" i="8" s="1"/>
  <c r="Y855" i="8" a="1"/>
  <c r="Y855" i="8" s="1"/>
  <c r="Z855" i="8" a="1"/>
  <c r="Z855" i="8" s="1"/>
  <c r="AD855" i="8" s="1"/>
  <c r="X855" i="8" a="1"/>
  <c r="X855" i="8" s="1"/>
  <c r="X854" i="8" a="1"/>
  <c r="X854" i="8" s="1"/>
  <c r="Z854" i="8" a="1"/>
  <c r="Z854" i="8" s="1"/>
  <c r="AD854" i="8" s="1"/>
  <c r="Y854" i="8" a="1"/>
  <c r="Y854" i="8" s="1"/>
  <c r="Y853" i="8" a="1"/>
  <c r="Y853" i="8" s="1"/>
  <c r="Z853" i="8" a="1"/>
  <c r="Z853" i="8" s="1"/>
  <c r="AD853" i="8" s="1"/>
  <c r="X853" i="8" a="1"/>
  <c r="X853" i="8" s="1"/>
  <c r="X798" i="8" a="1"/>
  <c r="X798" i="8" s="1"/>
  <c r="Y798" i="8" a="1"/>
  <c r="Y798" i="8" s="1"/>
  <c r="Z798" i="8" a="1"/>
  <c r="Z798" i="8" s="1"/>
  <c r="AD798" i="8" s="1"/>
  <c r="X812" i="8" a="1"/>
  <c r="X812" i="8" s="1"/>
  <c r="Z812" i="8" a="1"/>
  <c r="Z812" i="8" s="1"/>
  <c r="AD812" i="8" s="1"/>
  <c r="Y812" i="8" a="1"/>
  <c r="Y812" i="8" s="1"/>
  <c r="Y858" i="8" a="1"/>
  <c r="Y858" i="8" s="1"/>
  <c r="X858" i="8" a="1"/>
  <c r="X858" i="8" s="1"/>
  <c r="Z858" i="8" a="1"/>
  <c r="Z858" i="8" s="1"/>
  <c r="AD858" i="8" s="1"/>
  <c r="Y849" i="8" a="1"/>
  <c r="Y849" i="8" s="1"/>
  <c r="Z849" i="8" a="1"/>
  <c r="Z849" i="8" s="1"/>
  <c r="AD849" i="8" s="1"/>
  <c r="X849" i="8" a="1"/>
  <c r="X849" i="8" s="1"/>
  <c r="X848" i="8" a="1"/>
  <c r="X848" i="8" s="1"/>
  <c r="Z848" i="8" a="1"/>
  <c r="Z848" i="8" s="1"/>
  <c r="AD848" i="8" s="1"/>
  <c r="Y848" i="8" a="1"/>
  <c r="Y848" i="8" s="1"/>
  <c r="X847" i="8" a="1"/>
  <c r="X847" i="8" s="1"/>
  <c r="Z847" i="8" a="1"/>
  <c r="Z847" i="8" s="1"/>
  <c r="AD847" i="8" s="1"/>
  <c r="Y847" i="8" a="1"/>
  <c r="Y847" i="8" s="1"/>
  <c r="X846" i="8" a="1"/>
  <c r="X846" i="8" s="1"/>
  <c r="Z846" i="8" a="1"/>
  <c r="Z846" i="8" s="1"/>
  <c r="AD846" i="8" s="1"/>
  <c r="Y846" i="8" a="1"/>
  <c r="Y846" i="8" s="1"/>
  <c r="Y845" i="8" a="1"/>
  <c r="Y845" i="8" s="1"/>
  <c r="X845" i="8" a="1"/>
  <c r="X845" i="8" s="1"/>
  <c r="Z845" i="8" a="1"/>
  <c r="Z845" i="8" s="1"/>
  <c r="AD845" i="8" s="1"/>
  <c r="Y809" i="8" a="1"/>
  <c r="Y809" i="8" s="1"/>
  <c r="Z809" i="8" a="1"/>
  <c r="Z809" i="8" s="1"/>
  <c r="AD809" i="8" s="1"/>
  <c r="X809" i="8" a="1"/>
  <c r="X809" i="8" s="1"/>
  <c r="Y859" i="8" a="1"/>
  <c r="Y859" i="8" s="1"/>
  <c r="Z859" i="8" a="1"/>
  <c r="Z859" i="8" s="1"/>
  <c r="AD859" i="8" s="1"/>
  <c r="X859" i="8" a="1"/>
  <c r="X859" i="8" s="1"/>
  <c r="Y850" i="8" a="1"/>
  <c r="Y850" i="8" s="1"/>
  <c r="Z850" i="8" a="1"/>
  <c r="Z850" i="8" s="1"/>
  <c r="AD850" i="8" s="1"/>
  <c r="X850" i="8" a="1"/>
  <c r="X850" i="8" s="1"/>
  <c r="X841" i="8" a="1"/>
  <c r="X841" i="8" s="1"/>
  <c r="Z841" i="8" a="1"/>
  <c r="Z841" i="8" s="1"/>
  <c r="AD841" i="8" s="1"/>
  <c r="Y841" i="8" a="1"/>
  <c r="Y841" i="8" s="1"/>
  <c r="X840" i="8" a="1"/>
  <c r="X840" i="8" s="1"/>
  <c r="Z840" i="8" a="1"/>
  <c r="Z840" i="8" s="1"/>
  <c r="AD840" i="8" s="1"/>
  <c r="Y840" i="8" a="1"/>
  <c r="Y840" i="8" s="1"/>
  <c r="Z839" i="8" a="1"/>
  <c r="Z839" i="8" s="1"/>
  <c r="AD839" i="8" s="1"/>
  <c r="X839" i="8" a="1"/>
  <c r="X839" i="8" s="1"/>
  <c r="Y839" i="8" a="1"/>
  <c r="Y839" i="8" s="1"/>
  <c r="Z838" i="8" a="1"/>
  <c r="Z838" i="8" s="1"/>
  <c r="AD838" i="8" s="1"/>
  <c r="X838" i="8" a="1"/>
  <c r="X838" i="8" s="1"/>
  <c r="Y838" i="8" a="1"/>
  <c r="Y838" i="8" s="1"/>
  <c r="Y837" i="8" a="1"/>
  <c r="Y837" i="8" s="1"/>
  <c r="Z837" i="8" a="1"/>
  <c r="Z837" i="8" s="1"/>
  <c r="AD837" i="8" s="1"/>
  <c r="X837" i="8" a="1"/>
  <c r="X837" i="8" s="1"/>
  <c r="Y805" i="8" a="1"/>
  <c r="Y805" i="8" s="1"/>
  <c r="Z805" i="8" a="1"/>
  <c r="Z805" i="8" s="1"/>
  <c r="AD805" i="8" s="1"/>
  <c r="X805" i="8" a="1"/>
  <c r="X805" i="8" s="1"/>
  <c r="X844" i="8" a="1"/>
  <c r="X844" i="8" s="1"/>
  <c r="Z844" i="8" a="1"/>
  <c r="Z844" i="8" s="1"/>
  <c r="AD844" i="8" s="1"/>
  <c r="Y844" i="8" a="1"/>
  <c r="Y844" i="8" s="1"/>
  <c r="X851" i="8" a="1"/>
  <c r="X851" i="8" s="1"/>
  <c r="Y851" i="8" a="1"/>
  <c r="Y851" i="8" s="1"/>
  <c r="Z851" i="8" a="1"/>
  <c r="Z851" i="8" s="1"/>
  <c r="AD851" i="8" s="1"/>
  <c r="Y842" i="8" a="1"/>
  <c r="Y842" i="8" s="1"/>
  <c r="X842" i="8" a="1"/>
  <c r="X842" i="8" s="1"/>
  <c r="Z842" i="8" a="1"/>
  <c r="Z842" i="8" s="1"/>
  <c r="AD842" i="8" s="1"/>
  <c r="Y833" i="8" a="1"/>
  <c r="Y833" i="8" s="1"/>
  <c r="Z833" i="8" a="1"/>
  <c r="Z833" i="8" s="1"/>
  <c r="AD833" i="8" s="1"/>
  <c r="X833" i="8" a="1"/>
  <c r="X833" i="8" s="1"/>
  <c r="X832" i="8" a="1"/>
  <c r="X832" i="8" s="1"/>
  <c r="Z832" i="8" a="1"/>
  <c r="Z832" i="8" s="1"/>
  <c r="AD832" i="8" s="1"/>
  <c r="Y832" i="8" a="1"/>
  <c r="Y832" i="8" s="1"/>
  <c r="X831" i="8" a="1"/>
  <c r="X831" i="8" s="1"/>
  <c r="Z831" i="8" a="1"/>
  <c r="Z831" i="8" s="1"/>
  <c r="AD831" i="8" s="1"/>
  <c r="Y831" i="8" a="1"/>
  <c r="Y831" i="8" s="1"/>
  <c r="X830" i="8" a="1"/>
  <c r="X830" i="8" s="1"/>
  <c r="Y830" i="8" a="1"/>
  <c r="Y830" i="8" s="1"/>
  <c r="Z830" i="8" a="1"/>
  <c r="Z830" i="8" s="1"/>
  <c r="AD830" i="8" s="1"/>
  <c r="Y829" i="8" a="1"/>
  <c r="Y829" i="8" s="1"/>
  <c r="X829" i="8" a="1"/>
  <c r="X829" i="8" s="1"/>
  <c r="Z829" i="8" a="1"/>
  <c r="Z829" i="8" s="1"/>
  <c r="AD829" i="8" s="1"/>
  <c r="Y801" i="8" a="1"/>
  <c r="Y801" i="8" s="1"/>
  <c r="Z801" i="8" a="1"/>
  <c r="Z801" i="8" s="1"/>
  <c r="AD801" i="8" s="1"/>
  <c r="X801" i="8" a="1"/>
  <c r="X801" i="8" s="1"/>
  <c r="Z860" i="8" a="1"/>
  <c r="Z860" i="8" s="1"/>
  <c r="AD860" i="8" s="1"/>
  <c r="X860" i="8" a="1"/>
  <c r="X860" i="8" s="1"/>
  <c r="Y860" i="8" a="1"/>
  <c r="Y860" i="8" s="1"/>
  <c r="Y843" i="8" a="1"/>
  <c r="Y843" i="8" s="1"/>
  <c r="Z843" i="8" a="1"/>
  <c r="Z843" i="8" s="1"/>
  <c r="AD843" i="8" s="1"/>
  <c r="X843" i="8" a="1"/>
  <c r="X843" i="8" s="1"/>
  <c r="Y834" i="8" a="1"/>
  <c r="Y834" i="8" s="1"/>
  <c r="Z834" i="8" a="1"/>
  <c r="Z834" i="8" s="1"/>
  <c r="AD834" i="8" s="1"/>
  <c r="X834" i="8" a="1"/>
  <c r="X834" i="8" s="1"/>
  <c r="Z825" i="8" a="1"/>
  <c r="Z825" i="8" s="1"/>
  <c r="AD825" i="8" s="1"/>
  <c r="Y825" i="8" a="1"/>
  <c r="Y825" i="8" s="1"/>
  <c r="X825" i="8" a="1"/>
  <c r="X825" i="8" s="1"/>
  <c r="X824" i="8" a="1"/>
  <c r="X824" i="8" s="1"/>
  <c r="Y824" i="8" a="1"/>
  <c r="Y824" i="8" s="1"/>
  <c r="Z824" i="8" a="1"/>
  <c r="Z824" i="8" s="1"/>
  <c r="AD824" i="8" s="1"/>
  <c r="Y823" i="8" a="1"/>
  <c r="Y823" i="8" s="1"/>
  <c r="X823" i="8" a="1"/>
  <c r="X823" i="8" s="1"/>
  <c r="Z823" i="8" a="1"/>
  <c r="Z823" i="8" s="1"/>
  <c r="AD823" i="8" s="1"/>
  <c r="Z822" i="8" a="1"/>
  <c r="Z822" i="8" s="1"/>
  <c r="AD822" i="8" s="1"/>
  <c r="X822" i="8" a="1"/>
  <c r="X822" i="8" s="1"/>
  <c r="Y822" i="8" a="1"/>
  <c r="Y822" i="8" s="1"/>
  <c r="Y821" i="8" a="1"/>
  <c r="Y821" i="8" s="1"/>
  <c r="Z821" i="8" a="1"/>
  <c r="Z821" i="8" s="1"/>
  <c r="AD821" i="8" s="1"/>
  <c r="X821" i="8" a="1"/>
  <c r="X821" i="8" s="1"/>
  <c r="Y797" i="8" a="1"/>
  <c r="Y797" i="8" s="1"/>
  <c r="X797" i="8" a="1"/>
  <c r="X797" i="8" s="1"/>
  <c r="Z797" i="8" a="1"/>
  <c r="Z797" i="8" s="1"/>
  <c r="AD797" i="8" s="1"/>
  <c r="X852" i="8" a="1"/>
  <c r="X852" i="8" s="1"/>
  <c r="Z852" i="8" a="1"/>
  <c r="Z852" i="8" s="1"/>
  <c r="AD852" i="8" s="1"/>
  <c r="Y852" i="8" a="1"/>
  <c r="Y852" i="8" s="1"/>
  <c r="Z835" i="8" a="1"/>
  <c r="Z835" i="8" s="1"/>
  <c r="AD835" i="8" s="1"/>
  <c r="X835" i="8" a="1"/>
  <c r="X835" i="8" s="1"/>
  <c r="Y835" i="8" a="1"/>
  <c r="Y835" i="8" s="1"/>
  <c r="Y826" i="8" a="1"/>
  <c r="Y826" i="8" s="1"/>
  <c r="X826" i="8" a="1"/>
  <c r="X826" i="8" s="1"/>
  <c r="Z826" i="8" a="1"/>
  <c r="Z826" i="8" s="1"/>
  <c r="AD826" i="8" s="1"/>
  <c r="Y817" i="8" a="1"/>
  <c r="Y817" i="8" s="1"/>
  <c r="Z817" i="8" a="1"/>
  <c r="Z817" i="8" s="1"/>
  <c r="AD817" i="8" s="1"/>
  <c r="X817" i="8" a="1"/>
  <c r="X817" i="8" s="1"/>
  <c r="X816" i="8" a="1"/>
  <c r="X816" i="8" s="1"/>
  <c r="Z816" i="8" a="1"/>
  <c r="Z816" i="8" s="1"/>
  <c r="AD816" i="8" s="1"/>
  <c r="Y816" i="8" a="1"/>
  <c r="Y816" i="8" s="1"/>
  <c r="X815" i="8" a="1"/>
  <c r="X815" i="8" s="1"/>
  <c r="Z815" i="8" a="1"/>
  <c r="Z815" i="8" s="1"/>
  <c r="AD815" i="8" s="1"/>
  <c r="Y815" i="8" a="1"/>
  <c r="Y815" i="8" s="1"/>
  <c r="X814" i="8" a="1"/>
  <c r="X814" i="8" s="1"/>
  <c r="Y814" i="8" a="1"/>
  <c r="Y814" i="8" s="1"/>
  <c r="Z814" i="8" a="1"/>
  <c r="Z814" i="8" s="1"/>
  <c r="AD814" i="8" s="1"/>
  <c r="Y813" i="8" a="1"/>
  <c r="Y813" i="8" s="1"/>
  <c r="X813" i="8" a="1"/>
  <c r="X813" i="8" s="1"/>
  <c r="Z813" i="8" a="1"/>
  <c r="Z813" i="8" s="1"/>
  <c r="AD813" i="8" s="1"/>
  <c r="X804" i="8" a="1"/>
  <c r="X804" i="8" s="1"/>
  <c r="Z804" i="8" a="1"/>
  <c r="Z804" i="8" s="1"/>
  <c r="AD804" i="8" s="1"/>
  <c r="Y804" i="8" a="1"/>
  <c r="Y804" i="8" s="1"/>
  <c r="X836" i="8" a="1"/>
  <c r="X836" i="8" s="1"/>
  <c r="Y836" i="8" a="1"/>
  <c r="Y836" i="8" s="1"/>
  <c r="Z836" i="8" a="1"/>
  <c r="Z836" i="8" s="1"/>
  <c r="AD836" i="8" s="1"/>
  <c r="Y827" i="8" a="1"/>
  <c r="Y827" i="8" s="1"/>
  <c r="Z827" i="8" a="1"/>
  <c r="Z827" i="8" s="1"/>
  <c r="AD827" i="8" s="1"/>
  <c r="X827" i="8" a="1"/>
  <c r="X827" i="8" s="1"/>
  <c r="Y818" i="8" a="1"/>
  <c r="Y818" i="8" s="1"/>
  <c r="X818" i="8" a="1"/>
  <c r="X818" i="8" s="1"/>
  <c r="Z818" i="8" a="1"/>
  <c r="Z818" i="8" s="1"/>
  <c r="AD818" i="8" s="1"/>
  <c r="X808" i="8" a="1"/>
  <c r="X808" i="8" s="1"/>
  <c r="Y808" i="8" a="1"/>
  <c r="Y808" i="8" s="1"/>
  <c r="Z808" i="8" a="1"/>
  <c r="Z808" i="8" s="1"/>
  <c r="AD808" i="8" s="1"/>
  <c r="Y807" i="8" a="1"/>
  <c r="Y807" i="8" s="1"/>
  <c r="Z807" i="8" a="1"/>
  <c r="Z807" i="8" s="1"/>
  <c r="AD807" i="8" s="1"/>
  <c r="X807" i="8" a="1"/>
  <c r="X807" i="8" s="1"/>
  <c r="Z803" i="8" a="1"/>
  <c r="Z803" i="8" s="1"/>
  <c r="AD803" i="8" s="1"/>
  <c r="X803" i="8" a="1"/>
  <c r="X803" i="8" s="1"/>
  <c r="Y803" i="8" a="1"/>
  <c r="Y803" i="8" s="1"/>
  <c r="X799" i="8" a="1"/>
  <c r="X799" i="8" s="1"/>
  <c r="Z799" i="8" a="1"/>
  <c r="Z799" i="8" s="1"/>
  <c r="AD799" i="8" s="1"/>
  <c r="Y799" i="8" a="1"/>
  <c r="Y799" i="8" s="1"/>
  <c r="Z806" i="8" a="1"/>
  <c r="Z806" i="8" s="1"/>
  <c r="AD806" i="8" s="1"/>
  <c r="X806" i="8" a="1"/>
  <c r="X806" i="8" s="1"/>
  <c r="Y806" i="8" a="1"/>
  <c r="Y806" i="8" s="1"/>
  <c r="X800" i="8" a="1"/>
  <c r="X800" i="8" s="1"/>
  <c r="Z800" i="8" a="1"/>
  <c r="Z800" i="8" s="1"/>
  <c r="AD800" i="8" s="1"/>
  <c r="Y800" i="8" a="1"/>
  <c r="Y800" i="8" s="1"/>
  <c r="X828" i="8" a="1"/>
  <c r="X828" i="8" s="1"/>
  <c r="Z828" i="8" a="1"/>
  <c r="Z828" i="8" s="1"/>
  <c r="AD828" i="8" s="1"/>
  <c r="Y828" i="8" a="1"/>
  <c r="Y828" i="8" s="1"/>
  <c r="Y819" i="8" a="1"/>
  <c r="Y819" i="8" s="1"/>
  <c r="X819" i="8" a="1"/>
  <c r="X819" i="8" s="1"/>
  <c r="Z819" i="8" a="1"/>
  <c r="Z819" i="8" s="1"/>
  <c r="AD819" i="8" s="1"/>
  <c r="Y810" i="8" a="1"/>
  <c r="Y810" i="8" s="1"/>
  <c r="Z810" i="8" a="1"/>
  <c r="Z810" i="8" s="1"/>
  <c r="AD810" i="8" s="1"/>
  <c r="X810" i="8" a="1"/>
  <c r="X810" i="8" s="1"/>
  <c r="Z864" i="8" a="1"/>
  <c r="Z864" i="8" s="1"/>
  <c r="AD864" i="8" s="1"/>
  <c r="X864" i="8" a="1"/>
  <c r="X864" i="8" s="1"/>
  <c r="Y864" i="8" a="1"/>
  <c r="Y864" i="8" s="1"/>
  <c r="X863" i="8" a="1"/>
  <c r="X863" i="8" s="1"/>
  <c r="Y863" i="8" a="1"/>
  <c r="Y863" i="8" s="1"/>
  <c r="Z863" i="8" a="1"/>
  <c r="Z863" i="8" s="1"/>
  <c r="AD863" i="8" s="1"/>
  <c r="Y862" i="8" a="1"/>
  <c r="Y862" i="8" s="1"/>
  <c r="Z862" i="8" a="1"/>
  <c r="Z862" i="8" s="1"/>
  <c r="AD862" i="8" s="1"/>
  <c r="X862" i="8" a="1"/>
  <c r="X862" i="8" s="1"/>
  <c r="Y861" i="8" a="1"/>
  <c r="Y861" i="8" s="1"/>
  <c r="Z861" i="8" a="1"/>
  <c r="Z861" i="8" s="1"/>
  <c r="AD861" i="8" s="1"/>
  <c r="X861" i="8" a="1"/>
  <c r="X861" i="8" s="1"/>
  <c r="Y802" i="8" a="1"/>
  <c r="Y802" i="8" s="1"/>
  <c r="X802" i="8" a="1"/>
  <c r="X802" i="8" s="1"/>
  <c r="Z802" i="8" a="1"/>
  <c r="Z802" i="8" s="1"/>
  <c r="AD802" i="8" s="1"/>
  <c r="X796" i="8" a="1"/>
  <c r="X796" i="8" s="1"/>
  <c r="Z796" i="8" a="1"/>
  <c r="Z796" i="8" s="1"/>
  <c r="AD796" i="8" s="1"/>
  <c r="Y796" i="8" a="1"/>
  <c r="Y796" i="8" s="1"/>
  <c r="X773" i="8" a="1"/>
  <c r="X773" i="8" s="1"/>
  <c r="Z773" i="8" a="1"/>
  <c r="Z773" i="8" s="1"/>
  <c r="AD773" i="8" s="1"/>
  <c r="Y773" i="8" a="1"/>
  <c r="Y773" i="8" s="1"/>
  <c r="X762" i="8" a="1"/>
  <c r="X762" i="8" s="1"/>
  <c r="Y762" i="8" a="1"/>
  <c r="Y762" i="8" s="1"/>
  <c r="Z762" i="8" a="1"/>
  <c r="Z762" i="8" s="1"/>
  <c r="AD762" i="8" s="1"/>
  <c r="X750" i="8" a="1"/>
  <c r="X750" i="8" s="1"/>
  <c r="Y750" i="8" a="1"/>
  <c r="Y750" i="8" s="1"/>
  <c r="Z750" i="8" a="1"/>
  <c r="Z750" i="8" s="1"/>
  <c r="AD750" i="8" s="1"/>
  <c r="X686" i="8" a="1"/>
  <c r="X686" i="8" s="1"/>
  <c r="Y686" i="8" a="1"/>
  <c r="Y686" i="8" s="1"/>
  <c r="Z686" i="8" a="1"/>
  <c r="Z686" i="8" s="1"/>
  <c r="AD686" i="8" s="1"/>
  <c r="X622" i="8" a="1"/>
  <c r="X622" i="8" s="1"/>
  <c r="Y622" i="8" a="1"/>
  <c r="Y622" i="8" s="1"/>
  <c r="Z622" i="8" a="1"/>
  <c r="Z622" i="8" s="1"/>
  <c r="AD622" i="8" s="1"/>
  <c r="X708" i="8" a="1"/>
  <c r="X708" i="8" s="1"/>
  <c r="Z708" i="8" a="1"/>
  <c r="Z708" i="8" s="1"/>
  <c r="AD708" i="8" s="1"/>
  <c r="Y708" i="8" a="1"/>
  <c r="Y708" i="8" s="1"/>
  <c r="Y644" i="8" a="1"/>
  <c r="Y644" i="8" s="1"/>
  <c r="X644" i="8" a="1"/>
  <c r="X644" i="8" s="1"/>
  <c r="Z644" i="8" a="1"/>
  <c r="Z644" i="8" s="1"/>
  <c r="AD644" i="8" s="1"/>
  <c r="X767" i="8" a="1"/>
  <c r="X767" i="8" s="1"/>
  <c r="Y767" i="8" a="1"/>
  <c r="Y767" i="8" s="1"/>
  <c r="Z767" i="8" a="1"/>
  <c r="Z767" i="8" s="1"/>
  <c r="AD767" i="8" s="1"/>
  <c r="X703" i="8" a="1"/>
  <c r="X703" i="8" s="1"/>
  <c r="Z703" i="8" a="1"/>
  <c r="Z703" i="8" s="1"/>
  <c r="AD703" i="8" s="1"/>
  <c r="Y703" i="8" a="1"/>
  <c r="Y703" i="8" s="1"/>
  <c r="X639" i="8" a="1"/>
  <c r="X639" i="8" s="1"/>
  <c r="Y639" i="8" a="1"/>
  <c r="Y639" i="8" s="1"/>
  <c r="Z639" i="8" a="1"/>
  <c r="Z639" i="8" s="1"/>
  <c r="AD639" i="8" s="1"/>
  <c r="X725" i="8" a="1"/>
  <c r="X725" i="8" s="1"/>
  <c r="Z725" i="8" a="1"/>
  <c r="Z725" i="8" s="1"/>
  <c r="AD725" i="8" s="1"/>
  <c r="Y725" i="8" a="1"/>
  <c r="Y725" i="8" s="1"/>
  <c r="Y661" i="8" a="1"/>
  <c r="Y661" i="8" s="1"/>
  <c r="X661" i="8" a="1"/>
  <c r="X661" i="8" s="1"/>
  <c r="Z661" i="8" a="1"/>
  <c r="Z661" i="8" s="1"/>
  <c r="AD661" i="8" s="1"/>
  <c r="Y598" i="8" a="1"/>
  <c r="Y598" i="8" s="1"/>
  <c r="X598" i="8" a="1"/>
  <c r="X598" i="8" s="1"/>
  <c r="Z598" i="8" a="1"/>
  <c r="Z598" i="8" s="1"/>
  <c r="AD598" i="8" s="1"/>
  <c r="X734" i="8" a="1"/>
  <c r="X734" i="8" s="1"/>
  <c r="Z734" i="8" a="1"/>
  <c r="Z734" i="8" s="1"/>
  <c r="AD734" i="8" s="1"/>
  <c r="Y734" i="8" a="1"/>
  <c r="Y734" i="8" s="1"/>
  <c r="X670" i="8" a="1"/>
  <c r="X670" i="8" s="1"/>
  <c r="Y670" i="8" a="1"/>
  <c r="Y670" i="8" s="1"/>
  <c r="Z670" i="8" a="1"/>
  <c r="Z670" i="8" s="1"/>
  <c r="AD670" i="8" s="1"/>
  <c r="X770" i="8" a="1"/>
  <c r="X770" i="8" s="1"/>
  <c r="Y770" i="8" a="1"/>
  <c r="Y770" i="8" s="1"/>
  <c r="Z770" i="8" a="1"/>
  <c r="Z770" i="8" s="1"/>
  <c r="AD770" i="8" s="1"/>
  <c r="X706" i="8" a="1"/>
  <c r="X706" i="8" s="1"/>
  <c r="Z706" i="8" a="1"/>
  <c r="Z706" i="8" s="1"/>
  <c r="AD706" i="8" s="1"/>
  <c r="Y706" i="8" a="1"/>
  <c r="Y706" i="8" s="1"/>
  <c r="X642" i="8" a="1"/>
  <c r="X642" i="8" s="1"/>
  <c r="Y642" i="8" a="1"/>
  <c r="Y642" i="8" s="1"/>
  <c r="Z642" i="8" a="1"/>
  <c r="Z642" i="8" s="1"/>
  <c r="AD642" i="8" s="1"/>
  <c r="Y751" i="8" a="1"/>
  <c r="Y751" i="8" s="1"/>
  <c r="Z751" i="8" a="1"/>
  <c r="Z751" i="8" s="1"/>
  <c r="AD751" i="8" s="1"/>
  <c r="X751" i="8" a="1"/>
  <c r="X751" i="8" s="1"/>
  <c r="Z687" i="8" a="1"/>
  <c r="Z687" i="8" s="1"/>
  <c r="AD687" i="8" s="1"/>
  <c r="Y687" i="8" a="1"/>
  <c r="Y687" i="8" s="1"/>
  <c r="X687" i="8" a="1"/>
  <c r="X687" i="8" s="1"/>
  <c r="X623" i="8" a="1"/>
  <c r="X623" i="8" s="1"/>
  <c r="Y623" i="8" a="1"/>
  <c r="Y623" i="8" s="1"/>
  <c r="Z623" i="8" a="1"/>
  <c r="Z623" i="8" s="1"/>
  <c r="AD623" i="8" s="1"/>
  <c r="X709" i="8" a="1"/>
  <c r="X709" i="8" s="1"/>
  <c r="Z709" i="8" a="1"/>
  <c r="Z709" i="8" s="1"/>
  <c r="AD709" i="8" s="1"/>
  <c r="Y709" i="8" a="1"/>
  <c r="Y709" i="8" s="1"/>
  <c r="X645" i="8" a="1"/>
  <c r="X645" i="8" s="1"/>
  <c r="Y645" i="8" a="1"/>
  <c r="Y645" i="8" s="1"/>
  <c r="Z645" i="8" a="1"/>
  <c r="Z645" i="8" s="1"/>
  <c r="AD645" i="8" s="1"/>
  <c r="X605" i="8" a="1"/>
  <c r="X605" i="8" s="1"/>
  <c r="Y605" i="8" a="1"/>
  <c r="Y605" i="8" s="1"/>
  <c r="Z605" i="8" a="1"/>
  <c r="Z605" i="8" s="1"/>
  <c r="AD605" i="8" s="1"/>
  <c r="X596" i="8" a="1"/>
  <c r="X596" i="8" s="1"/>
  <c r="Y596" i="8" a="1"/>
  <c r="Y596" i="8" s="1"/>
  <c r="Z596" i="8" a="1"/>
  <c r="Z596" i="8" s="1"/>
  <c r="AD596" i="8" s="1"/>
  <c r="X764" i="8" a="1"/>
  <c r="X764" i="8" s="1"/>
  <c r="Y764" i="8" a="1"/>
  <c r="Y764" i="8" s="1"/>
  <c r="Z764" i="8" a="1"/>
  <c r="Z764" i="8" s="1"/>
  <c r="AD764" i="8" s="1"/>
  <c r="X783" i="8" a="1"/>
  <c r="X783" i="8" s="1"/>
  <c r="Y783" i="8" a="1"/>
  <c r="Y783" i="8" s="1"/>
  <c r="Z783" i="8" a="1"/>
  <c r="Z783" i="8" s="1"/>
  <c r="AD783" i="8" s="1"/>
  <c r="X745" i="8" a="1"/>
  <c r="X745" i="8" s="1"/>
  <c r="Y745" i="8" a="1"/>
  <c r="Y745" i="8" s="1"/>
  <c r="Z745" i="8" a="1"/>
  <c r="Z745" i="8" s="1"/>
  <c r="AD745" i="8" s="1"/>
  <c r="X681" i="8" a="1"/>
  <c r="X681" i="8" s="1"/>
  <c r="Z681" i="8" a="1"/>
  <c r="Z681" i="8" s="1"/>
  <c r="AD681" i="8" s="1"/>
  <c r="Y681" i="8" a="1"/>
  <c r="Y681" i="8" s="1"/>
  <c r="X617" i="8" a="1"/>
  <c r="X617" i="8" s="1"/>
  <c r="Y617" i="8" a="1"/>
  <c r="Y617" i="8" s="1"/>
  <c r="Z617" i="8" a="1"/>
  <c r="Z617" i="8" s="1"/>
  <c r="AD617" i="8" s="1"/>
  <c r="X699" i="8" a="1"/>
  <c r="X699" i="8" s="1"/>
  <c r="Y699" i="8" a="1"/>
  <c r="Y699" i="8" s="1"/>
  <c r="Z699" i="8" a="1"/>
  <c r="Z699" i="8" s="1"/>
  <c r="AD699" i="8" s="1"/>
  <c r="X635" i="8" a="1"/>
  <c r="X635" i="8" s="1"/>
  <c r="Z635" i="8" a="1"/>
  <c r="Z635" i="8" s="1"/>
  <c r="AD635" i="8" s="1"/>
  <c r="Y635" i="8" a="1"/>
  <c r="Y635" i="8" s="1"/>
  <c r="X758" i="8" a="1"/>
  <c r="X758" i="8" s="1"/>
  <c r="Z758" i="8" a="1"/>
  <c r="Z758" i="8" s="1"/>
  <c r="AD758" i="8" s="1"/>
  <c r="Y758" i="8" a="1"/>
  <c r="Y758" i="8" s="1"/>
  <c r="Y694" i="8" a="1"/>
  <c r="Y694" i="8" s="1"/>
  <c r="X694" i="8" a="1"/>
  <c r="X694" i="8" s="1"/>
  <c r="Z694" i="8" a="1"/>
  <c r="Z694" i="8" s="1"/>
  <c r="AD694" i="8" s="1"/>
  <c r="Y630" i="8" a="1"/>
  <c r="Y630" i="8" s="1"/>
  <c r="X630" i="8" a="1"/>
  <c r="X630" i="8" s="1"/>
  <c r="Z630" i="8" a="1"/>
  <c r="Z630" i="8" s="1"/>
  <c r="AD630" i="8" s="1"/>
  <c r="X716" i="8" a="1"/>
  <c r="X716" i="8" s="1"/>
  <c r="Y716" i="8" a="1"/>
  <c r="Y716" i="8" s="1"/>
  <c r="Z716" i="8" a="1"/>
  <c r="Z716" i="8" s="1"/>
  <c r="AD716" i="8" s="1"/>
  <c r="Y652" i="8" a="1"/>
  <c r="Y652" i="8" s="1"/>
  <c r="X652" i="8" a="1"/>
  <c r="X652" i="8" s="1"/>
  <c r="Z652" i="8" a="1"/>
  <c r="Z652" i="8" s="1"/>
  <c r="AD652" i="8" s="1"/>
  <c r="X590" i="8" a="1"/>
  <c r="X590" i="8" s="1"/>
  <c r="Y590" i="8" a="1"/>
  <c r="Y590" i="8" s="1"/>
  <c r="Z590" i="8" a="1"/>
  <c r="Z590" i="8" s="1"/>
  <c r="AD590" i="8" s="1"/>
  <c r="X729" i="8" a="1"/>
  <c r="X729" i="8" s="1"/>
  <c r="Z729" i="8" a="1"/>
  <c r="Z729" i="8" s="1"/>
  <c r="AD729" i="8" s="1"/>
  <c r="Y729" i="8" a="1"/>
  <c r="Y729" i="8" s="1"/>
  <c r="X665" i="8" a="1"/>
  <c r="X665" i="8" s="1"/>
  <c r="Y665" i="8" a="1"/>
  <c r="Y665" i="8" s="1"/>
  <c r="Z665" i="8" a="1"/>
  <c r="Z665" i="8" s="1"/>
  <c r="AD665" i="8" s="1"/>
  <c r="X765" i="8" a="1"/>
  <c r="X765" i="8" s="1"/>
  <c r="Y765" i="8" a="1"/>
  <c r="Y765" i="8" s="1"/>
  <c r="Z765" i="8" a="1"/>
  <c r="Z765" i="8" s="1"/>
  <c r="AD765" i="8" s="1"/>
  <c r="Z701" i="8" a="1"/>
  <c r="Z701" i="8" s="1"/>
  <c r="AD701" i="8" s="1"/>
  <c r="X701" i="8" a="1"/>
  <c r="X701" i="8" s="1"/>
  <c r="Y701" i="8" a="1"/>
  <c r="Y701" i="8" s="1"/>
  <c r="Y637" i="8" a="1"/>
  <c r="Y637" i="8" s="1"/>
  <c r="Z637" i="8" a="1"/>
  <c r="Z637" i="8" s="1"/>
  <c r="AD637" i="8" s="1"/>
  <c r="X637" i="8" a="1"/>
  <c r="X637" i="8" s="1"/>
  <c r="X742" i="8" a="1"/>
  <c r="X742" i="8" s="1"/>
  <c r="Y742" i="8" a="1"/>
  <c r="Y742" i="8" s="1"/>
  <c r="Z742" i="8" a="1"/>
  <c r="Z742" i="8" s="1"/>
  <c r="AD742" i="8" s="1"/>
  <c r="X678" i="8" a="1"/>
  <c r="X678" i="8" s="1"/>
  <c r="Y678" i="8" a="1"/>
  <c r="Y678" i="8" s="1"/>
  <c r="Z678" i="8" a="1"/>
  <c r="Z678" i="8" s="1"/>
  <c r="AD678" i="8" s="1"/>
  <c r="X614" i="8" a="1"/>
  <c r="X614" i="8" s="1"/>
  <c r="Y614" i="8" a="1"/>
  <c r="Y614" i="8" s="1"/>
  <c r="Z614" i="8" a="1"/>
  <c r="Z614" i="8" s="1"/>
  <c r="AD614" i="8" s="1"/>
  <c r="X700" i="8" a="1"/>
  <c r="X700" i="8" s="1"/>
  <c r="Y700" i="8" a="1"/>
  <c r="Y700" i="8" s="1"/>
  <c r="Z700" i="8" a="1"/>
  <c r="Z700" i="8" s="1"/>
  <c r="AD700" i="8" s="1"/>
  <c r="Y636" i="8" a="1"/>
  <c r="Y636" i="8" s="1"/>
  <c r="X636" i="8" a="1"/>
  <c r="X636" i="8" s="1"/>
  <c r="Z636" i="8" a="1"/>
  <c r="Z636" i="8" s="1"/>
  <c r="AD636" i="8" s="1"/>
  <c r="X601" i="8" a="1"/>
  <c r="X601" i="8" s="1"/>
  <c r="Y601" i="8" a="1"/>
  <c r="Y601" i="8" s="1"/>
  <c r="Z601" i="8" a="1"/>
  <c r="Z601" i="8" s="1"/>
  <c r="AD601" i="8" s="1"/>
  <c r="Y592" i="8" a="1"/>
  <c r="Y592" i="8" s="1"/>
  <c r="X592" i="8" a="1"/>
  <c r="X592" i="8" s="1"/>
  <c r="Z592" i="8" a="1"/>
  <c r="Z592" i="8" s="1"/>
  <c r="AD592" i="8" s="1"/>
  <c r="X786" i="8" a="1"/>
  <c r="X786" i="8" s="1"/>
  <c r="Y786" i="8" a="1"/>
  <c r="Y786" i="8" s="1"/>
  <c r="Z786" i="8" a="1"/>
  <c r="Z786" i="8" s="1"/>
  <c r="AD786" i="8" s="1"/>
  <c r="X777" i="8" a="1"/>
  <c r="X777" i="8" s="1"/>
  <c r="Y777" i="8" a="1"/>
  <c r="Y777" i="8" s="1"/>
  <c r="Z777" i="8" a="1"/>
  <c r="Z777" i="8" s="1"/>
  <c r="AD777" i="8" s="1"/>
  <c r="X736" i="8" a="1"/>
  <c r="X736" i="8" s="1"/>
  <c r="Y736" i="8" a="1"/>
  <c r="Y736" i="8" s="1"/>
  <c r="Z736" i="8" a="1"/>
  <c r="Z736" i="8" s="1"/>
  <c r="AD736" i="8" s="1"/>
  <c r="X672" i="8" a="1"/>
  <c r="X672" i="8" s="1"/>
  <c r="Y672" i="8" a="1"/>
  <c r="Y672" i="8" s="1"/>
  <c r="Z672" i="8" a="1"/>
  <c r="Z672" i="8" s="1"/>
  <c r="AD672" i="8" s="1"/>
  <c r="X754" i="8" a="1"/>
  <c r="X754" i="8" s="1"/>
  <c r="Y754" i="8" a="1"/>
  <c r="Y754" i="8" s="1"/>
  <c r="Z754" i="8" a="1"/>
  <c r="Z754" i="8" s="1"/>
  <c r="AD754" i="8" s="1"/>
  <c r="X690" i="8" a="1"/>
  <c r="X690" i="8" s="1"/>
  <c r="Z690" i="8" a="1"/>
  <c r="Z690" i="8" s="1"/>
  <c r="AD690" i="8" s="1"/>
  <c r="Y690" i="8" a="1"/>
  <c r="Y690" i="8" s="1"/>
  <c r="X626" i="8" a="1"/>
  <c r="X626" i="8" s="1"/>
  <c r="Y626" i="8" a="1"/>
  <c r="Y626" i="8" s="1"/>
  <c r="Z626" i="8" a="1"/>
  <c r="Z626" i="8" s="1"/>
  <c r="AD626" i="8" s="1"/>
  <c r="X753" i="8" a="1"/>
  <c r="X753" i="8" s="1"/>
  <c r="Z753" i="8" a="1"/>
  <c r="Z753" i="8" s="1"/>
  <c r="AD753" i="8" s="1"/>
  <c r="Y753" i="8" a="1"/>
  <c r="Y753" i="8" s="1"/>
  <c r="Y689" i="8" a="1"/>
  <c r="Y689" i="8" s="1"/>
  <c r="Z689" i="8" a="1"/>
  <c r="Z689" i="8" s="1"/>
  <c r="AD689" i="8" s="1"/>
  <c r="X689" i="8" a="1"/>
  <c r="X689" i="8" s="1"/>
  <c r="Y625" i="8" a="1"/>
  <c r="Y625" i="8" s="1"/>
  <c r="Z625" i="8" a="1"/>
  <c r="Z625" i="8" s="1"/>
  <c r="AD625" i="8" s="1"/>
  <c r="X625" i="8" a="1"/>
  <c r="X625" i="8" s="1"/>
  <c r="Y707" i="8" a="1"/>
  <c r="Y707" i="8" s="1"/>
  <c r="X707" i="8" a="1"/>
  <c r="X707" i="8" s="1"/>
  <c r="Z707" i="8" a="1"/>
  <c r="Z707" i="8" s="1"/>
  <c r="AD707" i="8" s="1"/>
  <c r="X643" i="8" a="1"/>
  <c r="X643" i="8" s="1"/>
  <c r="Y643" i="8" a="1"/>
  <c r="Y643" i="8" s="1"/>
  <c r="Z643" i="8" a="1"/>
  <c r="Z643" i="8" s="1"/>
  <c r="AD643" i="8" s="1"/>
  <c r="X784" i="8" a="1"/>
  <c r="X784" i="8" s="1"/>
  <c r="Y784" i="8" a="1"/>
  <c r="Y784" i="8" s="1"/>
  <c r="Z784" i="8" a="1"/>
  <c r="Z784" i="8" s="1"/>
  <c r="AD784" i="8" s="1"/>
  <c r="X720" i="8" a="1"/>
  <c r="X720" i="8" s="1"/>
  <c r="Z720" i="8" a="1"/>
  <c r="Z720" i="8" s="1"/>
  <c r="AD720" i="8" s="1"/>
  <c r="Y720" i="8" a="1"/>
  <c r="Y720" i="8" s="1"/>
  <c r="Y656" i="8" a="1"/>
  <c r="Y656" i="8" s="1"/>
  <c r="X656" i="8" a="1"/>
  <c r="X656" i="8" s="1"/>
  <c r="Z656" i="8" a="1"/>
  <c r="Z656" i="8" s="1"/>
  <c r="AD656" i="8" s="1"/>
  <c r="Y756" i="8" a="1"/>
  <c r="Y756" i="8" s="1"/>
  <c r="X756" i="8" a="1"/>
  <c r="X756" i="8" s="1"/>
  <c r="Z756" i="8" a="1"/>
  <c r="Z756" i="8" s="1"/>
  <c r="AD756" i="8" s="1"/>
  <c r="X692" i="8" a="1"/>
  <c r="X692" i="8" s="1"/>
  <c r="Z692" i="8" a="1"/>
  <c r="Z692" i="8" s="1"/>
  <c r="AD692" i="8" s="1"/>
  <c r="Y692" i="8" a="1"/>
  <c r="Y692" i="8" s="1"/>
  <c r="Y628" i="8" a="1"/>
  <c r="Y628" i="8" s="1"/>
  <c r="X628" i="8" a="1"/>
  <c r="X628" i="8" s="1"/>
  <c r="Z628" i="8" a="1"/>
  <c r="Z628" i="8" s="1"/>
  <c r="AD628" i="8" s="1"/>
  <c r="X737" i="8" a="1"/>
  <c r="X737" i="8" s="1"/>
  <c r="Z737" i="8" a="1"/>
  <c r="Z737" i="8" s="1"/>
  <c r="AD737" i="8" s="1"/>
  <c r="Y737" i="8" a="1"/>
  <c r="Y737" i="8" s="1"/>
  <c r="X673" i="8" a="1"/>
  <c r="X673" i="8" s="1"/>
  <c r="Y673" i="8" a="1"/>
  <c r="Y673" i="8" s="1"/>
  <c r="Z673" i="8" a="1"/>
  <c r="Z673" i="8" s="1"/>
  <c r="AD673" i="8" s="1"/>
  <c r="Y609" i="8" a="1"/>
  <c r="Y609" i="8" s="1"/>
  <c r="X609" i="8" a="1"/>
  <c r="X609" i="8" s="1"/>
  <c r="Z609" i="8" a="1"/>
  <c r="Z609" i="8" s="1"/>
  <c r="AD609" i="8" s="1"/>
  <c r="X691" i="8" a="1"/>
  <c r="X691" i="8" s="1"/>
  <c r="Y691" i="8" a="1"/>
  <c r="Y691" i="8" s="1"/>
  <c r="Z691" i="8" a="1"/>
  <c r="Z691" i="8" s="1"/>
  <c r="AD691" i="8" s="1"/>
  <c r="X627" i="8" a="1"/>
  <c r="X627" i="8" s="1"/>
  <c r="Y627" i="8" a="1"/>
  <c r="Y627" i="8" s="1"/>
  <c r="Z627" i="8" a="1"/>
  <c r="Z627" i="8" s="1"/>
  <c r="AD627" i="8" s="1"/>
  <c r="Y597" i="8" a="1"/>
  <c r="Y597" i="8" s="1"/>
  <c r="Z597" i="8" a="1"/>
  <c r="Z597" i="8" s="1"/>
  <c r="AD597" i="8" s="1"/>
  <c r="X597" i="8" a="1"/>
  <c r="X597" i="8" s="1"/>
  <c r="Y588" i="8" a="1"/>
  <c r="Y588" i="8" s="1"/>
  <c r="X588" i="8" a="1"/>
  <c r="X588" i="8" s="1"/>
  <c r="Z588" i="8" a="1"/>
  <c r="Z588" i="8" s="1"/>
  <c r="AD588" i="8" s="1"/>
  <c r="X779" i="8" a="1"/>
  <c r="X779" i="8" s="1"/>
  <c r="Y779" i="8" a="1"/>
  <c r="Y779" i="8" s="1"/>
  <c r="Z779" i="8" a="1"/>
  <c r="Z779" i="8" s="1"/>
  <c r="AD779" i="8" s="1"/>
  <c r="X788" i="8" a="1"/>
  <c r="X788" i="8" s="1"/>
  <c r="Y788" i="8" a="1"/>
  <c r="Y788" i="8" s="1"/>
  <c r="Z788" i="8" a="1"/>
  <c r="Z788" i="8" s="1"/>
  <c r="AD788" i="8" s="1"/>
  <c r="X727" i="8" a="1"/>
  <c r="X727" i="8" s="1"/>
  <c r="Y727" i="8" a="1"/>
  <c r="Y727" i="8" s="1"/>
  <c r="Z727" i="8" a="1"/>
  <c r="Z727" i="8" s="1"/>
  <c r="AD727" i="8" s="1"/>
  <c r="X663" i="8" a="1"/>
  <c r="X663" i="8" s="1"/>
  <c r="Y663" i="8" a="1"/>
  <c r="Y663" i="8" s="1"/>
  <c r="Z663" i="8" a="1"/>
  <c r="Z663" i="8" s="1"/>
  <c r="AD663" i="8" s="1"/>
  <c r="Z749" i="8" a="1"/>
  <c r="Z749" i="8" s="1"/>
  <c r="AD749" i="8" s="1"/>
  <c r="X749" i="8" a="1"/>
  <c r="X749" i="8" s="1"/>
  <c r="Y749" i="8" a="1"/>
  <c r="Y749" i="8" s="1"/>
  <c r="Z685" i="8" a="1"/>
  <c r="Z685" i="8" s="1"/>
  <c r="AD685" i="8" s="1"/>
  <c r="X685" i="8" a="1"/>
  <c r="X685" i="8" s="1"/>
  <c r="Y685" i="8" a="1"/>
  <c r="Y685" i="8" s="1"/>
  <c r="X621" i="8" a="1"/>
  <c r="X621" i="8" s="1"/>
  <c r="Y621" i="8" a="1"/>
  <c r="Y621" i="8" s="1"/>
  <c r="Z621" i="8" a="1"/>
  <c r="Z621" i="8" s="1"/>
  <c r="AD621" i="8" s="1"/>
  <c r="Y744" i="8" a="1"/>
  <c r="Y744" i="8" s="1"/>
  <c r="Z744" i="8" a="1"/>
  <c r="Z744" i="8" s="1"/>
  <c r="AD744" i="8" s="1"/>
  <c r="X744" i="8" a="1"/>
  <c r="X744" i="8" s="1"/>
  <c r="Y680" i="8" a="1"/>
  <c r="Y680" i="8" s="1"/>
  <c r="X680" i="8" a="1"/>
  <c r="X680" i="8" s="1"/>
  <c r="Z680" i="8" a="1"/>
  <c r="Z680" i="8" s="1"/>
  <c r="AD680" i="8" s="1"/>
  <c r="X616" i="8" a="1"/>
  <c r="X616" i="8" s="1"/>
  <c r="Y616" i="8" a="1"/>
  <c r="Y616" i="8" s="1"/>
  <c r="Z616" i="8" a="1"/>
  <c r="Z616" i="8" s="1"/>
  <c r="AD616" i="8" s="1"/>
  <c r="X698" i="8" a="1"/>
  <c r="X698" i="8" s="1"/>
  <c r="Y698" i="8" a="1"/>
  <c r="Y698" i="8" s="1"/>
  <c r="Z698" i="8" a="1"/>
  <c r="Z698" i="8" s="1"/>
  <c r="AD698" i="8" s="1"/>
  <c r="Y634" i="8" a="1"/>
  <c r="Y634" i="8" s="1"/>
  <c r="X634" i="8" a="1"/>
  <c r="X634" i="8" s="1"/>
  <c r="Z634" i="8" a="1"/>
  <c r="Z634" i="8" s="1"/>
  <c r="AD634" i="8" s="1"/>
  <c r="X775" i="8" a="1"/>
  <c r="X775" i="8" s="1"/>
  <c r="Y775" i="8" a="1"/>
  <c r="Y775" i="8" s="1"/>
  <c r="Z775" i="8" a="1"/>
  <c r="Z775" i="8" s="1"/>
  <c r="AD775" i="8" s="1"/>
  <c r="X711" i="8" a="1"/>
  <c r="X711" i="8" s="1"/>
  <c r="Y711" i="8" a="1"/>
  <c r="Y711" i="8" s="1"/>
  <c r="Z711" i="8" a="1"/>
  <c r="Z711" i="8" s="1"/>
  <c r="AD711" i="8" s="1"/>
  <c r="X647" i="8" a="1"/>
  <c r="X647" i="8" s="1"/>
  <c r="Y647" i="8" a="1"/>
  <c r="Y647" i="8" s="1"/>
  <c r="Z647" i="8" a="1"/>
  <c r="Z647" i="8" s="1"/>
  <c r="AD647" i="8" s="1"/>
  <c r="X747" i="8" a="1"/>
  <c r="X747" i="8" s="1"/>
  <c r="Y747" i="8" a="1"/>
  <c r="Y747" i="8" s="1"/>
  <c r="Z747" i="8" a="1"/>
  <c r="Z747" i="8" s="1"/>
  <c r="AD747" i="8" s="1"/>
  <c r="X683" i="8" a="1"/>
  <c r="X683" i="8" s="1"/>
  <c r="Y683" i="8" a="1"/>
  <c r="Y683" i="8" s="1"/>
  <c r="Z683" i="8" a="1"/>
  <c r="Z683" i="8" s="1"/>
  <c r="AD683" i="8" s="1"/>
  <c r="X619" i="8" a="1"/>
  <c r="X619" i="8" s="1"/>
  <c r="Y619" i="8" a="1"/>
  <c r="Y619" i="8" s="1"/>
  <c r="Z619" i="8" a="1"/>
  <c r="Z619" i="8" s="1"/>
  <c r="AD619" i="8" s="1"/>
  <c r="X728" i="8" a="1"/>
  <c r="X728" i="8" s="1"/>
  <c r="Y728" i="8" a="1"/>
  <c r="Y728" i="8" s="1"/>
  <c r="Z728" i="8" a="1"/>
  <c r="Z728" i="8" s="1"/>
  <c r="AD728" i="8" s="1"/>
  <c r="Y664" i="8" a="1"/>
  <c r="Y664" i="8" s="1"/>
  <c r="X664" i="8" a="1"/>
  <c r="X664" i="8" s="1"/>
  <c r="Z664" i="8" a="1"/>
  <c r="Z664" i="8" s="1"/>
  <c r="AD664" i="8" s="1"/>
  <c r="X746" i="8" a="1"/>
  <c r="X746" i="8" s="1"/>
  <c r="Z746" i="8" a="1"/>
  <c r="Z746" i="8" s="1"/>
  <c r="AD746" i="8" s="1"/>
  <c r="Y746" i="8" a="1"/>
  <c r="Y746" i="8" s="1"/>
  <c r="X682" i="8" a="1"/>
  <c r="X682" i="8" s="1"/>
  <c r="Y682" i="8" a="1"/>
  <c r="Y682" i="8" s="1"/>
  <c r="Z682" i="8" a="1"/>
  <c r="Z682" i="8" s="1"/>
  <c r="AD682" i="8" s="1"/>
  <c r="X618" i="8" a="1"/>
  <c r="X618" i="8" s="1"/>
  <c r="Y618" i="8" a="1"/>
  <c r="Y618" i="8" s="1"/>
  <c r="Z618" i="8" a="1"/>
  <c r="Z618" i="8" s="1"/>
  <c r="AD618" i="8" s="1"/>
  <c r="Y593" i="8" a="1"/>
  <c r="Y593" i="8" s="1"/>
  <c r="X593" i="8" a="1"/>
  <c r="X593" i="8" s="1"/>
  <c r="Z593" i="8" a="1"/>
  <c r="Z593" i="8" s="1"/>
  <c r="AD593" i="8" s="1"/>
  <c r="X603" i="8" a="1"/>
  <c r="X603" i="8" s="1"/>
  <c r="Z603" i="8" a="1"/>
  <c r="Z603" i="8" s="1"/>
  <c r="AD603" i="8" s="1"/>
  <c r="Y603" i="8" a="1"/>
  <c r="Y603" i="8" s="1"/>
  <c r="X772" i="8" a="1"/>
  <c r="X772" i="8" s="1"/>
  <c r="Y772" i="8" a="1"/>
  <c r="Y772" i="8" s="1"/>
  <c r="Z772" i="8" a="1"/>
  <c r="Z772" i="8" s="1"/>
  <c r="AD772" i="8" s="1"/>
  <c r="X768" i="8" a="1"/>
  <c r="X768" i="8" s="1"/>
  <c r="Y768" i="8" a="1"/>
  <c r="Y768" i="8" s="1"/>
  <c r="Z768" i="8" a="1"/>
  <c r="Z768" i="8" s="1"/>
  <c r="AD768" i="8" s="1"/>
  <c r="X718" i="8" a="1"/>
  <c r="X718" i="8" s="1"/>
  <c r="Y718" i="8" a="1"/>
  <c r="Y718" i="8" s="1"/>
  <c r="Z718" i="8" a="1"/>
  <c r="Z718" i="8" s="1"/>
  <c r="AD718" i="8" s="1"/>
  <c r="X654" i="8" a="1"/>
  <c r="X654" i="8" s="1"/>
  <c r="Y654" i="8" a="1"/>
  <c r="Y654" i="8" s="1"/>
  <c r="Z654" i="8" a="1"/>
  <c r="Z654" i="8" s="1"/>
  <c r="AD654" i="8" s="1"/>
  <c r="X740" i="8" a="1"/>
  <c r="X740" i="8" s="1"/>
  <c r="Y740" i="8" a="1"/>
  <c r="Y740" i="8" s="1"/>
  <c r="Z740" i="8" a="1"/>
  <c r="Z740" i="8" s="1"/>
  <c r="AD740" i="8" s="1"/>
  <c r="Y676" i="8" a="1"/>
  <c r="Y676" i="8" s="1"/>
  <c r="X676" i="8" a="1"/>
  <c r="X676" i="8" s="1"/>
  <c r="Z676" i="8" a="1"/>
  <c r="Z676" i="8" s="1"/>
  <c r="AD676" i="8" s="1"/>
  <c r="Y612" i="8" a="1"/>
  <c r="Y612" i="8" s="1"/>
  <c r="X612" i="8" a="1"/>
  <c r="X612" i="8" s="1"/>
  <c r="Z612" i="8" a="1"/>
  <c r="Z612" i="8" s="1"/>
  <c r="AD612" i="8" s="1"/>
  <c r="Y735" i="8" a="1"/>
  <c r="Y735" i="8" s="1"/>
  <c r="Z735" i="8" a="1"/>
  <c r="Z735" i="8" s="1"/>
  <c r="AD735" i="8" s="1"/>
  <c r="X735" i="8" a="1"/>
  <c r="X735" i="8" s="1"/>
  <c r="Y671" i="8" a="1"/>
  <c r="Y671" i="8" s="1"/>
  <c r="X671" i="8" a="1"/>
  <c r="X671" i="8" s="1"/>
  <c r="Z671" i="8" a="1"/>
  <c r="Z671" i="8" s="1"/>
  <c r="AD671" i="8" s="1"/>
  <c r="X757" i="8" a="1"/>
  <c r="X757" i="8" s="1"/>
  <c r="Z757" i="8" a="1"/>
  <c r="Z757" i="8" s="1"/>
  <c r="AD757" i="8" s="1"/>
  <c r="Y757" i="8" a="1"/>
  <c r="Y757" i="8" s="1"/>
  <c r="X693" i="8" a="1"/>
  <c r="X693" i="8" s="1"/>
  <c r="Z693" i="8" a="1"/>
  <c r="Z693" i="8" s="1"/>
  <c r="AD693" i="8" s="1"/>
  <c r="Y693" i="8" a="1"/>
  <c r="Y693" i="8" s="1"/>
  <c r="Y629" i="8" a="1"/>
  <c r="Y629" i="8" s="1"/>
  <c r="X629" i="8" a="1"/>
  <c r="X629" i="8" s="1"/>
  <c r="Z629" i="8" a="1"/>
  <c r="Z629" i="8" s="1"/>
  <c r="AD629" i="8" s="1"/>
  <c r="X766" i="8" a="1"/>
  <c r="X766" i="8" s="1"/>
  <c r="Z766" i="8" a="1"/>
  <c r="Z766" i="8" s="1"/>
  <c r="AD766" i="8" s="1"/>
  <c r="Y766" i="8" a="1"/>
  <c r="Y766" i="8" s="1"/>
  <c r="X702" i="8" a="1"/>
  <c r="X702" i="8" s="1"/>
  <c r="Y702" i="8" a="1"/>
  <c r="Y702" i="8" s="1"/>
  <c r="Z702" i="8" a="1"/>
  <c r="Z702" i="8" s="1"/>
  <c r="AD702" i="8" s="1"/>
  <c r="Y638" i="8" a="1"/>
  <c r="Y638" i="8" s="1"/>
  <c r="X638" i="8" a="1"/>
  <c r="X638" i="8" s="1"/>
  <c r="Z638" i="8" a="1"/>
  <c r="Z638" i="8" s="1"/>
  <c r="AD638" i="8" s="1"/>
  <c r="X738" i="8" a="1"/>
  <c r="X738" i="8" s="1"/>
  <c r="Y738" i="8" a="1"/>
  <c r="Y738" i="8" s="1"/>
  <c r="Z738" i="8" a="1"/>
  <c r="Z738" i="8" s="1"/>
  <c r="AD738" i="8" s="1"/>
  <c r="X674" i="8" a="1"/>
  <c r="X674" i="8" s="1"/>
  <c r="Z674" i="8" a="1"/>
  <c r="Z674" i="8" s="1"/>
  <c r="AD674" i="8" s="1"/>
  <c r="Y674" i="8" a="1"/>
  <c r="Y674" i="8" s="1"/>
  <c r="Y610" i="8" a="1"/>
  <c r="Y610" i="8" s="1"/>
  <c r="X610" i="8" a="1"/>
  <c r="X610" i="8" s="1"/>
  <c r="Z610" i="8" a="1"/>
  <c r="Z610" i="8" s="1"/>
  <c r="AD610" i="8" s="1"/>
  <c r="Z719" i="8" a="1"/>
  <c r="Z719" i="8" s="1"/>
  <c r="AD719" i="8" s="1"/>
  <c r="Y719" i="8" a="1"/>
  <c r="Y719" i="8" s="1"/>
  <c r="X719" i="8" a="1"/>
  <c r="X719" i="8" s="1"/>
  <c r="X655" i="8" a="1"/>
  <c r="X655" i="8" s="1"/>
  <c r="Z655" i="8" a="1"/>
  <c r="Z655" i="8" s="1"/>
  <c r="AD655" i="8" s="1"/>
  <c r="Y655" i="8" a="1"/>
  <c r="Y655" i="8" s="1"/>
  <c r="X741" i="8" a="1"/>
  <c r="X741" i="8" s="1"/>
  <c r="Y741" i="8" a="1"/>
  <c r="Y741" i="8" s="1"/>
  <c r="Z741" i="8" a="1"/>
  <c r="Z741" i="8" s="1"/>
  <c r="AD741" i="8" s="1"/>
  <c r="X677" i="8" a="1"/>
  <c r="X677" i="8" s="1"/>
  <c r="Y677" i="8" a="1"/>
  <c r="Y677" i="8" s="1"/>
  <c r="Z677" i="8" a="1"/>
  <c r="Z677" i="8" s="1"/>
  <c r="AD677" i="8" s="1"/>
  <c r="Y613" i="8" a="1"/>
  <c r="Y613" i="8" s="1"/>
  <c r="X613" i="8" a="1"/>
  <c r="X613" i="8" s="1"/>
  <c r="Z613" i="8" a="1"/>
  <c r="Z613" i="8" s="1"/>
  <c r="AD613" i="8" s="1"/>
  <c r="Y589" i="8" a="1"/>
  <c r="Y589" i="8" s="1"/>
  <c r="X589" i="8" a="1"/>
  <c r="X589" i="8" s="1"/>
  <c r="Z589" i="8" a="1"/>
  <c r="Z589" i="8" s="1"/>
  <c r="AD589" i="8" s="1"/>
  <c r="Y599" i="8" a="1"/>
  <c r="Y599" i="8" s="1"/>
  <c r="Z599" i="8" a="1"/>
  <c r="Z599" i="8" s="1"/>
  <c r="AD599" i="8" s="1"/>
  <c r="X599" i="8" a="1"/>
  <c r="X599" i="8" s="1"/>
  <c r="X787" i="8" a="1"/>
  <c r="X787" i="8" s="1"/>
  <c r="Z787" i="8" a="1"/>
  <c r="Z787" i="8" s="1"/>
  <c r="AD787" i="8" s="1"/>
  <c r="Y787" i="8" a="1"/>
  <c r="Y787" i="8" s="1"/>
  <c r="X763" i="8" a="1"/>
  <c r="X763" i="8" s="1"/>
  <c r="Y763" i="8" a="1"/>
  <c r="Y763" i="8" s="1"/>
  <c r="Z763" i="8" a="1"/>
  <c r="Z763" i="8" s="1"/>
  <c r="AD763" i="8" s="1"/>
  <c r="Y782" i="8" a="1"/>
  <c r="Y782" i="8" s="1"/>
  <c r="Z782" i="8" a="1"/>
  <c r="Z782" i="8" s="1"/>
  <c r="AD782" i="8" s="1"/>
  <c r="X782" i="8" a="1"/>
  <c r="X782" i="8" s="1"/>
  <c r="X713" i="8" a="1"/>
  <c r="X713" i="8" s="1"/>
  <c r="Z713" i="8" a="1"/>
  <c r="Z713" i="8" s="1"/>
  <c r="AD713" i="8" s="1"/>
  <c r="Y713" i="8" a="1"/>
  <c r="Y713" i="8" s="1"/>
  <c r="X649" i="8" a="1"/>
  <c r="X649" i="8" s="1"/>
  <c r="Y649" i="8" a="1"/>
  <c r="Y649" i="8" s="1"/>
  <c r="Z649" i="8" a="1"/>
  <c r="Z649" i="8" s="1"/>
  <c r="AD649" i="8" s="1"/>
  <c r="X731" i="8" a="1"/>
  <c r="X731" i="8" s="1"/>
  <c r="Y731" i="8" a="1"/>
  <c r="Y731" i="8" s="1"/>
  <c r="Z731" i="8" a="1"/>
  <c r="Z731" i="8" s="1"/>
  <c r="AD731" i="8" s="1"/>
  <c r="X667" i="8" a="1"/>
  <c r="X667" i="8" s="1"/>
  <c r="Y667" i="8" a="1"/>
  <c r="Y667" i="8" s="1"/>
  <c r="Z667" i="8" a="1"/>
  <c r="Z667" i="8" s="1"/>
  <c r="AD667" i="8" s="1"/>
  <c r="X607" i="8" a="1"/>
  <c r="X607" i="8" s="1"/>
  <c r="Z607" i="8" a="1"/>
  <c r="Z607" i="8" s="1"/>
  <c r="AD607" i="8" s="1"/>
  <c r="Y607" i="8" a="1"/>
  <c r="Y607" i="8" s="1"/>
  <c r="Y726" i="8" a="1"/>
  <c r="Y726" i="8" s="1"/>
  <c r="X726" i="8" a="1"/>
  <c r="X726" i="8" s="1"/>
  <c r="Z726" i="8" a="1"/>
  <c r="Z726" i="8" s="1"/>
  <c r="AD726" i="8" s="1"/>
  <c r="Y662" i="8" a="1"/>
  <c r="Y662" i="8" s="1"/>
  <c r="X662" i="8" a="1"/>
  <c r="X662" i="8" s="1"/>
  <c r="Z662" i="8" a="1"/>
  <c r="Z662" i="8" s="1"/>
  <c r="AD662" i="8" s="1"/>
  <c r="X748" i="8" a="1"/>
  <c r="X748" i="8" s="1"/>
  <c r="Z748" i="8" a="1"/>
  <c r="Z748" i="8" s="1"/>
  <c r="AD748" i="8" s="1"/>
  <c r="Y748" i="8" a="1"/>
  <c r="Y748" i="8" s="1"/>
  <c r="Y684" i="8" a="1"/>
  <c r="Y684" i="8" s="1"/>
  <c r="X684" i="8" a="1"/>
  <c r="X684" i="8" s="1"/>
  <c r="Z684" i="8" a="1"/>
  <c r="Z684" i="8" s="1"/>
  <c r="AD684" i="8" s="1"/>
  <c r="Y620" i="8" a="1"/>
  <c r="Y620" i="8" s="1"/>
  <c r="X620" i="8" a="1"/>
  <c r="X620" i="8" s="1"/>
  <c r="Z620" i="8" a="1"/>
  <c r="Z620" i="8" s="1"/>
  <c r="AD620" i="8" s="1"/>
  <c r="X761" i="8" a="1"/>
  <c r="X761" i="8" s="1"/>
  <c r="Z761" i="8" a="1"/>
  <c r="Z761" i="8" s="1"/>
  <c r="AD761" i="8" s="1"/>
  <c r="Y761" i="8" a="1"/>
  <c r="Y761" i="8" s="1"/>
  <c r="X697" i="8" a="1"/>
  <c r="X697" i="8" s="1"/>
  <c r="Z697" i="8" a="1"/>
  <c r="Z697" i="8" s="1"/>
  <c r="AD697" i="8" s="1"/>
  <c r="Y697" i="8" a="1"/>
  <c r="Y697" i="8" s="1"/>
  <c r="Y633" i="8" a="1"/>
  <c r="Y633" i="8" s="1"/>
  <c r="X633" i="8" a="1"/>
  <c r="X633" i="8" s="1"/>
  <c r="Z633" i="8" a="1"/>
  <c r="Z633" i="8" s="1"/>
  <c r="AD633" i="8" s="1"/>
  <c r="X733" i="8" a="1"/>
  <c r="X733" i="8" s="1"/>
  <c r="Y733" i="8" a="1"/>
  <c r="Y733" i="8" s="1"/>
  <c r="Z733" i="8" a="1"/>
  <c r="Z733" i="8" s="1"/>
  <c r="AD733" i="8" s="1"/>
  <c r="X669" i="8" a="1"/>
  <c r="X669" i="8" s="1"/>
  <c r="Z669" i="8" a="1"/>
  <c r="Z669" i="8" s="1"/>
  <c r="AD669" i="8" s="1"/>
  <c r="Y669" i="8" a="1"/>
  <c r="Y669" i="8" s="1"/>
  <c r="Y774" i="8" a="1"/>
  <c r="Y774" i="8" s="1"/>
  <c r="X774" i="8" a="1"/>
  <c r="X774" i="8" s="1"/>
  <c r="Z774" i="8" a="1"/>
  <c r="Z774" i="8" s="1"/>
  <c r="AD774" i="8" s="1"/>
  <c r="Y710" i="8" a="1"/>
  <c r="Y710" i="8" s="1"/>
  <c r="X710" i="8" a="1"/>
  <c r="X710" i="8" s="1"/>
  <c r="Z710" i="8" a="1"/>
  <c r="Z710" i="8" s="1"/>
  <c r="AD710" i="8" s="1"/>
  <c r="Y646" i="8" a="1"/>
  <c r="Y646" i="8" s="1"/>
  <c r="X646" i="8" a="1"/>
  <c r="X646" i="8" s="1"/>
  <c r="Z646" i="8" a="1"/>
  <c r="Z646" i="8" s="1"/>
  <c r="AD646" i="8" s="1"/>
  <c r="X732" i="8" a="1"/>
  <c r="X732" i="8" s="1"/>
  <c r="Y732" i="8" a="1"/>
  <c r="Y732" i="8" s="1"/>
  <c r="Z732" i="8" a="1"/>
  <c r="Z732" i="8" s="1"/>
  <c r="AD732" i="8" s="1"/>
  <c r="Y668" i="8" a="1"/>
  <c r="Y668" i="8" s="1"/>
  <c r="X668" i="8" a="1"/>
  <c r="X668" i="8" s="1"/>
  <c r="Z668" i="8" a="1"/>
  <c r="Z668" i="8" s="1"/>
  <c r="AD668" i="8" s="1"/>
  <c r="Y602" i="8" a="1"/>
  <c r="Y602" i="8" s="1"/>
  <c r="X602" i="8" a="1"/>
  <c r="X602" i="8" s="1"/>
  <c r="Z602" i="8" a="1"/>
  <c r="Z602" i="8" s="1"/>
  <c r="AD602" i="8" s="1"/>
  <c r="Y608" i="8" a="1"/>
  <c r="Y608" i="8" s="1"/>
  <c r="X608" i="8" a="1"/>
  <c r="X608" i="8" s="1"/>
  <c r="Z608" i="8" a="1"/>
  <c r="Z608" i="8" s="1"/>
  <c r="AD608" i="8" s="1"/>
  <c r="X595" i="8" a="1"/>
  <c r="X595" i="8" s="1"/>
  <c r="Y595" i="8" a="1"/>
  <c r="Y595" i="8" s="1"/>
  <c r="Z595" i="8" a="1"/>
  <c r="Z595" i="8" s="1"/>
  <c r="AD595" i="8" s="1"/>
  <c r="X781" i="8" a="1"/>
  <c r="X781" i="8" s="1"/>
  <c r="Z781" i="8" a="1"/>
  <c r="Z781" i="8" s="1"/>
  <c r="AD781" i="8" s="1"/>
  <c r="Y781" i="8" a="1"/>
  <c r="Y781" i="8" s="1"/>
  <c r="Z778" i="8" a="1"/>
  <c r="Z778" i="8" s="1"/>
  <c r="AD778" i="8" s="1"/>
  <c r="X778" i="8" a="1"/>
  <c r="X778" i="8" s="1"/>
  <c r="Y778" i="8" a="1"/>
  <c r="Y778" i="8" s="1"/>
  <c r="X755" i="8" a="1"/>
  <c r="X755" i="8" s="1"/>
  <c r="Y755" i="8" a="1"/>
  <c r="Y755" i="8" s="1"/>
  <c r="Z755" i="8" a="1"/>
  <c r="Z755" i="8" s="1"/>
  <c r="AD755" i="8" s="1"/>
  <c r="X704" i="8" a="1"/>
  <c r="X704" i="8" s="1"/>
  <c r="Z704" i="8" a="1"/>
  <c r="Z704" i="8" s="1"/>
  <c r="AD704" i="8" s="1"/>
  <c r="Y704" i="8" a="1"/>
  <c r="Y704" i="8" s="1"/>
  <c r="X640" i="8" a="1"/>
  <c r="X640" i="8" s="1"/>
  <c r="Y640" i="8" a="1"/>
  <c r="Y640" i="8" s="1"/>
  <c r="Z640" i="8" a="1"/>
  <c r="Z640" i="8" s="1"/>
  <c r="AD640" i="8" s="1"/>
  <c r="X722" i="8" a="1"/>
  <c r="X722" i="8" s="1"/>
  <c r="Z722" i="8" a="1"/>
  <c r="Z722" i="8" s="1"/>
  <c r="AD722" i="8" s="1"/>
  <c r="Y722" i="8" a="1"/>
  <c r="Y722" i="8" s="1"/>
  <c r="X658" i="8" a="1"/>
  <c r="X658" i="8" s="1"/>
  <c r="Z658" i="8" a="1"/>
  <c r="Z658" i="8" s="1"/>
  <c r="AD658" i="8" s="1"/>
  <c r="Y658" i="8" a="1"/>
  <c r="Y658" i="8" s="1"/>
  <c r="X785" i="8" a="1"/>
  <c r="X785" i="8" s="1"/>
  <c r="Z785" i="8" a="1"/>
  <c r="Z785" i="8" s="1"/>
  <c r="AD785" i="8" s="1"/>
  <c r="Y785" i="8" a="1"/>
  <c r="Y785" i="8" s="1"/>
  <c r="Y721" i="8" a="1"/>
  <c r="Y721" i="8" s="1"/>
  <c r="X721" i="8" a="1"/>
  <c r="X721" i="8" s="1"/>
  <c r="Z721" i="8" a="1"/>
  <c r="Z721" i="8" s="1"/>
  <c r="AD721" i="8" s="1"/>
  <c r="Y657" i="8" a="1"/>
  <c r="Y657" i="8" s="1"/>
  <c r="X657" i="8" a="1"/>
  <c r="X657" i="8" s="1"/>
  <c r="Z657" i="8" a="1"/>
  <c r="Z657" i="8" s="1"/>
  <c r="AD657" i="8" s="1"/>
  <c r="Z739" i="8" a="1"/>
  <c r="Z739" i="8" s="1"/>
  <c r="AD739" i="8" s="1"/>
  <c r="Y739" i="8" a="1"/>
  <c r="Y739" i="8" s="1"/>
  <c r="X739" i="8" a="1"/>
  <c r="X739" i="8" s="1"/>
  <c r="Y675" i="8" a="1"/>
  <c r="Y675" i="8" s="1"/>
  <c r="X675" i="8" a="1"/>
  <c r="X675" i="8" s="1"/>
  <c r="Z675" i="8" a="1"/>
  <c r="Z675" i="8" s="1"/>
  <c r="AD675" i="8" s="1"/>
  <c r="X611" i="8" a="1"/>
  <c r="X611" i="8" s="1"/>
  <c r="Y611" i="8" a="1"/>
  <c r="Y611" i="8" s="1"/>
  <c r="Z611" i="8" a="1"/>
  <c r="Z611" i="8" s="1"/>
  <c r="AD611" i="8" s="1"/>
  <c r="X752" i="8" a="1"/>
  <c r="X752" i="8" s="1"/>
  <c r="Y752" i="8" a="1"/>
  <c r="Y752" i="8" s="1"/>
  <c r="Z752" i="8" a="1"/>
  <c r="Z752" i="8" s="1"/>
  <c r="AD752" i="8" s="1"/>
  <c r="X688" i="8" a="1"/>
  <c r="X688" i="8" s="1"/>
  <c r="Z688" i="8" a="1"/>
  <c r="Z688" i="8" s="1"/>
  <c r="AD688" i="8" s="1"/>
  <c r="Y688" i="8" a="1"/>
  <c r="Y688" i="8" s="1"/>
  <c r="Y624" i="8" a="1"/>
  <c r="Y624" i="8" s="1"/>
  <c r="X624" i="8" a="1"/>
  <c r="X624" i="8" s="1"/>
  <c r="Z624" i="8" a="1"/>
  <c r="Z624" i="8" s="1"/>
  <c r="AD624" i="8" s="1"/>
  <c r="X724" i="8" a="1"/>
  <c r="X724" i="8" s="1"/>
  <c r="Y724" i="8" a="1"/>
  <c r="Y724" i="8" s="1"/>
  <c r="Z724" i="8" a="1"/>
  <c r="Z724" i="8" s="1"/>
  <c r="AD724" i="8" s="1"/>
  <c r="Y660" i="8" a="1"/>
  <c r="Y660" i="8" s="1"/>
  <c r="X660" i="8" a="1"/>
  <c r="X660" i="8" s="1"/>
  <c r="Z660" i="8" a="1"/>
  <c r="Z660" i="8" s="1"/>
  <c r="AD660" i="8" s="1"/>
  <c r="X769" i="8" a="1"/>
  <c r="X769" i="8" s="1"/>
  <c r="Z769" i="8" a="1"/>
  <c r="Z769" i="8" s="1"/>
  <c r="AD769" i="8" s="1"/>
  <c r="Y769" i="8" a="1"/>
  <c r="Y769" i="8" s="1"/>
  <c r="X705" i="8" a="1"/>
  <c r="X705" i="8" s="1"/>
  <c r="Y705" i="8" a="1"/>
  <c r="Y705" i="8" s="1"/>
  <c r="Z705" i="8" a="1"/>
  <c r="Z705" i="8" s="1"/>
  <c r="AD705" i="8" s="1"/>
  <c r="X641" i="8" a="1"/>
  <c r="X641" i="8" s="1"/>
  <c r="Y641" i="8" a="1"/>
  <c r="Y641" i="8" s="1"/>
  <c r="Z641" i="8" a="1"/>
  <c r="Z641" i="8" s="1"/>
  <c r="AD641" i="8" s="1"/>
  <c r="X723" i="8" a="1"/>
  <c r="X723" i="8" s="1"/>
  <c r="Y723" i="8" a="1"/>
  <c r="Y723" i="8" s="1"/>
  <c r="Z723" i="8" a="1"/>
  <c r="Z723" i="8" s="1"/>
  <c r="AD723" i="8" s="1"/>
  <c r="X659" i="8" a="1"/>
  <c r="X659" i="8" s="1"/>
  <c r="Y659" i="8" a="1"/>
  <c r="Y659" i="8" s="1"/>
  <c r="Z659" i="8" a="1"/>
  <c r="Z659" i="8" s="1"/>
  <c r="AD659" i="8" s="1"/>
  <c r="Y594" i="8" a="1"/>
  <c r="Y594" i="8" s="1"/>
  <c r="X594" i="8" a="1"/>
  <c r="X594" i="8" s="1"/>
  <c r="Z594" i="8" a="1"/>
  <c r="Z594" i="8" s="1"/>
  <c r="AD594" i="8" s="1"/>
  <c r="Y604" i="8" a="1"/>
  <c r="Y604" i="8" s="1"/>
  <c r="X604" i="8" a="1"/>
  <c r="X604" i="8" s="1"/>
  <c r="Z604" i="8" a="1"/>
  <c r="Z604" i="8" s="1"/>
  <c r="AD604" i="8" s="1"/>
  <c r="X591" i="8" a="1"/>
  <c r="X591" i="8" s="1"/>
  <c r="Y591" i="8" a="1"/>
  <c r="Y591" i="8" s="1"/>
  <c r="Z591" i="8" a="1"/>
  <c r="Z591" i="8" s="1"/>
  <c r="AD591" i="8" s="1"/>
  <c r="X780" i="8" a="1"/>
  <c r="X780" i="8" s="1"/>
  <c r="Z780" i="8" a="1"/>
  <c r="Z780" i="8" s="1"/>
  <c r="AD780" i="8" s="1"/>
  <c r="Y780" i="8" a="1"/>
  <c r="Y780" i="8" s="1"/>
  <c r="X771" i="8" a="1"/>
  <c r="X771" i="8" s="1"/>
  <c r="Z771" i="8" a="1"/>
  <c r="Z771" i="8" s="1"/>
  <c r="AD771" i="8" s="1"/>
  <c r="Y771" i="8" a="1"/>
  <c r="Y771" i="8" s="1"/>
  <c r="X759" i="8" a="1"/>
  <c r="X759" i="8" s="1"/>
  <c r="Y759" i="8" a="1"/>
  <c r="Y759" i="8" s="1"/>
  <c r="Z759" i="8" a="1"/>
  <c r="Z759" i="8" s="1"/>
  <c r="AD759" i="8" s="1"/>
  <c r="X695" i="8" a="1"/>
  <c r="X695" i="8" s="1"/>
  <c r="Y695" i="8" a="1"/>
  <c r="Y695" i="8" s="1"/>
  <c r="Z695" i="8" a="1"/>
  <c r="Z695" i="8" s="1"/>
  <c r="AD695" i="8" s="1"/>
  <c r="X631" i="8" a="1"/>
  <c r="X631" i="8" s="1"/>
  <c r="Y631" i="8" a="1"/>
  <c r="Y631" i="8" s="1"/>
  <c r="Z631" i="8" a="1"/>
  <c r="Z631" i="8" s="1"/>
  <c r="AD631" i="8" s="1"/>
  <c r="X717" i="8" a="1"/>
  <c r="X717" i="8" s="1"/>
  <c r="Z717" i="8" a="1"/>
  <c r="Z717" i="8" s="1"/>
  <c r="AD717" i="8" s="1"/>
  <c r="Y717" i="8" a="1"/>
  <c r="Y717" i="8" s="1"/>
  <c r="Y653" i="8" a="1"/>
  <c r="Y653" i="8" s="1"/>
  <c r="Z653" i="8" a="1"/>
  <c r="Z653" i="8" s="1"/>
  <c r="AD653" i="8" s="1"/>
  <c r="X653" i="8" a="1"/>
  <c r="X653" i="8" s="1"/>
  <c r="X776" i="8" a="1"/>
  <c r="X776" i="8" s="1"/>
  <c r="Y776" i="8" a="1"/>
  <c r="Y776" i="8" s="1"/>
  <c r="Z776" i="8" a="1"/>
  <c r="Z776" i="8" s="1"/>
  <c r="AD776" i="8" s="1"/>
  <c r="Y712" i="8" a="1"/>
  <c r="Y712" i="8" s="1"/>
  <c r="Z712" i="8" a="1"/>
  <c r="Z712" i="8" s="1"/>
  <c r="AD712" i="8" s="1"/>
  <c r="X712" i="8" a="1"/>
  <c r="X712" i="8" s="1"/>
  <c r="Y648" i="8" a="1"/>
  <c r="Y648" i="8" s="1"/>
  <c r="X648" i="8" a="1"/>
  <c r="X648" i="8" s="1"/>
  <c r="Z648" i="8" a="1"/>
  <c r="Z648" i="8" s="1"/>
  <c r="AD648" i="8" s="1"/>
  <c r="X730" i="8" a="1"/>
  <c r="X730" i="8" s="1"/>
  <c r="Y730" i="8" a="1"/>
  <c r="Y730" i="8" s="1"/>
  <c r="Z730" i="8" a="1"/>
  <c r="Z730" i="8" s="1"/>
  <c r="AD730" i="8" s="1"/>
  <c r="Y666" i="8" a="1"/>
  <c r="Y666" i="8" s="1"/>
  <c r="X666" i="8" a="1"/>
  <c r="X666" i="8" s="1"/>
  <c r="Z666" i="8" a="1"/>
  <c r="Z666" i="8" s="1"/>
  <c r="AD666" i="8" s="1"/>
  <c r="X606" i="8" a="1"/>
  <c r="X606" i="8" s="1"/>
  <c r="Y606" i="8" a="1"/>
  <c r="Y606" i="8" s="1"/>
  <c r="Z606" i="8" a="1"/>
  <c r="Z606" i="8" s="1"/>
  <c r="AD606" i="8" s="1"/>
  <c r="X743" i="8" a="1"/>
  <c r="X743" i="8" s="1"/>
  <c r="Y743" i="8" a="1"/>
  <c r="Y743" i="8" s="1"/>
  <c r="Z743" i="8" a="1"/>
  <c r="Z743" i="8" s="1"/>
  <c r="AD743" i="8" s="1"/>
  <c r="X679" i="8" a="1"/>
  <c r="X679" i="8" s="1"/>
  <c r="Y679" i="8" a="1"/>
  <c r="Y679" i="8" s="1"/>
  <c r="Z679" i="8" a="1"/>
  <c r="Z679" i="8" s="1"/>
  <c r="AD679" i="8" s="1"/>
  <c r="Y615" i="8" a="1"/>
  <c r="Y615" i="8" s="1"/>
  <c r="Z615" i="8" a="1"/>
  <c r="Z615" i="8" s="1"/>
  <c r="AD615" i="8" s="1"/>
  <c r="X615" i="8" a="1"/>
  <c r="X615" i="8" s="1"/>
  <c r="X715" i="8" a="1"/>
  <c r="X715" i="8" s="1"/>
  <c r="Y715" i="8" a="1"/>
  <c r="Y715" i="8" s="1"/>
  <c r="Z715" i="8" a="1"/>
  <c r="Z715" i="8" s="1"/>
  <c r="AD715" i="8" s="1"/>
  <c r="X651" i="8" a="1"/>
  <c r="X651" i="8" s="1"/>
  <c r="Y651" i="8" a="1"/>
  <c r="Y651" i="8" s="1"/>
  <c r="Z651" i="8" a="1"/>
  <c r="Z651" i="8" s="1"/>
  <c r="AD651" i="8" s="1"/>
  <c r="X760" i="8" a="1"/>
  <c r="X760" i="8" s="1"/>
  <c r="Z760" i="8" a="1"/>
  <c r="Z760" i="8" s="1"/>
  <c r="AD760" i="8" s="1"/>
  <c r="Y760" i="8" a="1"/>
  <c r="Y760" i="8" s="1"/>
  <c r="X696" i="8" a="1"/>
  <c r="X696" i="8" s="1"/>
  <c r="Y696" i="8" a="1"/>
  <c r="Y696" i="8" s="1"/>
  <c r="Z696" i="8" a="1"/>
  <c r="Z696" i="8" s="1"/>
  <c r="AD696" i="8" s="1"/>
  <c r="Y632" i="8" a="1"/>
  <c r="Y632" i="8" s="1"/>
  <c r="X632" i="8" a="1"/>
  <c r="X632" i="8" s="1"/>
  <c r="Z632" i="8" a="1"/>
  <c r="Z632" i="8" s="1"/>
  <c r="AD632" i="8" s="1"/>
  <c r="X714" i="8" a="1"/>
  <c r="X714" i="8" s="1"/>
  <c r="Y714" i="8" a="1"/>
  <c r="Y714" i="8" s="1"/>
  <c r="Z714" i="8" a="1"/>
  <c r="Z714" i="8" s="1"/>
  <c r="AD714" i="8" s="1"/>
  <c r="X650" i="8" a="1"/>
  <c r="X650" i="8" s="1"/>
  <c r="Y650" i="8" a="1"/>
  <c r="Y650" i="8" s="1"/>
  <c r="Z650" i="8" a="1"/>
  <c r="Z650" i="8" s="1"/>
  <c r="AD650" i="8" s="1"/>
  <c r="Y586" i="8" a="1"/>
  <c r="Y586" i="8" s="1"/>
  <c r="X586" i="8" a="1"/>
  <c r="X586" i="8" s="1"/>
  <c r="Z586" i="8" a="1"/>
  <c r="Z586" i="8" s="1"/>
  <c r="AD586" i="8" s="1"/>
  <c r="X600" i="8" a="1"/>
  <c r="X600" i="8" s="1"/>
  <c r="Y600" i="8" a="1"/>
  <c r="Y600" i="8" s="1"/>
  <c r="Z600" i="8" a="1"/>
  <c r="Z600" i="8" s="1"/>
  <c r="AD600" i="8" s="1"/>
  <c r="X587" i="8" a="1"/>
  <c r="X587" i="8" s="1"/>
  <c r="Y587" i="8" a="1"/>
  <c r="Y587" i="8" s="1"/>
  <c r="Z587" i="8" a="1"/>
  <c r="Z587" i="8" s="1"/>
  <c r="AD587" i="8" s="1"/>
  <c r="Z555" i="8" a="1"/>
  <c r="Z555" i="8" s="1"/>
  <c r="AD555" i="8" s="1"/>
  <c r="X555" i="8" a="1"/>
  <c r="X555" i="8" s="1"/>
  <c r="Y555" i="8" a="1"/>
  <c r="Y555" i="8" s="1"/>
  <c r="Y541" i="8" a="1"/>
  <c r="Y541" i="8" s="1"/>
  <c r="X541" i="8" a="1"/>
  <c r="X541" i="8" s="1"/>
  <c r="Z541" i="8" a="1"/>
  <c r="Z541" i="8" s="1"/>
  <c r="AD541" i="8" s="1"/>
  <c r="X553" i="8" a="1"/>
  <c r="X553" i="8" s="1"/>
  <c r="Y553" i="8" a="1"/>
  <c r="Y553" i="8" s="1"/>
  <c r="Z553" i="8" a="1"/>
  <c r="Z553" i="8" s="1"/>
  <c r="AD553" i="8" s="1"/>
  <c r="Z578" i="8" a="1"/>
  <c r="Z578" i="8" s="1"/>
  <c r="AD578" i="8" s="1"/>
  <c r="X578" i="8" a="1"/>
  <c r="X578" i="8" s="1"/>
  <c r="Y578" i="8" a="1"/>
  <c r="Y578" i="8" s="1"/>
  <c r="X514" i="8" a="1"/>
  <c r="X514" i="8" s="1"/>
  <c r="Z514" i="8" a="1"/>
  <c r="Z514" i="8" s="1"/>
  <c r="AD514" i="8" s="1"/>
  <c r="Y514" i="8" a="1"/>
  <c r="Y514" i="8" s="1"/>
  <c r="X526" i="8" a="1"/>
  <c r="X526" i="8" s="1"/>
  <c r="Y526" i="8" a="1"/>
  <c r="Y526" i="8" s="1"/>
  <c r="Z526" i="8" a="1"/>
  <c r="Z526" i="8" s="1"/>
  <c r="AD526" i="8" s="1"/>
  <c r="X544" i="8" a="1"/>
  <c r="X544" i="8" s="1"/>
  <c r="Y544" i="8" a="1"/>
  <c r="Y544" i="8" s="1"/>
  <c r="Z544" i="8" a="1"/>
  <c r="Z544" i="8" s="1"/>
  <c r="AD544" i="8" s="1"/>
  <c r="Z556" i="8" a="1"/>
  <c r="Z556" i="8" s="1"/>
  <c r="AD556" i="8" s="1"/>
  <c r="X556" i="8" a="1"/>
  <c r="X556" i="8" s="1"/>
  <c r="Y556" i="8" a="1"/>
  <c r="Y556" i="8" s="1"/>
  <c r="Y568" i="8" a="1"/>
  <c r="Y568" i="8" s="1"/>
  <c r="X568" i="8" a="1"/>
  <c r="X568" i="8" s="1"/>
  <c r="Z568" i="8" a="1"/>
  <c r="Z568" i="8" s="1"/>
  <c r="AD568" i="8" s="1"/>
  <c r="Y548" i="8" a="1"/>
  <c r="Y548" i="8" s="1"/>
  <c r="Z548" i="8" a="1"/>
  <c r="Z548" i="8" s="1"/>
  <c r="AD548" i="8" s="1"/>
  <c r="X548" i="8" a="1"/>
  <c r="X548" i="8" s="1"/>
  <c r="Y535" i="8" a="1"/>
  <c r="Y535" i="8" s="1"/>
  <c r="X535" i="8" a="1"/>
  <c r="X535" i="8" s="1"/>
  <c r="Z535" i="8" a="1"/>
  <c r="Z535" i="8" s="1"/>
  <c r="AD535" i="8" s="1"/>
  <c r="Z547" i="8" a="1"/>
  <c r="Z547" i="8" s="1"/>
  <c r="AD547" i="8" s="1"/>
  <c r="Y547" i="8" a="1"/>
  <c r="Y547" i="8" s="1"/>
  <c r="X547" i="8" a="1"/>
  <c r="X547" i="8" s="1"/>
  <c r="X565" i="8" a="1"/>
  <c r="X565" i="8" s="1"/>
  <c r="Z565" i="8" a="1"/>
  <c r="Z565" i="8" s="1"/>
  <c r="AD565" i="8" s="1"/>
  <c r="Y565" i="8" a="1"/>
  <c r="Y565" i="8" s="1"/>
  <c r="Y577" i="8" a="1"/>
  <c r="Y577" i="8" s="1"/>
  <c r="Z577" i="8" a="1"/>
  <c r="Z577" i="8" s="1"/>
  <c r="AD577" i="8" s="1"/>
  <c r="X577" i="8" a="1"/>
  <c r="X577" i="8" s="1"/>
  <c r="Y513" i="8" a="1"/>
  <c r="Y513" i="8" s="1"/>
  <c r="Z513" i="8" a="1"/>
  <c r="Z513" i="8" s="1"/>
  <c r="AD513" i="8" s="1"/>
  <c r="X513" i="8" a="1"/>
  <c r="X513" i="8" s="1"/>
  <c r="Z538" i="8" a="1"/>
  <c r="Z538" i="8" s="1"/>
  <c r="AD538" i="8" s="1"/>
  <c r="Y538" i="8" a="1"/>
  <c r="Y538" i="8" s="1"/>
  <c r="X538" i="8" a="1"/>
  <c r="X538" i="8" s="1"/>
  <c r="X550" i="8" a="1"/>
  <c r="X550" i="8" s="1"/>
  <c r="Y550" i="8" a="1"/>
  <c r="Y550" i="8" s="1"/>
  <c r="Z550" i="8" a="1"/>
  <c r="Z550" i="8" s="1"/>
  <c r="AD550" i="8" s="1"/>
  <c r="X562" i="8" a="1"/>
  <c r="X562" i="8" s="1"/>
  <c r="Z562" i="8" a="1"/>
  <c r="Z562" i="8" s="1"/>
  <c r="AD562" i="8" s="1"/>
  <c r="Y562" i="8" a="1"/>
  <c r="Y562" i="8" s="1"/>
  <c r="Y561" i="8" a="1"/>
  <c r="Y561" i="8" s="1"/>
  <c r="Z561" i="8" a="1"/>
  <c r="Z561" i="8" s="1"/>
  <c r="AD561" i="8" s="1"/>
  <c r="X561" i="8" a="1"/>
  <c r="X561" i="8" s="1"/>
  <c r="X542" i="8" a="1"/>
  <c r="X542" i="8" s="1"/>
  <c r="Y542" i="8" a="1"/>
  <c r="Y542" i="8" s="1"/>
  <c r="Z542" i="8" a="1"/>
  <c r="Z542" i="8" s="1"/>
  <c r="AD542" i="8" s="1"/>
  <c r="Y528" i="8" a="1"/>
  <c r="Y528" i="8" s="1"/>
  <c r="Z528" i="8" a="1"/>
  <c r="Z528" i="8" s="1"/>
  <c r="AD528" i="8" s="1"/>
  <c r="X528" i="8" a="1"/>
  <c r="X528" i="8" s="1"/>
  <c r="X540" i="8" a="1"/>
  <c r="X540" i="8" s="1"/>
  <c r="Z540" i="8" a="1"/>
  <c r="Z540" i="8" s="1"/>
  <c r="AD540" i="8" s="1"/>
  <c r="Y540" i="8" a="1"/>
  <c r="Y540" i="8" s="1"/>
  <c r="X559" i="8" a="1"/>
  <c r="X559" i="8" s="1"/>
  <c r="Y559" i="8" a="1"/>
  <c r="Y559" i="8" s="1"/>
  <c r="Z559" i="8" a="1"/>
  <c r="Z559" i="8" s="1"/>
  <c r="AD559" i="8" s="1"/>
  <c r="Z571" i="8" a="1"/>
  <c r="Z571" i="8" s="1"/>
  <c r="AD571" i="8" s="1"/>
  <c r="X571" i="8" a="1"/>
  <c r="X571" i="8" s="1"/>
  <c r="Y571" i="8" a="1"/>
  <c r="Y571" i="8" s="1"/>
  <c r="X507" i="8" a="1"/>
  <c r="X507" i="8" s="1"/>
  <c r="Y507" i="8" a="1"/>
  <c r="Y507" i="8" s="1"/>
  <c r="Z507" i="8" a="1"/>
  <c r="Z507" i="8" s="1"/>
  <c r="AD507" i="8" s="1"/>
  <c r="Y525" i="8" a="1"/>
  <c r="Y525" i="8" s="1"/>
  <c r="X525" i="8" a="1"/>
  <c r="X525" i="8" s="1"/>
  <c r="Z525" i="8" a="1"/>
  <c r="Z525" i="8" s="1"/>
  <c r="AD525" i="8" s="1"/>
  <c r="Y537" i="8" a="1"/>
  <c r="Y537" i="8" s="1"/>
  <c r="X537" i="8" a="1"/>
  <c r="X537" i="8" s="1"/>
  <c r="Z537" i="8" a="1"/>
  <c r="Z537" i="8" s="1"/>
  <c r="AD537" i="8" s="1"/>
  <c r="X549" i="8" a="1"/>
  <c r="X549" i="8" s="1"/>
  <c r="Z549" i="8" a="1"/>
  <c r="Z549" i="8" s="1"/>
  <c r="AD549" i="8" s="1"/>
  <c r="Y549" i="8" a="1"/>
  <c r="Y549" i="8" s="1"/>
  <c r="Y523" i="8" a="1"/>
  <c r="Y523" i="8" s="1"/>
  <c r="Z523" i="8" a="1"/>
  <c r="Z523" i="8" s="1"/>
  <c r="AD523" i="8" s="1"/>
  <c r="X523" i="8" a="1"/>
  <c r="X523" i="8" s="1"/>
  <c r="X529" i="8" a="1"/>
  <c r="X529" i="8" s="1"/>
  <c r="Z529" i="8" a="1"/>
  <c r="Z529" i="8" s="1"/>
  <c r="AD529" i="8" s="1"/>
  <c r="Y529" i="8" a="1"/>
  <c r="Y529" i="8" s="1"/>
  <c r="Y522" i="8" a="1"/>
  <c r="Y522" i="8" s="1"/>
  <c r="Z522" i="8" a="1"/>
  <c r="Z522" i="8" s="1"/>
  <c r="AD522" i="8" s="1"/>
  <c r="X522" i="8" a="1"/>
  <c r="X522" i="8" s="1"/>
  <c r="Y534" i="8" a="1"/>
  <c r="Y534" i="8" s="1"/>
  <c r="Z534" i="8" a="1"/>
  <c r="Z534" i="8" s="1"/>
  <c r="AD534" i="8" s="1"/>
  <c r="X534" i="8" a="1"/>
  <c r="X534" i="8" s="1"/>
  <c r="X552" i="8" a="1"/>
  <c r="X552" i="8" s="1"/>
  <c r="Y552" i="8" a="1"/>
  <c r="Y552" i="8" s="1"/>
  <c r="Z552" i="8" a="1"/>
  <c r="Z552" i="8" s="1"/>
  <c r="AD552" i="8" s="1"/>
  <c r="Y564" i="8" a="1"/>
  <c r="Y564" i="8" s="1"/>
  <c r="Z564" i="8" a="1"/>
  <c r="Z564" i="8" s="1"/>
  <c r="AD564" i="8" s="1"/>
  <c r="X564" i="8" a="1"/>
  <c r="X564" i="8" s="1"/>
  <c r="Y583" i="8" a="1"/>
  <c r="Y583" i="8" s="1"/>
  <c r="Z583" i="8" a="1"/>
  <c r="Z583" i="8" s="1"/>
  <c r="AD583" i="8" s="1"/>
  <c r="X583" i="8" a="1"/>
  <c r="X583" i="8" s="1"/>
  <c r="Y519" i="8" a="1"/>
  <c r="Y519" i="8" s="1"/>
  <c r="Z519" i="8" a="1"/>
  <c r="Z519" i="8" s="1"/>
  <c r="AD519" i="8" s="1"/>
  <c r="X519" i="8" a="1"/>
  <c r="X519" i="8" s="1"/>
  <c r="Z531" i="8" a="1"/>
  <c r="Z531" i="8" s="1"/>
  <c r="AD531" i="8" s="1"/>
  <c r="X531" i="8" a="1"/>
  <c r="X531" i="8" s="1"/>
  <c r="Y531" i="8" a="1"/>
  <c r="Y531" i="8" s="1"/>
  <c r="X543" i="8" a="1"/>
  <c r="X543" i="8" s="1"/>
  <c r="Y543" i="8" a="1"/>
  <c r="Y543" i="8" s="1"/>
  <c r="Z543" i="8" a="1"/>
  <c r="Z543" i="8" s="1"/>
  <c r="AD543" i="8" s="1"/>
  <c r="X516" i="8" a="1"/>
  <c r="X516" i="8" s="1"/>
  <c r="Y516" i="8" a="1"/>
  <c r="Y516" i="8" s="1"/>
  <c r="Z516" i="8" a="1"/>
  <c r="Z516" i="8" s="1"/>
  <c r="AD516" i="8" s="1"/>
  <c r="X573" i="8" a="1"/>
  <c r="X573" i="8" s="1"/>
  <c r="Z573" i="8" a="1"/>
  <c r="Z573" i="8" s="1"/>
  <c r="AD573" i="8" s="1"/>
  <c r="Y573" i="8" a="1"/>
  <c r="Y573" i="8" s="1"/>
  <c r="X509" i="8" a="1"/>
  <c r="X509" i="8" s="1"/>
  <c r="Y509" i="8" a="1"/>
  <c r="Y509" i="8" s="1"/>
  <c r="Z509" i="8" a="1"/>
  <c r="Z509" i="8" s="1"/>
  <c r="AD509" i="8" s="1"/>
  <c r="X521" i="8" a="1"/>
  <c r="X521" i="8" s="1"/>
  <c r="Z521" i="8" a="1"/>
  <c r="Z521" i="8" s="1"/>
  <c r="AD521" i="8" s="1"/>
  <c r="Y521" i="8" a="1"/>
  <c r="Y521" i="8" s="1"/>
  <c r="X546" i="8" a="1"/>
  <c r="X546" i="8" s="1"/>
  <c r="Y546" i="8" a="1"/>
  <c r="Y546" i="8" s="1"/>
  <c r="Z546" i="8" a="1"/>
  <c r="Z546" i="8" s="1"/>
  <c r="AD546" i="8" s="1"/>
  <c r="Y558" i="8" a="1"/>
  <c r="Y558" i="8" s="1"/>
  <c r="X558" i="8" a="1"/>
  <c r="X558" i="8" s="1"/>
  <c r="Z558" i="8" a="1"/>
  <c r="Z558" i="8" s="1"/>
  <c r="AD558" i="8" s="1"/>
  <c r="X576" i="8" a="1"/>
  <c r="X576" i="8" s="1"/>
  <c r="Y576" i="8" a="1"/>
  <c r="Y576" i="8" s="1"/>
  <c r="Z576" i="8" a="1"/>
  <c r="Z576" i="8" s="1"/>
  <c r="AD576" i="8" s="1"/>
  <c r="X512" i="8" a="1"/>
  <c r="X512" i="8" s="1"/>
  <c r="Y512" i="8" a="1"/>
  <c r="Y512" i="8" s="1"/>
  <c r="Z512" i="8" a="1"/>
  <c r="Z512" i="8" s="1"/>
  <c r="AD512" i="8" s="1"/>
  <c r="X524" i="8" a="1"/>
  <c r="X524" i="8" s="1"/>
  <c r="Y524" i="8" a="1"/>
  <c r="Y524" i="8" s="1"/>
  <c r="Z524" i="8" a="1"/>
  <c r="Z524" i="8" s="1"/>
  <c r="AD524" i="8" s="1"/>
  <c r="X536" i="8" a="1"/>
  <c r="X536" i="8" s="1"/>
  <c r="Y536" i="8" a="1"/>
  <c r="Y536" i="8" s="1"/>
  <c r="Z536" i="8" a="1"/>
  <c r="Z536" i="8" s="1"/>
  <c r="AD536" i="8" s="1"/>
  <c r="Y580" i="8" a="1"/>
  <c r="Y580" i="8" s="1"/>
  <c r="Z580" i="8" a="1"/>
  <c r="Z580" i="8" s="1"/>
  <c r="AD580" i="8" s="1"/>
  <c r="X580" i="8" a="1"/>
  <c r="X580" i="8" s="1"/>
  <c r="Y567" i="8" a="1"/>
  <c r="Y567" i="8" s="1"/>
  <c r="Z567" i="8" a="1"/>
  <c r="Z567" i="8" s="1"/>
  <c r="AD567" i="8" s="1"/>
  <c r="X567" i="8" a="1"/>
  <c r="X567" i="8" s="1"/>
  <c r="X579" i="8" a="1"/>
  <c r="X579" i="8" s="1"/>
  <c r="Z579" i="8" a="1"/>
  <c r="Z579" i="8" s="1"/>
  <c r="AD579" i="8" s="1"/>
  <c r="Y579" i="8" a="1"/>
  <c r="Y579" i="8" s="1"/>
  <c r="Y515" i="8" a="1"/>
  <c r="Y515" i="8" s="1"/>
  <c r="Z515" i="8" a="1"/>
  <c r="Z515" i="8" s="1"/>
  <c r="AD515" i="8" s="1"/>
  <c r="X515" i="8" a="1"/>
  <c r="X515" i="8" s="1"/>
  <c r="Z533" i="8" a="1"/>
  <c r="Z533" i="8" s="1"/>
  <c r="AD533" i="8" s="1"/>
  <c r="X533" i="8" a="1"/>
  <c r="X533" i="8" s="1"/>
  <c r="Y533" i="8" a="1"/>
  <c r="Y533" i="8" s="1"/>
  <c r="Y545" i="8" a="1"/>
  <c r="Y545" i="8" s="1"/>
  <c r="Z545" i="8" a="1"/>
  <c r="Z545" i="8" s="1"/>
  <c r="AD545" i="8" s="1"/>
  <c r="X545" i="8" a="1"/>
  <c r="X545" i="8" s="1"/>
  <c r="X570" i="8" a="1"/>
  <c r="X570" i="8" s="1"/>
  <c r="Z570" i="8" a="1"/>
  <c r="Z570" i="8" s="1"/>
  <c r="AD570" i="8" s="1"/>
  <c r="Y570" i="8" a="1"/>
  <c r="Y570" i="8" s="1"/>
  <c r="X582" i="8" a="1"/>
  <c r="X582" i="8" s="1"/>
  <c r="Y582" i="8" a="1"/>
  <c r="Y582" i="8" s="1"/>
  <c r="Z582" i="8" a="1"/>
  <c r="Z582" i="8" s="1"/>
  <c r="AD582" i="8" s="1"/>
  <c r="Z518" i="8" a="1"/>
  <c r="Z518" i="8" s="1"/>
  <c r="AD518" i="8" s="1"/>
  <c r="Y518" i="8" a="1"/>
  <c r="Y518" i="8" s="1"/>
  <c r="X518" i="8" a="1"/>
  <c r="X518" i="8" s="1"/>
  <c r="Y530" i="8" a="1"/>
  <c r="Y530" i="8" s="1"/>
  <c r="Z530" i="8" a="1"/>
  <c r="Z530" i="8" s="1"/>
  <c r="AD530" i="8" s="1"/>
  <c r="X530" i="8" a="1"/>
  <c r="X530" i="8" s="1"/>
  <c r="X574" i="8" a="1"/>
  <c r="X574" i="8" s="1"/>
  <c r="Y574" i="8" a="1"/>
  <c r="Y574" i="8" s="1"/>
  <c r="Z574" i="8" a="1"/>
  <c r="Z574" i="8" s="1"/>
  <c r="AD574" i="8" s="1"/>
  <c r="Y560" i="8" a="1"/>
  <c r="Y560" i="8" s="1"/>
  <c r="X560" i="8" a="1"/>
  <c r="X560" i="8" s="1"/>
  <c r="Z560" i="8" a="1"/>
  <c r="Z560" i="8" s="1"/>
  <c r="AD560" i="8" s="1"/>
  <c r="X572" i="8" a="1"/>
  <c r="X572" i="8" s="1"/>
  <c r="Z572" i="8" a="1"/>
  <c r="Z572" i="8" s="1"/>
  <c r="AD572" i="8" s="1"/>
  <c r="Y572" i="8" a="1"/>
  <c r="Y572" i="8" s="1"/>
  <c r="X508" i="8" a="1"/>
  <c r="X508" i="8" s="1"/>
  <c r="Z508" i="8" a="1"/>
  <c r="Z508" i="8" s="1"/>
  <c r="AD508" i="8" s="1"/>
  <c r="Y508" i="8" a="1"/>
  <c r="Y508" i="8" s="1"/>
  <c r="X527" i="8" a="1"/>
  <c r="X527" i="8" s="1"/>
  <c r="Y527" i="8" a="1"/>
  <c r="Y527" i="8" s="1"/>
  <c r="Z527" i="8" a="1"/>
  <c r="Z527" i="8" s="1"/>
  <c r="AD527" i="8" s="1"/>
  <c r="X539" i="8" a="1"/>
  <c r="X539" i="8" s="1"/>
  <c r="Z539" i="8" a="1"/>
  <c r="Z539" i="8" s="1"/>
  <c r="AD539" i="8" s="1"/>
  <c r="Y539" i="8" a="1"/>
  <c r="Y539" i="8" s="1"/>
  <c r="Z557" i="8" a="1"/>
  <c r="Z557" i="8" s="1"/>
  <c r="AD557" i="8" s="1"/>
  <c r="X557" i="8" a="1"/>
  <c r="X557" i="8" s="1"/>
  <c r="Y557" i="8" a="1"/>
  <c r="Y557" i="8" s="1"/>
  <c r="Y569" i="8" a="1"/>
  <c r="Y569" i="8" s="1"/>
  <c r="X569" i="8" a="1"/>
  <c r="X569" i="8" s="1"/>
  <c r="Z569" i="8" a="1"/>
  <c r="Z569" i="8" s="1"/>
  <c r="AD569" i="8" s="1"/>
  <c r="Z581" i="8" a="1"/>
  <c r="Z581" i="8" s="1"/>
  <c r="AD581" i="8" s="1"/>
  <c r="X581" i="8" a="1"/>
  <c r="X581" i="8" s="1"/>
  <c r="Y581" i="8" a="1"/>
  <c r="Y581" i="8" s="1"/>
  <c r="Z517" i="8" a="1"/>
  <c r="Z517" i="8" s="1"/>
  <c r="AD517" i="8" s="1"/>
  <c r="X517" i="8" a="1"/>
  <c r="X517" i="8" s="1"/>
  <c r="Y517" i="8" a="1"/>
  <c r="Y517" i="8" s="1"/>
  <c r="Z510" i="8" a="1"/>
  <c r="Z510" i="8" s="1"/>
  <c r="AD510" i="8" s="1"/>
  <c r="Y510" i="8" a="1"/>
  <c r="Y510" i="8" s="1"/>
  <c r="X510" i="8" a="1"/>
  <c r="X510" i="8" s="1"/>
  <c r="Y554" i="8" a="1"/>
  <c r="Y554" i="8" s="1"/>
  <c r="Z554" i="8" a="1"/>
  <c r="Z554" i="8" s="1"/>
  <c r="AD554" i="8" s="1"/>
  <c r="X554" i="8" a="1"/>
  <c r="X554" i="8" s="1"/>
  <c r="X566" i="8" a="1"/>
  <c r="X566" i="8" s="1"/>
  <c r="Y566" i="8" a="1"/>
  <c r="Y566" i="8" s="1"/>
  <c r="Z566" i="8" a="1"/>
  <c r="Z566" i="8" s="1"/>
  <c r="AD566" i="8" s="1"/>
  <c r="X584" i="8" a="1"/>
  <c r="X584" i="8" s="1"/>
  <c r="Y584" i="8" a="1"/>
  <c r="Y584" i="8" s="1"/>
  <c r="Z584" i="8" a="1"/>
  <c r="Z584" i="8" s="1"/>
  <c r="AD584" i="8" s="1"/>
  <c r="X520" i="8" a="1"/>
  <c r="X520" i="8" s="1"/>
  <c r="Y520" i="8" a="1"/>
  <c r="Y520" i="8" s="1"/>
  <c r="Z520" i="8" a="1"/>
  <c r="Z520" i="8" s="1"/>
  <c r="AD520" i="8" s="1"/>
  <c r="X532" i="8" a="1"/>
  <c r="X532" i="8" s="1"/>
  <c r="Y532" i="8" a="1"/>
  <c r="Y532" i="8" s="1"/>
  <c r="Z532" i="8" a="1"/>
  <c r="Z532" i="8" s="1"/>
  <c r="AD532" i="8" s="1"/>
  <c r="Y551" i="8" a="1"/>
  <c r="Y551" i="8" s="1"/>
  <c r="X551" i="8" a="1"/>
  <c r="X551" i="8" s="1"/>
  <c r="Z551" i="8" a="1"/>
  <c r="Z551" i="8" s="1"/>
  <c r="AD551" i="8" s="1"/>
  <c r="Z563" i="8" a="1"/>
  <c r="Z563" i="8" s="1"/>
  <c r="AD563" i="8" s="1"/>
  <c r="Y563" i="8" a="1"/>
  <c r="Y563" i="8" s="1"/>
  <c r="X563" i="8" a="1"/>
  <c r="X563" i="8" s="1"/>
  <c r="Y575" i="8" a="1"/>
  <c r="Y575" i="8" s="1"/>
  <c r="Z575" i="8" a="1"/>
  <c r="Z575" i="8" s="1"/>
  <c r="AD575" i="8" s="1"/>
  <c r="X575" i="8" a="1"/>
  <c r="X575" i="8" s="1"/>
  <c r="X511" i="8" a="1"/>
  <c r="X511" i="8" s="1"/>
  <c r="Y511" i="8" a="1"/>
  <c r="Y511" i="8" s="1"/>
  <c r="Z511" i="8" a="1"/>
  <c r="Z511" i="8" s="1"/>
  <c r="AD511" i="8" s="1"/>
  <c r="X499" i="8" a="1"/>
  <c r="X499" i="8" s="1"/>
  <c r="Y499" i="8" a="1"/>
  <c r="Y499" i="8" s="1"/>
  <c r="Z499" i="8" a="1"/>
  <c r="Z499" i="8" s="1"/>
  <c r="AD499" i="8" s="1"/>
  <c r="X453" i="8" a="1"/>
  <c r="X453" i="8" s="1"/>
  <c r="Z453" i="8" a="1"/>
  <c r="Z453" i="8" s="1"/>
  <c r="AD453" i="8" s="1"/>
  <c r="Y453" i="8" a="1"/>
  <c r="Y453" i="8" s="1"/>
  <c r="X358" i="8" a="1"/>
  <c r="X358" i="8" s="1"/>
  <c r="Y358" i="8" a="1"/>
  <c r="Y358" i="8" s="1"/>
  <c r="Z358" i="8" a="1"/>
  <c r="Z358" i="8" s="1"/>
  <c r="AD358" i="8" s="1"/>
  <c r="X457" i="8" a="1"/>
  <c r="X457" i="8" s="1"/>
  <c r="Y457" i="8" a="1"/>
  <c r="Y457" i="8" s="1"/>
  <c r="Z457" i="8" a="1"/>
  <c r="Z457" i="8" s="1"/>
  <c r="AD457" i="8" s="1"/>
  <c r="X395" i="8" a="1"/>
  <c r="X395" i="8" s="1"/>
  <c r="Y395" i="8" a="1"/>
  <c r="Y395" i="8" s="1"/>
  <c r="Z395" i="8" a="1"/>
  <c r="Z395" i="8" s="1"/>
  <c r="AD395" i="8" s="1"/>
  <c r="Y484" i="8" a="1"/>
  <c r="Y484" i="8" s="1"/>
  <c r="Z484" i="8" a="1"/>
  <c r="Z484" i="8" s="1"/>
  <c r="AD484" i="8" s="1"/>
  <c r="X484" i="8" a="1"/>
  <c r="X484" i="8" s="1"/>
  <c r="X420" i="8" a="1"/>
  <c r="X420" i="8" s="1"/>
  <c r="Y420" i="8" a="1"/>
  <c r="Y420" i="8" s="1"/>
  <c r="Z420" i="8" a="1"/>
  <c r="Z420" i="8" s="1"/>
  <c r="AD420" i="8" s="1"/>
  <c r="X357" i="8" a="1"/>
  <c r="X357" i="8" s="1"/>
  <c r="Y357" i="8" a="1"/>
  <c r="Y357" i="8" s="1"/>
  <c r="Z357" i="8" a="1"/>
  <c r="Z357" i="8" s="1"/>
  <c r="AD357" i="8" s="1"/>
  <c r="X447" i="8" a="1"/>
  <c r="X447" i="8" s="1"/>
  <c r="Z447" i="8" a="1"/>
  <c r="Z447" i="8" s="1"/>
  <c r="AD447" i="8" s="1"/>
  <c r="Y447" i="8" a="1"/>
  <c r="Y447" i="8" s="1"/>
  <c r="X383" i="8" a="1"/>
  <c r="X383" i="8" s="1"/>
  <c r="Y383" i="8" a="1"/>
  <c r="Y383" i="8" s="1"/>
  <c r="Z383" i="8" a="1"/>
  <c r="Z383" i="8" s="1"/>
  <c r="AD383" i="8" s="1"/>
  <c r="X469" i="8" a="1"/>
  <c r="X469" i="8" s="1"/>
  <c r="Y469" i="8" a="1"/>
  <c r="Y469" i="8" s="1"/>
  <c r="Z469" i="8" a="1"/>
  <c r="Z469" i="8" s="1"/>
  <c r="AD469" i="8" s="1"/>
  <c r="X409" i="8" a="1"/>
  <c r="X409" i="8" s="1"/>
  <c r="Y409" i="8" a="1"/>
  <c r="Y409" i="8" s="1"/>
  <c r="Z409" i="8" a="1"/>
  <c r="Z409" i="8" s="1"/>
  <c r="AD409" i="8" s="1"/>
  <c r="X345" i="8" a="1"/>
  <c r="X345" i="8" s="1"/>
  <c r="Y345" i="8" a="1"/>
  <c r="Y345" i="8" s="1"/>
  <c r="Z345" i="8" a="1"/>
  <c r="Z345" i="8" s="1"/>
  <c r="AD345" i="8" s="1"/>
  <c r="X441" i="8" a="1"/>
  <c r="X441" i="8" s="1"/>
  <c r="Y441" i="8" a="1"/>
  <c r="Y441" i="8" s="1"/>
  <c r="Z441" i="8" a="1"/>
  <c r="Z441" i="8" s="1"/>
  <c r="AD441" i="8" s="1"/>
  <c r="X376" i="8" a="1"/>
  <c r="X376" i="8" s="1"/>
  <c r="Y376" i="8" a="1"/>
  <c r="Y376" i="8" s="1"/>
  <c r="Z376" i="8" a="1"/>
  <c r="Z376" i="8" s="1"/>
  <c r="AD376" i="8" s="1"/>
  <c r="X477" i="8" a="1"/>
  <c r="X477" i="8" s="1"/>
  <c r="Z477" i="8" a="1"/>
  <c r="Z477" i="8" s="1"/>
  <c r="AD477" i="8" s="1"/>
  <c r="Y477" i="8" a="1"/>
  <c r="Y477" i="8" s="1"/>
  <c r="X413" i="8" a="1"/>
  <c r="X413" i="8" s="1"/>
  <c r="Y413" i="8" a="1"/>
  <c r="Y413" i="8" s="1"/>
  <c r="Z413" i="8" a="1"/>
  <c r="Z413" i="8" s="1"/>
  <c r="AD413" i="8" s="1"/>
  <c r="X349" i="8" a="1"/>
  <c r="X349" i="8" s="1"/>
  <c r="Y349" i="8" a="1"/>
  <c r="Y349" i="8" s="1"/>
  <c r="Z349" i="8" a="1"/>
  <c r="Z349" i="8" s="1"/>
  <c r="AD349" i="8" s="1"/>
  <c r="X440" i="8" a="1"/>
  <c r="X440" i="8" s="1"/>
  <c r="Y440" i="8" a="1"/>
  <c r="Y440" i="8" s="1"/>
  <c r="Z440" i="8" a="1"/>
  <c r="Z440" i="8" s="1"/>
  <c r="AD440" i="8" s="1"/>
  <c r="X380" i="8" a="1"/>
  <c r="X380" i="8" s="1"/>
  <c r="Z380" i="8" a="1"/>
  <c r="Z380" i="8" s="1"/>
  <c r="AD380" i="8" s="1"/>
  <c r="Y380" i="8" a="1"/>
  <c r="Y380" i="8" s="1"/>
  <c r="X467" i="8" a="1"/>
  <c r="X467" i="8" s="1"/>
  <c r="Y467" i="8" a="1"/>
  <c r="Y467" i="8" s="1"/>
  <c r="Z467" i="8" a="1"/>
  <c r="Z467" i="8" s="1"/>
  <c r="AD467" i="8" s="1"/>
  <c r="X374" i="8" a="1"/>
  <c r="X374" i="8" s="1"/>
  <c r="Y374" i="8" a="1"/>
  <c r="Y374" i="8" s="1"/>
  <c r="Z374" i="8" a="1"/>
  <c r="Z374" i="8" s="1"/>
  <c r="AD374" i="8" s="1"/>
  <c r="Y435" i="8" a="1"/>
  <c r="Y435" i="8" s="1"/>
  <c r="X435" i="8" a="1"/>
  <c r="X435" i="8" s="1"/>
  <c r="Z435" i="8" a="1"/>
  <c r="Z435" i="8" s="1"/>
  <c r="AD435" i="8" s="1"/>
  <c r="X448" i="8" a="1"/>
  <c r="X448" i="8" s="1"/>
  <c r="Y448" i="8" a="1"/>
  <c r="Y448" i="8" s="1"/>
  <c r="Z448" i="8" a="1"/>
  <c r="Z448" i="8" s="1"/>
  <c r="AD448" i="8" s="1"/>
  <c r="X384" i="8" a="1"/>
  <c r="X384" i="8" s="1"/>
  <c r="Y384" i="8" a="1"/>
  <c r="Y384" i="8" s="1"/>
  <c r="Z384" i="8" a="1"/>
  <c r="Z384" i="8" s="1"/>
  <c r="AD384" i="8" s="1"/>
  <c r="X475" i="8" a="1"/>
  <c r="X475" i="8" s="1"/>
  <c r="Y475" i="8" a="1"/>
  <c r="Y475" i="8" s="1"/>
  <c r="Z475" i="8" a="1"/>
  <c r="Z475" i="8" s="1"/>
  <c r="AD475" i="8" s="1"/>
  <c r="X410" i="8" a="1"/>
  <c r="X410" i="8" s="1"/>
  <c r="Z410" i="8" a="1"/>
  <c r="Z410" i="8" s="1"/>
  <c r="AD410" i="8" s="1"/>
  <c r="Y410" i="8" a="1"/>
  <c r="Y410" i="8" s="1"/>
  <c r="X346" i="8" a="1"/>
  <c r="X346" i="8" s="1"/>
  <c r="Y346" i="8" a="1"/>
  <c r="Y346" i="8" s="1"/>
  <c r="Z346" i="8" a="1"/>
  <c r="Z346" i="8" s="1"/>
  <c r="AD346" i="8" s="1"/>
  <c r="X442" i="8" a="1"/>
  <c r="X442" i="8" s="1"/>
  <c r="Y442" i="8" a="1"/>
  <c r="Y442" i="8" s="1"/>
  <c r="Z442" i="8" a="1"/>
  <c r="Z442" i="8" s="1"/>
  <c r="AD442" i="8" s="1"/>
  <c r="X372" i="8" a="1"/>
  <c r="X372" i="8" s="1"/>
  <c r="Y372" i="8" a="1"/>
  <c r="Y372" i="8" s="1"/>
  <c r="Z372" i="8" a="1"/>
  <c r="Z372" i="8" s="1"/>
  <c r="AD372" i="8" s="1"/>
  <c r="Y460" i="8" a="1"/>
  <c r="Y460" i="8" s="1"/>
  <c r="X460" i="8" a="1"/>
  <c r="X460" i="8" s="1"/>
  <c r="Z460" i="8" a="1"/>
  <c r="Z460" i="8" s="1"/>
  <c r="AD460" i="8" s="1"/>
  <c r="X398" i="8" a="1"/>
  <c r="X398" i="8" s="1"/>
  <c r="Y398" i="8" a="1"/>
  <c r="Y398" i="8" s="1"/>
  <c r="Z398" i="8" a="1"/>
  <c r="Z398" i="8" s="1"/>
  <c r="AD398" i="8" s="1"/>
  <c r="X496" i="8" a="1"/>
  <c r="X496" i="8" s="1"/>
  <c r="Y496" i="8" a="1"/>
  <c r="Y496" i="8" s="1"/>
  <c r="Z496" i="8" a="1"/>
  <c r="Z496" i="8" s="1"/>
  <c r="AD496" i="8" s="1"/>
  <c r="X432" i="8" a="1"/>
  <c r="X432" i="8" s="1"/>
  <c r="Y432" i="8" a="1"/>
  <c r="Y432" i="8" s="1"/>
  <c r="Z432" i="8" a="1"/>
  <c r="Z432" i="8" s="1"/>
  <c r="AD432" i="8" s="1"/>
  <c r="X371" i="8" a="1"/>
  <c r="X371" i="8" s="1"/>
  <c r="Z371" i="8" a="1"/>
  <c r="Z371" i="8" s="1"/>
  <c r="AD371" i="8" s="1"/>
  <c r="Y371" i="8" a="1"/>
  <c r="Y371" i="8" s="1"/>
  <c r="Y468" i="8" a="1"/>
  <c r="Y468" i="8" s="1"/>
  <c r="X468" i="8" a="1"/>
  <c r="X468" i="8" s="1"/>
  <c r="Z468" i="8" a="1"/>
  <c r="Z468" i="8" s="1"/>
  <c r="AD468" i="8" s="1"/>
  <c r="Y402" i="8" a="1"/>
  <c r="Y402" i="8" s="1"/>
  <c r="X402" i="8" a="1"/>
  <c r="X402" i="8" s="1"/>
  <c r="Z402" i="8" a="1"/>
  <c r="Z402" i="8" s="1"/>
  <c r="AD402" i="8" s="1"/>
  <c r="X495" i="8" a="1"/>
  <c r="X495" i="8" s="1"/>
  <c r="Y495" i="8" a="1"/>
  <c r="Y495" i="8" s="1"/>
  <c r="Z495" i="8" a="1"/>
  <c r="Z495" i="8" s="1"/>
  <c r="AD495" i="8" s="1"/>
  <c r="X431" i="8" a="1"/>
  <c r="X431" i="8" s="1"/>
  <c r="Y431" i="8" a="1"/>
  <c r="Y431" i="8" s="1"/>
  <c r="Z431" i="8" a="1"/>
  <c r="Z431" i="8" s="1"/>
  <c r="AD431" i="8" s="1"/>
  <c r="X375" i="8" a="1"/>
  <c r="X375" i="8" s="1"/>
  <c r="Y375" i="8" a="1"/>
  <c r="Y375" i="8" s="1"/>
  <c r="Z375" i="8" a="1"/>
  <c r="Z375" i="8" s="1"/>
  <c r="AD375" i="8" s="1"/>
  <c r="X430" i="8" a="1"/>
  <c r="X430" i="8" s="1"/>
  <c r="Y430" i="8" a="1"/>
  <c r="Y430" i="8" s="1"/>
  <c r="Z430" i="8" a="1"/>
  <c r="Z430" i="8" s="1"/>
  <c r="AD430" i="8" s="1"/>
  <c r="X485" i="8" a="1"/>
  <c r="X485" i="8" s="1"/>
  <c r="Y485" i="8" a="1"/>
  <c r="Y485" i="8" s="1"/>
  <c r="Z485" i="8" a="1"/>
  <c r="Z485" i="8" s="1"/>
  <c r="AD485" i="8" s="1"/>
  <c r="X353" i="8" a="1"/>
  <c r="X353" i="8" s="1"/>
  <c r="Z353" i="8" a="1"/>
  <c r="Z353" i="8" s="1"/>
  <c r="AD353" i="8" s="1"/>
  <c r="Y353" i="8" a="1"/>
  <c r="Y353" i="8" s="1"/>
  <c r="X439" i="8" a="1"/>
  <c r="X439" i="8" s="1"/>
  <c r="Z439" i="8" a="1"/>
  <c r="Z439" i="8" s="1"/>
  <c r="AD439" i="8" s="1"/>
  <c r="Y439" i="8" a="1"/>
  <c r="Y439" i="8" s="1"/>
  <c r="X379" i="8" a="1"/>
  <c r="X379" i="8" s="1"/>
  <c r="Y379" i="8" a="1"/>
  <c r="Y379" i="8" s="1"/>
  <c r="Z379" i="8" a="1"/>
  <c r="Z379" i="8" s="1"/>
  <c r="AD379" i="8" s="1"/>
  <c r="X470" i="8" a="1"/>
  <c r="X470" i="8" s="1"/>
  <c r="Z470" i="8" a="1"/>
  <c r="Z470" i="8" s="1"/>
  <c r="AD470" i="8" s="1"/>
  <c r="Y470" i="8" a="1"/>
  <c r="Y470" i="8" s="1"/>
  <c r="X405" i="8" a="1"/>
  <c r="X405" i="8" s="1"/>
  <c r="Y405" i="8" a="1"/>
  <c r="Y405" i="8" s="1"/>
  <c r="Z405" i="8" a="1"/>
  <c r="Z405" i="8" s="1"/>
  <c r="AD405" i="8" s="1"/>
  <c r="X497" i="8" a="1"/>
  <c r="X497" i="8" s="1"/>
  <c r="Y497" i="8" a="1"/>
  <c r="Y497" i="8" s="1"/>
  <c r="Z497" i="8" a="1"/>
  <c r="Z497" i="8" s="1"/>
  <c r="AD497" i="8" s="1"/>
  <c r="Y433" i="8" a="1"/>
  <c r="Y433" i="8" s="1"/>
  <c r="X433" i="8" a="1"/>
  <c r="X433" i="8" s="1"/>
  <c r="Z433" i="8" a="1"/>
  <c r="Z433" i="8" s="1"/>
  <c r="AD433" i="8" s="1"/>
  <c r="X367" i="8" a="1"/>
  <c r="X367" i="8" s="1"/>
  <c r="Y367" i="8" a="1"/>
  <c r="Y367" i="8" s="1"/>
  <c r="Z367" i="8" a="1"/>
  <c r="Z367" i="8" s="1"/>
  <c r="AD367" i="8" s="1"/>
  <c r="X451" i="8" a="1"/>
  <c r="X451" i="8" s="1"/>
  <c r="Y451" i="8" a="1"/>
  <c r="Y451" i="8" s="1"/>
  <c r="Z451" i="8" a="1"/>
  <c r="Z451" i="8" s="1"/>
  <c r="AD451" i="8" s="1"/>
  <c r="X393" i="8" a="1"/>
  <c r="X393" i="8" s="1"/>
  <c r="Y393" i="8" a="1"/>
  <c r="Y393" i="8" s="1"/>
  <c r="Z393" i="8" a="1"/>
  <c r="Z393" i="8" s="1"/>
  <c r="AD393" i="8" s="1"/>
  <c r="Z487" i="8" a="1"/>
  <c r="Z487" i="8" s="1"/>
  <c r="AD487" i="8" s="1"/>
  <c r="X487" i="8" a="1"/>
  <c r="X487" i="8" s="1"/>
  <c r="Y487" i="8" a="1"/>
  <c r="Y487" i="8" s="1"/>
  <c r="X423" i="8" a="1"/>
  <c r="X423" i="8" s="1"/>
  <c r="Y423" i="8" a="1"/>
  <c r="Y423" i="8" s="1"/>
  <c r="Z423" i="8" a="1"/>
  <c r="Z423" i="8" s="1"/>
  <c r="AD423" i="8" s="1"/>
  <c r="X360" i="8" a="1"/>
  <c r="X360" i="8" s="1"/>
  <c r="Z360" i="8" a="1"/>
  <c r="Z360" i="8" s="1"/>
  <c r="AD360" i="8" s="1"/>
  <c r="Y360" i="8" a="1"/>
  <c r="Y360" i="8" s="1"/>
  <c r="X459" i="8" a="1"/>
  <c r="X459" i="8" s="1"/>
  <c r="Y459" i="8" a="1"/>
  <c r="Y459" i="8" s="1"/>
  <c r="Z459" i="8" a="1"/>
  <c r="Z459" i="8" s="1"/>
  <c r="AD459" i="8" s="1"/>
  <c r="Z397" i="8" a="1"/>
  <c r="Z397" i="8" s="1"/>
  <c r="AD397" i="8" s="1"/>
  <c r="X397" i="8" a="1"/>
  <c r="X397" i="8" s="1"/>
  <c r="Y397" i="8" a="1"/>
  <c r="Y397" i="8" s="1"/>
  <c r="X490" i="8" a="1"/>
  <c r="X490" i="8" s="1"/>
  <c r="Y490" i="8" a="1"/>
  <c r="Y490" i="8" s="1"/>
  <c r="Z490" i="8" a="1"/>
  <c r="Z490" i="8" s="1"/>
  <c r="AD490" i="8" s="1"/>
  <c r="X426" i="8" a="1"/>
  <c r="X426" i="8" s="1"/>
  <c r="Z426" i="8" a="1"/>
  <c r="Z426" i="8" s="1"/>
  <c r="AD426" i="8" s="1"/>
  <c r="Y426" i="8" a="1"/>
  <c r="Y426" i="8" s="1"/>
  <c r="X364" i="8" a="1"/>
  <c r="X364" i="8" s="1"/>
  <c r="Y364" i="8" a="1"/>
  <c r="Y364" i="8" s="1"/>
  <c r="Z364" i="8" a="1"/>
  <c r="Z364" i="8" s="1"/>
  <c r="AD364" i="8" s="1"/>
  <c r="X462" i="8" a="1"/>
  <c r="X462" i="8" s="1"/>
  <c r="Y462" i="8" a="1"/>
  <c r="Y462" i="8" s="1"/>
  <c r="Z462" i="8" a="1"/>
  <c r="Z462" i="8" s="1"/>
  <c r="AD462" i="8" s="1"/>
  <c r="Z369" i="8" a="1"/>
  <c r="Z369" i="8" s="1"/>
  <c r="AD369" i="8" s="1"/>
  <c r="X369" i="8" a="1"/>
  <c r="X369" i="8" s="1"/>
  <c r="Y369" i="8" a="1"/>
  <c r="Y369" i="8" s="1"/>
  <c r="Y498" i="8" a="1"/>
  <c r="Y498" i="8" s="1"/>
  <c r="X498" i="8" a="1"/>
  <c r="X498" i="8" s="1"/>
  <c r="Z498" i="8" a="1"/>
  <c r="Z498" i="8" s="1"/>
  <c r="AD498" i="8" s="1"/>
  <c r="X434" i="8" a="1"/>
  <c r="X434" i="8" s="1"/>
  <c r="Y434" i="8" a="1"/>
  <c r="Y434" i="8" s="1"/>
  <c r="Z434" i="8" a="1"/>
  <c r="Z434" i="8" s="1"/>
  <c r="AD434" i="8" s="1"/>
  <c r="X368" i="8" a="1"/>
  <c r="X368" i="8" s="1"/>
  <c r="Y368" i="8" a="1"/>
  <c r="Y368" i="8" s="1"/>
  <c r="Z368" i="8" a="1"/>
  <c r="Z368" i="8" s="1"/>
  <c r="AD368" i="8" s="1"/>
  <c r="Z461" i="8" a="1"/>
  <c r="Z461" i="8" s="1"/>
  <c r="AD461" i="8" s="1"/>
  <c r="X461" i="8" a="1"/>
  <c r="X461" i="8" s="1"/>
  <c r="Y461" i="8" a="1"/>
  <c r="Y461" i="8" s="1"/>
  <c r="X394" i="8" a="1"/>
  <c r="X394" i="8" s="1"/>
  <c r="Y394" i="8" a="1"/>
  <c r="Y394" i="8" s="1"/>
  <c r="Z394" i="8" a="1"/>
  <c r="Z394" i="8" s="1"/>
  <c r="AD394" i="8" s="1"/>
  <c r="Y488" i="8" a="1"/>
  <c r="Y488" i="8" s="1"/>
  <c r="X488" i="8" a="1"/>
  <c r="X488" i="8" s="1"/>
  <c r="Z488" i="8" a="1"/>
  <c r="Z488" i="8" s="1"/>
  <c r="AD488" i="8" s="1"/>
  <c r="Y424" i="8" a="1"/>
  <c r="Y424" i="8" s="1"/>
  <c r="X424" i="8" a="1"/>
  <c r="X424" i="8" s="1"/>
  <c r="Z424" i="8" a="1"/>
  <c r="Z424" i="8" s="1"/>
  <c r="AD424" i="8" s="1"/>
  <c r="Y356" i="8" a="1"/>
  <c r="Y356" i="8" s="1"/>
  <c r="Z356" i="8" a="1"/>
  <c r="Z356" i="8" s="1"/>
  <c r="AD356" i="8" s="1"/>
  <c r="X356" i="8" a="1"/>
  <c r="X356" i="8" s="1"/>
  <c r="X446" i="8" a="1"/>
  <c r="X446" i="8" s="1"/>
  <c r="Y446" i="8" a="1"/>
  <c r="Y446" i="8" s="1"/>
  <c r="Z446" i="8" a="1"/>
  <c r="Z446" i="8" s="1"/>
  <c r="AD446" i="8" s="1"/>
  <c r="X382" i="8" a="1"/>
  <c r="X382" i="8" s="1"/>
  <c r="Y382" i="8" a="1"/>
  <c r="Y382" i="8" s="1"/>
  <c r="Z382" i="8" a="1"/>
  <c r="Z382" i="8" s="1"/>
  <c r="AD382" i="8" s="1"/>
  <c r="Z482" i="8" a="1"/>
  <c r="Z482" i="8" s="1"/>
  <c r="AD482" i="8" s="1"/>
  <c r="Y482" i="8" a="1"/>
  <c r="Y482" i="8" s="1"/>
  <c r="X482" i="8" a="1"/>
  <c r="X482" i="8" s="1"/>
  <c r="X418" i="8" a="1"/>
  <c r="X418" i="8" s="1"/>
  <c r="Y418" i="8" a="1"/>
  <c r="Y418" i="8" s="1"/>
  <c r="Z418" i="8" a="1"/>
  <c r="Z418" i="8" s="1"/>
  <c r="AD418" i="8" s="1"/>
  <c r="X355" i="8" a="1"/>
  <c r="X355" i="8" s="1"/>
  <c r="Z355" i="8" a="1"/>
  <c r="Z355" i="8" s="1"/>
  <c r="AD355" i="8" s="1"/>
  <c r="Y355" i="8" a="1"/>
  <c r="Y355" i="8" s="1"/>
  <c r="X454" i="8" a="1"/>
  <c r="X454" i="8" s="1"/>
  <c r="Z454" i="8" a="1"/>
  <c r="Z454" i="8" s="1"/>
  <c r="AD454" i="8" s="1"/>
  <c r="Y454" i="8" a="1"/>
  <c r="Y454" i="8" s="1"/>
  <c r="X386" i="8" a="1"/>
  <c r="X386" i="8" s="1"/>
  <c r="Y386" i="8" a="1"/>
  <c r="Y386" i="8" s="1"/>
  <c r="Z386" i="8" a="1"/>
  <c r="Z386" i="8" s="1"/>
  <c r="AD386" i="8" s="1"/>
  <c r="X481" i="8" a="1"/>
  <c r="X481" i="8" s="1"/>
  <c r="Y481" i="8" a="1"/>
  <c r="Y481" i="8" s="1"/>
  <c r="Z481" i="8" a="1"/>
  <c r="Z481" i="8" s="1"/>
  <c r="AD481" i="8" s="1"/>
  <c r="X417" i="8" a="1"/>
  <c r="X417" i="8" s="1"/>
  <c r="Y417" i="8" a="1"/>
  <c r="Y417" i="8" s="1"/>
  <c r="Z417" i="8" a="1"/>
  <c r="Z417" i="8" s="1"/>
  <c r="AD417" i="8" s="1"/>
  <c r="X359" i="8" a="1"/>
  <c r="X359" i="8" s="1"/>
  <c r="Z359" i="8" a="1"/>
  <c r="Z359" i="8" s="1"/>
  <c r="AD359" i="8" s="1"/>
  <c r="Y359" i="8" a="1"/>
  <c r="Y359" i="8" s="1"/>
  <c r="X385" i="8" a="1"/>
  <c r="X385" i="8" s="1"/>
  <c r="Z385" i="8" a="1"/>
  <c r="Z385" i="8" s="1"/>
  <c r="AD385" i="8" s="1"/>
  <c r="Y385" i="8" a="1"/>
  <c r="Y385" i="8" s="1"/>
  <c r="X444" i="8" a="1"/>
  <c r="X444" i="8" s="1"/>
  <c r="Y444" i="8" a="1"/>
  <c r="Y444" i="8" s="1"/>
  <c r="Z444" i="8" a="1"/>
  <c r="Z444" i="8" s="1"/>
  <c r="AD444" i="8" s="1"/>
  <c r="Y489" i="8" a="1"/>
  <c r="Y489" i="8" s="1"/>
  <c r="X489" i="8" a="1"/>
  <c r="X489" i="8" s="1"/>
  <c r="Z489" i="8" a="1"/>
  <c r="Z489" i="8" s="1"/>
  <c r="AD489" i="8" s="1"/>
  <c r="X425" i="8" a="1"/>
  <c r="X425" i="8" s="1"/>
  <c r="Y425" i="8" a="1"/>
  <c r="Y425" i="8" s="1"/>
  <c r="Z425" i="8" a="1"/>
  <c r="Z425" i="8" s="1"/>
  <c r="AD425" i="8" s="1"/>
  <c r="X363" i="8" a="1"/>
  <c r="X363" i="8" s="1"/>
  <c r="Z363" i="8" a="1"/>
  <c r="Z363" i="8" s="1"/>
  <c r="AD363" i="8" s="1"/>
  <c r="Y363" i="8" a="1"/>
  <c r="Y363" i="8" s="1"/>
  <c r="Y452" i="8" a="1"/>
  <c r="Y452" i="8" s="1"/>
  <c r="X452" i="8" a="1"/>
  <c r="X452" i="8" s="1"/>
  <c r="Z452" i="8" a="1"/>
  <c r="Z452" i="8" s="1"/>
  <c r="AD452" i="8" s="1"/>
  <c r="Y389" i="8" a="1"/>
  <c r="Y389" i="8" s="1"/>
  <c r="X389" i="8" a="1"/>
  <c r="X389" i="8" s="1"/>
  <c r="Z389" i="8" a="1"/>
  <c r="Z389" i="8" s="1"/>
  <c r="AD389" i="8" s="1"/>
  <c r="X479" i="8" a="1"/>
  <c r="X479" i="8" s="1"/>
  <c r="Z479" i="8" a="1"/>
  <c r="Z479" i="8" s="1"/>
  <c r="AD479" i="8" s="1"/>
  <c r="Y479" i="8" a="1"/>
  <c r="Y479" i="8" s="1"/>
  <c r="X415" i="8" a="1"/>
  <c r="X415" i="8" s="1"/>
  <c r="Y415" i="8" a="1"/>
  <c r="Y415" i="8" s="1"/>
  <c r="Z415" i="8" a="1"/>
  <c r="Z415" i="8" s="1"/>
  <c r="AD415" i="8" s="1"/>
  <c r="Y351" i="8" a="1"/>
  <c r="Y351" i="8" s="1"/>
  <c r="Z351" i="8" a="1"/>
  <c r="Z351" i="8" s="1"/>
  <c r="AD351" i="8" s="1"/>
  <c r="X351" i="8" a="1"/>
  <c r="X351" i="8" s="1"/>
  <c r="X437" i="8" a="1"/>
  <c r="X437" i="8" s="1"/>
  <c r="Z437" i="8" a="1"/>
  <c r="Z437" i="8" s="1"/>
  <c r="AD437" i="8" s="1"/>
  <c r="Y437" i="8" a="1"/>
  <c r="Y437" i="8" s="1"/>
  <c r="X377" i="8" a="1"/>
  <c r="X377" i="8" s="1"/>
  <c r="Y377" i="8" a="1"/>
  <c r="Y377" i="8" s="1"/>
  <c r="Z377" i="8" a="1"/>
  <c r="Z377" i="8" s="1"/>
  <c r="AD377" i="8" s="1"/>
  <c r="Y473" i="8" a="1"/>
  <c r="Y473" i="8" s="1"/>
  <c r="Z473" i="8" a="1"/>
  <c r="Z473" i="8" s="1"/>
  <c r="AD473" i="8" s="1"/>
  <c r="X473" i="8" a="1"/>
  <c r="X473" i="8" s="1"/>
  <c r="X408" i="8" a="1"/>
  <c r="X408" i="8" s="1"/>
  <c r="Y408" i="8" a="1"/>
  <c r="Y408" i="8" s="1"/>
  <c r="Z408" i="8" a="1"/>
  <c r="Z408" i="8" s="1"/>
  <c r="AD408" i="8" s="1"/>
  <c r="X344" i="8" a="1"/>
  <c r="X344" i="8" s="1"/>
  <c r="Y344" i="8" a="1"/>
  <c r="Y344" i="8" s="1"/>
  <c r="Z344" i="8" a="1"/>
  <c r="Z344" i="8" s="1"/>
  <c r="AD344" i="8" s="1"/>
  <c r="X445" i="8" a="1"/>
  <c r="X445" i="8" s="1"/>
  <c r="Z445" i="8" a="1"/>
  <c r="Z445" i="8" s="1"/>
  <c r="AD445" i="8" s="1"/>
  <c r="Y445" i="8" a="1"/>
  <c r="Y445" i="8" s="1"/>
  <c r="X381" i="8" a="1"/>
  <c r="X381" i="8" s="1"/>
  <c r="Y381" i="8" a="1"/>
  <c r="Y381" i="8" s="1"/>
  <c r="Z381" i="8" a="1"/>
  <c r="Z381" i="8" s="1"/>
  <c r="AD381" i="8" s="1"/>
  <c r="Y472" i="8" a="1"/>
  <c r="Y472" i="8" s="1"/>
  <c r="X472" i="8" a="1"/>
  <c r="X472" i="8" s="1"/>
  <c r="Z472" i="8" a="1"/>
  <c r="Z472" i="8" s="1"/>
  <c r="AD472" i="8" s="1"/>
  <c r="X412" i="8" a="1"/>
  <c r="X412" i="8" s="1"/>
  <c r="Y412" i="8" a="1"/>
  <c r="Y412" i="8" s="1"/>
  <c r="Z412" i="8" a="1"/>
  <c r="Z412" i="8" s="1"/>
  <c r="AD412" i="8" s="1"/>
  <c r="X348" i="8" a="1"/>
  <c r="X348" i="8" s="1"/>
  <c r="Y348" i="8" a="1"/>
  <c r="Y348" i="8" s="1"/>
  <c r="Z348" i="8" a="1"/>
  <c r="Z348" i="8" s="1"/>
  <c r="AD348" i="8" s="1"/>
  <c r="X341" i="8" a="1"/>
  <c r="X341" i="8" s="1"/>
  <c r="Y341" i="8" a="1"/>
  <c r="Y341" i="8" s="1"/>
  <c r="Z341" i="8" a="1"/>
  <c r="Z341" i="8" s="1"/>
  <c r="AD341" i="8" s="1"/>
  <c r="X406" i="8" a="1"/>
  <c r="X406" i="8" s="1"/>
  <c r="Z406" i="8" a="1"/>
  <c r="Z406" i="8" s="1"/>
  <c r="AD406" i="8" s="1"/>
  <c r="Y406" i="8" a="1"/>
  <c r="Y406" i="8" s="1"/>
  <c r="X480" i="8" a="1"/>
  <c r="X480" i="8" s="1"/>
  <c r="Y480" i="8" a="1"/>
  <c r="Y480" i="8" s="1"/>
  <c r="Z480" i="8" a="1"/>
  <c r="Z480" i="8" s="1"/>
  <c r="AD480" i="8" s="1"/>
  <c r="X416" i="8" a="1"/>
  <c r="X416" i="8" s="1"/>
  <c r="Y416" i="8" a="1"/>
  <c r="Y416" i="8" s="1"/>
  <c r="Z416" i="8" a="1"/>
  <c r="Z416" i="8" s="1"/>
  <c r="AD416" i="8" s="1"/>
  <c r="X352" i="8" a="1"/>
  <c r="X352" i="8" s="1"/>
  <c r="Y352" i="8" a="1"/>
  <c r="Y352" i="8" s="1"/>
  <c r="Z352" i="8" a="1"/>
  <c r="Z352" i="8" s="1"/>
  <c r="AD352" i="8" s="1"/>
  <c r="X443" i="8" a="1"/>
  <c r="X443" i="8" s="1"/>
  <c r="Y443" i="8" a="1"/>
  <c r="Y443" i="8" s="1"/>
  <c r="Z443" i="8" a="1"/>
  <c r="Z443" i="8" s="1"/>
  <c r="AD443" i="8" s="1"/>
  <c r="X378" i="8" a="1"/>
  <c r="X378" i="8" s="1"/>
  <c r="Y378" i="8" a="1"/>
  <c r="Y378" i="8" s="1"/>
  <c r="Z378" i="8" a="1"/>
  <c r="Z378" i="8" s="1"/>
  <c r="AD378" i="8" s="1"/>
  <c r="X474" i="8" a="1"/>
  <c r="X474" i="8" s="1"/>
  <c r="Y474" i="8" a="1"/>
  <c r="Y474" i="8" s="1"/>
  <c r="Z474" i="8" a="1"/>
  <c r="Z474" i="8" s="1"/>
  <c r="AD474" i="8" s="1"/>
  <c r="Y404" i="8" a="1"/>
  <c r="Y404" i="8" s="1"/>
  <c r="X404" i="8" a="1"/>
  <c r="X404" i="8" s="1"/>
  <c r="Z404" i="8" a="1"/>
  <c r="Z404" i="8" s="1"/>
  <c r="AD404" i="8" s="1"/>
  <c r="Y492" i="8" a="1"/>
  <c r="Y492" i="8" s="1"/>
  <c r="X492" i="8" a="1"/>
  <c r="X492" i="8" s="1"/>
  <c r="Z492" i="8" a="1"/>
  <c r="Z492" i="8" s="1"/>
  <c r="AD492" i="8" s="1"/>
  <c r="Y428" i="8" a="1"/>
  <c r="Y428" i="8" s="1"/>
  <c r="X428" i="8" a="1"/>
  <c r="X428" i="8" s="1"/>
  <c r="Z428" i="8" a="1"/>
  <c r="Z428" i="8" s="1"/>
  <c r="AD428" i="8" s="1"/>
  <c r="X366" i="8" a="1"/>
  <c r="X366" i="8" s="1"/>
  <c r="Y366" i="8" a="1"/>
  <c r="Y366" i="8" s="1"/>
  <c r="Z366" i="8" a="1"/>
  <c r="Z366" i="8" s="1"/>
  <c r="AD366" i="8" s="1"/>
  <c r="X464" i="8" a="1"/>
  <c r="X464" i="8" s="1"/>
  <c r="Y464" i="8" a="1"/>
  <c r="Y464" i="8" s="1"/>
  <c r="Z464" i="8" a="1"/>
  <c r="Z464" i="8" s="1"/>
  <c r="AD464" i="8" s="1"/>
  <c r="X403" i="8" a="1"/>
  <c r="X403" i="8" s="1"/>
  <c r="Y403" i="8" a="1"/>
  <c r="Y403" i="8" s="1"/>
  <c r="Z403" i="8" a="1"/>
  <c r="Z403" i="8" s="1"/>
  <c r="Y500" i="8" a="1"/>
  <c r="Y500" i="8" s="1"/>
  <c r="Z500" i="8" a="1"/>
  <c r="Z500" i="8" s="1"/>
  <c r="AD500" i="8" s="1"/>
  <c r="X500" i="8" a="1"/>
  <c r="X500" i="8" s="1"/>
  <c r="X436" i="8" a="1"/>
  <c r="X436" i="8" s="1"/>
  <c r="Y436" i="8" a="1"/>
  <c r="Y436" i="8" s="1"/>
  <c r="Z436" i="8" a="1"/>
  <c r="Z436" i="8" s="1"/>
  <c r="AD436" i="8" s="1"/>
  <c r="Y370" i="8" a="1"/>
  <c r="Y370" i="8" s="1"/>
  <c r="X370" i="8" a="1"/>
  <c r="X370" i="8" s="1"/>
  <c r="Z370" i="8" a="1"/>
  <c r="Z370" i="8" s="1"/>
  <c r="AD370" i="8" s="1"/>
  <c r="X463" i="8" a="1"/>
  <c r="X463" i="8" s="1"/>
  <c r="Y463" i="8" a="1"/>
  <c r="Y463" i="8" s="1"/>
  <c r="Z463" i="8" a="1"/>
  <c r="Z463" i="8" s="1"/>
  <c r="AD463" i="8" s="1"/>
  <c r="X407" i="8" a="1"/>
  <c r="X407" i="8" s="1"/>
  <c r="Z407" i="8" a="1"/>
  <c r="Z407" i="8" s="1"/>
  <c r="AD407" i="8" s="1"/>
  <c r="Y407" i="8" a="1"/>
  <c r="Y407" i="8" s="1"/>
  <c r="X340" i="8" a="1"/>
  <c r="X340" i="8" s="1"/>
  <c r="Y340" i="8" a="1"/>
  <c r="Y340" i="8" s="1"/>
  <c r="Z340" i="8" a="1"/>
  <c r="Z340" i="8" s="1"/>
  <c r="AD340" i="8" s="1"/>
  <c r="X494" i="8" a="1"/>
  <c r="X494" i="8" s="1"/>
  <c r="Y494" i="8" a="1"/>
  <c r="Y494" i="8" s="1"/>
  <c r="Z494" i="8" a="1"/>
  <c r="Z494" i="8" s="1"/>
  <c r="AD494" i="8" s="1"/>
  <c r="Y476" i="8" a="1"/>
  <c r="Y476" i="8" s="1"/>
  <c r="X476" i="8" a="1"/>
  <c r="X476" i="8" s="1"/>
  <c r="Z476" i="8" a="1"/>
  <c r="Z476" i="8" s="1"/>
  <c r="AD476" i="8" s="1"/>
  <c r="X471" i="8" a="1"/>
  <c r="X471" i="8" s="1"/>
  <c r="Z471" i="8" a="1"/>
  <c r="Z471" i="8" s="1"/>
  <c r="AD471" i="8" s="1"/>
  <c r="Y471" i="8" a="1"/>
  <c r="Y471" i="8" s="1"/>
  <c r="X411" i="8" a="1"/>
  <c r="X411" i="8" s="1"/>
  <c r="Z411" i="8" a="1"/>
  <c r="Z411" i="8" s="1"/>
  <c r="AD411" i="8" s="1"/>
  <c r="Y411" i="8" a="1"/>
  <c r="Y411" i="8" s="1"/>
  <c r="X347" i="8" a="1"/>
  <c r="X347" i="8" s="1"/>
  <c r="Z347" i="8" a="1"/>
  <c r="Z347" i="8" s="1"/>
  <c r="AD347" i="8" s="1"/>
  <c r="Y347" i="8" a="1"/>
  <c r="Y347" i="8" s="1"/>
  <c r="X438" i="8" a="1"/>
  <c r="X438" i="8" s="1"/>
  <c r="Z438" i="8" a="1"/>
  <c r="Z438" i="8" s="1"/>
  <c r="AD438" i="8" s="1"/>
  <c r="Y438" i="8" a="1"/>
  <c r="Y438" i="8" s="1"/>
  <c r="X373" i="8" a="1"/>
  <c r="X373" i="8" s="1"/>
  <c r="Y373" i="8" a="1"/>
  <c r="Y373" i="8" s="1"/>
  <c r="Z373" i="8" a="1"/>
  <c r="Z373" i="8" s="1"/>
  <c r="AD373" i="8" s="1"/>
  <c r="X465" i="8" a="1"/>
  <c r="X465" i="8" s="1"/>
  <c r="Y465" i="8" a="1"/>
  <c r="Y465" i="8" s="1"/>
  <c r="Z465" i="8" a="1"/>
  <c r="Z465" i="8" s="1"/>
  <c r="AD465" i="8" s="1"/>
  <c r="X399" i="8" a="1"/>
  <c r="X399" i="8" s="1"/>
  <c r="Y399" i="8" a="1"/>
  <c r="Y399" i="8" s="1"/>
  <c r="Z399" i="8" a="1"/>
  <c r="Z399" i="8" s="1"/>
  <c r="AD399" i="8" s="1"/>
  <c r="X483" i="8" a="1"/>
  <c r="X483" i="8" s="1"/>
  <c r="Y483" i="8" a="1"/>
  <c r="Y483" i="8" s="1"/>
  <c r="Z483" i="8" a="1"/>
  <c r="Z483" i="8" s="1"/>
  <c r="AD483" i="8" s="1"/>
  <c r="X419" i="8" a="1"/>
  <c r="X419" i="8" s="1"/>
  <c r="Y419" i="8" a="1"/>
  <c r="Y419" i="8" s="1"/>
  <c r="Z419" i="8" a="1"/>
  <c r="Z419" i="8" s="1"/>
  <c r="AD419" i="8" s="1"/>
  <c r="X361" i="8" a="1"/>
  <c r="X361" i="8" s="1"/>
  <c r="Y361" i="8" a="1"/>
  <c r="Y361" i="8" s="1"/>
  <c r="Z361" i="8" a="1"/>
  <c r="Z361" i="8" s="1"/>
  <c r="AD361" i="8" s="1"/>
  <c r="X455" i="8" a="1"/>
  <c r="X455" i="8" s="1"/>
  <c r="Z455" i="8" a="1"/>
  <c r="Z455" i="8" s="1"/>
  <c r="AD455" i="8" s="1"/>
  <c r="Y455" i="8" a="1"/>
  <c r="Y455" i="8" s="1"/>
  <c r="Y392" i="8" a="1"/>
  <c r="Y392" i="8" s="1"/>
  <c r="X392" i="8" a="1"/>
  <c r="X392" i="8" s="1"/>
  <c r="Z392" i="8" a="1"/>
  <c r="Z392" i="8" s="1"/>
  <c r="AD392" i="8" s="1"/>
  <c r="X491" i="8" a="1"/>
  <c r="X491" i="8" s="1"/>
  <c r="Y491" i="8" a="1"/>
  <c r="Y491" i="8" s="1"/>
  <c r="Z491" i="8" a="1"/>
  <c r="Z491" i="8" s="1"/>
  <c r="AD491" i="8" s="1"/>
  <c r="X427" i="8" a="1"/>
  <c r="X427" i="8" s="1"/>
  <c r="Y427" i="8" a="1"/>
  <c r="Y427" i="8" s="1"/>
  <c r="Z427" i="8" a="1"/>
  <c r="Z427" i="8" s="1"/>
  <c r="AD427" i="8" s="1"/>
  <c r="X365" i="8" a="1"/>
  <c r="X365" i="8" s="1"/>
  <c r="Y365" i="8" a="1"/>
  <c r="Y365" i="8" s="1"/>
  <c r="Z365" i="8" a="1"/>
  <c r="Z365" i="8" s="1"/>
  <c r="AD365" i="8" s="1"/>
  <c r="X458" i="8" a="1"/>
  <c r="X458" i="8" s="1"/>
  <c r="Y458" i="8" a="1"/>
  <c r="Y458" i="8" s="1"/>
  <c r="Z458" i="8" a="1"/>
  <c r="Z458" i="8" s="1"/>
  <c r="AD458" i="8" s="1"/>
  <c r="X396" i="8" a="1"/>
  <c r="X396" i="8" s="1"/>
  <c r="Z396" i="8" a="1"/>
  <c r="Z396" i="8" s="1"/>
  <c r="AD396" i="8" s="1"/>
  <c r="Y396" i="8" a="1"/>
  <c r="Y396" i="8" s="1"/>
  <c r="X343" i="8" a="1"/>
  <c r="X343" i="8" s="1"/>
  <c r="Z343" i="8" a="1"/>
  <c r="Z343" i="8" s="1"/>
  <c r="AD343" i="8" s="1"/>
  <c r="Y343" i="8" a="1"/>
  <c r="Y343" i="8" s="1"/>
  <c r="X390" i="8" a="1"/>
  <c r="X390" i="8" s="1"/>
  <c r="Y390" i="8" a="1"/>
  <c r="Y390" i="8" s="1"/>
  <c r="Z390" i="8" a="1"/>
  <c r="Z390" i="8" s="1"/>
  <c r="AD390" i="8" s="1"/>
  <c r="X421" i="8" a="1"/>
  <c r="X421" i="8" s="1"/>
  <c r="Y421" i="8" a="1"/>
  <c r="Y421" i="8" s="1"/>
  <c r="Z421" i="8" a="1"/>
  <c r="Z421" i="8" s="1"/>
  <c r="AD421" i="8" s="1"/>
  <c r="X401" i="8" a="1"/>
  <c r="X401" i="8" s="1"/>
  <c r="Y401" i="8" a="1"/>
  <c r="Y401" i="8" s="1"/>
  <c r="Z401" i="8" a="1"/>
  <c r="Z401" i="8" s="1"/>
  <c r="AD401" i="8" s="1"/>
  <c r="X466" i="8" a="1"/>
  <c r="X466" i="8" s="1"/>
  <c r="Y466" i="8" a="1"/>
  <c r="Y466" i="8" s="1"/>
  <c r="Z466" i="8" a="1"/>
  <c r="Z466" i="8" s="1"/>
  <c r="AD466" i="8" s="1"/>
  <c r="X400" i="8" a="1"/>
  <c r="X400" i="8" s="1"/>
  <c r="Y400" i="8" a="1"/>
  <c r="Y400" i="8" s="1"/>
  <c r="Z400" i="8" a="1"/>
  <c r="Z400" i="8" s="1"/>
  <c r="AD400" i="8" s="1"/>
  <c r="X493" i="8" a="1"/>
  <c r="X493" i="8" s="1"/>
  <c r="Z493" i="8" a="1"/>
  <c r="Z493" i="8" s="1"/>
  <c r="AD493" i="8" s="1"/>
  <c r="Y493" i="8" a="1"/>
  <c r="Y493" i="8" s="1"/>
  <c r="X429" i="8" a="1"/>
  <c r="X429" i="8" s="1"/>
  <c r="Z429" i="8" a="1"/>
  <c r="Z429" i="8" s="1"/>
  <c r="AD429" i="8" s="1"/>
  <c r="Y429" i="8" a="1"/>
  <c r="Y429" i="8" s="1"/>
  <c r="Y362" i="8" a="1"/>
  <c r="Y362" i="8" s="1"/>
  <c r="X362" i="8" a="1"/>
  <c r="X362" i="8" s="1"/>
  <c r="Z362" i="8" a="1"/>
  <c r="Z362" i="8" s="1"/>
  <c r="AD362" i="8" s="1"/>
  <c r="X456" i="8" a="1"/>
  <c r="X456" i="8" s="1"/>
  <c r="Y456" i="8" a="1"/>
  <c r="Y456" i="8" s="1"/>
  <c r="Z456" i="8" a="1"/>
  <c r="Z456" i="8" s="1"/>
  <c r="AD456" i="8" s="1"/>
  <c r="Y388" i="8" a="1"/>
  <c r="Y388" i="8" s="1"/>
  <c r="X388" i="8" a="1"/>
  <c r="X388" i="8" s="1"/>
  <c r="Z388" i="8" a="1"/>
  <c r="Z388" i="8" s="1"/>
  <c r="AD388" i="8" s="1"/>
  <c r="X478" i="8" a="1"/>
  <c r="X478" i="8" s="1"/>
  <c r="Y478" i="8" a="1"/>
  <c r="Y478" i="8" s="1"/>
  <c r="Z478" i="8" a="1"/>
  <c r="Z478" i="8" s="1"/>
  <c r="AD478" i="8" s="1"/>
  <c r="X414" i="8" a="1"/>
  <c r="X414" i="8" s="1"/>
  <c r="Y414" i="8" a="1"/>
  <c r="Y414" i="8" s="1"/>
  <c r="Z414" i="8" a="1"/>
  <c r="Z414" i="8" s="1"/>
  <c r="AD414" i="8" s="1"/>
  <c r="X350" i="8" a="1"/>
  <c r="X350" i="8" s="1"/>
  <c r="Y350" i="8" a="1"/>
  <c r="Y350" i="8" s="1"/>
  <c r="Z350" i="8" a="1"/>
  <c r="Z350" i="8" s="1"/>
  <c r="AD350" i="8" s="1"/>
  <c r="Z450" i="8" a="1"/>
  <c r="Z450" i="8" s="1"/>
  <c r="AD450" i="8" s="1"/>
  <c r="X450" i="8" a="1"/>
  <c r="X450" i="8" s="1"/>
  <c r="Y450" i="8" a="1"/>
  <c r="Y450" i="8" s="1"/>
  <c r="X387" i="8" a="1"/>
  <c r="X387" i="8" s="1"/>
  <c r="Y387" i="8" a="1"/>
  <c r="Y387" i="8" s="1"/>
  <c r="Z387" i="8" a="1"/>
  <c r="Z387" i="8" s="1"/>
  <c r="AD387" i="8" s="1"/>
  <c r="X486" i="8" a="1"/>
  <c r="X486" i="8" s="1"/>
  <c r="Z486" i="8" a="1"/>
  <c r="Z486" i="8" s="1"/>
  <c r="AD486" i="8" s="1"/>
  <c r="Y486" i="8" a="1"/>
  <c r="Y486" i="8" s="1"/>
  <c r="X422" i="8" a="1"/>
  <c r="X422" i="8" s="1"/>
  <c r="Z422" i="8" a="1"/>
  <c r="Z422" i="8" s="1"/>
  <c r="AD422" i="8" s="1"/>
  <c r="Y422" i="8" a="1"/>
  <c r="Y422" i="8" s="1"/>
  <c r="X354" i="8" a="1"/>
  <c r="X354" i="8" s="1"/>
  <c r="Y354" i="8" a="1"/>
  <c r="Y354" i="8" s="1"/>
  <c r="Z354" i="8" a="1"/>
  <c r="Z354" i="8" s="1"/>
  <c r="AD354" i="8" s="1"/>
  <c r="X449" i="8" a="1"/>
  <c r="X449" i="8" s="1"/>
  <c r="Y449" i="8" a="1"/>
  <c r="Y449" i="8" s="1"/>
  <c r="Z449" i="8" a="1"/>
  <c r="Z449" i="8" s="1"/>
  <c r="AD449" i="8" s="1"/>
  <c r="X391" i="8" a="1"/>
  <c r="X391" i="8" s="1"/>
  <c r="Y391" i="8" a="1"/>
  <c r="Y391" i="8" s="1"/>
  <c r="Z391" i="8" a="1"/>
  <c r="Z391" i="8" s="1"/>
  <c r="AD391" i="8" s="1"/>
  <c r="X342" i="8" a="1"/>
  <c r="X342" i="8" s="1"/>
  <c r="Z342" i="8" a="1"/>
  <c r="Z342" i="8" s="1"/>
  <c r="AD342" i="8" s="1"/>
  <c r="Y342" i="8" a="1"/>
  <c r="Y342" i="8" s="1"/>
  <c r="Z318" i="8" a="1"/>
  <c r="Z318" i="8" s="1"/>
  <c r="AD318" i="8" s="1"/>
  <c r="Y318" i="8" a="1"/>
  <c r="Y318" i="8" s="1"/>
  <c r="X318" i="8" a="1"/>
  <c r="X318" i="8" s="1"/>
  <c r="Y331" i="8" a="1"/>
  <c r="Y331" i="8" s="1"/>
  <c r="X331" i="8" a="1"/>
  <c r="X331" i="8" s="1"/>
  <c r="Z331" i="8" a="1"/>
  <c r="Z331" i="8" s="1"/>
  <c r="AD331" i="8" s="1"/>
  <c r="X329" i="8" a="1"/>
  <c r="X329" i="8" s="1"/>
  <c r="Z329" i="8" a="1"/>
  <c r="Z329" i="8" s="1"/>
  <c r="AD329" i="8" s="1"/>
  <c r="Y329" i="8" a="1"/>
  <c r="Y329" i="8" s="1"/>
  <c r="Z328" i="8" a="1"/>
  <c r="Z328" i="8" s="1"/>
  <c r="AD328" i="8" s="1"/>
  <c r="Y328" i="8" a="1"/>
  <c r="Y328" i="8" s="1"/>
  <c r="X328" i="8" a="1"/>
  <c r="X328" i="8" s="1"/>
  <c r="Z333" i="8" a="1"/>
  <c r="Z333" i="8" s="1"/>
  <c r="AD333" i="8" s="1"/>
  <c r="Y333" i="8" a="1"/>
  <c r="Y333" i="8" s="1"/>
  <c r="X333" i="8" a="1"/>
  <c r="X333" i="8" s="1"/>
  <c r="Y323" i="8" a="1"/>
  <c r="Y323" i="8" s="1"/>
  <c r="X323" i="8" a="1"/>
  <c r="X323" i="8" s="1"/>
  <c r="Z323" i="8" a="1"/>
  <c r="Z323" i="8" s="1"/>
  <c r="AD323" i="8" s="1"/>
  <c r="X321" i="8" a="1"/>
  <c r="X321" i="8" s="1"/>
  <c r="Z321" i="8" a="1"/>
  <c r="Z321" i="8" s="1"/>
  <c r="AD321" i="8" s="1"/>
  <c r="Y321" i="8" a="1"/>
  <c r="Y321" i="8" s="1"/>
  <c r="Z335" i="8" a="1"/>
  <c r="Z335" i="8" s="1"/>
  <c r="AD335" i="8" s="1"/>
  <c r="Y335" i="8" a="1"/>
  <c r="Y335" i="8" s="1"/>
  <c r="X335" i="8" a="1"/>
  <c r="X335" i="8" s="1"/>
  <c r="Z325" i="8" a="1"/>
  <c r="Z325" i="8" s="1"/>
  <c r="AD325" i="8" s="1"/>
  <c r="Y325" i="8" a="1"/>
  <c r="Y325" i="8" s="1"/>
  <c r="X325" i="8" a="1"/>
  <c r="X325" i="8" s="1"/>
  <c r="X314" i="8" a="1"/>
  <c r="X314" i="8" s="1"/>
  <c r="Y314" i="8" a="1"/>
  <c r="Y314" i="8" s="1"/>
  <c r="Z314" i="8" a="1"/>
  <c r="Z314" i="8" s="1"/>
  <c r="AD314" i="8" s="1"/>
  <c r="X313" i="8" a="1"/>
  <c r="X313" i="8" s="1"/>
  <c r="Z313" i="8" a="1"/>
  <c r="Z313" i="8" s="1"/>
  <c r="AD313" i="8" s="1"/>
  <c r="Y313" i="8" a="1"/>
  <c r="Y313" i="8" s="1"/>
  <c r="Z327" i="8" a="1"/>
  <c r="Z327" i="8" s="1"/>
  <c r="AD327" i="8" s="1"/>
  <c r="Y327" i="8" a="1"/>
  <c r="Y327" i="8" s="1"/>
  <c r="X327" i="8" a="1"/>
  <c r="X327" i="8" s="1"/>
  <c r="Z317" i="8" a="1"/>
  <c r="Z317" i="8" s="1"/>
  <c r="AD317" i="8" s="1"/>
  <c r="Y317" i="8" a="1"/>
  <c r="Y317" i="8" s="1"/>
  <c r="X317" i="8" a="1"/>
  <c r="X317" i="8" s="1"/>
  <c r="X338" i="8" a="1"/>
  <c r="X338" i="8" s="1"/>
  <c r="Y338" i="8" a="1"/>
  <c r="Y338" i="8" s="1"/>
  <c r="Z338" i="8" a="1"/>
  <c r="Z338" i="8" s="1"/>
  <c r="AD338" i="8" s="1"/>
  <c r="Z309" i="8" a="1"/>
  <c r="Z309" i="8" s="1"/>
  <c r="AD309" i="8" s="1"/>
  <c r="Y309" i="8" a="1"/>
  <c r="Y309" i="8" s="1"/>
  <c r="X309" i="8" a="1"/>
  <c r="X309" i="8" s="1"/>
  <c r="Z319" i="8" a="1"/>
  <c r="Z319" i="8" s="1"/>
  <c r="AD319" i="8" s="1"/>
  <c r="Y319" i="8" a="1"/>
  <c r="Y319" i="8" s="1"/>
  <c r="X319" i="8" a="1"/>
  <c r="X319" i="8" s="1"/>
  <c r="Z332" i="8" a="1"/>
  <c r="Z332" i="8" s="1"/>
  <c r="AD332" i="8" s="1"/>
  <c r="Y332" i="8" a="1"/>
  <c r="Y332" i="8" s="1"/>
  <c r="X332" i="8" a="1"/>
  <c r="X332" i="8" s="1"/>
  <c r="X330" i="8" a="1"/>
  <c r="X330" i="8" s="1"/>
  <c r="Y330" i="8" a="1"/>
  <c r="Y330" i="8" s="1"/>
  <c r="Z330" i="8" a="1"/>
  <c r="Z330" i="8" s="1"/>
  <c r="AD330" i="8" s="1"/>
  <c r="Z312" i="8" a="1"/>
  <c r="Z312" i="8" s="1"/>
  <c r="AD312" i="8" s="1"/>
  <c r="Y312" i="8" a="1"/>
  <c r="Y312" i="8" s="1"/>
  <c r="X312" i="8" a="1"/>
  <c r="X312" i="8" s="1"/>
  <c r="Z320" i="8" a="1"/>
  <c r="Z320" i="8" s="1"/>
  <c r="AD320" i="8" s="1"/>
  <c r="Y320" i="8" a="1"/>
  <c r="Y320" i="8" s="1"/>
  <c r="X320" i="8" a="1"/>
  <c r="X320" i="8" s="1"/>
  <c r="Z324" i="8" a="1"/>
  <c r="Z324" i="8" s="1"/>
  <c r="AD324" i="8" s="1"/>
  <c r="Y324" i="8" a="1"/>
  <c r="Y324" i="8" s="1"/>
  <c r="X324" i="8" a="1"/>
  <c r="X324" i="8" s="1"/>
  <c r="X322" i="8" a="1"/>
  <c r="X322" i="8" s="1"/>
  <c r="Y322" i="8" a="1"/>
  <c r="Y322" i="8" s="1"/>
  <c r="Z322" i="8" a="1"/>
  <c r="Z322" i="8" s="1"/>
  <c r="AD322" i="8" s="1"/>
  <c r="Z308" i="8" a="1"/>
  <c r="Z308" i="8" s="1"/>
  <c r="AD308" i="8" s="1"/>
  <c r="Y308" i="8" a="1"/>
  <c r="Y308" i="8" s="1"/>
  <c r="X308" i="8" a="1"/>
  <c r="X308" i="8" s="1"/>
  <c r="Z334" i="8" a="1"/>
  <c r="Z334" i="8" s="1"/>
  <c r="AD334" i="8" s="1"/>
  <c r="Y334" i="8" a="1"/>
  <c r="Y334" i="8" s="1"/>
  <c r="X334" i="8" a="1"/>
  <c r="X334" i="8" s="1"/>
  <c r="Z316" i="8" a="1"/>
  <c r="Z316" i="8" s="1"/>
  <c r="AD316" i="8" s="1"/>
  <c r="Y316" i="8" a="1"/>
  <c r="Y316" i="8" s="1"/>
  <c r="X316" i="8" a="1"/>
  <c r="X316" i="8" s="1"/>
  <c r="Z310" i="8" a="1"/>
  <c r="Z310" i="8" s="1"/>
  <c r="AD310" i="8" s="1"/>
  <c r="Y310" i="8" a="1"/>
  <c r="Y310" i="8" s="1"/>
  <c r="X310" i="8" a="1"/>
  <c r="X310" i="8" s="1"/>
  <c r="Y315" i="8" a="1"/>
  <c r="Y315" i="8" s="1"/>
  <c r="X315" i="8" a="1"/>
  <c r="X315" i="8" s="1"/>
  <c r="Z315" i="8" a="1"/>
  <c r="Z315" i="8" s="1"/>
  <c r="AD315" i="8" s="1"/>
  <c r="Z326" i="8" a="1"/>
  <c r="Z326" i="8" s="1"/>
  <c r="AD326" i="8" s="1"/>
  <c r="Y326" i="8" a="1"/>
  <c r="Y326" i="8" s="1"/>
  <c r="X326" i="8" a="1"/>
  <c r="X326" i="8" s="1"/>
  <c r="Z336" i="8" a="1"/>
  <c r="Z336" i="8" s="1"/>
  <c r="AD336" i="8" s="1"/>
  <c r="Y336" i="8" a="1"/>
  <c r="Y336" i="8" s="1"/>
  <c r="X336" i="8" a="1"/>
  <c r="X336" i="8" s="1"/>
  <c r="X337" i="8" a="1"/>
  <c r="X337" i="8" s="1"/>
  <c r="Z337" i="8" a="1"/>
  <c r="Z337" i="8" s="1"/>
  <c r="AD337" i="8" s="1"/>
  <c r="Y337" i="8" a="1"/>
  <c r="Y337" i="8" s="1"/>
  <c r="Z311" i="8" a="1"/>
  <c r="Z311" i="8" s="1"/>
  <c r="AD311" i="8" s="1"/>
  <c r="Y311" i="8" a="1"/>
  <c r="Y311" i="8" s="1"/>
  <c r="X311" i="8" a="1"/>
  <c r="X311" i="8" s="1"/>
  <c r="X257" i="8" a="1"/>
  <c r="X257" i="8" s="1"/>
  <c r="Z257" i="8" a="1"/>
  <c r="Z257" i="8" s="1"/>
  <c r="AD257" i="8" s="1"/>
  <c r="Y257" i="8" a="1"/>
  <c r="Y257" i="8" s="1"/>
  <c r="Z304" i="8" a="1"/>
  <c r="Z304" i="8" s="1"/>
  <c r="AD304" i="8" s="1"/>
  <c r="X304" i="8" a="1"/>
  <c r="X304" i="8" s="1"/>
  <c r="Y304" i="8" a="1"/>
  <c r="Y304" i="8" s="1"/>
  <c r="X305" i="8" a="1"/>
  <c r="X305" i="8" s="1"/>
  <c r="Y305" i="8" a="1"/>
  <c r="Y305" i="8" s="1"/>
  <c r="Z305" i="8" a="1"/>
  <c r="Z305" i="8" s="1"/>
  <c r="AD305" i="8" s="1"/>
  <c r="X263" i="8" a="1"/>
  <c r="X263" i="8" s="1"/>
  <c r="Y263" i="8" a="1"/>
  <c r="Y263" i="8" s="1"/>
  <c r="Z263" i="8" a="1"/>
  <c r="Z263" i="8" s="1"/>
  <c r="AD263" i="8" s="1"/>
  <c r="X275" i="8" a="1"/>
  <c r="X275" i="8" s="1"/>
  <c r="Z275" i="8" a="1"/>
  <c r="Z275" i="8" s="1"/>
  <c r="AD275" i="8" s="1"/>
  <c r="Y275" i="8" a="1"/>
  <c r="Y275" i="8" s="1"/>
  <c r="Z242" i="8" a="1"/>
  <c r="Z242" i="8" s="1"/>
  <c r="AD242" i="8" s="1"/>
  <c r="Y242" i="8" a="1"/>
  <c r="Y242" i="8" s="1"/>
  <c r="X242" i="8" a="1"/>
  <c r="X242" i="8" s="1"/>
  <c r="Z258" i="8" a="1"/>
  <c r="Z258" i="8" s="1"/>
  <c r="AD258" i="8" s="1"/>
  <c r="Y258" i="8" a="1"/>
  <c r="Y258" i="8" s="1"/>
  <c r="X258" i="8" a="1"/>
  <c r="X258" i="8" s="1"/>
  <c r="Y236" i="8" a="1"/>
  <c r="Y236" i="8" s="1"/>
  <c r="X236" i="8" a="1"/>
  <c r="X236" i="8" s="1"/>
  <c r="Z236" i="8" a="1"/>
  <c r="Z236" i="8" s="1"/>
  <c r="AD236" i="8" s="1"/>
  <c r="X298" i="8" a="1"/>
  <c r="X298" i="8" s="1"/>
  <c r="Z298" i="8" a="1"/>
  <c r="Z298" i="8" s="1"/>
  <c r="AD298" i="8" s="1"/>
  <c r="Y298" i="8" a="1"/>
  <c r="Y298" i="8" s="1"/>
  <c r="Y300" i="8" a="1"/>
  <c r="Y300" i="8" s="1"/>
  <c r="Z300" i="8" a="1"/>
  <c r="Z300" i="8" s="1"/>
  <c r="AD300" i="8" s="1"/>
  <c r="X300" i="8" a="1"/>
  <c r="X300" i="8" s="1"/>
  <c r="X296" i="8" a="1"/>
  <c r="X296" i="8" s="1"/>
  <c r="Z296" i="8" a="1"/>
  <c r="Z296" i="8" s="1"/>
  <c r="AD296" i="8" s="1"/>
  <c r="Y296" i="8" a="1"/>
  <c r="Y296" i="8" s="1"/>
  <c r="Z299" i="8" a="1"/>
  <c r="Z299" i="8" s="1"/>
  <c r="AD299" i="8" s="1"/>
  <c r="X299" i="8" a="1"/>
  <c r="X299" i="8" s="1"/>
  <c r="Y299" i="8" a="1"/>
  <c r="Y299" i="8" s="1"/>
  <c r="X255" i="8" a="1"/>
  <c r="X255" i="8" s="1"/>
  <c r="Z255" i="8" a="1"/>
  <c r="Z255" i="8" s="1"/>
  <c r="AD255" i="8" s="1"/>
  <c r="Y255" i="8" a="1"/>
  <c r="Y255" i="8" s="1"/>
  <c r="Y268" i="8" a="1"/>
  <c r="Y268" i="8" s="1"/>
  <c r="X268" i="8" a="1"/>
  <c r="X268" i="8" s="1"/>
  <c r="Z268" i="8" a="1"/>
  <c r="Z268" i="8" s="1"/>
  <c r="AD268" i="8" s="1"/>
  <c r="Z273" i="8" a="1"/>
  <c r="Z273" i="8" s="1"/>
  <c r="AD273" i="8" s="1"/>
  <c r="X273" i="8" a="1"/>
  <c r="X273" i="8" s="1"/>
  <c r="Y273" i="8" a="1"/>
  <c r="Y273" i="8" s="1"/>
  <c r="X251" i="8" a="1"/>
  <c r="X251" i="8" s="1"/>
  <c r="Z251" i="8" a="1"/>
  <c r="Z251" i="8" s="1"/>
  <c r="AD251" i="8" s="1"/>
  <c r="Y251" i="8" a="1"/>
  <c r="Y251" i="8" s="1"/>
  <c r="Y231" i="8" a="1"/>
  <c r="Y231" i="8" s="1"/>
  <c r="X231" i="8" a="1"/>
  <c r="X231" i="8" s="1"/>
  <c r="Z231" i="8" a="1"/>
  <c r="Z231" i="8" s="1"/>
  <c r="AD231" i="8" s="1"/>
  <c r="X282" i="8" a="1"/>
  <c r="X282" i="8" s="1"/>
  <c r="Y282" i="8" a="1"/>
  <c r="Y282" i="8" s="1"/>
  <c r="Z282" i="8" a="1"/>
  <c r="Z282" i="8" s="1"/>
  <c r="AD282" i="8" s="1"/>
  <c r="Z290" i="8" a="1"/>
  <c r="Z290" i="8" s="1"/>
  <c r="AD290" i="8" s="1"/>
  <c r="X290" i="8" a="1"/>
  <c r="X290" i="8" s="1"/>
  <c r="Y290" i="8" a="1"/>
  <c r="Y290" i="8" s="1"/>
  <c r="Z280" i="8" a="1"/>
  <c r="Z280" i="8" s="1"/>
  <c r="AD280" i="8" s="1"/>
  <c r="X280" i="8" a="1"/>
  <c r="X280" i="8" s="1"/>
  <c r="Y280" i="8" a="1"/>
  <c r="Y280" i="8" s="1"/>
  <c r="Y277" i="8" a="1"/>
  <c r="Y277" i="8" s="1"/>
  <c r="Z277" i="8" a="1"/>
  <c r="Z277" i="8" s="1"/>
  <c r="AD277" i="8" s="1"/>
  <c r="X277" i="8" a="1"/>
  <c r="X277" i="8" s="1"/>
  <c r="Z283" i="8" a="1"/>
  <c r="Z283" i="8" s="1"/>
  <c r="AD283" i="8" s="1"/>
  <c r="X283" i="8" a="1"/>
  <c r="X283" i="8" s="1"/>
  <c r="Y283" i="8" a="1"/>
  <c r="Y283" i="8" s="1"/>
  <c r="X260" i="8" a="1"/>
  <c r="X260" i="8" s="1"/>
  <c r="Y260" i="8" a="1"/>
  <c r="Y260" i="8" s="1"/>
  <c r="Z260" i="8" a="1"/>
  <c r="Z260" i="8" s="1"/>
  <c r="AD260" i="8" s="1"/>
  <c r="X265" i="8" a="1"/>
  <c r="X265" i="8" s="1"/>
  <c r="Z265" i="8" a="1"/>
  <c r="Z265" i="8" s="1"/>
  <c r="AD265" i="8" s="1"/>
  <c r="Y265" i="8" a="1"/>
  <c r="Y265" i="8" s="1"/>
  <c r="Y248" i="8" a="1"/>
  <c r="Y248" i="8" s="1"/>
  <c r="Z248" i="8" a="1"/>
  <c r="Z248" i="8" s="1"/>
  <c r="AD248" i="8" s="1"/>
  <c r="X248" i="8" a="1"/>
  <c r="X248" i="8" s="1"/>
  <c r="Y294" i="8" a="1"/>
  <c r="Y294" i="8" s="1"/>
  <c r="Z294" i="8" a="1"/>
  <c r="Z294" i="8" s="1"/>
  <c r="AD294" i="8" s="1"/>
  <c r="X294" i="8" a="1"/>
  <c r="X294" i="8" s="1"/>
  <c r="X266" i="8" a="1"/>
  <c r="X266" i="8" s="1"/>
  <c r="Y266" i="8" a="1"/>
  <c r="Y266" i="8" s="1"/>
  <c r="Z266" i="8" a="1"/>
  <c r="Z266" i="8" s="1"/>
  <c r="AD266" i="8" s="1"/>
  <c r="Z249" i="8" a="1"/>
  <c r="Z249" i="8" s="1"/>
  <c r="AD249" i="8" s="1"/>
  <c r="X249" i="8" a="1"/>
  <c r="X249" i="8" s="1"/>
  <c r="Y249" i="8" a="1"/>
  <c r="Y249" i="8" s="1"/>
  <c r="Y295" i="8" a="1"/>
  <c r="Y295" i="8" s="1"/>
  <c r="X295" i="8" a="1"/>
  <c r="X295" i="8" s="1"/>
  <c r="Z295" i="8" a="1"/>
  <c r="Z295" i="8" s="1"/>
  <c r="AD295" i="8" s="1"/>
  <c r="Y270" i="8" a="1"/>
  <c r="Y270" i="8" s="1"/>
  <c r="X270" i="8" a="1"/>
  <c r="X270" i="8" s="1"/>
  <c r="Z270" i="8" a="1"/>
  <c r="Z270" i="8" s="1"/>
  <c r="AD270" i="8" s="1"/>
  <c r="Y261" i="8" a="1"/>
  <c r="Y261" i="8" s="1"/>
  <c r="Z261" i="8" a="1"/>
  <c r="Z261" i="8" s="1"/>
  <c r="AD261" i="8" s="1"/>
  <c r="X261" i="8" a="1"/>
  <c r="X261" i="8" s="1"/>
  <c r="X253" i="8" a="1"/>
  <c r="X253" i="8" s="1"/>
  <c r="Z253" i="8" a="1"/>
  <c r="Z253" i="8" s="1"/>
  <c r="AD253" i="8" s="1"/>
  <c r="Y253" i="8" a="1"/>
  <c r="Y253" i="8" s="1"/>
  <c r="Z259" i="8" a="1"/>
  <c r="Z259" i="8" s="1"/>
  <c r="AD259" i="8" s="1"/>
  <c r="Y259" i="8" a="1"/>
  <c r="Y259" i="8" s="1"/>
  <c r="X259" i="8" a="1"/>
  <c r="X259" i="8" s="1"/>
  <c r="Z243" i="8" a="1"/>
  <c r="Z243" i="8" s="1"/>
  <c r="AD243" i="8" s="1"/>
  <c r="Y243" i="8" a="1"/>
  <c r="Y243" i="8" s="1"/>
  <c r="X243" i="8" a="1"/>
  <c r="X243" i="8" s="1"/>
  <c r="X278" i="8" a="1"/>
  <c r="X278" i="8" s="1"/>
  <c r="Y278" i="8" a="1"/>
  <c r="Y278" i="8" s="1"/>
  <c r="Z278" i="8" a="1"/>
  <c r="Z278" i="8" s="1"/>
  <c r="AD278" i="8" s="1"/>
  <c r="X250" i="8" a="1"/>
  <c r="X250" i="8" s="1"/>
  <c r="Y250" i="8" a="1"/>
  <c r="Y250" i="8" s="1"/>
  <c r="Z250" i="8" a="1"/>
  <c r="Z250" i="8" s="1"/>
  <c r="AD250" i="8" s="1"/>
  <c r="Y301" i="8" a="1"/>
  <c r="Y301" i="8" s="1"/>
  <c r="X301" i="8" a="1"/>
  <c r="X301" i="8" s="1"/>
  <c r="Z301" i="8" a="1"/>
  <c r="Z301" i="8" s="1"/>
  <c r="AD301" i="8" s="1"/>
  <c r="Z297" i="8" a="1"/>
  <c r="Z297" i="8" s="1"/>
  <c r="AD297" i="8" s="1"/>
  <c r="X297" i="8" a="1"/>
  <c r="X297" i="8" s="1"/>
  <c r="Y297" i="8" a="1"/>
  <c r="Y297" i="8" s="1"/>
  <c r="Y279" i="8" a="1"/>
  <c r="Y279" i="8" s="1"/>
  <c r="X279" i="8" a="1"/>
  <c r="X279" i="8" s="1"/>
  <c r="Z279" i="8" a="1"/>
  <c r="Z279" i="8" s="1"/>
  <c r="AD279" i="8" s="1"/>
  <c r="Z256" i="8" a="1"/>
  <c r="Z256" i="8" s="1"/>
  <c r="AD256" i="8" s="1"/>
  <c r="Y256" i="8" a="1"/>
  <c r="Y256" i="8" s="1"/>
  <c r="X256" i="8" a="1"/>
  <c r="X256" i="8" s="1"/>
  <c r="Y254" i="8" a="1"/>
  <c r="Y254" i="8" s="1"/>
  <c r="X254" i="8" a="1"/>
  <c r="X254" i="8" s="1"/>
  <c r="Z254" i="8" a="1"/>
  <c r="Z254" i="8" s="1"/>
  <c r="AD254" i="8" s="1"/>
  <c r="Y302" i="8" a="1"/>
  <c r="Y302" i="8" s="1"/>
  <c r="X302" i="8" a="1"/>
  <c r="X302" i="8" s="1"/>
  <c r="Z302" i="8" a="1"/>
  <c r="Z302" i="8" s="1"/>
  <c r="AD302" i="8" s="1"/>
  <c r="Y252" i="8" a="1"/>
  <c r="Y252" i="8" s="1"/>
  <c r="X252" i="8" a="1"/>
  <c r="X252" i="8" s="1"/>
  <c r="Z252" i="8" a="1"/>
  <c r="Z252" i="8" s="1"/>
  <c r="AD252" i="8" s="1"/>
  <c r="X237" i="8" a="1"/>
  <c r="X237" i="8" s="1"/>
  <c r="Z237" i="8" a="1"/>
  <c r="Z237" i="8" s="1"/>
  <c r="AD237" i="8" s="1"/>
  <c r="Y237" i="8" a="1"/>
  <c r="Y237" i="8" s="1"/>
  <c r="Y262" i="8" a="1"/>
  <c r="Y262" i="8" s="1"/>
  <c r="X262" i="8" a="1"/>
  <c r="X262" i="8" s="1"/>
  <c r="Z262" i="8" a="1"/>
  <c r="Z262" i="8" s="1"/>
  <c r="AD262" i="8" s="1"/>
  <c r="X234" i="8" a="1"/>
  <c r="X234" i="8" s="1"/>
  <c r="Y234" i="8" a="1"/>
  <c r="Y234" i="8" s="1"/>
  <c r="Z234" i="8" a="1"/>
  <c r="Z234" i="8" s="1"/>
  <c r="AD234" i="8" s="1"/>
  <c r="X292" i="8" a="1"/>
  <c r="X292" i="8" s="1"/>
  <c r="Z292" i="8" a="1"/>
  <c r="Z292" i="8" s="1"/>
  <c r="AD292" i="8" s="1"/>
  <c r="Y292" i="8" a="1"/>
  <c r="Y292" i="8" s="1"/>
  <c r="X287" i="8" a="1"/>
  <c r="X287" i="8" s="1"/>
  <c r="Z287" i="8" a="1"/>
  <c r="Z287" i="8" s="1"/>
  <c r="AD287" i="8" s="1"/>
  <c r="Y287" i="8" a="1"/>
  <c r="Y287" i="8" s="1"/>
  <c r="X303" i="8" a="1"/>
  <c r="X303" i="8" s="1"/>
  <c r="Z303" i="8" a="1"/>
  <c r="Z303" i="8" s="1"/>
  <c r="AD303" i="8" s="1"/>
  <c r="Y303" i="8" a="1"/>
  <c r="Y303" i="8" s="1"/>
  <c r="Y284" i="8" a="1"/>
  <c r="Y284" i="8" s="1"/>
  <c r="X284" i="8" a="1"/>
  <c r="X284" i="8" s="1"/>
  <c r="Z284" i="8" a="1"/>
  <c r="Z284" i="8" s="1"/>
  <c r="AD284" i="8" s="1"/>
  <c r="Y245" i="8" a="1"/>
  <c r="Y245" i="8" s="1"/>
  <c r="Z245" i="8" a="1"/>
  <c r="Z245" i="8" s="1"/>
  <c r="AD245" i="8" s="1"/>
  <c r="X245" i="8" a="1"/>
  <c r="X245" i="8" s="1"/>
  <c r="Z288" i="8" a="1"/>
  <c r="Z288" i="8" s="1"/>
  <c r="AD288" i="8" s="1"/>
  <c r="Y288" i="8" a="1"/>
  <c r="Y288" i="8" s="1"/>
  <c r="X288" i="8" a="1"/>
  <c r="X288" i="8" s="1"/>
  <c r="X238" i="8" a="1"/>
  <c r="X238" i="8" s="1"/>
  <c r="Y238" i="8" a="1"/>
  <c r="Y238" i="8" s="1"/>
  <c r="Z238" i="8" a="1"/>
  <c r="Z238" i="8" s="1"/>
  <c r="AD238" i="8" s="1"/>
  <c r="X232" i="8" a="1"/>
  <c r="X232" i="8" s="1"/>
  <c r="Y232" i="8" a="1"/>
  <c r="Y232" i="8" s="1"/>
  <c r="Z232" i="8" a="1"/>
  <c r="Z232" i="8" s="1"/>
  <c r="AD232" i="8" s="1"/>
  <c r="X246" i="8" a="1"/>
  <c r="X246" i="8" s="1"/>
  <c r="Y246" i="8" a="1"/>
  <c r="Y246" i="8" s="1"/>
  <c r="Z246" i="8" a="1"/>
  <c r="Z246" i="8" s="1"/>
  <c r="AD246" i="8" s="1"/>
  <c r="X244" i="8" a="1"/>
  <c r="X244" i="8" s="1"/>
  <c r="Y244" i="8" a="1"/>
  <c r="Y244" i="8" s="1"/>
  <c r="Z244" i="8" a="1"/>
  <c r="Z244" i="8" s="1"/>
  <c r="AD244" i="8" s="1"/>
  <c r="Y264" i="8" a="1"/>
  <c r="Y264" i="8" s="1"/>
  <c r="Z264" i="8" a="1"/>
  <c r="Z264" i="8" s="1"/>
  <c r="AD264" i="8" s="1"/>
  <c r="X264" i="8" a="1"/>
  <c r="X264" i="8" s="1"/>
  <c r="Z306" i="8" a="1"/>
  <c r="Z306" i="8" s="1"/>
  <c r="AD306" i="8" s="1"/>
  <c r="Y306" i="8" a="1"/>
  <c r="Y306" i="8" s="1"/>
  <c r="X306" i="8" a="1"/>
  <c r="X306" i="8" s="1"/>
  <c r="X293" i="8" a="1"/>
  <c r="X293" i="8" s="1"/>
  <c r="Y293" i="8" a="1"/>
  <c r="Y293" i="8" s="1"/>
  <c r="Z293" i="8" a="1"/>
  <c r="Z293" i="8" s="1"/>
  <c r="AD293" i="8" s="1"/>
  <c r="X276" i="8" a="1"/>
  <c r="X276" i="8" s="1"/>
  <c r="Y276" i="8" a="1"/>
  <c r="Y276" i="8" s="1"/>
  <c r="Z276" i="8" a="1"/>
  <c r="Z276" i="8" s="1"/>
  <c r="AD276" i="8" s="1"/>
  <c r="Y289" i="8" a="1"/>
  <c r="Y289" i="8" s="1"/>
  <c r="X289" i="8" a="1"/>
  <c r="X289" i="8" s="1"/>
  <c r="Z289" i="8" a="1"/>
  <c r="Z289" i="8" s="1"/>
  <c r="AD289" i="8" s="1"/>
  <c r="Z274" i="8" a="1"/>
  <c r="Z274" i="8" s="1"/>
  <c r="AD274" i="8" s="1"/>
  <c r="Y274" i="8" a="1"/>
  <c r="Y274" i="8" s="1"/>
  <c r="X274" i="8" a="1"/>
  <c r="X274" i="8" s="1"/>
  <c r="Y286" i="8" a="1"/>
  <c r="Y286" i="8" s="1"/>
  <c r="X286" i="8" a="1"/>
  <c r="X286" i="8" s="1"/>
  <c r="Z286" i="8" a="1"/>
  <c r="Z286" i="8" s="1"/>
  <c r="AD286" i="8" s="1"/>
  <c r="Y247" i="8" a="1"/>
  <c r="Y247" i="8" s="1"/>
  <c r="Z247" i="8" a="1"/>
  <c r="Z247" i="8" s="1"/>
  <c r="AD247" i="8" s="1"/>
  <c r="X247" i="8" a="1"/>
  <c r="X247" i="8" s="1"/>
  <c r="Z240" i="8" a="1"/>
  <c r="Z240" i="8" s="1"/>
  <c r="AD240" i="8" s="1"/>
  <c r="Y240" i="8" a="1"/>
  <c r="Y240" i="8" s="1"/>
  <c r="X240" i="8" a="1"/>
  <c r="X240" i="8" s="1"/>
  <c r="Y239" i="8" a="1"/>
  <c r="Y239" i="8" s="1"/>
  <c r="X239" i="8" a="1"/>
  <c r="X239" i="8" s="1"/>
  <c r="Z239" i="8" a="1"/>
  <c r="Z239" i="8" s="1"/>
  <c r="AD239" i="8" s="1"/>
  <c r="Z291" i="8" a="1"/>
  <c r="Z291" i="8" s="1"/>
  <c r="AD291" i="8" s="1"/>
  <c r="X291" i="8" a="1"/>
  <c r="X291" i="8" s="1"/>
  <c r="Y291" i="8" a="1"/>
  <c r="Y291" i="8" s="1"/>
  <c r="Z285" i="8" a="1"/>
  <c r="Z285" i="8" s="1"/>
  <c r="AD285" i="8" s="1"/>
  <c r="Y285" i="8" a="1"/>
  <c r="Y285" i="8" s="1"/>
  <c r="X285" i="8" a="1"/>
  <c r="X285" i="8" s="1"/>
  <c r="Z271" i="8" a="1"/>
  <c r="Z271" i="8" s="1"/>
  <c r="AD271" i="8" s="1"/>
  <c r="X271" i="8" a="1"/>
  <c r="X271" i="8" s="1"/>
  <c r="Y271" i="8" a="1"/>
  <c r="Y271" i="8" s="1"/>
  <c r="Z269" i="8" a="1"/>
  <c r="Z269" i="8" s="1"/>
  <c r="AD269" i="8" s="1"/>
  <c r="X269" i="8" a="1"/>
  <c r="X269" i="8" s="1"/>
  <c r="Y269" i="8" a="1"/>
  <c r="Y269" i="8" s="1"/>
  <c r="Z281" i="8" a="1"/>
  <c r="Z281" i="8" s="1"/>
  <c r="AD281" i="8" s="1"/>
  <c r="X281" i="8" a="1"/>
  <c r="X281" i="8" s="1"/>
  <c r="Y281" i="8" a="1"/>
  <c r="Y281" i="8" s="1"/>
  <c r="Z267" i="8" a="1"/>
  <c r="Z267" i="8" s="1"/>
  <c r="AD267" i="8" s="1"/>
  <c r="X267" i="8" a="1"/>
  <c r="X267" i="8" s="1"/>
  <c r="Y267" i="8" a="1"/>
  <c r="Y267" i="8" s="1"/>
  <c r="Z272" i="8" a="1"/>
  <c r="Z272" i="8" s="1"/>
  <c r="AD272" i="8" s="1"/>
  <c r="X272" i="8" a="1"/>
  <c r="X272" i="8" s="1"/>
  <c r="Y272" i="8" a="1"/>
  <c r="Y272" i="8" s="1"/>
  <c r="X241" i="8" a="1"/>
  <c r="X241" i="8" s="1"/>
  <c r="Z241" i="8" a="1"/>
  <c r="Z241" i="8" s="1"/>
  <c r="AD241" i="8" s="1"/>
  <c r="Y241" i="8" a="1"/>
  <c r="Y241" i="8" s="1"/>
  <c r="Z235" i="8" a="1"/>
  <c r="Z235" i="8" s="1"/>
  <c r="AD235" i="8" s="1"/>
  <c r="Y235" i="8" a="1"/>
  <c r="Y235" i="8" s="1"/>
  <c r="X235" i="8" a="1"/>
  <c r="X235" i="8" s="1"/>
  <c r="Z233" i="8" a="1"/>
  <c r="Z233" i="8" s="1"/>
  <c r="AD233" i="8" s="1"/>
  <c r="Y233" i="8" a="1"/>
  <c r="Y233" i="8" s="1"/>
  <c r="X233" i="8" a="1"/>
  <c r="X233" i="8" s="1"/>
  <c r="X193" i="8" a="1"/>
  <c r="X193" i="8" s="1"/>
  <c r="Y193" i="8" a="1"/>
  <c r="Y193" i="8" s="1"/>
  <c r="Z193" i="8" a="1"/>
  <c r="Z193" i="8" s="1"/>
  <c r="AD193" i="8" s="1"/>
  <c r="Y119" i="8" a="1"/>
  <c r="Y119" i="8" s="1"/>
  <c r="X119" i="8" a="1"/>
  <c r="X119" i="8" s="1"/>
  <c r="Z119" i="8" a="1"/>
  <c r="Z119" i="8" s="1"/>
  <c r="AD119" i="8" s="1"/>
  <c r="X172" i="8" a="1"/>
  <c r="X172" i="8" s="1"/>
  <c r="Y172" i="8" a="1"/>
  <c r="Y172" i="8" s="1"/>
  <c r="Z172" i="8" a="1"/>
  <c r="Z172" i="8" s="1"/>
  <c r="AD172" i="8" s="1"/>
  <c r="Y186" i="8" a="1"/>
  <c r="Y186" i="8" s="1"/>
  <c r="X186" i="8" a="1"/>
  <c r="X186" i="8" s="1"/>
  <c r="Z186" i="8" a="1"/>
  <c r="Z186" i="8" s="1"/>
  <c r="X108" i="8" a="1"/>
  <c r="X108" i="8" s="1"/>
  <c r="Y108" i="8" a="1"/>
  <c r="Y108" i="8" s="1"/>
  <c r="Z108" i="8" a="1"/>
  <c r="Z108" i="8" s="1"/>
  <c r="AD108" i="8" s="1"/>
  <c r="X125" i="8" a="1"/>
  <c r="X125" i="8" s="1"/>
  <c r="Y125" i="8" a="1"/>
  <c r="Y125" i="8" s="1"/>
  <c r="Z125" i="8" a="1"/>
  <c r="Z125" i="8" s="1"/>
  <c r="AD125" i="8" s="1"/>
  <c r="X167" i="8" a="1"/>
  <c r="X167" i="8" s="1"/>
  <c r="Z167" i="8" a="1"/>
  <c r="Z167" i="8" s="1"/>
  <c r="AD167" i="8" s="1"/>
  <c r="Y167" i="8" a="1"/>
  <c r="Y167" i="8" s="1"/>
  <c r="X213" i="8" a="1"/>
  <c r="X213" i="8" s="1"/>
  <c r="Y213" i="8" a="1"/>
  <c r="Y213" i="8" s="1"/>
  <c r="Z213" i="8" a="1"/>
  <c r="Z213" i="8" s="1"/>
  <c r="AD213" i="8" s="1"/>
  <c r="X132" i="8" a="1"/>
  <c r="X132" i="8" s="1"/>
  <c r="Y132" i="8" a="1"/>
  <c r="Y132" i="8" s="1"/>
  <c r="Z132" i="8" a="1"/>
  <c r="Z132" i="8" s="1"/>
  <c r="AD132" i="8" s="1"/>
  <c r="X165" i="8" a="1"/>
  <c r="X165" i="8" s="1"/>
  <c r="Y165" i="8" a="1"/>
  <c r="Y165" i="8" s="1"/>
  <c r="Z165" i="8" a="1"/>
  <c r="Z165" i="8" s="1"/>
  <c r="AD165" i="8" s="1"/>
  <c r="X204" i="8" a="1"/>
  <c r="X204" i="8" s="1"/>
  <c r="Y204" i="8" a="1"/>
  <c r="Y204" i="8" s="1"/>
  <c r="Z204" i="8" a="1"/>
  <c r="Z204" i="8" s="1"/>
  <c r="AD204" i="8" s="1"/>
  <c r="X121" i="8" a="1"/>
  <c r="X121" i="8" s="1"/>
  <c r="Y121" i="8" a="1"/>
  <c r="Y121" i="8" s="1"/>
  <c r="Z121" i="8" a="1"/>
  <c r="Z121" i="8" s="1"/>
  <c r="AD121" i="8" s="1"/>
  <c r="X65" i="8" a="1"/>
  <c r="X65" i="8" s="1"/>
  <c r="Y65" i="8" a="1"/>
  <c r="Y65" i="8" s="1"/>
  <c r="Z65" i="8" a="1"/>
  <c r="Z65" i="8" s="1"/>
  <c r="AD65" i="8" s="1"/>
  <c r="X201" i="8" a="1"/>
  <c r="X201" i="8" s="1"/>
  <c r="Y201" i="8" a="1"/>
  <c r="Y201" i="8" s="1"/>
  <c r="Z201" i="8" a="1"/>
  <c r="Z201" i="8" s="1"/>
  <c r="AD201" i="8" s="1"/>
  <c r="X91" i="8" a="1"/>
  <c r="X91" i="8" s="1"/>
  <c r="Y91" i="8" a="1"/>
  <c r="Y91" i="8" s="1"/>
  <c r="Z91" i="8" a="1"/>
  <c r="Z91" i="8" s="1"/>
  <c r="AD91" i="8" s="1"/>
  <c r="X85" i="8" a="1"/>
  <c r="X85" i="8" s="1"/>
  <c r="Z85" i="8" a="1"/>
  <c r="Z85" i="8" s="1"/>
  <c r="AD85" i="8" s="1"/>
  <c r="Y85" i="8" a="1"/>
  <c r="Y85" i="8" s="1"/>
  <c r="X42" i="8" a="1"/>
  <c r="X42" i="8" s="1"/>
  <c r="Y42" i="8" a="1"/>
  <c r="Y42" i="8" s="1"/>
  <c r="Z42" i="8" a="1"/>
  <c r="Z42" i="8" s="1"/>
  <c r="AD42" i="8" s="1"/>
  <c r="X159" i="8" a="1"/>
  <c r="X159" i="8" s="1"/>
  <c r="Y159" i="8" a="1"/>
  <c r="Y159" i="8" s="1"/>
  <c r="Z159" i="8" a="1"/>
  <c r="Z159" i="8" s="1"/>
  <c r="AD159" i="8" s="1"/>
  <c r="X116" i="8" a="1"/>
  <c r="X116" i="8" s="1"/>
  <c r="Y116" i="8" a="1"/>
  <c r="Y116" i="8" s="1"/>
  <c r="Z116" i="8" a="1"/>
  <c r="Z116" i="8" s="1"/>
  <c r="AD116" i="8" s="1"/>
  <c r="X73" i="8" a="1"/>
  <c r="X73" i="8" s="1"/>
  <c r="Y73" i="8" a="1"/>
  <c r="Y73" i="8" s="1"/>
  <c r="Z73" i="8" a="1"/>
  <c r="Z73" i="8" s="1"/>
  <c r="AD73" i="8" s="1"/>
  <c r="X217" i="8" a="1"/>
  <c r="X217" i="8" s="1"/>
  <c r="Y217" i="8" a="1"/>
  <c r="Y217" i="8" s="1"/>
  <c r="Z217" i="8" a="1"/>
  <c r="Z217" i="8" s="1"/>
  <c r="X115" i="8" a="1"/>
  <c r="X115" i="8" s="1"/>
  <c r="Y115" i="8" a="1"/>
  <c r="Y115" i="8" s="1"/>
  <c r="Z115" i="8" a="1"/>
  <c r="Z115" i="8" s="1"/>
  <c r="AD115" i="8" s="1"/>
  <c r="Y88" i="8" a="1"/>
  <c r="Y88" i="8" s="1"/>
  <c r="Z88" i="8" a="1"/>
  <c r="Z88" i="8" s="1"/>
  <c r="AD88" i="8" s="1"/>
  <c r="X88" i="8" a="1"/>
  <c r="X88" i="8" s="1"/>
  <c r="X45" i="8" a="1"/>
  <c r="X45" i="8" s="1"/>
  <c r="Y45" i="8" a="1"/>
  <c r="Y45" i="8" s="1"/>
  <c r="Z45" i="8" a="1"/>
  <c r="Z45" i="8" s="1"/>
  <c r="AD45" i="8" s="1"/>
  <c r="Y128" i="8" a="1"/>
  <c r="Y128" i="8" s="1"/>
  <c r="X128" i="8" a="1"/>
  <c r="X128" i="8" s="1"/>
  <c r="Z128" i="8" a="1"/>
  <c r="Z128" i="8" s="1"/>
  <c r="AD128" i="8" s="1"/>
  <c r="X221" i="8" a="1"/>
  <c r="X221" i="8" s="1"/>
  <c r="Y221" i="8" a="1"/>
  <c r="Y221" i="8" s="1"/>
  <c r="Z221" i="8" a="1"/>
  <c r="Z221" i="8" s="1"/>
  <c r="AD221" i="8" s="1"/>
  <c r="X137" i="8" a="1"/>
  <c r="X137" i="8" s="1"/>
  <c r="Y137" i="8" a="1"/>
  <c r="Y137" i="8" s="1"/>
  <c r="Z137" i="8" a="1"/>
  <c r="Z137" i="8" s="1"/>
  <c r="AD137" i="8" s="1"/>
  <c r="X169" i="8" a="1"/>
  <c r="X169" i="8" s="1"/>
  <c r="Y169" i="8" a="1"/>
  <c r="Y169" i="8" s="1"/>
  <c r="Z169" i="8" a="1"/>
  <c r="Z169" i="8" s="1"/>
  <c r="X185" i="8" a="1"/>
  <c r="X185" i="8" s="1"/>
  <c r="Z185" i="8" a="1"/>
  <c r="Z185" i="8" s="1"/>
  <c r="AD185" i="8" s="1"/>
  <c r="Y185" i="8" a="1"/>
  <c r="Y185" i="8" s="1"/>
  <c r="X117" i="8" a="1"/>
  <c r="X117" i="8" s="1"/>
  <c r="Y117" i="8" a="1"/>
  <c r="Y117" i="8" s="1"/>
  <c r="Z117" i="8" a="1"/>
  <c r="Z117" i="8" s="1"/>
  <c r="AD117" i="8" s="1"/>
  <c r="X158" i="8" a="1"/>
  <c r="X158" i="8" s="1"/>
  <c r="Z158" i="8" a="1"/>
  <c r="Z158" i="8" s="1"/>
  <c r="AD158" i="8" s="1"/>
  <c r="Y158" i="8" a="1"/>
  <c r="Y158" i="8" s="1"/>
  <c r="Y206" i="8" a="1"/>
  <c r="Y206" i="8" s="1"/>
  <c r="X206" i="8" a="1"/>
  <c r="X206" i="8" s="1"/>
  <c r="Z206" i="8" a="1"/>
  <c r="Z206" i="8" s="1"/>
  <c r="AD206" i="8" s="1"/>
  <c r="X124" i="8" a="1"/>
  <c r="X124" i="8" s="1"/>
  <c r="Z124" i="8" a="1"/>
  <c r="Z124" i="8" s="1"/>
  <c r="AD124" i="8" s="1"/>
  <c r="Y124" i="8" a="1"/>
  <c r="Y124" i="8" s="1"/>
  <c r="X148" i="8" a="1"/>
  <c r="X148" i="8" s="1"/>
  <c r="Y148" i="8" a="1"/>
  <c r="Y148" i="8" s="1"/>
  <c r="Z148" i="8" a="1"/>
  <c r="Z148" i="8" s="1"/>
  <c r="AD148" i="8" s="1"/>
  <c r="X197" i="8" a="1"/>
  <c r="X197" i="8" s="1"/>
  <c r="Z197" i="8" a="1"/>
  <c r="Z197" i="8" s="1"/>
  <c r="AD197" i="8" s="1"/>
  <c r="Y197" i="8" a="1"/>
  <c r="Y197" i="8" s="1"/>
  <c r="Y112" i="8" a="1"/>
  <c r="Y112" i="8" s="1"/>
  <c r="X112" i="8" a="1"/>
  <c r="X112" i="8" s="1"/>
  <c r="Z112" i="8" a="1"/>
  <c r="Z112" i="8" s="1"/>
  <c r="AD112" i="8" s="1"/>
  <c r="X60" i="8" a="1"/>
  <c r="X60" i="8" s="1"/>
  <c r="Z60" i="8" a="1"/>
  <c r="Z60" i="8" s="1"/>
  <c r="AD60" i="8" s="1"/>
  <c r="Y60" i="8" a="1"/>
  <c r="Y60" i="8" s="1"/>
  <c r="Y192" i="8" a="1"/>
  <c r="Y192" i="8" s="1"/>
  <c r="X192" i="8" a="1"/>
  <c r="X192" i="8" s="1"/>
  <c r="Z192" i="8" a="1"/>
  <c r="Z192" i="8" s="1"/>
  <c r="AD192" i="8" s="1"/>
  <c r="X75" i="8" a="1"/>
  <c r="X75" i="8" s="1"/>
  <c r="Y75" i="8" a="1"/>
  <c r="Y75" i="8" s="1"/>
  <c r="Z75" i="8" a="1"/>
  <c r="Z75" i="8" s="1"/>
  <c r="AD75" i="8" s="1"/>
  <c r="X80" i="8" a="1"/>
  <c r="X80" i="8" s="1"/>
  <c r="Y80" i="8" a="1"/>
  <c r="Y80" i="8" s="1"/>
  <c r="Z80" i="8" a="1"/>
  <c r="Z80" i="8" s="1"/>
  <c r="AD80" i="8" s="1"/>
  <c r="Z37" i="8" a="1"/>
  <c r="Z37" i="8" s="1"/>
  <c r="Y37" i="8" a="1"/>
  <c r="Y37" i="8" s="1"/>
  <c r="X37" i="8" a="1"/>
  <c r="X37" i="8" s="1"/>
  <c r="Y143" i="8" a="1"/>
  <c r="Y143" i="8" s="1"/>
  <c r="X143" i="8" a="1"/>
  <c r="X143" i="8" s="1"/>
  <c r="Z143" i="8" a="1"/>
  <c r="Z143" i="8" s="1"/>
  <c r="AD143" i="8" s="1"/>
  <c r="X110" i="8" a="1"/>
  <c r="X110" i="8" s="1"/>
  <c r="Z110" i="8" a="1"/>
  <c r="Z110" i="8" s="1"/>
  <c r="AD110" i="8" s="1"/>
  <c r="Y110" i="8" a="1"/>
  <c r="Y110" i="8" s="1"/>
  <c r="Y68" i="8" a="1"/>
  <c r="Y68" i="8" s="1"/>
  <c r="Z68" i="8" a="1"/>
  <c r="Z68" i="8" s="1"/>
  <c r="AD68" i="8" s="1"/>
  <c r="X68" i="8" a="1"/>
  <c r="X68" i="8" s="1"/>
  <c r="X208" i="8" a="1"/>
  <c r="X208" i="8" s="1"/>
  <c r="Z208" i="8" a="1"/>
  <c r="Z208" i="8" s="1"/>
  <c r="AD208" i="8" s="1"/>
  <c r="Y208" i="8" a="1"/>
  <c r="Y208" i="8" s="1"/>
  <c r="X99" i="8" a="1"/>
  <c r="X99" i="8" s="1"/>
  <c r="Y99" i="8" a="1"/>
  <c r="Y99" i="8" s="1"/>
  <c r="Z99" i="8" a="1"/>
  <c r="Z99" i="8" s="1"/>
  <c r="AD99" i="8" s="1"/>
  <c r="X82" i="8" a="1"/>
  <c r="X82" i="8" s="1"/>
  <c r="Y82" i="8" a="1"/>
  <c r="Y82" i="8" s="1"/>
  <c r="Z82" i="8" a="1"/>
  <c r="Z82" i="8" s="1"/>
  <c r="AD82" i="8" s="1"/>
  <c r="X40" i="8" a="1"/>
  <c r="X40" i="8" s="1"/>
  <c r="Y40" i="8" a="1"/>
  <c r="Y40" i="8" s="1"/>
  <c r="Z40" i="8" a="1"/>
  <c r="Z40" i="8" s="1"/>
  <c r="AD40" i="8" s="1"/>
  <c r="X39" i="8" a="1"/>
  <c r="X39" i="8" s="1"/>
  <c r="Y39" i="8" a="1"/>
  <c r="Y39" i="8" s="1"/>
  <c r="Z39" i="8" a="1"/>
  <c r="Z39" i="8" s="1"/>
  <c r="AD39" i="8" s="1"/>
  <c r="X203" i="8" a="1"/>
  <c r="X203" i="8" s="1"/>
  <c r="Y203" i="8" a="1"/>
  <c r="Y203" i="8" s="1"/>
  <c r="Z203" i="8" a="1"/>
  <c r="Z203" i="8" s="1"/>
  <c r="AD203" i="8" s="1"/>
  <c r="X87" i="8" a="1"/>
  <c r="X87" i="8" s="1"/>
  <c r="Y87" i="8" a="1"/>
  <c r="Y87" i="8" s="1"/>
  <c r="Z87" i="8" a="1"/>
  <c r="Z87" i="8" s="1"/>
  <c r="AD87" i="8" s="1"/>
  <c r="X161" i="8" a="1"/>
  <c r="X161" i="8" s="1"/>
  <c r="Y161" i="8" a="1"/>
  <c r="Y161" i="8" s="1"/>
  <c r="Z161" i="8" a="1"/>
  <c r="Z161" i="8" s="1"/>
  <c r="AD161" i="8" s="1"/>
  <c r="X177" i="8" a="1"/>
  <c r="X177" i="8" s="1"/>
  <c r="Y177" i="8" a="1"/>
  <c r="Y177" i="8" s="1"/>
  <c r="Z177" i="8" a="1"/>
  <c r="Z177" i="8" s="1"/>
  <c r="AD177" i="8" s="1"/>
  <c r="Y104" i="8" a="1"/>
  <c r="Y104" i="8" s="1"/>
  <c r="X104" i="8" a="1"/>
  <c r="X104" i="8" s="1"/>
  <c r="Z104" i="8" a="1"/>
  <c r="Z104" i="8" s="1"/>
  <c r="AD104" i="8" s="1"/>
  <c r="X150" i="8" a="1"/>
  <c r="X150" i="8" s="1"/>
  <c r="Y150" i="8" a="1"/>
  <c r="Y150" i="8" s="1"/>
  <c r="Z150" i="8" a="1"/>
  <c r="Z150" i="8" s="1"/>
  <c r="Y198" i="8" a="1"/>
  <c r="Y198" i="8" s="1"/>
  <c r="Z198" i="8" a="1"/>
  <c r="Z198" i="8" s="1"/>
  <c r="AD198" i="8" s="1"/>
  <c r="X198" i="8" a="1"/>
  <c r="X198" i="8" s="1"/>
  <c r="X102" i="8" a="1"/>
  <c r="X102" i="8" s="1"/>
  <c r="Y102" i="8" a="1"/>
  <c r="Y102" i="8" s="1"/>
  <c r="Z102" i="8" a="1"/>
  <c r="Z102" i="8" s="1"/>
  <c r="AD102" i="8" s="1"/>
  <c r="X140" i="8" a="1"/>
  <c r="X140" i="8" s="1"/>
  <c r="Y140" i="8" a="1"/>
  <c r="Y140" i="8" s="1"/>
  <c r="Z140" i="8" a="1"/>
  <c r="Z140" i="8" s="1"/>
  <c r="AD140" i="8" s="1"/>
  <c r="X189" i="8" a="1"/>
  <c r="X189" i="8" s="1"/>
  <c r="Y189" i="8" a="1"/>
  <c r="Y189" i="8" s="1"/>
  <c r="Z189" i="8" a="1"/>
  <c r="Z189" i="8" s="1"/>
  <c r="AD189" i="8" s="1"/>
  <c r="X97" i="8" a="1"/>
  <c r="X97" i="8" s="1"/>
  <c r="Y97" i="8" a="1"/>
  <c r="Y97" i="8" s="1"/>
  <c r="Z97" i="8" a="1"/>
  <c r="Z97" i="8" s="1"/>
  <c r="AD97" i="8" s="1"/>
  <c r="Y54" i="8" a="1"/>
  <c r="Y54" i="8" s="1"/>
  <c r="Z54" i="8" a="1"/>
  <c r="Z54" i="8" s="1"/>
  <c r="AD54" i="8" s="1"/>
  <c r="X54" i="8" a="1"/>
  <c r="X54" i="8" s="1"/>
  <c r="X187" i="8" a="1"/>
  <c r="X187" i="8" s="1"/>
  <c r="Y187" i="8" a="1"/>
  <c r="Y187" i="8" s="1"/>
  <c r="Z187" i="8" a="1"/>
  <c r="Z187" i="8" s="1"/>
  <c r="AD187" i="8" s="1"/>
  <c r="Y59" i="8" a="1"/>
  <c r="Y59" i="8" s="1"/>
  <c r="Z59" i="8" a="1"/>
  <c r="Z59" i="8" s="1"/>
  <c r="AD59" i="8" s="1"/>
  <c r="X59" i="8" a="1"/>
  <c r="X59" i="8" s="1"/>
  <c r="X74" i="8" a="1"/>
  <c r="X74" i="8" s="1"/>
  <c r="Y74" i="8" a="1"/>
  <c r="Y74" i="8" s="1"/>
  <c r="Z74" i="8" a="1"/>
  <c r="Z74" i="8" s="1"/>
  <c r="AD74" i="8" s="1"/>
  <c r="X223" i="8" a="1"/>
  <c r="X223" i="8" s="1"/>
  <c r="Y223" i="8" a="1"/>
  <c r="Y223" i="8" s="1"/>
  <c r="Z223" i="8" a="1"/>
  <c r="Z223" i="8" s="1"/>
  <c r="AD223" i="8" s="1"/>
  <c r="X127" i="8" a="1"/>
  <c r="X127" i="8" s="1"/>
  <c r="Y127" i="8" a="1"/>
  <c r="Y127" i="8" s="1"/>
  <c r="Z127" i="8" a="1"/>
  <c r="Z127" i="8" s="1"/>
  <c r="AD127" i="8" s="1"/>
  <c r="Y105" i="8" a="1"/>
  <c r="Y105" i="8" s="1"/>
  <c r="Z105" i="8" a="1"/>
  <c r="Z105" i="8" s="1"/>
  <c r="AD105" i="8" s="1"/>
  <c r="X105" i="8" a="1"/>
  <c r="X105" i="8" s="1"/>
  <c r="X62" i="8" a="1"/>
  <c r="X62" i="8" s="1"/>
  <c r="Y62" i="8" a="1"/>
  <c r="Y62" i="8" s="1"/>
  <c r="Z62" i="8" a="1"/>
  <c r="Z62" i="8" s="1"/>
  <c r="X199" i="8" a="1"/>
  <c r="X199" i="8" s="1"/>
  <c r="Z199" i="8" a="1"/>
  <c r="Z199" i="8" s="1"/>
  <c r="AD199" i="8" s="1"/>
  <c r="Y199" i="8" a="1"/>
  <c r="Y199" i="8" s="1"/>
  <c r="X83" i="8" a="1"/>
  <c r="X83" i="8" s="1"/>
  <c r="Y83" i="8" a="1"/>
  <c r="Y83" i="8" s="1"/>
  <c r="Z83" i="8" a="1"/>
  <c r="Z83" i="8" s="1"/>
  <c r="AD83" i="8" s="1"/>
  <c r="X77" i="8" a="1"/>
  <c r="X77" i="8" s="1"/>
  <c r="Y77" i="8" a="1"/>
  <c r="Y77" i="8" s="1"/>
  <c r="Z77" i="8" a="1"/>
  <c r="Z77" i="8" s="1"/>
  <c r="AD77" i="8" s="1"/>
  <c r="Y36" i="8" a="1"/>
  <c r="Y36" i="8" s="1"/>
  <c r="Z36" i="8" a="1"/>
  <c r="Z36" i="8" s="1"/>
  <c r="AD36" i="8" s="1"/>
  <c r="X36" i="8" a="1"/>
  <c r="X36" i="8" s="1"/>
  <c r="X129" i="8" a="1"/>
  <c r="X129" i="8" s="1"/>
  <c r="Y129" i="8" a="1"/>
  <c r="Y129" i="8" s="1"/>
  <c r="Z129" i="8" a="1"/>
  <c r="Z129" i="8" s="1"/>
  <c r="AD129" i="8" s="1"/>
  <c r="X224" i="8" a="1"/>
  <c r="X224" i="8" s="1"/>
  <c r="Y224" i="8" a="1"/>
  <c r="Y224" i="8" s="1"/>
  <c r="Z224" i="8" a="1"/>
  <c r="Z224" i="8" s="1"/>
  <c r="X180" i="8" a="1"/>
  <c r="X180" i="8" s="1"/>
  <c r="Y180" i="8" a="1"/>
  <c r="Y180" i="8" s="1"/>
  <c r="Z180" i="8" a="1"/>
  <c r="Z180" i="8" s="1"/>
  <c r="AD180" i="8" s="1"/>
  <c r="X196" i="8" a="1"/>
  <c r="X196" i="8" s="1"/>
  <c r="Y196" i="8" a="1"/>
  <c r="Y196" i="8" s="1"/>
  <c r="Z196" i="8" a="1"/>
  <c r="Z196" i="8" s="1"/>
  <c r="AD196" i="8" s="1"/>
  <c r="X152" i="8" a="1"/>
  <c r="X152" i="8" s="1"/>
  <c r="Y152" i="8" a="1"/>
  <c r="Y152" i="8" s="1"/>
  <c r="Z152" i="8" a="1"/>
  <c r="Z152" i="8" s="1"/>
  <c r="AD152" i="8" s="1"/>
  <c r="X168" i="8" a="1"/>
  <c r="X168" i="8" s="1"/>
  <c r="Y168" i="8" a="1"/>
  <c r="Y168" i="8" s="1"/>
  <c r="Z168" i="8" a="1"/>
  <c r="Z168" i="8" s="1"/>
  <c r="AD168" i="8" s="1"/>
  <c r="X71" i="8" a="1"/>
  <c r="X71" i="8" s="1"/>
  <c r="Y71" i="8" a="1"/>
  <c r="Y71" i="8" s="1"/>
  <c r="Z71" i="8" a="1"/>
  <c r="Z71" i="8" s="1"/>
  <c r="AD71" i="8" s="1"/>
  <c r="X141" i="8" a="1"/>
  <c r="X141" i="8" s="1"/>
  <c r="Y141" i="8" a="1"/>
  <c r="Y141" i="8" s="1"/>
  <c r="Z141" i="8" a="1"/>
  <c r="Z141" i="8" s="1"/>
  <c r="AD141" i="8" s="1"/>
  <c r="X183" i="8" a="1"/>
  <c r="X183" i="8" s="1"/>
  <c r="Y183" i="8" a="1"/>
  <c r="Y183" i="8" s="1"/>
  <c r="Z183" i="8" a="1"/>
  <c r="Z183" i="8" s="1"/>
  <c r="AD183" i="8" s="1"/>
  <c r="Y212" i="8" a="1"/>
  <c r="Y212" i="8" s="1"/>
  <c r="X212" i="8" a="1"/>
  <c r="X212" i="8" s="1"/>
  <c r="Z212" i="8" a="1"/>
  <c r="Z212" i="8" s="1"/>
  <c r="AD212" i="8" s="1"/>
  <c r="X130" i="8" a="1"/>
  <c r="X130" i="8" s="1"/>
  <c r="Z130" i="8" a="1"/>
  <c r="Z130" i="8" s="1"/>
  <c r="AD130" i="8" s="1"/>
  <c r="Y130" i="8" a="1"/>
  <c r="Y130" i="8" s="1"/>
  <c r="X181" i="8" a="1"/>
  <c r="X181" i="8" s="1"/>
  <c r="Y181" i="8" a="1"/>
  <c r="Y181" i="8" s="1"/>
  <c r="Z181" i="8" a="1"/>
  <c r="Z181" i="8" s="1"/>
  <c r="AD181" i="8" s="1"/>
  <c r="X92" i="8" a="1"/>
  <c r="X92" i="8" s="1"/>
  <c r="Y92" i="8" a="1"/>
  <c r="Y92" i="8" s="1"/>
  <c r="Z92" i="8" a="1"/>
  <c r="Z92" i="8" s="1"/>
  <c r="AD92" i="8" s="1"/>
  <c r="X49" i="8" a="1"/>
  <c r="X49" i="8" s="1"/>
  <c r="Y49" i="8" a="1"/>
  <c r="Y49" i="8" s="1"/>
  <c r="Z49" i="8" a="1"/>
  <c r="Z49" i="8" s="1"/>
  <c r="AD49" i="8" s="1"/>
  <c r="Y171" i="8" a="1"/>
  <c r="Y171" i="8" s="1"/>
  <c r="X171" i="8" a="1"/>
  <c r="X171" i="8" s="1"/>
  <c r="Z171" i="8" a="1"/>
  <c r="Z171" i="8" s="1"/>
  <c r="AD171" i="8" s="1"/>
  <c r="X43" i="8" a="1"/>
  <c r="X43" i="8" s="1"/>
  <c r="Y43" i="8" a="1"/>
  <c r="Y43" i="8" s="1"/>
  <c r="Z43" i="8" a="1"/>
  <c r="Z43" i="8" s="1"/>
  <c r="AD43" i="8" s="1"/>
  <c r="Z69" i="8" a="1"/>
  <c r="Z69" i="8" s="1"/>
  <c r="AD69" i="8" s="1"/>
  <c r="X69" i="8" a="1"/>
  <c r="X69" i="8" s="1"/>
  <c r="Y69" i="8" a="1"/>
  <c r="Y69" i="8" s="1"/>
  <c r="Y218" i="8" a="1"/>
  <c r="Y218" i="8" s="1"/>
  <c r="X218" i="8" a="1"/>
  <c r="X218" i="8" s="1"/>
  <c r="Z218" i="8" a="1"/>
  <c r="Z218" i="8" s="1"/>
  <c r="AD218" i="8" s="1"/>
  <c r="Y111" i="8" a="1"/>
  <c r="Y111" i="8" s="1"/>
  <c r="X111" i="8" a="1"/>
  <c r="X111" i="8" s="1"/>
  <c r="Z111" i="8" a="1"/>
  <c r="Z111" i="8" s="1"/>
  <c r="AD111" i="8" s="1"/>
  <c r="Y100" i="8" a="1"/>
  <c r="Y100" i="8" s="1"/>
  <c r="X100" i="8" a="1"/>
  <c r="X100" i="8" s="1"/>
  <c r="Z100" i="8" a="1"/>
  <c r="Z100" i="8" s="1"/>
  <c r="AD100" i="8" s="1"/>
  <c r="X57" i="8" a="1"/>
  <c r="X57" i="8" s="1"/>
  <c r="Z57" i="8" a="1"/>
  <c r="Z57" i="8" s="1"/>
  <c r="AD57" i="8" s="1"/>
  <c r="Y57" i="8" a="1"/>
  <c r="Y57" i="8" s="1"/>
  <c r="Z194" i="8" a="1"/>
  <c r="Z194" i="8" s="1"/>
  <c r="AD194" i="8" s="1"/>
  <c r="Y194" i="8" a="1"/>
  <c r="Y194" i="8" s="1"/>
  <c r="X194" i="8" a="1"/>
  <c r="X194" i="8" s="1"/>
  <c r="X67" i="8" a="1"/>
  <c r="X67" i="8" s="1"/>
  <c r="Z67" i="8" a="1"/>
  <c r="Z67" i="8" s="1"/>
  <c r="AD67" i="8" s="1"/>
  <c r="Y67" i="8" a="1"/>
  <c r="Y67" i="8" s="1"/>
  <c r="X72" i="8" a="1"/>
  <c r="X72" i="8" s="1"/>
  <c r="Y72" i="8" a="1"/>
  <c r="Y72" i="8" s="1"/>
  <c r="Z72" i="8" a="1"/>
  <c r="Z72" i="8" s="1"/>
  <c r="AD72" i="8" s="1"/>
  <c r="X32" i="8" a="1"/>
  <c r="X32" i="8" s="1"/>
  <c r="Y32" i="8" a="1"/>
  <c r="Y32" i="8" s="1"/>
  <c r="Z32" i="8" a="1"/>
  <c r="Z32" i="8" s="1"/>
  <c r="AD32" i="8" s="1"/>
  <c r="Y225" i="8" a="1"/>
  <c r="Y225" i="8" s="1"/>
  <c r="Z225" i="8" a="1"/>
  <c r="Z225" i="8" s="1"/>
  <c r="AD225" i="8" s="1"/>
  <c r="X225" i="8" a="1"/>
  <c r="X225" i="8" s="1"/>
  <c r="Y154" i="8" a="1"/>
  <c r="Y154" i="8" s="1"/>
  <c r="X154" i="8" a="1"/>
  <c r="X154" i="8" s="1"/>
  <c r="Z154" i="8" a="1"/>
  <c r="Z154" i="8" s="1"/>
  <c r="AD154" i="8" s="1"/>
  <c r="Y109" i="8" a="1"/>
  <c r="Y109" i="8" s="1"/>
  <c r="X109" i="8" a="1"/>
  <c r="X109" i="8" s="1"/>
  <c r="Z109" i="8" a="1"/>
  <c r="Z109" i="8" s="1"/>
  <c r="AD109" i="8" s="1"/>
  <c r="X170" i="8" a="1"/>
  <c r="X170" i="8" s="1"/>
  <c r="Y170" i="8" a="1"/>
  <c r="Y170" i="8" s="1"/>
  <c r="Z170" i="8" a="1"/>
  <c r="Z170" i="8" s="1"/>
  <c r="AD170" i="8" s="1"/>
  <c r="X144" i="8" a="1"/>
  <c r="X144" i="8" s="1"/>
  <c r="Y144" i="8" a="1"/>
  <c r="Y144" i="8" s="1"/>
  <c r="Z144" i="8" a="1"/>
  <c r="Z144" i="8" s="1"/>
  <c r="AD144" i="8" s="1"/>
  <c r="X160" i="8" a="1"/>
  <c r="X160" i="8" s="1"/>
  <c r="Y160" i="8" a="1"/>
  <c r="Y160" i="8" s="1"/>
  <c r="Z160" i="8" a="1"/>
  <c r="Z160" i="8" s="1"/>
  <c r="AD160" i="8" s="1"/>
  <c r="X214" i="8" a="1"/>
  <c r="X214" i="8" s="1"/>
  <c r="Y214" i="8" a="1"/>
  <c r="Y214" i="8" s="1"/>
  <c r="Z214" i="8" a="1"/>
  <c r="Z214" i="8" s="1"/>
  <c r="AD214" i="8" s="1"/>
  <c r="X133" i="8" a="1"/>
  <c r="X133" i="8" s="1"/>
  <c r="Y133" i="8" a="1"/>
  <c r="Y133" i="8" s="1"/>
  <c r="Z133" i="8" a="1"/>
  <c r="Z133" i="8" s="1"/>
  <c r="AD133" i="8" s="1"/>
  <c r="X174" i="8" a="1"/>
  <c r="X174" i="8" s="1"/>
  <c r="Z174" i="8" a="1"/>
  <c r="Z174" i="8" s="1"/>
  <c r="AD174" i="8" s="1"/>
  <c r="Y174" i="8" a="1"/>
  <c r="Y174" i="8" s="1"/>
  <c r="X205" i="8" a="1"/>
  <c r="X205" i="8" s="1"/>
  <c r="Y205" i="8" a="1"/>
  <c r="Y205" i="8" s="1"/>
  <c r="Z205" i="8" a="1"/>
  <c r="Z205" i="8" s="1"/>
  <c r="AD205" i="8" s="1"/>
  <c r="X122" i="8" a="1"/>
  <c r="X122" i="8" s="1"/>
  <c r="Y122" i="8" a="1"/>
  <c r="Y122" i="8" s="1"/>
  <c r="Z122" i="8" a="1"/>
  <c r="Z122" i="8" s="1"/>
  <c r="AD122" i="8" s="1"/>
  <c r="X164" i="8" a="1"/>
  <c r="X164" i="8" s="1"/>
  <c r="Y164" i="8" a="1"/>
  <c r="Y164" i="8" s="1"/>
  <c r="Z164" i="8" a="1"/>
  <c r="Z164" i="8" s="1"/>
  <c r="AD164" i="8" s="1"/>
  <c r="X86" i="8" a="1"/>
  <c r="X86" i="8" s="1"/>
  <c r="Y86" i="8" a="1"/>
  <c r="Y86" i="8" s="1"/>
  <c r="Z86" i="8" a="1"/>
  <c r="Z86" i="8" s="1"/>
  <c r="AD86" i="8" s="1"/>
  <c r="X44" i="8" a="1"/>
  <c r="X44" i="8" s="1"/>
  <c r="Z44" i="8" a="1"/>
  <c r="Z44" i="8" s="1"/>
  <c r="AD44" i="8" s="1"/>
  <c r="Y44" i="8" a="1"/>
  <c r="Y44" i="8" s="1"/>
  <c r="X155" i="8" a="1"/>
  <c r="X155" i="8" s="1"/>
  <c r="Y155" i="8" a="1"/>
  <c r="Y155" i="8" s="1"/>
  <c r="Z155" i="8" a="1"/>
  <c r="Z155" i="8" s="1"/>
  <c r="AD155" i="8" s="1"/>
  <c r="X106" i="8" a="1"/>
  <c r="X106" i="8" s="1"/>
  <c r="Y106" i="8" a="1"/>
  <c r="Y106" i="8" s="1"/>
  <c r="Z106" i="8" a="1"/>
  <c r="Z106" i="8" s="1"/>
  <c r="AD106" i="8" s="1"/>
  <c r="X64" i="8" a="1"/>
  <c r="X64" i="8" s="1"/>
  <c r="Y64" i="8" a="1"/>
  <c r="Y64" i="8" s="1"/>
  <c r="Z64" i="8" a="1"/>
  <c r="Z64" i="8" s="1"/>
  <c r="AD64" i="8" s="1"/>
  <c r="X209" i="8" a="1"/>
  <c r="X209" i="8" s="1"/>
  <c r="Y209" i="8" a="1"/>
  <c r="Y209" i="8" s="1"/>
  <c r="Z209" i="8" a="1"/>
  <c r="Z209" i="8" s="1"/>
  <c r="AD209" i="8" s="1"/>
  <c r="Y95" i="8" a="1"/>
  <c r="Y95" i="8" s="1"/>
  <c r="Z95" i="8" a="1"/>
  <c r="Z95" i="8" s="1"/>
  <c r="AD95" i="8" s="1"/>
  <c r="X95" i="8" a="1"/>
  <c r="X95" i="8" s="1"/>
  <c r="X94" i="8" a="1"/>
  <c r="X94" i="8" s="1"/>
  <c r="Y94" i="8" a="1"/>
  <c r="Y94" i="8" s="1"/>
  <c r="Z94" i="8" a="1"/>
  <c r="Z94" i="8" s="1"/>
  <c r="AD94" i="8" s="1"/>
  <c r="X52" i="8" a="1"/>
  <c r="X52" i="8" s="1"/>
  <c r="Y52" i="8" a="1"/>
  <c r="Y52" i="8" s="1"/>
  <c r="Z52" i="8" a="1"/>
  <c r="Z52" i="8" s="1"/>
  <c r="AD52" i="8" s="1"/>
  <c r="X179" i="8" a="1"/>
  <c r="X179" i="8" s="1"/>
  <c r="Z179" i="8" a="1"/>
  <c r="Z179" i="8" s="1"/>
  <c r="AD179" i="8" s="1"/>
  <c r="Y179" i="8" a="1"/>
  <c r="Y179" i="8" s="1"/>
  <c r="X51" i="8" a="1"/>
  <c r="X51" i="8" s="1"/>
  <c r="Z51" i="8" a="1"/>
  <c r="Z51" i="8" s="1"/>
  <c r="AD51" i="8" s="1"/>
  <c r="Y51" i="8" a="1"/>
  <c r="Y51" i="8" s="1"/>
  <c r="X66" i="8" a="1"/>
  <c r="X66" i="8" s="1"/>
  <c r="Z66" i="8" a="1"/>
  <c r="Z66" i="8" s="1"/>
  <c r="AD66" i="8" s="1"/>
  <c r="Y66" i="8" a="1"/>
  <c r="Y66" i="8" s="1"/>
  <c r="X35" i="8" a="1"/>
  <c r="X35" i="8" s="1"/>
  <c r="Z35" i="8" a="1"/>
  <c r="Z35" i="8" s="1"/>
  <c r="AD35" i="8" s="1"/>
  <c r="Y35" i="8" a="1"/>
  <c r="Y35" i="8" s="1"/>
  <c r="X211" i="8" a="1"/>
  <c r="X211" i="8" s="1"/>
  <c r="Y211" i="8" a="1"/>
  <c r="Y211" i="8" s="1"/>
  <c r="Z211" i="8" a="1"/>
  <c r="Z211" i="8" s="1"/>
  <c r="AD211" i="8" s="1"/>
  <c r="Y120" i="8" a="1"/>
  <c r="Y120" i="8" s="1"/>
  <c r="X120" i="8" a="1"/>
  <c r="X120" i="8" s="1"/>
  <c r="Z120" i="8" a="1"/>
  <c r="Z120" i="8" s="1"/>
  <c r="AD120" i="8" s="1"/>
  <c r="Y202" i="8" a="1"/>
  <c r="Y202" i="8" s="1"/>
  <c r="Z202" i="8" a="1"/>
  <c r="Z202" i="8" s="1"/>
  <c r="AD202" i="8" s="1"/>
  <c r="X202" i="8" a="1"/>
  <c r="X202" i="8" s="1"/>
  <c r="X136" i="8" a="1"/>
  <c r="X136" i="8" s="1"/>
  <c r="Y136" i="8" a="1"/>
  <c r="Y136" i="8" s="1"/>
  <c r="Z136" i="8" a="1"/>
  <c r="Z136" i="8" s="1"/>
  <c r="AD136" i="8" s="1"/>
  <c r="X135" i="8" a="1"/>
  <c r="X135" i="8" s="1"/>
  <c r="Z135" i="8" a="1"/>
  <c r="Z135" i="8" s="1"/>
  <c r="AD135" i="8" s="1"/>
  <c r="Y135" i="8" a="1"/>
  <c r="Y135" i="8" s="1"/>
  <c r="Y151" i="8" a="1"/>
  <c r="Y151" i="8" s="1"/>
  <c r="Z151" i="8" a="1"/>
  <c r="Z151" i="8" s="1"/>
  <c r="X151" i="8" a="1"/>
  <c r="X151" i="8" s="1"/>
  <c r="Y207" i="8" a="1"/>
  <c r="Y207" i="8" s="1"/>
  <c r="X207" i="8" a="1"/>
  <c r="X207" i="8" s="1"/>
  <c r="Z207" i="8" a="1"/>
  <c r="Z207" i="8" s="1"/>
  <c r="AD207" i="8" s="1"/>
  <c r="X114" i="8" a="1"/>
  <c r="X114" i="8" s="1"/>
  <c r="Y114" i="8" a="1"/>
  <c r="Y114" i="8" s="1"/>
  <c r="Z114" i="8" a="1"/>
  <c r="Z114" i="8" s="1"/>
  <c r="AD114" i="8" s="1"/>
  <c r="X166" i="8" a="1"/>
  <c r="X166" i="8" s="1"/>
  <c r="Y166" i="8" a="1"/>
  <c r="Y166" i="8" s="1"/>
  <c r="Z166" i="8" a="1"/>
  <c r="Z166" i="8" s="1"/>
  <c r="AD166" i="8" s="1"/>
  <c r="X190" i="8" a="1"/>
  <c r="X190" i="8" s="1"/>
  <c r="Y190" i="8" a="1"/>
  <c r="Y190" i="8" s="1"/>
  <c r="Z190" i="8" a="1"/>
  <c r="Z190" i="8" s="1"/>
  <c r="AD190" i="8" s="1"/>
  <c r="X113" i="8" a="1"/>
  <c r="X113" i="8" s="1"/>
  <c r="Y113" i="8" a="1"/>
  <c r="Y113" i="8" s="1"/>
  <c r="Z113" i="8" a="1"/>
  <c r="Z113" i="8" s="1"/>
  <c r="AD113" i="8" s="1"/>
  <c r="X156" i="8" a="1"/>
  <c r="X156" i="8" s="1"/>
  <c r="Z156" i="8" a="1"/>
  <c r="Z156" i="8" s="1"/>
  <c r="AD156" i="8" s="1"/>
  <c r="Y156" i="8" a="1"/>
  <c r="Y156" i="8" s="1"/>
  <c r="X81" i="8" a="1"/>
  <c r="X81" i="8" s="1"/>
  <c r="Y81" i="8" a="1"/>
  <c r="Y81" i="8" s="1"/>
  <c r="Z81" i="8" a="1"/>
  <c r="Z81" i="8" s="1"/>
  <c r="Y38" i="8" a="1"/>
  <c r="Y38" i="8" s="1"/>
  <c r="Z38" i="8" a="1"/>
  <c r="Z38" i="8" s="1"/>
  <c r="AD38" i="8" s="1"/>
  <c r="X38" i="8" a="1"/>
  <c r="X38" i="8" s="1"/>
  <c r="Y139" i="8" a="1"/>
  <c r="Y139" i="8" s="1"/>
  <c r="X139" i="8" a="1"/>
  <c r="X139" i="8" s="1"/>
  <c r="Z139" i="8" a="1"/>
  <c r="Z139" i="8" s="1"/>
  <c r="AD139" i="8" s="1"/>
  <c r="X101" i="8" a="1"/>
  <c r="X101" i="8" s="1"/>
  <c r="Y101" i="8" a="1"/>
  <c r="Y101" i="8" s="1"/>
  <c r="Z101" i="8" a="1"/>
  <c r="Z101" i="8" s="1"/>
  <c r="AD101" i="8" s="1"/>
  <c r="X58" i="8" a="1"/>
  <c r="X58" i="8" s="1"/>
  <c r="Y58" i="8" a="1"/>
  <c r="Y58" i="8" s="1"/>
  <c r="Z58" i="8" a="1"/>
  <c r="Z58" i="8" s="1"/>
  <c r="AD58" i="8" s="1"/>
  <c r="X200" i="8" a="1"/>
  <c r="X200" i="8" s="1"/>
  <c r="Y200" i="8" a="1"/>
  <c r="Y200" i="8" s="1"/>
  <c r="Z200" i="8" a="1"/>
  <c r="Z200" i="8" s="1"/>
  <c r="AD200" i="8" s="1"/>
  <c r="Y79" i="8" a="1"/>
  <c r="Y79" i="8" s="1"/>
  <c r="Z79" i="8" a="1"/>
  <c r="Z79" i="8" s="1"/>
  <c r="AD79" i="8" s="1"/>
  <c r="X79" i="8" a="1"/>
  <c r="X79" i="8" s="1"/>
  <c r="X89" i="8" a="1"/>
  <c r="X89" i="8" s="1"/>
  <c r="Z89" i="8" a="1"/>
  <c r="Z89" i="8" s="1"/>
  <c r="AD89" i="8" s="1"/>
  <c r="Y89" i="8" a="1"/>
  <c r="Y89" i="8" s="1"/>
  <c r="X46" i="8" a="1"/>
  <c r="X46" i="8" s="1"/>
  <c r="Y46" i="8" a="1"/>
  <c r="Y46" i="8" s="1"/>
  <c r="Z46" i="8" a="1"/>
  <c r="Z46" i="8" s="1"/>
  <c r="AD46" i="8" s="1"/>
  <c r="X163" i="8" a="1"/>
  <c r="X163" i="8" s="1"/>
  <c r="Z163" i="8" a="1"/>
  <c r="Z163" i="8" s="1"/>
  <c r="AD163" i="8" s="1"/>
  <c r="Y163" i="8" a="1"/>
  <c r="Y163" i="8" s="1"/>
  <c r="X33" i="8" a="1"/>
  <c r="X33" i="8" s="1"/>
  <c r="Y33" i="8" a="1"/>
  <c r="Y33" i="8" s="1"/>
  <c r="Z33" i="8" a="1"/>
  <c r="Z33" i="8" s="1"/>
  <c r="AD33" i="8" s="1"/>
  <c r="X61" i="8" a="1"/>
  <c r="X61" i="8" s="1"/>
  <c r="Y61" i="8" a="1"/>
  <c r="Y61" i="8" s="1"/>
  <c r="Z61" i="8" a="1"/>
  <c r="Z61" i="8" s="1"/>
  <c r="AD61" i="8" s="1"/>
  <c r="Y31" i="8" a="1"/>
  <c r="Y31" i="8" s="1"/>
  <c r="Z31" i="8" a="1"/>
  <c r="Z31" i="8" s="1"/>
  <c r="AD31" i="8" s="1"/>
  <c r="X31" i="8" a="1"/>
  <c r="X31" i="8" s="1"/>
  <c r="X195" i="8" a="1"/>
  <c r="X195" i="8" s="1"/>
  <c r="Y195" i="8" a="1"/>
  <c r="Y195" i="8" s="1"/>
  <c r="Z195" i="8" a="1"/>
  <c r="Z195" i="8" s="1"/>
  <c r="AD195" i="8" s="1"/>
  <c r="X188" i="8" a="1"/>
  <c r="X188" i="8" s="1"/>
  <c r="Y188" i="8" a="1"/>
  <c r="Y188" i="8" s="1"/>
  <c r="Z188" i="8" a="1"/>
  <c r="Z188" i="8" s="1"/>
  <c r="AD188" i="8" s="1"/>
  <c r="X178" i="8" a="1"/>
  <c r="X178" i="8" s="1"/>
  <c r="Y178" i="8" a="1"/>
  <c r="Y178" i="8" s="1"/>
  <c r="Z178" i="8" a="1"/>
  <c r="Z178" i="8" s="1"/>
  <c r="AD178" i="8" s="1"/>
  <c r="X222" i="8" a="1"/>
  <c r="X222" i="8" s="1"/>
  <c r="Z222" i="8" a="1"/>
  <c r="Z222" i="8" s="1"/>
  <c r="AD222" i="8" s="1"/>
  <c r="Y222" i="8" a="1"/>
  <c r="Y222" i="8" s="1"/>
  <c r="X126" i="8" a="1"/>
  <c r="X126" i="8" s="1"/>
  <c r="Z126" i="8" a="1"/>
  <c r="Z126" i="8" s="1"/>
  <c r="AD126" i="8" s="1"/>
  <c r="Y126" i="8" a="1"/>
  <c r="Y126" i="8" s="1"/>
  <c r="X142" i="8" a="1"/>
  <c r="X142" i="8" s="1"/>
  <c r="Z142" i="8" a="1"/>
  <c r="Z142" i="8" s="1"/>
  <c r="AD142" i="8" s="1"/>
  <c r="Y142" i="8" a="1"/>
  <c r="Y142" i="8" s="1"/>
  <c r="X184" i="8" a="1"/>
  <c r="X184" i="8" s="1"/>
  <c r="Y184" i="8" a="1"/>
  <c r="Y184" i="8" s="1"/>
  <c r="Z184" i="8" a="1"/>
  <c r="Z184" i="8" s="1"/>
  <c r="AD184" i="8" s="1"/>
  <c r="X103" i="8" a="1"/>
  <c r="X103" i="8" s="1"/>
  <c r="Y103" i="8" a="1"/>
  <c r="Y103" i="8" s="1"/>
  <c r="Z103" i="8" a="1"/>
  <c r="Z103" i="8" s="1"/>
  <c r="AD103" i="8" s="1"/>
  <c r="X157" i="8" a="1"/>
  <c r="X157" i="8" s="1"/>
  <c r="Y157" i="8" a="1"/>
  <c r="Y157" i="8" s="1"/>
  <c r="Z157" i="8" a="1"/>
  <c r="Z157" i="8" s="1"/>
  <c r="AD157" i="8" s="1"/>
  <c r="X182" i="8" a="1"/>
  <c r="X182" i="8" s="1"/>
  <c r="Y182" i="8" a="1"/>
  <c r="Y182" i="8" s="1"/>
  <c r="Z182" i="8" a="1"/>
  <c r="Z182" i="8" s="1"/>
  <c r="AD182" i="8" s="1"/>
  <c r="Y55" i="8" a="1"/>
  <c r="Y55" i="8" s="1"/>
  <c r="X55" i="8" a="1"/>
  <c r="X55" i="8" s="1"/>
  <c r="Z55" i="8" a="1"/>
  <c r="Z55" i="8" s="1"/>
  <c r="AD55" i="8" s="1"/>
  <c r="X146" i="8" a="1"/>
  <c r="X146" i="8" s="1"/>
  <c r="Y146" i="8" a="1"/>
  <c r="Y146" i="8" s="1"/>
  <c r="Z146" i="8" a="1"/>
  <c r="Z146" i="8" s="1"/>
  <c r="AD146" i="8" s="1"/>
  <c r="X76" i="8" a="1"/>
  <c r="X76" i="8" s="1"/>
  <c r="Z76" i="8" a="1"/>
  <c r="Z76" i="8" s="1"/>
  <c r="AD76" i="8" s="1"/>
  <c r="Y76" i="8" a="1"/>
  <c r="Y76" i="8" s="1"/>
  <c r="Y215" i="8" a="1"/>
  <c r="Y215" i="8" s="1"/>
  <c r="X215" i="8" a="1"/>
  <c r="X215" i="8" s="1"/>
  <c r="Z215" i="8" a="1"/>
  <c r="Z215" i="8" s="1"/>
  <c r="AD215" i="8" s="1"/>
  <c r="X123" i="8" a="1"/>
  <c r="X123" i="8" s="1"/>
  <c r="Y123" i="8" a="1"/>
  <c r="Y123" i="8" s="1"/>
  <c r="Z123" i="8" a="1"/>
  <c r="Z123" i="8" s="1"/>
  <c r="AD123" i="8" s="1"/>
  <c r="X96" i="8" a="1"/>
  <c r="X96" i="8" s="1"/>
  <c r="Y96" i="8" a="1"/>
  <c r="Y96" i="8" s="1"/>
  <c r="Z96" i="8" a="1"/>
  <c r="Z96" i="8" s="1"/>
  <c r="AD96" i="8" s="1"/>
  <c r="X53" i="8" a="1"/>
  <c r="X53" i="8" s="1"/>
  <c r="Z53" i="8" a="1"/>
  <c r="Z53" i="8" s="1"/>
  <c r="AD53" i="8" s="1"/>
  <c r="Y53" i="8" a="1"/>
  <c r="Y53" i="8" s="1"/>
  <c r="X191" i="8" a="1"/>
  <c r="X191" i="8" s="1"/>
  <c r="Y191" i="8" a="1"/>
  <c r="Y191" i="8" s="1"/>
  <c r="Z191" i="8" a="1"/>
  <c r="Z191" i="8" s="1"/>
  <c r="AD191" i="8" s="1"/>
  <c r="Y63" i="8" a="1"/>
  <c r="Y63" i="8" s="1"/>
  <c r="Z63" i="8" a="1"/>
  <c r="Z63" i="8" s="1"/>
  <c r="AD63" i="8" s="1"/>
  <c r="X63" i="8" a="1"/>
  <c r="X63" i="8" s="1"/>
  <c r="Y84" i="8" a="1"/>
  <c r="Y84" i="8" s="1"/>
  <c r="X84" i="8" a="1"/>
  <c r="X84" i="8" s="1"/>
  <c r="Z84" i="8" a="1"/>
  <c r="Z84" i="8" s="1"/>
  <c r="AD84" i="8" s="1"/>
  <c r="X41" i="8" a="1"/>
  <c r="X41" i="8" s="1"/>
  <c r="Y41" i="8" a="1"/>
  <c r="Y41" i="8" s="1"/>
  <c r="Z41" i="8" a="1"/>
  <c r="Z41" i="8" s="1"/>
  <c r="AD41" i="8" s="1"/>
  <c r="Z147" i="8" a="1"/>
  <c r="Z147" i="8" s="1"/>
  <c r="AD147" i="8" s="1"/>
  <c r="X147" i="8" a="1"/>
  <c r="X147" i="8" s="1"/>
  <c r="Y147" i="8" a="1"/>
  <c r="Y147" i="8" s="1"/>
  <c r="X98" i="8" a="1"/>
  <c r="X98" i="8" s="1"/>
  <c r="Y98" i="8" a="1"/>
  <c r="Y98" i="8" s="1"/>
  <c r="Z98" i="8" a="1"/>
  <c r="Z98" i="8" s="1"/>
  <c r="AD98" i="8" s="1"/>
  <c r="X56" i="8" a="1"/>
  <c r="X56" i="8" s="1"/>
  <c r="Y56" i="8" a="1"/>
  <c r="Y56" i="8" s="1"/>
  <c r="Z56" i="8" a="1"/>
  <c r="Z56" i="8" s="1"/>
  <c r="AD56" i="8" s="1"/>
  <c r="Y34" i="8" a="1"/>
  <c r="Y34" i="8" s="1"/>
  <c r="X34" i="8" a="1"/>
  <c r="X34" i="8" s="1"/>
  <c r="Z34" i="8" a="1"/>
  <c r="Z34" i="8" s="1"/>
  <c r="AD34" i="8" s="1"/>
  <c r="X162" i="8" a="1"/>
  <c r="X162" i="8" s="1"/>
  <c r="Y162" i="8" a="1"/>
  <c r="Y162" i="8" s="1"/>
  <c r="Z162" i="8" a="1"/>
  <c r="Z162" i="8" s="1"/>
  <c r="AD162" i="8" s="1"/>
  <c r="X153" i="8" a="1"/>
  <c r="X153" i="8" s="1"/>
  <c r="Y153" i="8" a="1"/>
  <c r="Y153" i="8" s="1"/>
  <c r="Z153" i="8" a="1"/>
  <c r="Z153" i="8" s="1"/>
  <c r="X145" i="8" a="1"/>
  <c r="X145" i="8" s="1"/>
  <c r="Y145" i="8" a="1"/>
  <c r="Y145" i="8" s="1"/>
  <c r="Z145" i="8" a="1"/>
  <c r="Z145" i="8" s="1"/>
  <c r="AD145" i="8" s="1"/>
  <c r="Y216" i="8" a="1"/>
  <c r="Y216" i="8" s="1"/>
  <c r="X216" i="8" a="1"/>
  <c r="X216" i="8" s="1"/>
  <c r="Z216" i="8" a="1"/>
  <c r="Z216" i="8" s="1"/>
  <c r="AD216" i="8" s="1"/>
  <c r="X118" i="8" a="1"/>
  <c r="X118" i="8" s="1"/>
  <c r="Y118" i="8" a="1"/>
  <c r="Y118" i="8" s="1"/>
  <c r="Z118" i="8" a="1"/>
  <c r="Z118" i="8" s="1"/>
  <c r="AD118" i="8" s="1"/>
  <c r="X134" i="8" a="1"/>
  <c r="X134" i="8" s="1"/>
  <c r="Y134" i="8" a="1"/>
  <c r="Y134" i="8" s="1"/>
  <c r="Z134" i="8" a="1"/>
  <c r="Z134" i="8" s="1"/>
  <c r="AD134" i="8" s="1"/>
  <c r="X176" i="8" a="1"/>
  <c r="X176" i="8" s="1"/>
  <c r="Y176" i="8" a="1"/>
  <c r="Y176" i="8" s="1"/>
  <c r="Z176" i="8" a="1"/>
  <c r="Z176" i="8" s="1"/>
  <c r="AD176" i="8" s="1"/>
  <c r="X220" i="8" a="1"/>
  <c r="X220" i="8" s="1"/>
  <c r="Z220" i="8" a="1"/>
  <c r="Z220" i="8" s="1"/>
  <c r="AD220" i="8" s="1"/>
  <c r="Y220" i="8" a="1"/>
  <c r="Y220" i="8" s="1"/>
  <c r="X149" i="8" a="1"/>
  <c r="X149" i="8" s="1"/>
  <c r="Y149" i="8" a="1"/>
  <c r="Y149" i="8" s="1"/>
  <c r="Z149" i="8" a="1"/>
  <c r="Z149" i="8" s="1"/>
  <c r="AD149" i="8" s="1"/>
  <c r="X173" i="8" a="1"/>
  <c r="X173" i="8" s="1"/>
  <c r="Y173" i="8" a="1"/>
  <c r="Y173" i="8" s="1"/>
  <c r="Z173" i="8" a="1"/>
  <c r="Z173" i="8" s="1"/>
  <c r="AD173" i="8" s="1"/>
  <c r="X219" i="8" a="1"/>
  <c r="X219" i="8" s="1"/>
  <c r="Y219" i="8" a="1"/>
  <c r="Y219" i="8" s="1"/>
  <c r="Z219" i="8" a="1"/>
  <c r="Z219" i="8" s="1"/>
  <c r="AD219" i="8" s="1"/>
  <c r="X138" i="8" a="1"/>
  <c r="X138" i="8" s="1"/>
  <c r="Y138" i="8" a="1"/>
  <c r="Y138" i="8" s="1"/>
  <c r="Z138" i="8" a="1"/>
  <c r="Z138" i="8" s="1"/>
  <c r="AD138" i="8" s="1"/>
  <c r="X70" i="8" a="1"/>
  <c r="X70" i="8" s="1"/>
  <c r="Y70" i="8" a="1"/>
  <c r="Y70" i="8" s="1"/>
  <c r="Z70" i="8" a="1"/>
  <c r="Z70" i="8" s="1"/>
  <c r="AD70" i="8" s="1"/>
  <c r="X210" i="8" a="1"/>
  <c r="X210" i="8" s="1"/>
  <c r="Y210" i="8" a="1"/>
  <c r="Y210" i="8" s="1"/>
  <c r="Z210" i="8" a="1"/>
  <c r="Z210" i="8" s="1"/>
  <c r="AD210" i="8" s="1"/>
  <c r="X107" i="8" a="1"/>
  <c r="X107" i="8" s="1"/>
  <c r="Y107" i="8" a="1"/>
  <c r="Y107" i="8" s="1"/>
  <c r="Z107" i="8" a="1"/>
  <c r="Z107" i="8" s="1"/>
  <c r="AD107" i="8" s="1"/>
  <c r="X90" i="8" a="1"/>
  <c r="X90" i="8" s="1"/>
  <c r="Y90" i="8" a="1"/>
  <c r="Y90" i="8" s="1"/>
  <c r="Z90" i="8" a="1"/>
  <c r="Z90" i="8" s="1"/>
  <c r="AD90" i="8" s="1"/>
  <c r="X48" i="8" a="1"/>
  <c r="X48" i="8" s="1"/>
  <c r="Y48" i="8" a="1"/>
  <c r="Y48" i="8" s="1"/>
  <c r="Z48" i="8" a="1"/>
  <c r="Z48" i="8" s="1"/>
  <c r="AD48" i="8" s="1"/>
  <c r="X175" i="8" a="1"/>
  <c r="X175" i="8" s="1"/>
  <c r="Y175" i="8" a="1"/>
  <c r="Y175" i="8" s="1"/>
  <c r="Z175" i="8" a="1"/>
  <c r="Z175" i="8" s="1"/>
  <c r="AD175" i="8" s="1"/>
  <c r="Y47" i="8" a="1"/>
  <c r="Y47" i="8" s="1"/>
  <c r="Z47" i="8" a="1"/>
  <c r="Z47" i="8" s="1"/>
  <c r="AD47" i="8" s="1"/>
  <c r="X47" i="8" a="1"/>
  <c r="X47" i="8" s="1"/>
  <c r="X78" i="8" a="1"/>
  <c r="X78" i="8" s="1"/>
  <c r="Z78" i="8" a="1"/>
  <c r="Z78" i="8" s="1"/>
  <c r="AD78" i="8" s="1"/>
  <c r="Y78" i="8" a="1"/>
  <c r="Y78" i="8" s="1"/>
  <c r="X226" i="8" a="1"/>
  <c r="X226" i="8" s="1"/>
  <c r="Y226" i="8" a="1"/>
  <c r="Y226" i="8" s="1"/>
  <c r="Z226" i="8" a="1"/>
  <c r="Z226" i="8" s="1"/>
  <c r="AD226" i="8" s="1"/>
  <c r="X131" i="8" a="1"/>
  <c r="X131" i="8" s="1"/>
  <c r="Y131" i="8" a="1"/>
  <c r="Y131" i="8" s="1"/>
  <c r="Z131" i="8" a="1"/>
  <c r="Z131" i="8" s="1"/>
  <c r="Y93" i="8" a="1"/>
  <c r="Y93" i="8" s="1"/>
  <c r="X93" i="8" a="1"/>
  <c r="X93" i="8" s="1"/>
  <c r="Z93" i="8" a="1"/>
  <c r="Z93" i="8" s="1"/>
  <c r="AD93" i="8" s="1"/>
  <c r="X50" i="8" a="1"/>
  <c r="X50" i="8" s="1"/>
  <c r="Y50" i="8" a="1"/>
  <c r="Y50" i="8" s="1"/>
  <c r="Z50" i="8" a="1"/>
  <c r="Z50" i="8" s="1"/>
  <c r="AD50" i="8" s="1"/>
  <c r="X30" i="8" a="1"/>
  <c r="X30" i="8" s="1"/>
  <c r="Y30" i="8" a="1"/>
  <c r="Y30" i="8" s="1"/>
  <c r="Z30" i="8" a="1"/>
  <c r="Z30" i="8" s="1"/>
  <c r="AD30" i="8" s="1"/>
  <c r="X23" i="8" a="1"/>
  <c r="X23" i="8" s="1"/>
  <c r="Z23" i="8" a="1"/>
  <c r="Z23" i="8" s="1"/>
  <c r="AD23" i="8" s="1"/>
  <c r="Y23" i="8" a="1"/>
  <c r="Y23" i="8" s="1"/>
  <c r="X27" i="8" a="1"/>
  <c r="X27" i="8" s="1"/>
  <c r="Z27" i="8" a="1"/>
  <c r="Z27" i="8" s="1"/>
  <c r="AD27" i="8" s="1"/>
  <c r="Y27" i="8" a="1"/>
  <c r="Y27" i="8" s="1"/>
  <c r="X26" i="8" a="1"/>
  <c r="X26" i="8" s="1"/>
  <c r="Z26" i="8" a="1"/>
  <c r="Z26" i="8" s="1"/>
  <c r="AD26" i="8" s="1"/>
  <c r="Y26" i="8" a="1"/>
  <c r="Y26" i="8" s="1"/>
  <c r="Y25" i="8" a="1"/>
  <c r="Y25" i="8" s="1"/>
  <c r="X25" i="8" a="1"/>
  <c r="X25" i="8" s="1"/>
  <c r="Z25" i="8" a="1"/>
  <c r="Z25" i="8" s="1"/>
  <c r="AD25" i="8" s="1"/>
  <c r="Y28" i="8" a="1"/>
  <c r="Y28" i="8" s="1"/>
  <c r="X28" i="8" a="1"/>
  <c r="X28" i="8" s="1"/>
  <c r="Z28" i="8" a="1"/>
  <c r="Z28" i="8" s="1"/>
  <c r="AD28" i="8" s="1"/>
  <c r="Y24" i="8" a="1"/>
  <c r="Y24" i="8" s="1"/>
  <c r="X24" i="8" a="1"/>
  <c r="X24" i="8" s="1"/>
  <c r="Z24" i="8" a="1"/>
  <c r="Z24" i="8" s="1"/>
  <c r="AD24" i="8" s="1"/>
  <c r="X907" i="8" a="1"/>
  <c r="X907" i="8" s="1"/>
  <c r="Z907" i="8" a="1"/>
  <c r="Z907" i="8" s="1"/>
  <c r="AD907" i="8" s="1"/>
  <c r="Y7" i="8" a="1"/>
  <c r="Y7" i="8" s="1"/>
  <c r="Z7" i="8" a="1"/>
  <c r="Z7" i="8" s="1"/>
  <c r="AD7" i="8" s="1"/>
  <c r="X7" i="8" a="1"/>
  <c r="X7" i="8" s="1"/>
  <c r="Y20" i="8" a="1"/>
  <c r="Y20" i="8" s="1"/>
  <c r="Z20" i="8" a="1"/>
  <c r="Z20" i="8" s="1"/>
  <c r="AD20" i="8" s="1"/>
  <c r="X20" i="8" a="1"/>
  <c r="X20" i="8" s="1"/>
  <c r="Z19" i="8" a="1"/>
  <c r="Z19" i="8" s="1"/>
  <c r="AD19" i="8" s="1"/>
  <c r="X19" i="8" a="1"/>
  <c r="X19" i="8" s="1"/>
  <c r="Y19" i="8" a="1"/>
  <c r="Y19" i="8" s="1"/>
  <c r="X21" i="8" a="1"/>
  <c r="X21" i="8" s="1"/>
  <c r="Y21" i="8" a="1"/>
  <c r="Y21" i="8" s="1"/>
  <c r="Z21" i="8" a="1"/>
  <c r="Z21" i="8" s="1"/>
  <c r="AD21" i="8" s="1"/>
  <c r="X18" i="8" a="1"/>
  <c r="X18" i="8" s="1"/>
  <c r="Y18" i="8" a="1"/>
  <c r="Y18" i="8" s="1"/>
  <c r="Z18" i="8" a="1"/>
  <c r="Z18" i="8" s="1"/>
  <c r="AD18" i="8" s="1"/>
  <c r="X22" i="8" a="1"/>
  <c r="X22" i="8" s="1"/>
  <c r="Y22" i="8" a="1"/>
  <c r="Y22" i="8" s="1"/>
  <c r="Z22" i="8" a="1"/>
  <c r="Z22" i="8" s="1"/>
  <c r="AD22" i="8" s="1"/>
  <c r="Y16" i="8" a="1"/>
  <c r="Y16" i="8" s="1"/>
  <c r="Z16" i="8" a="1"/>
  <c r="Z16" i="8" s="1"/>
  <c r="AD16" i="8" s="1"/>
  <c r="X16" i="8" a="1"/>
  <c r="X16" i="8" s="1"/>
  <c r="X10" i="8" a="1"/>
  <c r="X10" i="8" s="1"/>
  <c r="Y10" i="8" a="1"/>
  <c r="Y10" i="8" s="1"/>
  <c r="Z10" i="8" a="1"/>
  <c r="Z10" i="8" s="1"/>
  <c r="AD10" i="8" s="1"/>
  <c r="X3" i="8" a="1"/>
  <c r="X3" i="8" s="1"/>
  <c r="Z3" i="8" a="1"/>
  <c r="Z3" i="8" s="1"/>
  <c r="AD3" i="8" s="1"/>
  <c r="Y3" i="8" a="1"/>
  <c r="Y3" i="8" s="1"/>
  <c r="X14" i="8" a="1"/>
  <c r="X14" i="8" s="1"/>
  <c r="Y14" i="8" a="1"/>
  <c r="Y14" i="8" s="1"/>
  <c r="Z14" i="8" a="1"/>
  <c r="Z14" i="8" s="1"/>
  <c r="AD14" i="8" s="1"/>
  <c r="X8" i="8" a="1"/>
  <c r="X8" i="8" s="1"/>
  <c r="Y8" i="8" a="1"/>
  <c r="Y8" i="8" s="1"/>
  <c r="Z8" i="8" a="1"/>
  <c r="Z8" i="8" s="1"/>
  <c r="AD8" i="8" s="1"/>
  <c r="Z9" i="8" a="1"/>
  <c r="Z9" i="8" s="1"/>
  <c r="AD9" i="8" s="1"/>
  <c r="X9" i="8" a="1"/>
  <c r="X9" i="8" s="1"/>
  <c r="Y9" i="8" a="1"/>
  <c r="Y9" i="8" s="1"/>
  <c r="X11" i="8" a="1"/>
  <c r="X11" i="8" s="1"/>
  <c r="Y11" i="8" a="1"/>
  <c r="Y11" i="8" s="1"/>
  <c r="Z11" i="8" a="1"/>
  <c r="Z11" i="8" s="1"/>
  <c r="AD11" i="8" s="1"/>
  <c r="X2" i="8" a="1"/>
  <c r="X2" i="8" s="1"/>
  <c r="Y2" i="8" a="1"/>
  <c r="Y2" i="8" s="1"/>
  <c r="Z2" i="8" a="1"/>
  <c r="Z2" i="8" s="1"/>
  <c r="AD2" i="8" s="1"/>
  <c r="Z4" i="8" a="1"/>
  <c r="Z4" i="8" s="1"/>
  <c r="AD4" i="8" s="1"/>
  <c r="X4" i="8" a="1"/>
  <c r="X4" i="8" s="1"/>
  <c r="Y4" i="8" a="1"/>
  <c r="Y4" i="8" s="1"/>
  <c r="X6" i="8" a="1"/>
  <c r="X6" i="8" s="1"/>
  <c r="Y6" i="8" a="1"/>
  <c r="Y6" i="8" s="1"/>
  <c r="Z6" i="8" a="1"/>
  <c r="Z6" i="8" s="1"/>
  <c r="AD6" i="8" s="1"/>
  <c r="X15" i="8" a="1"/>
  <c r="X15" i="8" s="1"/>
  <c r="Y15" i="8" a="1"/>
  <c r="Y15" i="8" s="1"/>
  <c r="Z15" i="8" a="1"/>
  <c r="Z15" i="8" s="1"/>
  <c r="AD15" i="8" s="1"/>
  <c r="Z13" i="8" a="1"/>
  <c r="Z13" i="8" s="1"/>
  <c r="AD13" i="8" s="1"/>
  <c r="Y13" i="8" a="1"/>
  <c r="Y13" i="8" s="1"/>
  <c r="X13" i="8" a="1"/>
  <c r="X13" i="8" s="1"/>
  <c r="X5" i="8" a="1"/>
  <c r="X5" i="8" s="1"/>
  <c r="Y5" i="8" a="1"/>
  <c r="Y5" i="8" s="1"/>
  <c r="Z5" i="8" a="1"/>
  <c r="Z5" i="8" s="1"/>
  <c r="AD5" i="8" s="1"/>
  <c r="X12" i="8" a="1"/>
  <c r="X12" i="8" s="1"/>
  <c r="Y12" i="8" a="1"/>
  <c r="Y12" i="8" s="1"/>
  <c r="Z12" i="8" a="1"/>
  <c r="Z12" i="8" s="1"/>
  <c r="AD12" i="8" s="1"/>
  <c r="J18" i="16"/>
  <c r="K18" i="16"/>
  <c r="P18" i="16"/>
  <c r="N18" i="16"/>
  <c r="M18" i="16"/>
  <c r="F18" i="16"/>
  <c r="Y585" i="8" a="1"/>
  <c r="Y585" i="8" s="1"/>
  <c r="Z585" i="8" a="1"/>
  <c r="Z585" i="8" s="1"/>
  <c r="AD585" i="8" s="1"/>
  <c r="X585" i="8" a="1"/>
  <c r="X585" i="8" s="1"/>
  <c r="Y29" i="8" a="1"/>
  <c r="Y29" i="8" s="1"/>
  <c r="Z29" i="8" a="1"/>
  <c r="Z29" i="8" s="1"/>
  <c r="AD29" i="8" s="1"/>
  <c r="X29" i="8" a="1"/>
  <c r="X29" i="8" s="1"/>
  <c r="Y17" i="8" a="1"/>
  <c r="Y17" i="8" s="1"/>
  <c r="Z17" i="8" a="1"/>
  <c r="Z17" i="8" s="1"/>
  <c r="X17" i="8" a="1"/>
  <c r="X17" i="8" s="1"/>
  <c r="X229" i="8" a="1"/>
  <c r="X229" i="8" s="1"/>
  <c r="X501" i="8" a="1"/>
  <c r="X501" i="8" s="1"/>
  <c r="X228" i="8" a="1"/>
  <c r="X228" i="8" s="1"/>
  <c r="X873" i="8" a="1"/>
  <c r="X873" i="8" s="1"/>
  <c r="X504" i="8" a="1"/>
  <c r="X504" i="8" s="1"/>
  <c r="X791" i="8" a="1"/>
  <c r="X791" i="8" s="1"/>
  <c r="X505" i="8" a="1"/>
  <c r="X505" i="8" s="1"/>
  <c r="X894" i="8" a="1"/>
  <c r="X894" i="8" s="1"/>
  <c r="Z894" i="8" a="1"/>
  <c r="Z894" i="8" s="1"/>
  <c r="X898" i="8" a="1"/>
  <c r="X898" i="8" s="1"/>
  <c r="Z898" i="8" a="1"/>
  <c r="Z898" i="8" s="1"/>
  <c r="X893" i="8" a="1"/>
  <c r="X893" i="8" s="1"/>
  <c r="Z893" i="8" a="1"/>
  <c r="Z893" i="8" s="1"/>
  <c r="AD893" i="8" s="1"/>
  <c r="X897" i="8" a="1"/>
  <c r="X897" i="8" s="1"/>
  <c r="Z897" i="8" a="1"/>
  <c r="Z897" i="8" s="1"/>
  <c r="AD897" i="8" s="1"/>
  <c r="X890" i="8" a="1"/>
  <c r="X890" i="8" s="1"/>
  <c r="Z890" i="8" a="1"/>
  <c r="Z890" i="8" s="1"/>
  <c r="X885" i="8" a="1"/>
  <c r="X885" i="8" s="1"/>
  <c r="Z885" i="8" a="1"/>
  <c r="Z885" i="8" s="1"/>
  <c r="X889" i="8" a="1"/>
  <c r="X889" i="8" s="1"/>
  <c r="Z889" i="8" a="1"/>
  <c r="Z889" i="8" s="1"/>
  <c r="AD889" i="8" s="1"/>
  <c r="X876" i="8" a="1"/>
  <c r="X876" i="8" s="1"/>
  <c r="Z876" i="8" a="1"/>
  <c r="Z876" i="8" s="1"/>
  <c r="AD876" i="8" s="1"/>
  <c r="X872" i="8" a="1"/>
  <c r="X872" i="8" s="1"/>
  <c r="Z872" i="8" a="1"/>
  <c r="Z872" i="8" s="1"/>
  <c r="X871" i="8" a="1"/>
  <c r="X871" i="8" s="1"/>
  <c r="Z871" i="8" a="1"/>
  <c r="Z871" i="8" s="1"/>
  <c r="X878" i="8" a="1"/>
  <c r="X878" i="8" s="1"/>
  <c r="Z878" i="8" a="1"/>
  <c r="Z878" i="8" s="1"/>
  <c r="X792" i="8" a="1"/>
  <c r="X792" i="8" s="1"/>
  <c r="Z792" i="8" a="1"/>
  <c r="Z792" i="8" s="1"/>
  <c r="X502" i="8" a="1"/>
  <c r="X502" i="8" s="1"/>
  <c r="Z502" i="8" a="1"/>
  <c r="Z502" i="8" s="1"/>
  <c r="X506" i="8" a="1"/>
  <c r="X506" i="8" s="1"/>
  <c r="Z506" i="8" a="1"/>
  <c r="Z506" i="8" s="1"/>
  <c r="X904" i="8" a="1"/>
  <c r="X904" i="8" s="1"/>
  <c r="Z904" i="8" a="1"/>
  <c r="Z904" i="8" s="1"/>
  <c r="AD904" i="8" s="1"/>
  <c r="X903" i="8" a="1"/>
  <c r="X903" i="8" s="1"/>
  <c r="Z903" i="8" a="1"/>
  <c r="Z903" i="8" s="1"/>
  <c r="AD903" i="8" s="1"/>
  <c r="X867" i="8" a="1"/>
  <c r="X867" i="8" s="1"/>
  <c r="Z867" i="8" a="1"/>
  <c r="Z867" i="8" s="1"/>
  <c r="Y881" i="8" a="1"/>
  <c r="Y881" i="8" s="1"/>
  <c r="AA881" i="8"/>
  <c r="Y339" i="8" a="1"/>
  <c r="Y339" i="8" s="1"/>
  <c r="AA339" i="8"/>
  <c r="Y227" i="8" a="1"/>
  <c r="Y227" i="8" s="1"/>
  <c r="AA227" i="8"/>
  <c r="Y307" i="8" a="1"/>
  <c r="Y307" i="8" s="1"/>
  <c r="Y230" i="8" a="1"/>
  <c r="Y230" i="8" s="1"/>
  <c r="AA230" i="8"/>
  <c r="Y900" i="8" a="1"/>
  <c r="Y900" i="8" s="1"/>
  <c r="AA900" i="8"/>
  <c r="Y896" i="8" a="1"/>
  <c r="Y896" i="8" s="1"/>
  <c r="AA896" i="8"/>
  <c r="Y895" i="8" a="1"/>
  <c r="Y895" i="8" s="1"/>
  <c r="AA895" i="8"/>
  <c r="Y877" i="8" a="1"/>
  <c r="Y877" i="8" s="1"/>
  <c r="AA877" i="8"/>
  <c r="Y902" i="8" a="1"/>
  <c r="Y902" i="8" s="1"/>
  <c r="AA902" i="8"/>
  <c r="Y906" i="8" a="1"/>
  <c r="Y906" i="8" s="1"/>
  <c r="Y901" i="8" a="1"/>
  <c r="Y901" i="8" s="1"/>
  <c r="AA901" i="8"/>
  <c r="Y905" i="8" a="1"/>
  <c r="Y905" i="8" s="1"/>
  <c r="AA905" i="8"/>
  <c r="Y892" i="8" a="1"/>
  <c r="Y892" i="8" s="1"/>
  <c r="AA892" i="8"/>
  <c r="Y888" i="8" a="1"/>
  <c r="Y888" i="8" s="1"/>
  <c r="AA888" i="8"/>
  <c r="Y887" i="8" a="1"/>
  <c r="Y887" i="8" s="1"/>
  <c r="AA887" i="8"/>
  <c r="Y882" i="8" a="1"/>
  <c r="Y882" i="8" s="1"/>
  <c r="AA882" i="8"/>
  <c r="Y894" i="8" a="1"/>
  <c r="Y894" i="8" s="1"/>
  <c r="Y898" i="8" a="1"/>
  <c r="Y898" i="8" s="1"/>
  <c r="Y893" i="8" a="1"/>
  <c r="Y893" i="8" s="1"/>
  <c r="Y897" i="8" a="1"/>
  <c r="Y897" i="8" s="1"/>
  <c r="Y884" i="8" a="1"/>
  <c r="Y884" i="8" s="1"/>
  <c r="AA884" i="8"/>
  <c r="Y880" i="8" a="1"/>
  <c r="Y880" i="8" s="1"/>
  <c r="AA880" i="8"/>
  <c r="Y879" i="8" a="1"/>
  <c r="Y879" i="8" s="1"/>
  <c r="AA879" i="8"/>
  <c r="Y891" i="8" a="1"/>
  <c r="Y891" i="8" s="1"/>
  <c r="AA891" i="8"/>
  <c r="Y899" i="8" a="1"/>
  <c r="Y899" i="8" s="1"/>
  <c r="AA899" i="8"/>
  <c r="Y886" i="8" a="1"/>
  <c r="Y886" i="8" s="1"/>
  <c r="AA886" i="8"/>
  <c r="Y890" i="8" a="1"/>
  <c r="Y890" i="8" s="1"/>
  <c r="Y885" i="8" a="1"/>
  <c r="Y885" i="8" s="1"/>
  <c r="Y889" i="8" a="1"/>
  <c r="Y889" i="8" s="1"/>
  <c r="Y876" i="8" a="1"/>
  <c r="Y876" i="8" s="1"/>
  <c r="Y872" i="8" a="1"/>
  <c r="Y872" i="8" s="1"/>
  <c r="Y871" i="8" a="1"/>
  <c r="Y871" i="8" s="1"/>
  <c r="Y868" i="8" a="1"/>
  <c r="Y868" i="8" s="1"/>
  <c r="AA868" i="8"/>
  <c r="Y794" i="8" a="1"/>
  <c r="Y794" i="8" s="1"/>
  <c r="Y795" i="8" a="1"/>
  <c r="Y795" i="8" s="1"/>
  <c r="AA795" i="8"/>
  <c r="X882" i="8" a="1"/>
  <c r="X882" i="8" s="1"/>
  <c r="Y883" i="8" a="1"/>
  <c r="Y883" i="8" s="1"/>
  <c r="AA883" i="8"/>
  <c r="Y870" i="8" a="1"/>
  <c r="Y870" i="8" s="1"/>
  <c r="AA870" i="8"/>
  <c r="Y874" i="8" a="1"/>
  <c r="Y874" i="8" s="1"/>
  <c r="AA874" i="8"/>
  <c r="Y869" i="8" a="1"/>
  <c r="Y869" i="8" s="1"/>
  <c r="AA869" i="8"/>
  <c r="Y873" i="8" a="1"/>
  <c r="Y873" i="8" s="1"/>
  <c r="AA873" i="8"/>
  <c r="Y791" i="8" a="1"/>
  <c r="Y791" i="8" s="1"/>
  <c r="Y505" i="8" a="1"/>
  <c r="Y505" i="8" s="1"/>
  <c r="AA505" i="8"/>
  <c r="Y504" i="8" a="1"/>
  <c r="Y504" i="8" s="1"/>
  <c r="AG504" i="8"/>
  <c r="AH504" i="8" s="1"/>
  <c r="X881" i="8" a="1"/>
  <c r="X881" i="8" s="1"/>
  <c r="Y875" i="8" a="1"/>
  <c r="Y875" i="8" s="1"/>
  <c r="AA875" i="8"/>
  <c r="Y793" i="8" a="1"/>
  <c r="Y793" i="8" s="1"/>
  <c r="Y866" i="8" a="1"/>
  <c r="Y866" i="8" s="1"/>
  <c r="AA866" i="8"/>
  <c r="Y792" i="8" a="1"/>
  <c r="Y792" i="8" s="1"/>
  <c r="Y865" i="8" a="1"/>
  <c r="Y865" i="8" s="1"/>
  <c r="AA865" i="8"/>
  <c r="Y501" i="8" a="1"/>
  <c r="Y501" i="8" s="1"/>
  <c r="Y229" i="8" a="1"/>
  <c r="Y229" i="8" s="1"/>
  <c r="AA229" i="8"/>
  <c r="Y228" i="8" a="1"/>
  <c r="Y228" i="8" s="1"/>
  <c r="Y878" i="8" a="1"/>
  <c r="Y878" i="8" s="1"/>
  <c r="X795" i="8" a="1"/>
  <c r="X795" i="8" s="1"/>
  <c r="X868" i="8" a="1"/>
  <c r="X868" i="8" s="1"/>
  <c r="X794" i="8" a="1"/>
  <c r="X794" i="8" s="1"/>
  <c r="Y790" i="8" a="1"/>
  <c r="Y790" i="8" s="1"/>
  <c r="Y503" i="8" a="1"/>
  <c r="Y503" i="8" s="1"/>
  <c r="Y789" i="8" a="1"/>
  <c r="Y789" i="8" s="1"/>
  <c r="Y502" i="8" a="1"/>
  <c r="Y502" i="8" s="1"/>
  <c r="Y506" i="8" a="1"/>
  <c r="Y506" i="8" s="1"/>
  <c r="Y904" i="8" a="1"/>
  <c r="Y904" i="8" s="1"/>
  <c r="Y903" i="8" a="1"/>
  <c r="Y903" i="8" s="1"/>
  <c r="Y867" i="8" a="1"/>
  <c r="Y867" i="8" s="1"/>
  <c r="X902" i="8" a="1"/>
  <c r="X902" i="8" s="1"/>
  <c r="X905" i="8" a="1"/>
  <c r="X905" i="8" s="1"/>
  <c r="X906" i="8" a="1"/>
  <c r="X906" i="8" s="1"/>
  <c r="X901" i="8" a="1"/>
  <c r="X901" i="8" s="1"/>
  <c r="X339" i="8" a="1"/>
  <c r="X339" i="8" s="1"/>
  <c r="X230" i="8" a="1"/>
  <c r="X230" i="8" s="1"/>
  <c r="X900" i="8" a="1"/>
  <c r="X900" i="8" s="1"/>
  <c r="X896" i="8" a="1"/>
  <c r="X896" i="8" s="1"/>
  <c r="X790" i="8" a="1"/>
  <c r="X790" i="8" s="1"/>
  <c r="X886" i="8" a="1"/>
  <c r="X886" i="8" s="1"/>
  <c r="X875" i="8" a="1"/>
  <c r="X875" i="8" s="1"/>
  <c r="X227" i="8" a="1"/>
  <c r="X227" i="8" s="1"/>
  <c r="X503" i="8" a="1"/>
  <c r="X503" i="8" s="1"/>
  <c r="X879" i="8" a="1"/>
  <c r="X879" i="8" s="1"/>
  <c r="X866" i="8" a="1"/>
  <c r="X866" i="8" s="1"/>
  <c r="X891" i="8" a="1"/>
  <c r="X891" i="8" s="1"/>
  <c r="X789" i="8" a="1"/>
  <c r="X789" i="8" s="1"/>
  <c r="X793" i="8" a="1"/>
  <c r="X793" i="8" s="1"/>
  <c r="X883" i="8" a="1"/>
  <c r="X883" i="8" s="1"/>
  <c r="X870" i="8" a="1"/>
  <c r="X870" i="8" s="1"/>
  <c r="X899" i="8" a="1"/>
  <c r="X899" i="8" s="1"/>
  <c r="X887" i="8" a="1"/>
  <c r="X887" i="8" s="1"/>
  <c r="X884" i="8" a="1"/>
  <c r="X884" i="8" s="1"/>
  <c r="X880" i="8" a="1"/>
  <c r="X880" i="8" s="1"/>
  <c r="X869" i="8" a="1"/>
  <c r="X869" i="8" s="1"/>
  <c r="X865" i="8" a="1"/>
  <c r="X865" i="8" s="1"/>
  <c r="X892" i="8" a="1"/>
  <c r="X892" i="8" s="1"/>
  <c r="X877" i="8" a="1"/>
  <c r="X877" i="8" s="1"/>
  <c r="X888" i="8" a="1"/>
  <c r="X888" i="8" s="1"/>
  <c r="X307" i="8" a="1"/>
  <c r="X307" i="8" s="1"/>
  <c r="X874" i="8" a="1"/>
  <c r="X874" i="8" s="1"/>
  <c r="X895" i="8" a="1"/>
  <c r="X895" i="8" s="1"/>
  <c r="AD224" i="8" l="1"/>
  <c r="AE224" i="8" s="1"/>
  <c r="AG224" i="8"/>
  <c r="AH224" i="8" s="1"/>
  <c r="AD217" i="8"/>
  <c r="AE217" i="8" s="1"/>
  <c r="AG217" i="8"/>
  <c r="AH217" i="8" s="1"/>
  <c r="R275" i="14"/>
  <c r="M275" i="14"/>
  <c r="Q275" i="14"/>
  <c r="P275" i="14"/>
  <c r="N275" i="14"/>
  <c r="H275" i="14"/>
  <c r="O275" i="14"/>
  <c r="L275" i="14"/>
  <c r="AD186" i="8"/>
  <c r="AE186" i="8" s="1"/>
  <c r="AG186" i="8"/>
  <c r="AH186" i="8" s="1"/>
  <c r="AD169" i="8"/>
  <c r="AE169" i="8" s="1"/>
  <c r="AG169" i="8"/>
  <c r="AH169" i="8" s="1"/>
  <c r="AD151" i="8"/>
  <c r="AE151" i="8" s="1"/>
  <c r="AG151" i="8"/>
  <c r="AH151" i="8" s="1"/>
  <c r="R515" i="14"/>
  <c r="Q515" i="14"/>
  <c r="P515" i="14"/>
  <c r="M515" i="14"/>
  <c r="L515" i="14"/>
  <c r="N515" i="14"/>
  <c r="H515" i="14"/>
  <c r="O515" i="14"/>
  <c r="AD81" i="8"/>
  <c r="AE81" i="8" s="1"/>
  <c r="AG81" i="8"/>
  <c r="AH81" i="8" s="1"/>
  <c r="M115" i="14"/>
  <c r="L115" i="14"/>
  <c r="O115" i="14"/>
  <c r="P115" i="14"/>
  <c r="N115" i="14"/>
  <c r="Q115" i="14"/>
  <c r="H115" i="14"/>
  <c r="R115" i="14"/>
  <c r="AD62" i="8"/>
  <c r="AE62" i="8" s="1"/>
  <c r="AG62" i="8"/>
  <c r="AH62" i="8" s="1"/>
  <c r="AD37" i="8"/>
  <c r="AE37" i="8" s="1"/>
  <c r="AG37" i="8"/>
  <c r="AH37" i="8" s="1"/>
  <c r="R373" i="14"/>
  <c r="C3" i="7" a="1"/>
  <c r="C3" i="7" s="1"/>
  <c r="C11" i="7" a="1"/>
  <c r="C11" i="7" s="1"/>
  <c r="C4" i="7" a="1"/>
  <c r="C4" i="7" s="1"/>
  <c r="C12" i="7" a="1"/>
  <c r="C12" i="7" s="1"/>
  <c r="C5" i="7" a="1"/>
  <c r="C5" i="7" s="1"/>
  <c r="C13" i="7" a="1"/>
  <c r="C13" i="7" s="1"/>
  <c r="C6" i="7" a="1"/>
  <c r="C6" i="7" s="1"/>
  <c r="C14" i="7" a="1"/>
  <c r="C14" i="7" s="1"/>
  <c r="C7" i="7" a="1"/>
  <c r="C7" i="7" s="1"/>
  <c r="C15" i="7" a="1"/>
  <c r="C15" i="7" s="1"/>
  <c r="C8" i="7" a="1"/>
  <c r="C8" i="7" s="1"/>
  <c r="C16" i="7" a="1"/>
  <c r="C16" i="7" s="1"/>
  <c r="C9" i="7" a="1"/>
  <c r="C9" i="7" s="1"/>
  <c r="C2" i="7" a="1"/>
  <c r="C2" i="7" s="1"/>
  <c r="C10" i="7" a="1"/>
  <c r="C10" i="7" s="1"/>
  <c r="H373" i="14"/>
  <c r="C9" i="1" a="1"/>
  <c r="C9" i="1" s="1"/>
  <c r="C2" i="1" a="1"/>
  <c r="C2" i="1" s="1"/>
  <c r="C10" i="1" a="1"/>
  <c r="C10" i="1" s="1"/>
  <c r="C3" i="1" a="1"/>
  <c r="C3" i="1" s="1"/>
  <c r="C11" i="1" a="1"/>
  <c r="C11" i="1" s="1"/>
  <c r="C4" i="1" a="1"/>
  <c r="C4" i="1" s="1"/>
  <c r="C12" i="1" a="1"/>
  <c r="C12" i="1" s="1"/>
  <c r="C5" i="1" a="1"/>
  <c r="C5" i="1" s="1"/>
  <c r="C13" i="1" a="1"/>
  <c r="C13" i="1" s="1"/>
  <c r="C6" i="1" a="1"/>
  <c r="C6" i="1" s="1"/>
  <c r="C14" i="1" a="1"/>
  <c r="C14" i="1" s="1"/>
  <c r="C7" i="1" a="1"/>
  <c r="C7" i="1" s="1"/>
  <c r="C15" i="1" a="1"/>
  <c r="C15" i="1" s="1"/>
  <c r="C8" i="1" a="1"/>
  <c r="C8" i="1" s="1"/>
  <c r="C16" i="1" a="1"/>
  <c r="C16" i="1" s="1"/>
  <c r="Q373" i="14"/>
  <c r="P373" i="14"/>
  <c r="L373" i="14"/>
  <c r="O373" i="14"/>
  <c r="M373" i="14"/>
  <c r="N373" i="14"/>
  <c r="R17" i="1" a="1"/>
  <c r="R17" i="1" s="1"/>
  <c r="B23" i="5" s="1"/>
  <c r="J17" i="1" a="1"/>
  <c r="J17" i="1" s="1"/>
  <c r="O17" i="1" a="1"/>
  <c r="O17" i="1" s="1"/>
  <c r="T17" i="1" a="1"/>
  <c r="T17" i="1" s="1"/>
  <c r="B25" i="5" s="1"/>
  <c r="B17" i="1" a="1"/>
  <c r="B17" i="1" s="1"/>
  <c r="B3" i="5" s="1"/>
  <c r="P17" i="1" a="1"/>
  <c r="P17" i="1" s="1"/>
  <c r="F17" i="1" a="1"/>
  <c r="F17" i="1" s="1"/>
  <c r="B17" i="5" s="1"/>
  <c r="H17" i="1" a="1"/>
  <c r="H17" i="1" s="1"/>
  <c r="I17" i="1" a="1"/>
  <c r="I17" i="1" s="1"/>
  <c r="B13" i="5" s="1"/>
  <c r="W17" i="1" a="1"/>
  <c r="W17" i="1" s="1"/>
  <c r="B19" i="5" s="1"/>
  <c r="G17" i="1" a="1"/>
  <c r="G17" i="1" s="1"/>
  <c r="S17" i="1" a="1"/>
  <c r="S17" i="1" s="1"/>
  <c r="B24" i="5" s="1"/>
  <c r="X17" i="1" a="1"/>
  <c r="X17" i="1" s="1"/>
  <c r="B20" i="5" s="1"/>
  <c r="B16" i="5"/>
  <c r="L17" i="1" a="1"/>
  <c r="L17" i="1" s="1"/>
  <c r="V17" i="1" a="1"/>
  <c r="V17" i="1" s="1"/>
  <c r="K17" i="1" a="1"/>
  <c r="K17" i="1" s="1"/>
  <c r="N17" i="1" a="1"/>
  <c r="N17" i="1" s="1"/>
  <c r="Q17" i="1" a="1"/>
  <c r="Q17" i="1" s="1"/>
  <c r="B26" i="5" s="1"/>
  <c r="M17" i="1" a="1"/>
  <c r="M17" i="1" s="1"/>
  <c r="AE904" i="8"/>
  <c r="AE11" i="8"/>
  <c r="AE18" i="8"/>
  <c r="AE19" i="8"/>
  <c r="AE175" i="8"/>
  <c r="AE173" i="8"/>
  <c r="AE55" i="8"/>
  <c r="AK55" i="8" s="1"/>
  <c r="AL55" i="8" s="1"/>
  <c r="AE142" i="8"/>
  <c r="AE178" i="8"/>
  <c r="AE136" i="8"/>
  <c r="AE66" i="8"/>
  <c r="AE52" i="8"/>
  <c r="AE86" i="8"/>
  <c r="AE144" i="8"/>
  <c r="AE49" i="8"/>
  <c r="AE168" i="8"/>
  <c r="AE83" i="8"/>
  <c r="AE187" i="8"/>
  <c r="AE104" i="8"/>
  <c r="AE99" i="8"/>
  <c r="AE192" i="8"/>
  <c r="AE124" i="8"/>
  <c r="AE117" i="8"/>
  <c r="AE115" i="8"/>
  <c r="AE201" i="8"/>
  <c r="AE125" i="8"/>
  <c r="AE267" i="8"/>
  <c r="AE239" i="8"/>
  <c r="AE284" i="8"/>
  <c r="AE302" i="8"/>
  <c r="AE256" i="8"/>
  <c r="AE277" i="8"/>
  <c r="AE282" i="8"/>
  <c r="AE255" i="8"/>
  <c r="AE275" i="8"/>
  <c r="AE311" i="8"/>
  <c r="AE308" i="8"/>
  <c r="AK308" i="8" s="1"/>
  <c r="AL308" i="8" s="1"/>
  <c r="AE309" i="8"/>
  <c r="AE422" i="8"/>
  <c r="AE458" i="8"/>
  <c r="AE455" i="8"/>
  <c r="AE483" i="8"/>
  <c r="AE347" i="8"/>
  <c r="AE476" i="8"/>
  <c r="AE443" i="8"/>
  <c r="AK443" i="8" s="1"/>
  <c r="AL443" i="8" s="1"/>
  <c r="AE472" i="8"/>
  <c r="AE473" i="8"/>
  <c r="AE363" i="8"/>
  <c r="AE444" i="8"/>
  <c r="AE418" i="8"/>
  <c r="AE490" i="8"/>
  <c r="AE367" i="8"/>
  <c r="AE485" i="8"/>
  <c r="AE432" i="8"/>
  <c r="AE475" i="8"/>
  <c r="AE349" i="8"/>
  <c r="AE383" i="8"/>
  <c r="AE584" i="8"/>
  <c r="AE582" i="8"/>
  <c r="AE579" i="8"/>
  <c r="AE536" i="8"/>
  <c r="AE583" i="8"/>
  <c r="AE561" i="8"/>
  <c r="AE587" i="8"/>
  <c r="AE651" i="8"/>
  <c r="AE648" i="8"/>
  <c r="AE705" i="8"/>
  <c r="AE688" i="8"/>
  <c r="AE675" i="8"/>
  <c r="AE658" i="8"/>
  <c r="AE778" i="8"/>
  <c r="AE732" i="8"/>
  <c r="AE731" i="8"/>
  <c r="AE787" i="8"/>
  <c r="AE613" i="8"/>
  <c r="AE638" i="8"/>
  <c r="AE757" i="8"/>
  <c r="AE612" i="8"/>
  <c r="AE593" i="8"/>
  <c r="AE747" i="8"/>
  <c r="AE685" i="8"/>
  <c r="AE588" i="8"/>
  <c r="AE786" i="8"/>
  <c r="AE630" i="8"/>
  <c r="AE783" i="8"/>
  <c r="AE709" i="8"/>
  <c r="AE734" i="8"/>
  <c r="AK734" i="8" s="1"/>
  <c r="AL734" i="8" s="1"/>
  <c r="AE708" i="8"/>
  <c r="AE750" i="8"/>
  <c r="AE861" i="8"/>
  <c r="AE804" i="8"/>
  <c r="AE852" i="8"/>
  <c r="AE843" i="8"/>
  <c r="AE829" i="8"/>
  <c r="AE838" i="8"/>
  <c r="AK838" i="8" s="1"/>
  <c r="AL838" i="8" s="1"/>
  <c r="AE841" i="8"/>
  <c r="AE849" i="8"/>
  <c r="AE798" i="8"/>
  <c r="AE857" i="8"/>
  <c r="AE887" i="8"/>
  <c r="AE875" i="8"/>
  <c r="AE228" i="8"/>
  <c r="AE881" i="8"/>
  <c r="AE876" i="8"/>
  <c r="AE585" i="8"/>
  <c r="AE14" i="8"/>
  <c r="AE24" i="8"/>
  <c r="AE23" i="8"/>
  <c r="AK23" i="8" s="1"/>
  <c r="AL23" i="8" s="1"/>
  <c r="AE93" i="8"/>
  <c r="AE107" i="8"/>
  <c r="AE176" i="8"/>
  <c r="AE56" i="8"/>
  <c r="AE147" i="8"/>
  <c r="AE63" i="8"/>
  <c r="AE96" i="8"/>
  <c r="AE103" i="8"/>
  <c r="AK103" i="8" s="1"/>
  <c r="AE89" i="8"/>
  <c r="AE58" i="8"/>
  <c r="AE156" i="8"/>
  <c r="AE166" i="8"/>
  <c r="AE211" i="8"/>
  <c r="AE209" i="8"/>
  <c r="AE205" i="8"/>
  <c r="AE154" i="8"/>
  <c r="AK154" i="8" s="1"/>
  <c r="AL154" i="8" s="1"/>
  <c r="AE111" i="8"/>
  <c r="AE69" i="8"/>
  <c r="AE180" i="8"/>
  <c r="AE189" i="8"/>
  <c r="AE87" i="8"/>
  <c r="AE137" i="8"/>
  <c r="AE116" i="8"/>
  <c r="AK116" i="8" s="1"/>
  <c r="AL116" i="8" s="1"/>
  <c r="AE204" i="8"/>
  <c r="AE172" i="8"/>
  <c r="AE241" i="8"/>
  <c r="AE271" i="8"/>
  <c r="AE286" i="8"/>
  <c r="AE246" i="8"/>
  <c r="AE279" i="8"/>
  <c r="AE294" i="8"/>
  <c r="AE260" i="8"/>
  <c r="AE300" i="8"/>
  <c r="AE326" i="8"/>
  <c r="AE322" i="8"/>
  <c r="AE320" i="8"/>
  <c r="AE338" i="8"/>
  <c r="AE327" i="8"/>
  <c r="AE323" i="8"/>
  <c r="AE328" i="8"/>
  <c r="AE449" i="8"/>
  <c r="AE478" i="8"/>
  <c r="AE493" i="8"/>
  <c r="AE401" i="8"/>
  <c r="AE491" i="8"/>
  <c r="AE373" i="8"/>
  <c r="AE428" i="8"/>
  <c r="AE480" i="8"/>
  <c r="AE344" i="8"/>
  <c r="AE351" i="8"/>
  <c r="AE389" i="8"/>
  <c r="AE417" i="8"/>
  <c r="AE446" i="8"/>
  <c r="AE498" i="8"/>
  <c r="AE487" i="8"/>
  <c r="AE405" i="8"/>
  <c r="AE431" i="8"/>
  <c r="AE460" i="8"/>
  <c r="AE435" i="8"/>
  <c r="AK435" i="8" s="1"/>
  <c r="AL435" i="8" s="1"/>
  <c r="AE376" i="8"/>
  <c r="AE420" i="8"/>
  <c r="AE453" i="8"/>
  <c r="AE581" i="8"/>
  <c r="AE539" i="8"/>
  <c r="AE576" i="8"/>
  <c r="AE573" i="8"/>
  <c r="AE534" i="8"/>
  <c r="AK534" i="8" s="1"/>
  <c r="AL534" i="8" s="1"/>
  <c r="AE650" i="8"/>
  <c r="AE679" i="8"/>
  <c r="AE771" i="8"/>
  <c r="AE604" i="8"/>
  <c r="AE724" i="8"/>
  <c r="AE721" i="8"/>
  <c r="AE704" i="8"/>
  <c r="AE774" i="8"/>
  <c r="AK774" i="8" s="1"/>
  <c r="AL774" i="8" s="1"/>
  <c r="AE761" i="8"/>
  <c r="AE629" i="8"/>
  <c r="AE654" i="8"/>
  <c r="AE775" i="8"/>
  <c r="AE744" i="8"/>
  <c r="AE691" i="8"/>
  <c r="AE692" i="8"/>
  <c r="AE689" i="8"/>
  <c r="AK689" i="8" s="1"/>
  <c r="AL689" i="8" s="1"/>
  <c r="AE636" i="8"/>
  <c r="AE637" i="8"/>
  <c r="AE665" i="8"/>
  <c r="AE605" i="8"/>
  <c r="AE751" i="8"/>
  <c r="AE770" i="8"/>
  <c r="AE725" i="8"/>
  <c r="AE767" i="8"/>
  <c r="AK767" i="8" s="1"/>
  <c r="AL767" i="8" s="1"/>
  <c r="AE806" i="8"/>
  <c r="AE807" i="8"/>
  <c r="AE815" i="8"/>
  <c r="AE826" i="8"/>
  <c r="AE805" i="8"/>
  <c r="AE809" i="8"/>
  <c r="AE908" i="8"/>
  <c r="AE888" i="8"/>
  <c r="AE883" i="8"/>
  <c r="AE501" i="8"/>
  <c r="AE877" i="8"/>
  <c r="AE20" i="8"/>
  <c r="AE138" i="8"/>
  <c r="AE216" i="8"/>
  <c r="AE41" i="8"/>
  <c r="AE31" i="8"/>
  <c r="AE155" i="8"/>
  <c r="AE214" i="8"/>
  <c r="AE72" i="8"/>
  <c r="AE194" i="8"/>
  <c r="AE43" i="8"/>
  <c r="AE130" i="8"/>
  <c r="AE141" i="8"/>
  <c r="AE105" i="8"/>
  <c r="AE74" i="8"/>
  <c r="AE40" i="8"/>
  <c r="AE110" i="8"/>
  <c r="AE80" i="8"/>
  <c r="AE197" i="8"/>
  <c r="AE206" i="8"/>
  <c r="AE45" i="8"/>
  <c r="AE213" i="8"/>
  <c r="AE276" i="8"/>
  <c r="AE306" i="8"/>
  <c r="AE292" i="8"/>
  <c r="AE250" i="8"/>
  <c r="AE243" i="8"/>
  <c r="AE261" i="8"/>
  <c r="AE263" i="8"/>
  <c r="AE304" i="8"/>
  <c r="AE337" i="8"/>
  <c r="AK337" i="8" s="1"/>
  <c r="AL337" i="8" s="1"/>
  <c r="AE315" i="8"/>
  <c r="AE316" i="8"/>
  <c r="AE332" i="8"/>
  <c r="AE325" i="8"/>
  <c r="AE318" i="8"/>
  <c r="AE450" i="8"/>
  <c r="AE362" i="8"/>
  <c r="AE361" i="8"/>
  <c r="AK361" i="8" s="1"/>
  <c r="AL361" i="8" s="1"/>
  <c r="AE407" i="8"/>
  <c r="AE436" i="8"/>
  <c r="AE474" i="8"/>
  <c r="AE348" i="8"/>
  <c r="AE377" i="8"/>
  <c r="AE425" i="8"/>
  <c r="AE488" i="8"/>
  <c r="AE461" i="8"/>
  <c r="AK461" i="8" s="1"/>
  <c r="AL461" i="8" s="1"/>
  <c r="AE364" i="8"/>
  <c r="AE360" i="8"/>
  <c r="AE393" i="8"/>
  <c r="AE468" i="8"/>
  <c r="AE346" i="8"/>
  <c r="AE409" i="8"/>
  <c r="AE457" i="8"/>
  <c r="AE575" i="8"/>
  <c r="AK575" i="8" s="1"/>
  <c r="AL575" i="8" s="1"/>
  <c r="AE532" i="8"/>
  <c r="AE569" i="8"/>
  <c r="AE572" i="8"/>
  <c r="AE523" i="8"/>
  <c r="AE525" i="8"/>
  <c r="AE571" i="8"/>
  <c r="AE528" i="8"/>
  <c r="AE538" i="8"/>
  <c r="AK538" i="8" s="1"/>
  <c r="AL538" i="8" s="1"/>
  <c r="AE565" i="8"/>
  <c r="AE556" i="8"/>
  <c r="AE514" i="8"/>
  <c r="AE541" i="8"/>
  <c r="AE696" i="8"/>
  <c r="AE666" i="8"/>
  <c r="AE653" i="8"/>
  <c r="AE695" i="8"/>
  <c r="AK695" i="8" s="1"/>
  <c r="AL695" i="8" s="1"/>
  <c r="AE723" i="8"/>
  <c r="AE752" i="8"/>
  <c r="AE781" i="8"/>
  <c r="AE602" i="8"/>
  <c r="AE633" i="8"/>
  <c r="AE748" i="8"/>
  <c r="AE782" i="8"/>
  <c r="AE655" i="8"/>
  <c r="AK655" i="8" s="1"/>
  <c r="AL655" i="8" s="1"/>
  <c r="AE671" i="8"/>
  <c r="AE772" i="8"/>
  <c r="AE746" i="8"/>
  <c r="AE619" i="8"/>
  <c r="AE616" i="8"/>
  <c r="AE788" i="8"/>
  <c r="AE720" i="8"/>
  <c r="AE707" i="8"/>
  <c r="AK707" i="8" s="1"/>
  <c r="AL707" i="8" s="1"/>
  <c r="AE690" i="8"/>
  <c r="AE736" i="8"/>
  <c r="AE678" i="8"/>
  <c r="AE652" i="8"/>
  <c r="AE635" i="8"/>
  <c r="AE623" i="8"/>
  <c r="AE598" i="8"/>
  <c r="AE622" i="8"/>
  <c r="AK622" i="8" s="1"/>
  <c r="AL622" i="8" s="1"/>
  <c r="AE796" i="8"/>
  <c r="AE864" i="8"/>
  <c r="AE828" i="8"/>
  <c r="AE827" i="8"/>
  <c r="AE813" i="8"/>
  <c r="AE797" i="8"/>
  <c r="AE822" i="8"/>
  <c r="AE832" i="8"/>
  <c r="AE851" i="8"/>
  <c r="AE847" i="8"/>
  <c r="AE858" i="8"/>
  <c r="AE855" i="8"/>
  <c r="AE892" i="8"/>
  <c r="AE895" i="8"/>
  <c r="AE793" i="8"/>
  <c r="AE866" i="8"/>
  <c r="AK866" i="8" s="1"/>
  <c r="AL866" i="8" s="1"/>
  <c r="AE882" i="8"/>
  <c r="AK882" i="8" s="1"/>
  <c r="AL882" i="8" s="1"/>
  <c r="AE897" i="8"/>
  <c r="AE78" i="8"/>
  <c r="AE48" i="8"/>
  <c r="AE149" i="8"/>
  <c r="AE162" i="8"/>
  <c r="AE191" i="8"/>
  <c r="AE76" i="8"/>
  <c r="AE182" i="8"/>
  <c r="AK182" i="8" s="1"/>
  <c r="AL182" i="8" s="1"/>
  <c r="AE126" i="8"/>
  <c r="AE188" i="8"/>
  <c r="AE163" i="8"/>
  <c r="AE38" i="8"/>
  <c r="AE113" i="8"/>
  <c r="AE51" i="8"/>
  <c r="AE94" i="8"/>
  <c r="AE164" i="8"/>
  <c r="AE170" i="8"/>
  <c r="AE92" i="8"/>
  <c r="AE152" i="8"/>
  <c r="AE36" i="8"/>
  <c r="AE198" i="8"/>
  <c r="AE177" i="8"/>
  <c r="AE85" i="8"/>
  <c r="AE65" i="8"/>
  <c r="AE108" i="8"/>
  <c r="AE281" i="8"/>
  <c r="AE237" i="8"/>
  <c r="AE254" i="8"/>
  <c r="AE231" i="8"/>
  <c r="AE273" i="8"/>
  <c r="AE258" i="8"/>
  <c r="AE313" i="8"/>
  <c r="AE329" i="8"/>
  <c r="AE486" i="8"/>
  <c r="AE350" i="8"/>
  <c r="AE400" i="8"/>
  <c r="AE343" i="8"/>
  <c r="AK343" i="8" s="1"/>
  <c r="AL343" i="8" s="1"/>
  <c r="AE365" i="8"/>
  <c r="AE399" i="8"/>
  <c r="AE411" i="8"/>
  <c r="AE494" i="8"/>
  <c r="AE464" i="8"/>
  <c r="AE352" i="8"/>
  <c r="AE381" i="8"/>
  <c r="AE415" i="8"/>
  <c r="AK415" i="8" s="1"/>
  <c r="AL415" i="8" s="1"/>
  <c r="AE454" i="8"/>
  <c r="AE368" i="8"/>
  <c r="AE433" i="8"/>
  <c r="AE439" i="8"/>
  <c r="AE430" i="8"/>
  <c r="AE496" i="8"/>
  <c r="AE384" i="8"/>
  <c r="AE380" i="8"/>
  <c r="AK380" i="8" s="1"/>
  <c r="AL380" i="8" s="1"/>
  <c r="AE413" i="8"/>
  <c r="AE499" i="8"/>
  <c r="AE566" i="8"/>
  <c r="AE510" i="8"/>
  <c r="AE527" i="8"/>
  <c r="AE530" i="8"/>
  <c r="AE533" i="8"/>
  <c r="AE567" i="8"/>
  <c r="AE524" i="8"/>
  <c r="AE521" i="8"/>
  <c r="AE516" i="8"/>
  <c r="AE531" i="8"/>
  <c r="AE564" i="8"/>
  <c r="AE559" i="8"/>
  <c r="AE562" i="8"/>
  <c r="AE548" i="8"/>
  <c r="AE544" i="8"/>
  <c r="AE600" i="8"/>
  <c r="AE715" i="8"/>
  <c r="AE722" i="8"/>
  <c r="AE755" i="8"/>
  <c r="AE646" i="8"/>
  <c r="AE620" i="8"/>
  <c r="AE607" i="8"/>
  <c r="AE649" i="8"/>
  <c r="AE599" i="8"/>
  <c r="AE677" i="8"/>
  <c r="AE674" i="8"/>
  <c r="AE702" i="8"/>
  <c r="AE676" i="8"/>
  <c r="AE618" i="8"/>
  <c r="AE647" i="8"/>
  <c r="AE621" i="8"/>
  <c r="AE749" i="8"/>
  <c r="AE737" i="8"/>
  <c r="AE756" i="8"/>
  <c r="AE592" i="8"/>
  <c r="AE694" i="8"/>
  <c r="AE681" i="8"/>
  <c r="AE764" i="8"/>
  <c r="AE642" i="8"/>
  <c r="AE639" i="8"/>
  <c r="AE762" i="8"/>
  <c r="AE862" i="8"/>
  <c r="AE799" i="8"/>
  <c r="AE808" i="8"/>
  <c r="AE823" i="8"/>
  <c r="AE825" i="8"/>
  <c r="AE830" i="8"/>
  <c r="AE839" i="8"/>
  <c r="AE850" i="8"/>
  <c r="AE845" i="8"/>
  <c r="AE811" i="8"/>
  <c r="AE905" i="8"/>
  <c r="AE896" i="8"/>
  <c r="AK896" i="8" s="1"/>
  <c r="AL896" i="8" s="1"/>
  <c r="AE874" i="8"/>
  <c r="AK874" i="8" s="1"/>
  <c r="AL874" i="8" s="1"/>
  <c r="AE869" i="8"/>
  <c r="AK869" i="8" s="1"/>
  <c r="AL869" i="8" s="1"/>
  <c r="AE891" i="8"/>
  <c r="AK891" i="8" s="1"/>
  <c r="AL891" i="8" s="1"/>
  <c r="AE12" i="8"/>
  <c r="AE13" i="8"/>
  <c r="AE16" i="8"/>
  <c r="AE21" i="8"/>
  <c r="AE26" i="8"/>
  <c r="AE30" i="8"/>
  <c r="AE15" i="8"/>
  <c r="AE4" i="8"/>
  <c r="AE28" i="8"/>
  <c r="AE210" i="8"/>
  <c r="AE134" i="8"/>
  <c r="AE98" i="8"/>
  <c r="AK98" i="8" s="1"/>
  <c r="AL98" i="8" s="1"/>
  <c r="AE123" i="8"/>
  <c r="AE184" i="8"/>
  <c r="AE61" i="8"/>
  <c r="AE79" i="8"/>
  <c r="AE101" i="8"/>
  <c r="AE114" i="8"/>
  <c r="AE202" i="8"/>
  <c r="AE64" i="8"/>
  <c r="AK64" i="8" s="1"/>
  <c r="AL64" i="8" s="1"/>
  <c r="AE57" i="8"/>
  <c r="AE218" i="8"/>
  <c r="AE212" i="8"/>
  <c r="AE199" i="8"/>
  <c r="AE127" i="8"/>
  <c r="AE54" i="8"/>
  <c r="AE140" i="8"/>
  <c r="AK140" i="8" s="1"/>
  <c r="AE203" i="8"/>
  <c r="AE208" i="8"/>
  <c r="AE143" i="8"/>
  <c r="AE60" i="8"/>
  <c r="AE148" i="8"/>
  <c r="AE185" i="8"/>
  <c r="AE221" i="8"/>
  <c r="AE159" i="8"/>
  <c r="AK159" i="8" s="1"/>
  <c r="AL159" i="8" s="1"/>
  <c r="AE165" i="8"/>
  <c r="AE119" i="8"/>
  <c r="AE233" i="8"/>
  <c r="AE285" i="8"/>
  <c r="AE264" i="8"/>
  <c r="AE232" i="8"/>
  <c r="AE288" i="8"/>
  <c r="AE303" i="8"/>
  <c r="AK303" i="8" s="1"/>
  <c r="AL303" i="8" s="1"/>
  <c r="AE234" i="8"/>
  <c r="AE270" i="8"/>
  <c r="AE249" i="8"/>
  <c r="AE248" i="8"/>
  <c r="AE280" i="8"/>
  <c r="AE268" i="8"/>
  <c r="AE299" i="8"/>
  <c r="AE298" i="8"/>
  <c r="AK298" i="8" s="1"/>
  <c r="AL298" i="8" s="1"/>
  <c r="AE257" i="8"/>
  <c r="AE312" i="8"/>
  <c r="AE342" i="8"/>
  <c r="AE354" i="8"/>
  <c r="AE388" i="8"/>
  <c r="AE421" i="8"/>
  <c r="AE392" i="8"/>
  <c r="AE463" i="8"/>
  <c r="AE492" i="8"/>
  <c r="AE408" i="8"/>
  <c r="AE452" i="8"/>
  <c r="AE385" i="8"/>
  <c r="AE481" i="8"/>
  <c r="AE423" i="8"/>
  <c r="AE495" i="8"/>
  <c r="AE372" i="8"/>
  <c r="AE374" i="8"/>
  <c r="AE441" i="8"/>
  <c r="AE447" i="8"/>
  <c r="AE560" i="8"/>
  <c r="AE570" i="8"/>
  <c r="AE558" i="8"/>
  <c r="AE522" i="8"/>
  <c r="AE542" i="8"/>
  <c r="AE513" i="8"/>
  <c r="AE714" i="8"/>
  <c r="AE743" i="8"/>
  <c r="AE712" i="8"/>
  <c r="AE780" i="8"/>
  <c r="AE594" i="8"/>
  <c r="AE769" i="8"/>
  <c r="AE624" i="8"/>
  <c r="AE595" i="8"/>
  <c r="AE662" i="8"/>
  <c r="AE763" i="8"/>
  <c r="AE718" i="8"/>
  <c r="AE664" i="8"/>
  <c r="AE634" i="8"/>
  <c r="AE663" i="8"/>
  <c r="AE597" i="8"/>
  <c r="AE609" i="8"/>
  <c r="AE784" i="8"/>
  <c r="AE753" i="8"/>
  <c r="AE754" i="8"/>
  <c r="AE700" i="8"/>
  <c r="AE699" i="8"/>
  <c r="AE645" i="8"/>
  <c r="AE670" i="8"/>
  <c r="AE644" i="8"/>
  <c r="AE802" i="8"/>
  <c r="AE810" i="8"/>
  <c r="AE836" i="8"/>
  <c r="AE816" i="8"/>
  <c r="AE860" i="8"/>
  <c r="AE837" i="8"/>
  <c r="AE853" i="8"/>
  <c r="AE879" i="8"/>
  <c r="AK879" i="8" s="1"/>
  <c r="AL879" i="8" s="1"/>
  <c r="AE901" i="8"/>
  <c r="AK901" i="8" s="1"/>
  <c r="AL901" i="8" s="1"/>
  <c r="AE900" i="8"/>
  <c r="AK900" i="8" s="1"/>
  <c r="AL900" i="8" s="1"/>
  <c r="AE789" i="8"/>
  <c r="AE870" i="8"/>
  <c r="AE886" i="8"/>
  <c r="AE893" i="8"/>
  <c r="AE2" i="8"/>
  <c r="AK2" i="8" s="1"/>
  <c r="AE9" i="8"/>
  <c r="AE3" i="8"/>
  <c r="AE22" i="8"/>
  <c r="AE7" i="8"/>
  <c r="AE219" i="8"/>
  <c r="AE145" i="8"/>
  <c r="AE84" i="8"/>
  <c r="AE146" i="8"/>
  <c r="AE46" i="8"/>
  <c r="AE35" i="8"/>
  <c r="AE174" i="8"/>
  <c r="AE160" i="8"/>
  <c r="AE225" i="8"/>
  <c r="AE171" i="8"/>
  <c r="AE71" i="8"/>
  <c r="AE77" i="8"/>
  <c r="AE82" i="8"/>
  <c r="AK82" i="8" s="1"/>
  <c r="AL82" i="8" s="1"/>
  <c r="AE75" i="8"/>
  <c r="AE91" i="8"/>
  <c r="AE272" i="8"/>
  <c r="AE240" i="8"/>
  <c r="AE293" i="8"/>
  <c r="AE252" i="8"/>
  <c r="AE278" i="8"/>
  <c r="AE259" i="8"/>
  <c r="AK259" i="8" s="1"/>
  <c r="AL259" i="8" s="1"/>
  <c r="AE266" i="8"/>
  <c r="AE305" i="8"/>
  <c r="AE334" i="8"/>
  <c r="AE330" i="8"/>
  <c r="AE319" i="8"/>
  <c r="AE314" i="8"/>
  <c r="AE335" i="8"/>
  <c r="AE331" i="8"/>
  <c r="AK331" i="8" s="1"/>
  <c r="AL331" i="8" s="1"/>
  <c r="AE387" i="8"/>
  <c r="AE419" i="8"/>
  <c r="AE438" i="8"/>
  <c r="AE378" i="8"/>
  <c r="AE406" i="8"/>
  <c r="AE412" i="8"/>
  <c r="AE489" i="8"/>
  <c r="AE482" i="8"/>
  <c r="AE356" i="8"/>
  <c r="AK356" i="8" s="1"/>
  <c r="AL356" i="8" s="1"/>
  <c r="AE394" i="8"/>
  <c r="AK394" i="8" s="1"/>
  <c r="AL394" i="8" s="1"/>
  <c r="AE397" i="8"/>
  <c r="AE451" i="8"/>
  <c r="AE470" i="8"/>
  <c r="AE440" i="8"/>
  <c r="AE469" i="8"/>
  <c r="AE484" i="8"/>
  <c r="AE358" i="8"/>
  <c r="AK358" i="8" s="1"/>
  <c r="AL358" i="8" s="1"/>
  <c r="AE520" i="8"/>
  <c r="AK520" i="8" s="1"/>
  <c r="AL520" i="8" s="1"/>
  <c r="AE515" i="8"/>
  <c r="AE509" i="8"/>
  <c r="AE519" i="8"/>
  <c r="AE552" i="8"/>
  <c r="AE549" i="8"/>
  <c r="AE507" i="8"/>
  <c r="AE550" i="8"/>
  <c r="AK550" i="8" s="1"/>
  <c r="AL550" i="8" s="1"/>
  <c r="AE568" i="8"/>
  <c r="AK568" i="8" s="1"/>
  <c r="AL568" i="8" s="1"/>
  <c r="AE730" i="8"/>
  <c r="AE717" i="8"/>
  <c r="AE759" i="8"/>
  <c r="AE641" i="8"/>
  <c r="AE611" i="8"/>
  <c r="AE739" i="8"/>
  <c r="AE785" i="8"/>
  <c r="AK785" i="8" s="1"/>
  <c r="AL785" i="8" s="1"/>
  <c r="AE640" i="8"/>
  <c r="AK640" i="8" s="1"/>
  <c r="AL640" i="8" s="1"/>
  <c r="AE668" i="8"/>
  <c r="AE669" i="8"/>
  <c r="AE667" i="8"/>
  <c r="AE589" i="8"/>
  <c r="AE738" i="8"/>
  <c r="AE693" i="8"/>
  <c r="AE683" i="8"/>
  <c r="AK683" i="8" s="1"/>
  <c r="AL683" i="8" s="1"/>
  <c r="AE680" i="8"/>
  <c r="AK680" i="8" s="1"/>
  <c r="AL680" i="8" s="1"/>
  <c r="AE779" i="8"/>
  <c r="AE628" i="8"/>
  <c r="AE777" i="8"/>
  <c r="AE742" i="8"/>
  <c r="AE701" i="8"/>
  <c r="AE729" i="8"/>
  <c r="AE716" i="8"/>
  <c r="AK716" i="8" s="1"/>
  <c r="AL716" i="8" s="1"/>
  <c r="AE745" i="8"/>
  <c r="AK745" i="8" s="1"/>
  <c r="AL745" i="8" s="1"/>
  <c r="AE661" i="8"/>
  <c r="AE686" i="8"/>
  <c r="AE863" i="8"/>
  <c r="AE800" i="8"/>
  <c r="AE814" i="8"/>
  <c r="AE834" i="8"/>
  <c r="AE833" i="8"/>
  <c r="AK833" i="8" s="1"/>
  <c r="AL833" i="8" s="1"/>
  <c r="AE840" i="8"/>
  <c r="AK840" i="8" s="1"/>
  <c r="AL840" i="8" s="1"/>
  <c r="AE848" i="8"/>
  <c r="AE856" i="8"/>
  <c r="AE880" i="8"/>
  <c r="AE906" i="8"/>
  <c r="AE503" i="8"/>
  <c r="AK503" i="8" s="1"/>
  <c r="AL503" i="8" s="1"/>
  <c r="AE794" i="8"/>
  <c r="AE791" i="8"/>
  <c r="AE903" i="8"/>
  <c r="AK903" i="8" s="1"/>
  <c r="AL903" i="8" s="1"/>
  <c r="AE889" i="8"/>
  <c r="AE29" i="8"/>
  <c r="AE5" i="8"/>
  <c r="AE8" i="8"/>
  <c r="AE27" i="8"/>
  <c r="AE50" i="8"/>
  <c r="AE47" i="8"/>
  <c r="AE90" i="8"/>
  <c r="AE34" i="8"/>
  <c r="AE157" i="8"/>
  <c r="AE222" i="8"/>
  <c r="AE195" i="8"/>
  <c r="AE200" i="8"/>
  <c r="AE190" i="8"/>
  <c r="AE135" i="8"/>
  <c r="AE120" i="8"/>
  <c r="AE179" i="8"/>
  <c r="AE44" i="8"/>
  <c r="AE122" i="8"/>
  <c r="AE109" i="8"/>
  <c r="AE67" i="8"/>
  <c r="AE100" i="8"/>
  <c r="AE181" i="8"/>
  <c r="AE196" i="8"/>
  <c r="AE59" i="8"/>
  <c r="AE97" i="8"/>
  <c r="AE161" i="8"/>
  <c r="AE112" i="8"/>
  <c r="AK112" i="8" s="1"/>
  <c r="AL112" i="8" s="1"/>
  <c r="AE158" i="8"/>
  <c r="AE88" i="8"/>
  <c r="AE73" i="8"/>
  <c r="AE121" i="8"/>
  <c r="AE167" i="8"/>
  <c r="AE269" i="8"/>
  <c r="AE274" i="8"/>
  <c r="AE244" i="8"/>
  <c r="AE245" i="8"/>
  <c r="AE297" i="8"/>
  <c r="AE283" i="8"/>
  <c r="AE296" i="8"/>
  <c r="AE236" i="8"/>
  <c r="AE242" i="8"/>
  <c r="AE336" i="8"/>
  <c r="AE324" i="8"/>
  <c r="AE317" i="8"/>
  <c r="AE333" i="8"/>
  <c r="AE391" i="8"/>
  <c r="AE414" i="8"/>
  <c r="AE429" i="8"/>
  <c r="AE466" i="8"/>
  <c r="AE396" i="8"/>
  <c r="AE427" i="8"/>
  <c r="AE465" i="8"/>
  <c r="AE471" i="8"/>
  <c r="AE340" i="8"/>
  <c r="AE500" i="8"/>
  <c r="AE366" i="8"/>
  <c r="AE416" i="8"/>
  <c r="AE437" i="8"/>
  <c r="AE355" i="8"/>
  <c r="AE382" i="8"/>
  <c r="AE434" i="8"/>
  <c r="AE369" i="8"/>
  <c r="AE426" i="8"/>
  <c r="AE459" i="8"/>
  <c r="AE497" i="8"/>
  <c r="AE353" i="8"/>
  <c r="AE375" i="8"/>
  <c r="AE371" i="8"/>
  <c r="AE398" i="8"/>
  <c r="AE410" i="8"/>
  <c r="AE448" i="8"/>
  <c r="AK448" i="8" s="1"/>
  <c r="AL448" i="8" s="1"/>
  <c r="AE357" i="8"/>
  <c r="AE511" i="8"/>
  <c r="AE563" i="8"/>
  <c r="AE517" i="8"/>
  <c r="AE580" i="8"/>
  <c r="AE512" i="8"/>
  <c r="AE543" i="8"/>
  <c r="AE547" i="8"/>
  <c r="AK547" i="8" s="1"/>
  <c r="AL547" i="8" s="1"/>
  <c r="AE526" i="8"/>
  <c r="AE578" i="8"/>
  <c r="AE586" i="8"/>
  <c r="AE760" i="8"/>
  <c r="AE776" i="8"/>
  <c r="AE591" i="8"/>
  <c r="AE660" i="8"/>
  <c r="AE657" i="8"/>
  <c r="AK657" i="8" s="1"/>
  <c r="AL657" i="8" s="1"/>
  <c r="AE710" i="8"/>
  <c r="AE697" i="8"/>
  <c r="AE684" i="8"/>
  <c r="AE741" i="8"/>
  <c r="AE719" i="8"/>
  <c r="AE735" i="8"/>
  <c r="AE740" i="8"/>
  <c r="AE603" i="8"/>
  <c r="AK603" i="8" s="1"/>
  <c r="AL603" i="8" s="1"/>
  <c r="AE682" i="8"/>
  <c r="AE711" i="8"/>
  <c r="AE627" i="8"/>
  <c r="AE656" i="8"/>
  <c r="AE625" i="8"/>
  <c r="AE626" i="8"/>
  <c r="AE601" i="8"/>
  <c r="AK601" i="8" s="1"/>
  <c r="AL601" i="8" s="1"/>
  <c r="AE765" i="8"/>
  <c r="AK765" i="8" s="1"/>
  <c r="AL765" i="8" s="1"/>
  <c r="AE596" i="8"/>
  <c r="AE819" i="8"/>
  <c r="AE818" i="8"/>
  <c r="AE835" i="8"/>
  <c r="AE821" i="8"/>
  <c r="AK821" i="8" s="1"/>
  <c r="AL821" i="8" s="1"/>
  <c r="AE824" i="8"/>
  <c r="AK824" i="8" s="1"/>
  <c r="AL824" i="8" s="1"/>
  <c r="AE801" i="8"/>
  <c r="AK801" i="8" s="1"/>
  <c r="AL801" i="8" s="1"/>
  <c r="AE844" i="8"/>
  <c r="AK844" i="8" s="1"/>
  <c r="AL844" i="8" s="1"/>
  <c r="AE859" i="8"/>
  <c r="AE812" i="8"/>
  <c r="AE820" i="8"/>
  <c r="AE909" i="8"/>
  <c r="AE884" i="8"/>
  <c r="AK884" i="8" s="1"/>
  <c r="AL884" i="8" s="1"/>
  <c r="AE902" i="8"/>
  <c r="AE307" i="8"/>
  <c r="AE865" i="8"/>
  <c r="AE795" i="8"/>
  <c r="AE899" i="8"/>
  <c r="AE6" i="8"/>
  <c r="AE10" i="8"/>
  <c r="AK10" i="8" s="1"/>
  <c r="AL10" i="8" s="1"/>
  <c r="AE907" i="8"/>
  <c r="AE25" i="8"/>
  <c r="AE226" i="8"/>
  <c r="AE70" i="8"/>
  <c r="AE220" i="8"/>
  <c r="AE118" i="8"/>
  <c r="AE53" i="8"/>
  <c r="AE215" i="8"/>
  <c r="AK215" i="8" s="1"/>
  <c r="AL215" i="8" s="1"/>
  <c r="AE33" i="8"/>
  <c r="AE139" i="8"/>
  <c r="AE207" i="8"/>
  <c r="AE95" i="8"/>
  <c r="AE106" i="8"/>
  <c r="AE133" i="8"/>
  <c r="AE32" i="8"/>
  <c r="AE183" i="8"/>
  <c r="AK183" i="8" s="1"/>
  <c r="AL183" i="8" s="1"/>
  <c r="AE129" i="8"/>
  <c r="AE223" i="8"/>
  <c r="AE102" i="8"/>
  <c r="AE39" i="8"/>
  <c r="AE68" i="8"/>
  <c r="AE128" i="8"/>
  <c r="AE42" i="8"/>
  <c r="AE132" i="8"/>
  <c r="AK132" i="8" s="1"/>
  <c r="AL132" i="8" s="1"/>
  <c r="AE193" i="8"/>
  <c r="AE235" i="8"/>
  <c r="AE291" i="8"/>
  <c r="AE247" i="8"/>
  <c r="AE289" i="8"/>
  <c r="AE238" i="8"/>
  <c r="AE287" i="8"/>
  <c r="AE262" i="8"/>
  <c r="AK262" i="8" s="1"/>
  <c r="AL262" i="8" s="1"/>
  <c r="AE301" i="8"/>
  <c r="AE253" i="8"/>
  <c r="AE295" i="8"/>
  <c r="AE265" i="8"/>
  <c r="AE290" i="8"/>
  <c r="AE251" i="8"/>
  <c r="AE310" i="8"/>
  <c r="AE321" i="8"/>
  <c r="AK321" i="8" s="1"/>
  <c r="AL321" i="8" s="1"/>
  <c r="AE456" i="8"/>
  <c r="AE390" i="8"/>
  <c r="AE370" i="8"/>
  <c r="AE404" i="8"/>
  <c r="AE341" i="8"/>
  <c r="AE445" i="8"/>
  <c r="AE479" i="8"/>
  <c r="AE359" i="8"/>
  <c r="AE386" i="8"/>
  <c r="AK386" i="8" s="1"/>
  <c r="AL386" i="8" s="1"/>
  <c r="AE424" i="8"/>
  <c r="AK424" i="8" s="1"/>
  <c r="AL424" i="8" s="1"/>
  <c r="AE462" i="8"/>
  <c r="AK462" i="8" s="1"/>
  <c r="AL462" i="8" s="1"/>
  <c r="AE379" i="8"/>
  <c r="AK379" i="8" s="1"/>
  <c r="AL379" i="8" s="1"/>
  <c r="AE402" i="8"/>
  <c r="AE442" i="8"/>
  <c r="AE467" i="8"/>
  <c r="AE477" i="8"/>
  <c r="AE345" i="8"/>
  <c r="AK345" i="8" s="1"/>
  <c r="AL345" i="8" s="1"/>
  <c r="AE395" i="8"/>
  <c r="AK395" i="8" s="1"/>
  <c r="AL395" i="8" s="1"/>
  <c r="AE551" i="8"/>
  <c r="AK551" i="8" s="1"/>
  <c r="AL551" i="8" s="1"/>
  <c r="AE554" i="8"/>
  <c r="AK554" i="8" s="1"/>
  <c r="AL554" i="8" s="1"/>
  <c r="AE557" i="8"/>
  <c r="AE508" i="8"/>
  <c r="AE574" i="8"/>
  <c r="AE518" i="8"/>
  <c r="AE545" i="8"/>
  <c r="AK545" i="8" s="1"/>
  <c r="AL545" i="8" s="1"/>
  <c r="AE546" i="8"/>
  <c r="AK546" i="8" s="1"/>
  <c r="AL546" i="8" s="1"/>
  <c r="AE529" i="8"/>
  <c r="AK529" i="8" s="1"/>
  <c r="AL529" i="8" s="1"/>
  <c r="AE537" i="8"/>
  <c r="AK537" i="8" s="1"/>
  <c r="AL537" i="8" s="1"/>
  <c r="AE540" i="8"/>
  <c r="AE577" i="8"/>
  <c r="AE535" i="8"/>
  <c r="AE553" i="8"/>
  <c r="AE555" i="8"/>
  <c r="AK555" i="8" s="1"/>
  <c r="AL555" i="8" s="1"/>
  <c r="AE632" i="8"/>
  <c r="AK632" i="8" s="1"/>
  <c r="AL632" i="8" s="1"/>
  <c r="AE615" i="8"/>
  <c r="AK615" i="8" s="1"/>
  <c r="AL615" i="8" s="1"/>
  <c r="AE606" i="8"/>
  <c r="AK606" i="8" s="1"/>
  <c r="AL606" i="8" s="1"/>
  <c r="AE631" i="8"/>
  <c r="AE659" i="8"/>
  <c r="AE608" i="8"/>
  <c r="AE733" i="8"/>
  <c r="AE726" i="8"/>
  <c r="AK726" i="8" s="1"/>
  <c r="AL726" i="8" s="1"/>
  <c r="AE713" i="8"/>
  <c r="AK713" i="8" s="1"/>
  <c r="AL713" i="8" s="1"/>
  <c r="AE610" i="8"/>
  <c r="AK610" i="8" s="1"/>
  <c r="AL610" i="8" s="1"/>
  <c r="AE766" i="8"/>
  <c r="AK766" i="8" s="1"/>
  <c r="AL766" i="8" s="1"/>
  <c r="AE768" i="8"/>
  <c r="AE728" i="8"/>
  <c r="AE698" i="8"/>
  <c r="AE727" i="8"/>
  <c r="AE673" i="8"/>
  <c r="AK673" i="8" s="1"/>
  <c r="AL673" i="8" s="1"/>
  <c r="AE643" i="8"/>
  <c r="AK643" i="8" s="1"/>
  <c r="AL643" i="8" s="1"/>
  <c r="AE672" i="8"/>
  <c r="AK672" i="8" s="1"/>
  <c r="AL672" i="8" s="1"/>
  <c r="AE614" i="8"/>
  <c r="AK614" i="8" s="1"/>
  <c r="AL614" i="8" s="1"/>
  <c r="AE590" i="8"/>
  <c r="AE758" i="8"/>
  <c r="AE617" i="8"/>
  <c r="AE687" i="8"/>
  <c r="AE706" i="8"/>
  <c r="AK706" i="8" s="1"/>
  <c r="AL706" i="8" s="1"/>
  <c r="AE703" i="8"/>
  <c r="AK703" i="8" s="1"/>
  <c r="AL703" i="8" s="1"/>
  <c r="AE773" i="8"/>
  <c r="AK773" i="8" s="1"/>
  <c r="AL773" i="8" s="1"/>
  <c r="AE803" i="8"/>
  <c r="AK803" i="8" s="1"/>
  <c r="AL803" i="8" s="1"/>
  <c r="AE817" i="8"/>
  <c r="AE831" i="8"/>
  <c r="AE842" i="8"/>
  <c r="AE846" i="8"/>
  <c r="AE854" i="8"/>
  <c r="AK854" i="8" s="1"/>
  <c r="AL854" i="8" s="1"/>
  <c r="AE873" i="8"/>
  <c r="AE790" i="8"/>
  <c r="AE227" i="8"/>
  <c r="AE505" i="8"/>
  <c r="AE868" i="8"/>
  <c r="AE504" i="8"/>
  <c r="AE339" i="8"/>
  <c r="AE229" i="8"/>
  <c r="AE230" i="8"/>
  <c r="AG131" i="8"/>
  <c r="AH131" i="8" s="1"/>
  <c r="AD131" i="8"/>
  <c r="AD878" i="8"/>
  <c r="AG150" i="8"/>
  <c r="AH150" i="8" s="1"/>
  <c r="AD150" i="8"/>
  <c r="AD506" i="8"/>
  <c r="AD871" i="8"/>
  <c r="AD885" i="8"/>
  <c r="AD898" i="8"/>
  <c r="AG153" i="8"/>
  <c r="AH153" i="8" s="1"/>
  <c r="AD153" i="8"/>
  <c r="AG403" i="8"/>
  <c r="AH403" i="8" s="1"/>
  <c r="AD403" i="8"/>
  <c r="AD867" i="8"/>
  <c r="AD502" i="8"/>
  <c r="AD872" i="8"/>
  <c r="AD890" i="8"/>
  <c r="AD894" i="8"/>
  <c r="AD792" i="8"/>
  <c r="AG17" i="8"/>
  <c r="AH17" i="8" s="1"/>
  <c r="AD17" i="8"/>
  <c r="AA909" i="8"/>
  <c r="AC909" i="8" s="1" a="1"/>
  <c r="AC909" i="8" s="1"/>
  <c r="AG909" i="8"/>
  <c r="AA1117" i="8"/>
  <c r="AA1192" i="8"/>
  <c r="AA1184" i="8"/>
  <c r="AA1243" i="8"/>
  <c r="AA995" i="8"/>
  <c r="AA971" i="8"/>
  <c r="AA1062" i="8"/>
  <c r="AA916" i="8"/>
  <c r="AA1038" i="8"/>
  <c r="AA1103" i="8"/>
  <c r="AA1073" i="8"/>
  <c r="AA1017" i="8"/>
  <c r="AA922" i="8"/>
  <c r="AA1187" i="8"/>
  <c r="AA1174" i="8"/>
  <c r="AA1219" i="8"/>
  <c r="AA1164" i="8"/>
  <c r="AA924" i="8"/>
  <c r="AA1142" i="8"/>
  <c r="AA1224" i="8"/>
  <c r="AA923" i="8"/>
  <c r="AA1058" i="8"/>
  <c r="AA1028" i="8"/>
  <c r="AA1024" i="8"/>
  <c r="AA1234" i="8"/>
  <c r="AA1162" i="8"/>
  <c r="AA1067" i="8"/>
  <c r="AA966" i="8"/>
  <c r="AA912" i="8"/>
  <c r="AA1068" i="8"/>
  <c r="AA1200" i="8"/>
  <c r="AA1173" i="8"/>
  <c r="AA1198" i="8"/>
  <c r="AA1084" i="8"/>
  <c r="AA991" i="8"/>
  <c r="AA1081" i="8"/>
  <c r="AA1235" i="8"/>
  <c r="AA1090" i="8"/>
  <c r="AA1060" i="8"/>
  <c r="AA992" i="8"/>
  <c r="AA1151" i="8"/>
  <c r="AA969" i="8"/>
  <c r="AA938" i="8"/>
  <c r="AA980" i="8"/>
  <c r="AA1000" i="8"/>
  <c r="AA1136" i="8"/>
  <c r="AA984" i="8"/>
  <c r="AA1069" i="8"/>
  <c r="AA1114" i="8"/>
  <c r="AA1070" i="8"/>
  <c r="AA1116" i="8"/>
  <c r="AA950" i="8"/>
  <c r="AA1118" i="8"/>
  <c r="AA1023" i="8"/>
  <c r="AA929" i="8"/>
  <c r="AA1121" i="8"/>
  <c r="AA1195" i="8"/>
  <c r="AA1190" i="8"/>
  <c r="AA1204" i="8"/>
  <c r="AA957" i="8"/>
  <c r="AA1149" i="8"/>
  <c r="AA933" i="8"/>
  <c r="AA972" i="8"/>
  <c r="AA1063" i="8"/>
  <c r="AA1230" i="8"/>
  <c r="AA1225" i="8"/>
  <c r="AA1065" i="8"/>
  <c r="AA1191" i="8"/>
  <c r="AA1091" i="8"/>
  <c r="AA1034" i="8"/>
  <c r="AA1076" i="8"/>
  <c r="AA1045" i="8"/>
  <c r="AA1006" i="8"/>
  <c r="AA968" i="8"/>
  <c r="AA1104" i="8"/>
  <c r="AA1169" i="8"/>
  <c r="AA1080" i="8"/>
  <c r="AA973" i="8"/>
  <c r="AA1165" i="8"/>
  <c r="AA1074" i="8"/>
  <c r="AA982" i="8"/>
  <c r="AA1047" i="8"/>
  <c r="AA958" i="8"/>
  <c r="AA1043" i="8"/>
  <c r="AA1089" i="8"/>
  <c r="AA989" i="8"/>
  <c r="AA1093" i="8"/>
  <c r="AA1004" i="8"/>
  <c r="AA1056" i="8"/>
  <c r="AA1095" i="8"/>
  <c r="AA987" i="8"/>
  <c r="AA1193" i="8"/>
  <c r="AA1161" i="8"/>
  <c r="AA1163" i="8"/>
  <c r="AA934" i="8"/>
  <c r="AA1083" i="8"/>
  <c r="AA1215" i="8"/>
  <c r="AA1226" i="8"/>
  <c r="AA975" i="8"/>
  <c r="AA1008" i="8"/>
  <c r="AA945" i="8"/>
  <c r="AA986" i="8"/>
  <c r="AA1231" i="8"/>
  <c r="AA1236" i="8"/>
  <c r="AA1014" i="8"/>
  <c r="AA1079" i="8"/>
  <c r="AA990" i="8"/>
  <c r="AA1075" i="8"/>
  <c r="AA1240" i="8"/>
  <c r="AA1092" i="8"/>
  <c r="AA1125" i="8"/>
  <c r="AA935" i="8"/>
  <c r="AA1127" i="8"/>
  <c r="AA1205" i="8"/>
  <c r="AA1201" i="8"/>
  <c r="AA963" i="8"/>
  <c r="AA939" i="8"/>
  <c r="AA978" i="8"/>
  <c r="AA1158" i="8"/>
  <c r="AA917" i="8"/>
  <c r="AA1242" i="8"/>
  <c r="AA1041" i="8"/>
  <c r="AA985" i="8"/>
  <c r="AA1082" i="8"/>
  <c r="AA1055" i="8"/>
  <c r="AA1223" i="8"/>
  <c r="AA956" i="8"/>
  <c r="AA919" i="8"/>
  <c r="AA936" i="8"/>
  <c r="AA1115" i="8"/>
  <c r="AA932" i="8"/>
  <c r="AA967" i="8"/>
  <c r="AA1106" i="8"/>
  <c r="AA1209" i="8"/>
  <c r="AA1059" i="8"/>
  <c r="AA1126" i="8"/>
  <c r="AA1216" i="8"/>
  <c r="AA1167" i="8"/>
  <c r="AA941" i="8"/>
  <c r="AA1178" i="8"/>
  <c r="AA1051" i="8"/>
  <c r="AA988" i="8"/>
  <c r="AA993" i="8"/>
  <c r="AA1096" i="8"/>
  <c r="AA930" i="8"/>
  <c r="AA1122" i="8"/>
  <c r="AA1021" i="8"/>
  <c r="AA1036" i="8"/>
  <c r="AA1147" i="8"/>
  <c r="AA1197" i="8"/>
  <c r="AA1019" i="8"/>
  <c r="AA937" i="8"/>
  <c r="AA1155" i="8"/>
  <c r="AA1131" i="8"/>
  <c r="AA1030" i="8"/>
  <c r="AA948" i="8"/>
  <c r="AA1244" i="8"/>
  <c r="AA1071" i="8"/>
  <c r="AA976" i="8"/>
  <c r="AA952" i="8"/>
  <c r="AA1037" i="8"/>
  <c r="AA974" i="8"/>
  <c r="AA1111" i="8"/>
  <c r="AA1150" i="8"/>
  <c r="AA915" i="8"/>
  <c r="AA961" i="8"/>
  <c r="AA1153" i="8"/>
  <c r="AA1249" i="8"/>
  <c r="AA1245" i="8"/>
  <c r="AA962" i="8"/>
  <c r="AA1154" i="8"/>
  <c r="AA1124" i="8"/>
  <c r="AA965" i="8"/>
  <c r="AA928" i="8"/>
  <c r="AA1159" i="8"/>
  <c r="AA1033" i="8"/>
  <c r="AA1130" i="8"/>
  <c r="AA1035" i="8"/>
  <c r="AA946" i="8"/>
  <c r="AA1172" i="8"/>
  <c r="AA1210" i="8"/>
  <c r="AA1072" i="8"/>
  <c r="AA1137" i="8"/>
  <c r="AA1176" i="8"/>
  <c r="AA1133" i="8"/>
  <c r="AA1109" i="8"/>
  <c r="AA951" i="8"/>
  <c r="AA1143" i="8"/>
  <c r="AA1182" i="8"/>
  <c r="AA947" i="8"/>
  <c r="AA1246" i="8"/>
  <c r="AA964" i="8"/>
  <c r="AA997" i="8"/>
  <c r="AA1088" i="8"/>
  <c r="AA999" i="8"/>
  <c r="AA1102" i="8"/>
  <c r="AA1129" i="8"/>
  <c r="AA1098" i="8"/>
  <c r="AA1042" i="8"/>
  <c r="AA1140" i="8"/>
  <c r="AA1221" i="8"/>
  <c r="AA1217" i="8"/>
  <c r="AA943" i="8"/>
  <c r="AA913" i="8"/>
  <c r="AA954" i="8"/>
  <c r="AA1237" i="8"/>
  <c r="AA1233" i="8"/>
  <c r="AA1046" i="8"/>
  <c r="AA1107" i="8"/>
  <c r="AA1241" i="8"/>
  <c r="AA1179" i="8"/>
  <c r="AA1053" i="8"/>
  <c r="AA1157" i="8"/>
  <c r="AA949" i="8"/>
  <c r="AA931" i="8"/>
  <c r="AA1002" i="8"/>
  <c r="AA1196" i="8"/>
  <c r="AA998" i="8"/>
  <c r="AA1044" i="8"/>
  <c r="AA1166" i="8"/>
  <c r="AA1207" i="8"/>
  <c r="AA1214" i="8"/>
  <c r="AA1141" i="8"/>
  <c r="AA1039" i="8"/>
  <c r="AA1009" i="8"/>
  <c r="AA1048" i="8"/>
  <c r="AA953" i="8"/>
  <c r="AA1050" i="8"/>
  <c r="AA1212" i="8"/>
  <c r="AA1180" i="8"/>
  <c r="AA1054" i="8"/>
  <c r="AA1139" i="8"/>
  <c r="AA1185" i="8"/>
  <c r="AA1227" i="8"/>
  <c r="AA1077" i="8"/>
  <c r="AA1134" i="8"/>
  <c r="AA1220" i="8"/>
  <c r="AA1186" i="8"/>
  <c r="AA1188" i="8"/>
  <c r="AA1238" i="8"/>
  <c r="AA1027" i="8"/>
  <c r="AA1003" i="8"/>
  <c r="AA1213" i="8"/>
  <c r="AA1138" i="8"/>
  <c r="AA1135" i="8"/>
  <c r="AA1105" i="8"/>
  <c r="AA1144" i="8"/>
  <c r="AA1049" i="8"/>
  <c r="AA1146" i="8"/>
  <c r="AA1087" i="8"/>
  <c r="AA1148" i="8"/>
  <c r="AA983" i="8"/>
  <c r="AA1022" i="8"/>
  <c r="AA927" i="8"/>
  <c r="AA1025" i="8"/>
  <c r="AA1206" i="8"/>
  <c r="AA1026" i="8"/>
  <c r="AA996" i="8"/>
  <c r="AA940" i="8"/>
  <c r="AA1120" i="8"/>
  <c r="AA1031" i="8"/>
  <c r="AA1211" i="8"/>
  <c r="AA1202" i="8"/>
  <c r="AA1013" i="8"/>
  <c r="AA1250" i="8"/>
  <c r="AA1123" i="8"/>
  <c r="AA1099" i="8"/>
  <c r="AA1170" i="8"/>
  <c r="AA1064" i="8"/>
  <c r="AA944" i="8"/>
  <c r="AA920" i="8"/>
  <c r="AA1005" i="8"/>
  <c r="AA1183" i="8"/>
  <c r="AA1222" i="8"/>
  <c r="AA1199" i="8"/>
  <c r="AA1248" i="8"/>
  <c r="AA1052" i="8"/>
  <c r="AA1078" i="8"/>
  <c r="AA994" i="8"/>
  <c r="AA1085" i="8"/>
  <c r="AA960" i="8"/>
  <c r="AA1152" i="8"/>
  <c r="AA981" i="8"/>
  <c r="AA942" i="8"/>
  <c r="AA1160" i="8"/>
  <c r="AA1001" i="8"/>
  <c r="AA970" i="8"/>
  <c r="AA914" i="8"/>
  <c r="AA1012" i="8"/>
  <c r="AA1168" i="8"/>
  <c r="AA1128" i="8"/>
  <c r="AA1113" i="8"/>
  <c r="AA1040" i="8"/>
  <c r="AA1016" i="8"/>
  <c r="AA1232" i="8"/>
  <c r="AA1020" i="8"/>
  <c r="AA979" i="8"/>
  <c r="AA1119" i="8"/>
  <c r="AA1189" i="8"/>
  <c r="AA1181" i="8"/>
  <c r="AA925" i="8"/>
  <c r="AA1029" i="8"/>
  <c r="AA1145" i="8"/>
  <c r="AA1208" i="8"/>
  <c r="AA1247" i="8"/>
  <c r="AA1097" i="8"/>
  <c r="AA1066" i="8"/>
  <c r="AA1010" i="8"/>
  <c r="AA1108" i="8"/>
  <c r="AA1132" i="8"/>
  <c r="AA911" i="8"/>
  <c r="AA1112" i="8"/>
  <c r="AA1015" i="8"/>
  <c r="AA926" i="8"/>
  <c r="AA959" i="8"/>
  <c r="AA1011" i="8"/>
  <c r="AA1057" i="8"/>
  <c r="AA1194" i="8"/>
  <c r="AA1218" i="8"/>
  <c r="AA1156" i="8"/>
  <c r="AA1061" i="8"/>
  <c r="AA955" i="8"/>
  <c r="AA1228" i="8"/>
  <c r="AA1094" i="8"/>
  <c r="AA1032" i="8"/>
  <c r="AA1177" i="8"/>
  <c r="AA1007" i="8"/>
  <c r="AA977" i="8"/>
  <c r="AA921" i="8"/>
  <c r="AA1101" i="8"/>
  <c r="AA1018" i="8"/>
  <c r="AA1229" i="8"/>
  <c r="AA1239" i="8"/>
  <c r="AA918" i="8"/>
  <c r="AA1110" i="8"/>
  <c r="AA1175" i="8"/>
  <c r="AA1086" i="8"/>
  <c r="AA1171" i="8"/>
  <c r="AA1100" i="8"/>
  <c r="AA1203" i="8"/>
  <c r="AB910" i="8" a="1"/>
  <c r="AB910" i="8" s="1"/>
  <c r="AC910" i="8" a="1"/>
  <c r="AC910" i="8" s="1"/>
  <c r="AA908" i="8"/>
  <c r="AC908" i="8" s="1" a="1"/>
  <c r="AC908" i="8" s="1"/>
  <c r="AA861" i="8"/>
  <c r="AA804" i="8"/>
  <c r="AA852" i="8"/>
  <c r="AA843" i="8"/>
  <c r="AA829" i="8"/>
  <c r="AA838" i="8"/>
  <c r="AA841" i="8"/>
  <c r="AA849" i="8"/>
  <c r="AA798" i="8"/>
  <c r="AA857" i="8"/>
  <c r="AA806" i="8"/>
  <c r="AA807" i="8"/>
  <c r="AA815" i="8"/>
  <c r="AA826" i="8"/>
  <c r="AA805" i="8"/>
  <c r="AA809" i="8"/>
  <c r="AA796" i="8"/>
  <c r="AA864" i="8"/>
  <c r="AA828" i="8"/>
  <c r="AA827" i="8"/>
  <c r="AA813" i="8"/>
  <c r="AA797" i="8"/>
  <c r="AA822" i="8"/>
  <c r="AA832" i="8"/>
  <c r="AG832" i="8"/>
  <c r="AA851" i="8"/>
  <c r="AA847" i="8"/>
  <c r="AA858" i="8"/>
  <c r="AA855" i="8"/>
  <c r="AA862" i="8"/>
  <c r="AA799" i="8"/>
  <c r="AA808" i="8"/>
  <c r="AA823" i="8"/>
  <c r="AA825" i="8"/>
  <c r="AA830" i="8"/>
  <c r="AA839" i="8"/>
  <c r="AA850" i="8"/>
  <c r="AA845" i="8"/>
  <c r="AA811" i="8"/>
  <c r="AA802" i="8"/>
  <c r="AA810" i="8"/>
  <c r="AA836" i="8"/>
  <c r="AA816" i="8"/>
  <c r="AA860" i="8"/>
  <c r="AA837" i="8"/>
  <c r="AA853" i="8"/>
  <c r="AA863" i="8"/>
  <c r="AA800" i="8"/>
  <c r="AA814" i="8"/>
  <c r="AA834" i="8"/>
  <c r="AA833" i="8"/>
  <c r="AA840" i="8"/>
  <c r="AA848" i="8"/>
  <c r="AA856" i="8"/>
  <c r="AA819" i="8"/>
  <c r="AA818" i="8"/>
  <c r="AA835" i="8"/>
  <c r="AA821" i="8"/>
  <c r="AA824" i="8"/>
  <c r="AA801" i="8"/>
  <c r="AA844" i="8"/>
  <c r="AA859" i="8"/>
  <c r="AA812" i="8"/>
  <c r="AA820" i="8"/>
  <c r="AA803" i="8"/>
  <c r="AA817" i="8"/>
  <c r="AA831" i="8"/>
  <c r="AA842" i="8"/>
  <c r="AA846" i="8"/>
  <c r="AA854" i="8"/>
  <c r="AA650" i="8"/>
  <c r="AA679" i="8"/>
  <c r="AA771" i="8"/>
  <c r="AA604" i="8"/>
  <c r="AA724" i="8"/>
  <c r="AA721" i="8"/>
  <c r="AA704" i="8"/>
  <c r="AA774" i="8"/>
  <c r="AA761" i="8"/>
  <c r="AA629" i="8"/>
  <c r="AA654" i="8"/>
  <c r="AA775" i="8"/>
  <c r="AA744" i="8"/>
  <c r="AA691" i="8"/>
  <c r="AA692" i="8"/>
  <c r="AA689" i="8"/>
  <c r="AA636" i="8"/>
  <c r="AA637" i="8"/>
  <c r="AA665" i="8"/>
  <c r="AA605" i="8"/>
  <c r="AA751" i="8"/>
  <c r="AA770" i="8"/>
  <c r="AA725" i="8"/>
  <c r="AA767" i="8"/>
  <c r="AA696" i="8"/>
  <c r="AA666" i="8"/>
  <c r="AA653" i="8"/>
  <c r="AA695" i="8"/>
  <c r="AA723" i="8"/>
  <c r="AA752" i="8"/>
  <c r="AA781" i="8"/>
  <c r="AA602" i="8"/>
  <c r="AA633" i="8"/>
  <c r="AA748" i="8"/>
  <c r="AA782" i="8"/>
  <c r="AA655" i="8"/>
  <c r="AA671" i="8"/>
  <c r="AA772" i="8"/>
  <c r="AA746" i="8"/>
  <c r="AA619" i="8"/>
  <c r="AA616" i="8"/>
  <c r="AA788" i="8"/>
  <c r="AA720" i="8"/>
  <c r="AA707" i="8"/>
  <c r="AA690" i="8"/>
  <c r="AA736" i="8"/>
  <c r="AA678" i="8"/>
  <c r="AA652" i="8"/>
  <c r="AA635" i="8"/>
  <c r="AA623" i="8"/>
  <c r="AA598" i="8"/>
  <c r="AG598" i="8"/>
  <c r="AA622" i="8"/>
  <c r="AA600" i="8"/>
  <c r="AA715" i="8"/>
  <c r="AA722" i="8"/>
  <c r="AA755" i="8"/>
  <c r="AA646" i="8"/>
  <c r="AA620" i="8"/>
  <c r="AA607" i="8"/>
  <c r="AA649" i="8"/>
  <c r="AA599" i="8"/>
  <c r="AA677" i="8"/>
  <c r="AA674" i="8"/>
  <c r="AA702" i="8"/>
  <c r="AA676" i="8"/>
  <c r="AA618" i="8"/>
  <c r="AA647" i="8"/>
  <c r="AA621" i="8"/>
  <c r="AA749" i="8"/>
  <c r="AA737" i="8"/>
  <c r="AA756" i="8"/>
  <c r="AA592" i="8"/>
  <c r="AA694" i="8"/>
  <c r="AA681" i="8"/>
  <c r="AA764" i="8"/>
  <c r="AA642" i="8"/>
  <c r="AA639" i="8"/>
  <c r="AG639" i="8"/>
  <c r="AA762" i="8"/>
  <c r="AA714" i="8"/>
  <c r="AA743" i="8"/>
  <c r="AA712" i="8"/>
  <c r="AA780" i="8"/>
  <c r="AA594" i="8"/>
  <c r="AA769" i="8"/>
  <c r="AA624" i="8"/>
  <c r="AA595" i="8"/>
  <c r="AA662" i="8"/>
  <c r="AA763" i="8"/>
  <c r="AA718" i="8"/>
  <c r="AA664" i="8"/>
  <c r="AA634" i="8"/>
  <c r="AA663" i="8"/>
  <c r="AA597" i="8"/>
  <c r="AA609" i="8"/>
  <c r="AA784" i="8"/>
  <c r="AA753" i="8"/>
  <c r="AA754" i="8"/>
  <c r="AA700" i="8"/>
  <c r="AA699" i="8"/>
  <c r="AA645" i="8"/>
  <c r="AA670" i="8"/>
  <c r="AA644" i="8"/>
  <c r="AA730" i="8"/>
  <c r="AA717" i="8"/>
  <c r="AG717" i="8"/>
  <c r="AA759" i="8"/>
  <c r="AA641" i="8"/>
  <c r="AA611" i="8"/>
  <c r="AA739" i="8"/>
  <c r="AA785" i="8"/>
  <c r="AA640" i="8"/>
  <c r="AA668" i="8"/>
  <c r="AA669" i="8"/>
  <c r="AA667" i="8"/>
  <c r="AA589" i="8"/>
  <c r="AA738" i="8"/>
  <c r="AA693" i="8"/>
  <c r="AA683" i="8"/>
  <c r="AA680" i="8"/>
  <c r="AA779" i="8"/>
  <c r="AA628" i="8"/>
  <c r="AA777" i="8"/>
  <c r="AA742" i="8"/>
  <c r="AA701" i="8"/>
  <c r="AA729" i="8"/>
  <c r="AA716" i="8"/>
  <c r="AA745" i="8"/>
  <c r="AA661" i="8"/>
  <c r="AA686" i="8"/>
  <c r="AA586" i="8"/>
  <c r="AA760" i="8"/>
  <c r="AA776" i="8"/>
  <c r="AA591" i="8"/>
  <c r="AA660" i="8"/>
  <c r="AA657" i="8"/>
  <c r="AA710" i="8"/>
  <c r="AA697" i="8"/>
  <c r="AA684" i="8"/>
  <c r="AA741" i="8"/>
  <c r="AA719" i="8"/>
  <c r="AA735" i="8"/>
  <c r="AA740" i="8"/>
  <c r="AA603" i="8"/>
  <c r="AA682" i="8"/>
  <c r="AA711" i="8"/>
  <c r="AA627" i="8"/>
  <c r="AG627" i="8"/>
  <c r="AA656" i="8"/>
  <c r="AG656" i="8"/>
  <c r="AA625" i="8"/>
  <c r="AA626" i="8"/>
  <c r="AA601" i="8"/>
  <c r="AA765" i="8"/>
  <c r="AA596" i="8"/>
  <c r="AA632" i="8"/>
  <c r="AA615" i="8"/>
  <c r="AA606" i="8"/>
  <c r="AA631" i="8"/>
  <c r="AA659" i="8"/>
  <c r="AA608" i="8"/>
  <c r="AA733" i="8"/>
  <c r="AA726" i="8"/>
  <c r="AA713" i="8"/>
  <c r="AA610" i="8"/>
  <c r="AA766" i="8"/>
  <c r="AA768" i="8"/>
  <c r="AA728" i="8"/>
  <c r="AA698" i="8"/>
  <c r="AA727" i="8"/>
  <c r="AA673" i="8"/>
  <c r="AA643" i="8"/>
  <c r="AA672" i="8"/>
  <c r="AA614" i="8"/>
  <c r="AA590" i="8"/>
  <c r="AA758" i="8"/>
  <c r="AA617" i="8"/>
  <c r="AA687" i="8"/>
  <c r="AA706" i="8"/>
  <c r="AA703" i="8"/>
  <c r="AA773" i="8"/>
  <c r="AA587" i="8"/>
  <c r="AA651" i="8"/>
  <c r="AG651" i="8"/>
  <c r="AA648" i="8"/>
  <c r="AA705" i="8"/>
  <c r="AA688" i="8"/>
  <c r="AA675" i="8"/>
  <c r="AA658" i="8"/>
  <c r="AA778" i="8"/>
  <c r="AA732" i="8"/>
  <c r="AA731" i="8"/>
  <c r="AA787" i="8"/>
  <c r="AA613" i="8"/>
  <c r="AA638" i="8"/>
  <c r="AA757" i="8"/>
  <c r="AA612" i="8"/>
  <c r="AA593" i="8"/>
  <c r="AA747" i="8"/>
  <c r="AA685" i="8"/>
  <c r="AA588" i="8"/>
  <c r="AA786" i="8"/>
  <c r="AG786" i="8"/>
  <c r="AA630" i="8"/>
  <c r="AA783" i="8"/>
  <c r="AA709" i="8"/>
  <c r="AA734" i="8"/>
  <c r="AA708" i="8"/>
  <c r="AA750" i="8"/>
  <c r="AA584" i="8"/>
  <c r="AA582" i="8"/>
  <c r="AA579" i="8"/>
  <c r="AA536" i="8"/>
  <c r="AA583" i="8"/>
  <c r="AA561" i="8"/>
  <c r="AA581" i="8"/>
  <c r="AA539" i="8"/>
  <c r="AA576" i="8"/>
  <c r="AA573" i="8"/>
  <c r="AA534" i="8"/>
  <c r="AA575" i="8"/>
  <c r="AA532" i="8"/>
  <c r="AA569" i="8"/>
  <c r="AA572" i="8"/>
  <c r="AA523" i="8"/>
  <c r="AA525" i="8"/>
  <c r="AA571" i="8"/>
  <c r="AA528" i="8"/>
  <c r="AA538" i="8"/>
  <c r="AA565" i="8"/>
  <c r="AA556" i="8"/>
  <c r="AG556" i="8"/>
  <c r="AA514" i="8"/>
  <c r="AA541" i="8"/>
  <c r="AA566" i="8"/>
  <c r="AA510" i="8"/>
  <c r="AA527" i="8"/>
  <c r="AA530" i="8"/>
  <c r="AA533" i="8"/>
  <c r="AA567" i="8"/>
  <c r="AA524" i="8"/>
  <c r="AA521" i="8"/>
  <c r="AA516" i="8"/>
  <c r="AA531" i="8"/>
  <c r="AA564" i="8"/>
  <c r="AA559" i="8"/>
  <c r="AA562" i="8"/>
  <c r="AA548" i="8"/>
  <c r="AA544" i="8"/>
  <c r="AA560" i="8"/>
  <c r="AA570" i="8"/>
  <c r="AG570" i="8"/>
  <c r="AA558" i="8"/>
  <c r="AA522" i="8"/>
  <c r="AA542" i="8"/>
  <c r="AA513" i="8"/>
  <c r="AA520" i="8"/>
  <c r="AA515" i="8"/>
  <c r="AA509" i="8"/>
  <c r="AA519" i="8"/>
  <c r="AA552" i="8"/>
  <c r="AA549" i="8"/>
  <c r="AA507" i="8"/>
  <c r="AA550" i="8"/>
  <c r="AA568" i="8"/>
  <c r="AA511" i="8"/>
  <c r="AA563" i="8"/>
  <c r="AA517" i="8"/>
  <c r="AA580" i="8"/>
  <c r="AA512" i="8"/>
  <c r="AG543" i="8"/>
  <c r="AA543" i="8"/>
  <c r="AA547" i="8"/>
  <c r="AA526" i="8"/>
  <c r="AA578" i="8"/>
  <c r="AA551" i="8"/>
  <c r="AA554" i="8"/>
  <c r="AA557" i="8"/>
  <c r="AA508" i="8"/>
  <c r="AA574" i="8"/>
  <c r="AA518" i="8"/>
  <c r="AA545" i="8"/>
  <c r="AA546" i="8"/>
  <c r="AA529" i="8"/>
  <c r="AA537" i="8"/>
  <c r="AA540" i="8"/>
  <c r="AA577" i="8"/>
  <c r="AA535" i="8"/>
  <c r="AA553" i="8"/>
  <c r="AA555" i="8"/>
  <c r="AA391" i="8"/>
  <c r="AA414" i="8"/>
  <c r="AA429" i="8"/>
  <c r="AA466" i="8"/>
  <c r="AA396" i="8"/>
  <c r="AA427" i="8"/>
  <c r="AA465" i="8"/>
  <c r="AA471" i="8"/>
  <c r="AA340" i="8"/>
  <c r="AA500" i="8"/>
  <c r="AA366" i="8"/>
  <c r="AA416" i="8"/>
  <c r="AA437" i="8"/>
  <c r="AA355" i="8"/>
  <c r="AA382" i="8"/>
  <c r="AA434" i="8"/>
  <c r="AA369" i="8"/>
  <c r="AA426" i="8"/>
  <c r="AA459" i="8"/>
  <c r="AA497" i="8"/>
  <c r="AA353" i="8"/>
  <c r="AA375" i="8"/>
  <c r="AA371" i="8"/>
  <c r="AA398" i="8"/>
  <c r="AA410" i="8"/>
  <c r="AA448" i="8"/>
  <c r="AA357" i="8"/>
  <c r="AA456" i="8"/>
  <c r="AA390" i="8"/>
  <c r="AA370" i="8"/>
  <c r="AA404" i="8"/>
  <c r="AA341" i="8"/>
  <c r="AA445" i="8"/>
  <c r="AA479" i="8"/>
  <c r="AA359" i="8"/>
  <c r="AA386" i="8"/>
  <c r="AA424" i="8"/>
  <c r="AA462" i="8"/>
  <c r="AA379" i="8"/>
  <c r="AA402" i="8"/>
  <c r="AA442" i="8"/>
  <c r="AA467" i="8"/>
  <c r="AA477" i="8"/>
  <c r="AA345" i="8"/>
  <c r="AA395" i="8"/>
  <c r="AA422" i="8"/>
  <c r="AA458" i="8"/>
  <c r="AA455" i="8"/>
  <c r="AA483" i="8"/>
  <c r="AA347" i="8"/>
  <c r="AA476" i="8"/>
  <c r="AA403" i="8"/>
  <c r="AA443" i="8"/>
  <c r="AA472" i="8"/>
  <c r="AA473" i="8"/>
  <c r="AA363" i="8"/>
  <c r="AA444" i="8"/>
  <c r="AA418" i="8"/>
  <c r="AA490" i="8"/>
  <c r="AA367" i="8"/>
  <c r="AA485" i="8"/>
  <c r="AA432" i="8"/>
  <c r="AA475" i="8"/>
  <c r="AA349" i="8"/>
  <c r="AA383" i="8"/>
  <c r="AA449" i="8"/>
  <c r="AA478" i="8"/>
  <c r="AA493" i="8"/>
  <c r="AA401" i="8"/>
  <c r="AA491" i="8"/>
  <c r="AA373" i="8"/>
  <c r="AA428" i="8"/>
  <c r="AA480" i="8"/>
  <c r="AA344" i="8"/>
  <c r="AA351" i="8"/>
  <c r="AA389" i="8"/>
  <c r="AA417" i="8"/>
  <c r="AA446" i="8"/>
  <c r="AA498" i="8"/>
  <c r="AA487" i="8"/>
  <c r="AA405" i="8"/>
  <c r="AA431" i="8"/>
  <c r="AA460" i="8"/>
  <c r="AA435" i="8"/>
  <c r="AA376" i="8"/>
  <c r="AA420" i="8"/>
  <c r="AA453" i="8"/>
  <c r="AA450" i="8"/>
  <c r="AA362" i="8"/>
  <c r="AA361" i="8"/>
  <c r="AA407" i="8"/>
  <c r="AA436" i="8"/>
  <c r="AA474" i="8"/>
  <c r="AA348" i="8"/>
  <c r="AA377" i="8"/>
  <c r="AA425" i="8"/>
  <c r="AA488" i="8"/>
  <c r="AA461" i="8"/>
  <c r="AA364" i="8"/>
  <c r="AA360" i="8"/>
  <c r="AA393" i="8"/>
  <c r="AA468" i="8"/>
  <c r="AA346" i="8"/>
  <c r="AA409" i="8"/>
  <c r="AA457" i="8"/>
  <c r="AA486" i="8"/>
  <c r="AA350" i="8"/>
  <c r="AA400" i="8"/>
  <c r="AA343" i="8"/>
  <c r="AA365" i="8"/>
  <c r="AA399" i="8"/>
  <c r="AA411" i="8"/>
  <c r="AA494" i="8"/>
  <c r="AA464" i="8"/>
  <c r="AA352" i="8"/>
  <c r="AA381" i="8"/>
  <c r="AA415" i="8"/>
  <c r="AA454" i="8"/>
  <c r="AA368" i="8"/>
  <c r="AA433" i="8"/>
  <c r="AA439" i="8"/>
  <c r="AA430" i="8"/>
  <c r="AA496" i="8"/>
  <c r="AA384" i="8"/>
  <c r="AA380" i="8"/>
  <c r="AA413" i="8"/>
  <c r="AA499" i="8"/>
  <c r="AA342" i="8"/>
  <c r="AA354" i="8"/>
  <c r="AA388" i="8"/>
  <c r="AA421" i="8"/>
  <c r="AA392" i="8"/>
  <c r="AA463" i="8"/>
  <c r="AA492" i="8"/>
  <c r="AA408" i="8"/>
  <c r="AA452" i="8"/>
  <c r="AA385" i="8"/>
  <c r="AA481" i="8"/>
  <c r="AA423" i="8"/>
  <c r="AA495" i="8"/>
  <c r="AA372" i="8"/>
  <c r="AA374" i="8"/>
  <c r="AA441" i="8"/>
  <c r="AA447" i="8"/>
  <c r="AA387" i="8"/>
  <c r="AA419" i="8"/>
  <c r="AA438" i="8"/>
  <c r="AA378" i="8"/>
  <c r="AA406" i="8"/>
  <c r="AA412" i="8"/>
  <c r="AA489" i="8"/>
  <c r="AA482" i="8"/>
  <c r="AA356" i="8"/>
  <c r="AA394" i="8"/>
  <c r="AA397" i="8"/>
  <c r="AA451" i="8"/>
  <c r="AA470" i="8"/>
  <c r="AA440" i="8"/>
  <c r="AA469" i="8"/>
  <c r="AA484" i="8"/>
  <c r="AA358" i="8"/>
  <c r="AA313" i="8"/>
  <c r="AA329" i="8"/>
  <c r="AA312" i="8"/>
  <c r="AA334" i="8"/>
  <c r="AA330" i="8"/>
  <c r="AA319" i="8"/>
  <c r="AA314" i="8"/>
  <c r="AA335" i="8"/>
  <c r="AA331" i="8"/>
  <c r="AA336" i="8"/>
  <c r="AA324" i="8"/>
  <c r="AA317" i="8"/>
  <c r="AA333" i="8"/>
  <c r="AA310" i="8"/>
  <c r="AA321" i="8"/>
  <c r="AA311" i="8"/>
  <c r="AA308" i="8"/>
  <c r="AA309" i="8"/>
  <c r="AA326" i="8"/>
  <c r="AA322" i="8"/>
  <c r="AA320" i="8"/>
  <c r="AA338" i="8"/>
  <c r="AA327" i="8"/>
  <c r="AA323" i="8"/>
  <c r="AA328" i="8"/>
  <c r="AA337" i="8"/>
  <c r="AA315" i="8"/>
  <c r="AA316" i="8"/>
  <c r="AA332" i="8"/>
  <c r="AA325" i="8"/>
  <c r="AA318" i="8"/>
  <c r="AA269" i="8"/>
  <c r="AA274" i="8"/>
  <c r="AA244" i="8"/>
  <c r="AA245" i="8"/>
  <c r="AA297" i="8"/>
  <c r="AA283" i="8"/>
  <c r="AA296" i="8"/>
  <c r="AA236" i="8"/>
  <c r="AA242" i="8"/>
  <c r="AA235" i="8"/>
  <c r="AA291" i="8"/>
  <c r="AA247" i="8"/>
  <c r="AA289" i="8"/>
  <c r="AA238" i="8"/>
  <c r="AA287" i="8"/>
  <c r="AA262" i="8"/>
  <c r="AA301" i="8"/>
  <c r="AA253" i="8"/>
  <c r="AA295" i="8"/>
  <c r="AA265" i="8"/>
  <c r="AA290" i="8"/>
  <c r="AA251" i="8"/>
  <c r="AA239" i="8"/>
  <c r="AA284" i="8"/>
  <c r="AA302" i="8"/>
  <c r="AA256" i="8"/>
  <c r="AA277" i="8"/>
  <c r="AA282" i="8"/>
  <c r="AA255" i="8"/>
  <c r="AA275" i="8"/>
  <c r="AA241" i="8"/>
  <c r="AA271" i="8"/>
  <c r="AA286" i="8"/>
  <c r="AA246" i="8"/>
  <c r="AA279" i="8"/>
  <c r="AA294" i="8"/>
  <c r="AA260" i="8"/>
  <c r="AA300" i="8"/>
  <c r="AA267" i="8"/>
  <c r="AA276" i="8"/>
  <c r="AA306" i="8"/>
  <c r="AA292" i="8"/>
  <c r="AA250" i="8"/>
  <c r="AA243" i="8"/>
  <c r="AA261" i="8"/>
  <c r="AA263" i="8"/>
  <c r="AA304" i="8"/>
  <c r="AA281" i="8"/>
  <c r="AA237" i="8"/>
  <c r="AA254" i="8"/>
  <c r="AA231" i="8"/>
  <c r="AA273" i="8"/>
  <c r="AA258" i="8"/>
  <c r="AA233" i="8"/>
  <c r="AA285" i="8"/>
  <c r="AA264" i="8"/>
  <c r="AA232" i="8"/>
  <c r="AA288" i="8"/>
  <c r="AA303" i="8"/>
  <c r="AA234" i="8"/>
  <c r="AA270" i="8"/>
  <c r="AA249" i="8"/>
  <c r="AA248" i="8"/>
  <c r="AA280" i="8"/>
  <c r="AA268" i="8"/>
  <c r="AA299" i="8"/>
  <c r="AA298" i="8"/>
  <c r="AA257" i="8"/>
  <c r="AA272" i="8"/>
  <c r="AA240" i="8"/>
  <c r="AA293" i="8"/>
  <c r="AA252" i="8"/>
  <c r="AA278" i="8"/>
  <c r="AA259" i="8"/>
  <c r="AA266" i="8"/>
  <c r="AA305" i="8"/>
  <c r="AA138" i="8"/>
  <c r="AA216" i="8"/>
  <c r="AA41" i="8"/>
  <c r="AA31" i="8"/>
  <c r="AA155" i="8"/>
  <c r="AA214" i="8"/>
  <c r="AA72" i="8"/>
  <c r="AA194" i="8"/>
  <c r="AA43" i="8"/>
  <c r="AA130" i="8"/>
  <c r="AA141" i="8"/>
  <c r="AA105" i="8"/>
  <c r="AA74" i="8"/>
  <c r="AA40" i="8"/>
  <c r="AA110" i="8"/>
  <c r="AA80" i="8"/>
  <c r="AA197" i="8"/>
  <c r="AA206" i="8"/>
  <c r="AA45" i="8"/>
  <c r="AA213" i="8"/>
  <c r="AA30" i="8"/>
  <c r="AA78" i="8"/>
  <c r="AA48" i="8"/>
  <c r="AA149" i="8"/>
  <c r="AA162" i="8"/>
  <c r="AA191" i="8"/>
  <c r="AA76" i="8"/>
  <c r="AA182" i="8"/>
  <c r="AA126" i="8"/>
  <c r="AA188" i="8"/>
  <c r="AA163" i="8"/>
  <c r="AA38" i="8"/>
  <c r="AA113" i="8"/>
  <c r="AA151" i="8"/>
  <c r="AA51" i="8"/>
  <c r="AA94" i="8"/>
  <c r="AA164" i="8"/>
  <c r="AA170" i="8"/>
  <c r="AA92" i="8"/>
  <c r="AA152" i="8"/>
  <c r="AA36" i="8"/>
  <c r="AA198" i="8"/>
  <c r="AA177" i="8"/>
  <c r="AA217" i="8"/>
  <c r="AA85" i="8"/>
  <c r="AA65" i="8"/>
  <c r="AA108" i="8"/>
  <c r="AA131" i="8"/>
  <c r="AA210" i="8"/>
  <c r="AA134" i="8"/>
  <c r="AA98" i="8"/>
  <c r="AA123" i="8"/>
  <c r="AA184" i="8"/>
  <c r="AA61" i="8"/>
  <c r="AA79" i="8"/>
  <c r="AA101" i="8"/>
  <c r="AA114" i="8"/>
  <c r="AA202" i="8"/>
  <c r="AA64" i="8"/>
  <c r="AA57" i="8"/>
  <c r="AA218" i="8"/>
  <c r="AA212" i="8"/>
  <c r="AA224" i="8"/>
  <c r="AA199" i="8"/>
  <c r="AA127" i="8"/>
  <c r="AA54" i="8"/>
  <c r="AA140" i="8"/>
  <c r="AA203" i="8"/>
  <c r="AA208" i="8"/>
  <c r="AA143" i="8"/>
  <c r="AA60" i="8"/>
  <c r="AA148" i="8"/>
  <c r="AA185" i="8"/>
  <c r="AA221" i="8"/>
  <c r="AA159" i="8"/>
  <c r="AA165" i="8"/>
  <c r="AA119" i="8"/>
  <c r="AA219" i="8"/>
  <c r="AA145" i="8"/>
  <c r="AA84" i="8"/>
  <c r="AA146" i="8"/>
  <c r="AA46" i="8"/>
  <c r="AA81" i="8"/>
  <c r="AA35" i="8"/>
  <c r="AA174" i="8"/>
  <c r="AA160" i="8"/>
  <c r="AA225" i="8"/>
  <c r="AA171" i="8"/>
  <c r="AA71" i="8"/>
  <c r="AA77" i="8"/>
  <c r="AA150" i="8"/>
  <c r="AA82" i="8"/>
  <c r="AA75" i="8"/>
  <c r="AA91" i="8"/>
  <c r="AA50" i="8"/>
  <c r="AA47" i="8"/>
  <c r="AA90" i="8"/>
  <c r="AA34" i="8"/>
  <c r="AA157" i="8"/>
  <c r="AA222" i="8"/>
  <c r="AA195" i="8"/>
  <c r="AA200" i="8"/>
  <c r="AA190" i="8"/>
  <c r="AA135" i="8"/>
  <c r="AA120" i="8"/>
  <c r="AA179" i="8"/>
  <c r="AA44" i="8"/>
  <c r="AA122" i="8"/>
  <c r="AA109" i="8"/>
  <c r="AA67" i="8"/>
  <c r="AA100" i="8"/>
  <c r="AA181" i="8"/>
  <c r="AA196" i="8"/>
  <c r="AA62" i="8"/>
  <c r="AA59" i="8"/>
  <c r="AA97" i="8"/>
  <c r="AA161" i="8"/>
  <c r="AA112" i="8"/>
  <c r="AA158" i="8"/>
  <c r="AA169" i="8"/>
  <c r="AA88" i="8"/>
  <c r="AA73" i="8"/>
  <c r="AA121" i="8"/>
  <c r="AA167" i="8"/>
  <c r="AA186" i="8"/>
  <c r="AA226" i="8"/>
  <c r="AA70" i="8"/>
  <c r="AA220" i="8"/>
  <c r="AA118" i="8"/>
  <c r="AA53" i="8"/>
  <c r="AA215" i="8"/>
  <c r="AA33" i="8"/>
  <c r="AA139" i="8"/>
  <c r="AA207" i="8"/>
  <c r="AA95" i="8"/>
  <c r="AA106" i="8"/>
  <c r="AA133" i="8"/>
  <c r="AA32" i="8"/>
  <c r="AA183" i="8"/>
  <c r="AA129" i="8"/>
  <c r="AA223" i="8"/>
  <c r="AA102" i="8"/>
  <c r="AA39" i="8"/>
  <c r="AA68" i="8"/>
  <c r="AA128" i="8"/>
  <c r="AA42" i="8"/>
  <c r="AA132" i="8"/>
  <c r="AA193" i="8"/>
  <c r="AA175" i="8"/>
  <c r="AA173" i="8"/>
  <c r="AA153" i="8"/>
  <c r="AA55" i="8"/>
  <c r="AA142" i="8"/>
  <c r="AA178" i="8"/>
  <c r="AA136" i="8"/>
  <c r="AA66" i="8"/>
  <c r="AA52" i="8"/>
  <c r="AA86" i="8"/>
  <c r="AA144" i="8"/>
  <c r="AA49" i="8"/>
  <c r="AA168" i="8"/>
  <c r="AA83" i="8"/>
  <c r="AA187" i="8"/>
  <c r="AA104" i="8"/>
  <c r="AA99" i="8"/>
  <c r="AA192" i="8"/>
  <c r="AA124" i="8"/>
  <c r="AA117" i="8"/>
  <c r="AA115" i="8"/>
  <c r="AA201" i="8"/>
  <c r="AA125" i="8"/>
  <c r="AA93" i="8"/>
  <c r="AA107" i="8"/>
  <c r="AA176" i="8"/>
  <c r="AA56" i="8"/>
  <c r="AA147" i="8"/>
  <c r="AA63" i="8"/>
  <c r="AA96" i="8"/>
  <c r="AA103" i="8"/>
  <c r="AA89" i="8"/>
  <c r="AA58" i="8"/>
  <c r="AA156" i="8"/>
  <c r="AA166" i="8"/>
  <c r="AA211" i="8"/>
  <c r="AA209" i="8"/>
  <c r="AA205" i="8"/>
  <c r="AA154" i="8"/>
  <c r="AA111" i="8"/>
  <c r="AA69" i="8"/>
  <c r="AA180" i="8"/>
  <c r="AA189" i="8"/>
  <c r="AA87" i="8"/>
  <c r="AA37" i="8"/>
  <c r="AA137" i="8"/>
  <c r="AA116" i="8"/>
  <c r="AA204" i="8"/>
  <c r="AA172" i="8"/>
  <c r="AA26" i="8"/>
  <c r="AA28" i="8"/>
  <c r="AA27" i="8"/>
  <c r="AA25" i="8"/>
  <c r="AA24" i="8"/>
  <c r="AA23" i="8"/>
  <c r="AA907" i="8"/>
  <c r="AC907" i="8" s="1" a="1"/>
  <c r="AC907" i="8" s="1"/>
  <c r="AA7" i="8"/>
  <c r="AA22" i="8"/>
  <c r="AA18" i="8"/>
  <c r="AA19" i="8"/>
  <c r="AA20" i="8"/>
  <c r="AA21" i="8"/>
  <c r="AA16" i="8"/>
  <c r="AA12" i="8"/>
  <c r="AA13" i="8"/>
  <c r="AA15" i="8"/>
  <c r="AA4" i="8"/>
  <c r="AA2" i="8"/>
  <c r="AA9" i="8"/>
  <c r="AA3" i="8"/>
  <c r="AA5" i="8"/>
  <c r="AA8" i="8"/>
  <c r="AA6" i="8"/>
  <c r="AA10" i="8"/>
  <c r="AA11" i="8"/>
  <c r="AA14" i="8"/>
  <c r="AA872" i="8"/>
  <c r="AB872" i="8" s="1" a="1"/>
  <c r="AB872" i="8" s="1"/>
  <c r="AA867" i="8"/>
  <c r="AC867" i="8" s="1" a="1"/>
  <c r="AC867" i="8" s="1"/>
  <c r="AA585" i="8"/>
  <c r="AA29" i="8"/>
  <c r="AA890" i="8"/>
  <c r="AC890" i="8" s="1" a="1"/>
  <c r="AC890" i="8" s="1"/>
  <c r="AA894" i="8"/>
  <c r="AC894" i="8" s="1" a="1"/>
  <c r="AC894" i="8" s="1"/>
  <c r="AA17" i="8"/>
  <c r="AA885" i="8"/>
  <c r="AA878" i="8"/>
  <c r="AC878" i="8" s="1" a="1"/>
  <c r="AC878" i="8" s="1"/>
  <c r="AA898" i="8"/>
  <c r="AC898" i="8" s="1" a="1"/>
  <c r="AC898" i="8" s="1"/>
  <c r="AA871" i="8"/>
  <c r="AC871" i="8" s="1" a="1"/>
  <c r="AC871" i="8" s="1"/>
  <c r="AA903" i="8"/>
  <c r="AC903" i="8" s="1" a="1"/>
  <c r="AC903" i="8" s="1"/>
  <c r="AA876" i="8"/>
  <c r="AC876" i="8" s="1" a="1"/>
  <c r="AC876" i="8" s="1"/>
  <c r="AA897" i="8"/>
  <c r="AB897" i="8" s="1" a="1"/>
  <c r="AB897" i="8" s="1"/>
  <c r="AA904" i="8"/>
  <c r="AC904" i="8" s="1" a="1"/>
  <c r="AC904" i="8" s="1"/>
  <c r="AA889" i="8"/>
  <c r="AC889" i="8" s="1" a="1"/>
  <c r="AC889" i="8" s="1"/>
  <c r="AA893" i="8"/>
  <c r="AB893" i="8" s="1" a="1"/>
  <c r="AB893" i="8" s="1"/>
  <c r="AC865" i="8" a="1"/>
  <c r="AC865" i="8" s="1"/>
  <c r="AB865" i="8" a="1"/>
  <c r="AB865" i="8" s="1"/>
  <c r="AC869" i="8" a="1"/>
  <c r="AC869" i="8" s="1"/>
  <c r="AB869" i="8" a="1"/>
  <c r="AB869" i="8" s="1"/>
  <c r="AC886" i="8" a="1"/>
  <c r="AC886" i="8" s="1"/>
  <c r="AB886" i="8" a="1"/>
  <c r="AB886" i="8" s="1"/>
  <c r="AC880" i="8" a="1"/>
  <c r="AC880" i="8" s="1"/>
  <c r="AB880" i="8" a="1"/>
  <c r="AB880" i="8" s="1"/>
  <c r="AC888" i="8" a="1"/>
  <c r="AC888" i="8" s="1"/>
  <c r="AB888" i="8" a="1"/>
  <c r="AB888" i="8" s="1"/>
  <c r="AC339" i="8" a="1"/>
  <c r="AC339" i="8" s="1"/>
  <c r="AB339" i="8" a="1"/>
  <c r="AB339" i="8" s="1"/>
  <c r="AC795" i="8" a="1"/>
  <c r="AC795" i="8" s="1"/>
  <c r="AB795" i="8" a="1"/>
  <c r="AB795" i="8" s="1"/>
  <c r="AC902" i="8" a="1"/>
  <c r="AC902" i="8" s="1"/>
  <c r="AB902" i="8" a="1"/>
  <c r="AB902" i="8" s="1"/>
  <c r="AC900" i="8" a="1"/>
  <c r="AC900" i="8" s="1"/>
  <c r="AB900" i="8" a="1"/>
  <c r="AB900" i="8" s="1"/>
  <c r="AC874" i="8" a="1"/>
  <c r="AC874" i="8" s="1"/>
  <c r="AB874" i="8" a="1"/>
  <c r="AB874" i="8" s="1"/>
  <c r="AC899" i="8" a="1"/>
  <c r="AC899" i="8" s="1"/>
  <c r="AB899" i="8" a="1"/>
  <c r="AB899" i="8" s="1"/>
  <c r="AC884" i="8" a="1"/>
  <c r="AC884" i="8" s="1"/>
  <c r="AB884" i="8" a="1"/>
  <c r="AB884" i="8" s="1"/>
  <c r="AC892" i="8" a="1"/>
  <c r="AC892" i="8" s="1"/>
  <c r="AB892" i="8" a="1"/>
  <c r="AB892" i="8" s="1"/>
  <c r="AC881" i="8" a="1"/>
  <c r="AC881" i="8" s="1"/>
  <c r="AB881" i="8" a="1"/>
  <c r="AB881" i="8" s="1"/>
  <c r="AC866" i="8" a="1"/>
  <c r="AC866" i="8" s="1"/>
  <c r="AB866" i="8" a="1"/>
  <c r="AB866" i="8" s="1"/>
  <c r="AC505" i="8" a="1"/>
  <c r="AC505" i="8" s="1"/>
  <c r="AB505" i="8" a="1"/>
  <c r="AB505" i="8" s="1"/>
  <c r="AC877" i="8" a="1"/>
  <c r="AC877" i="8" s="1"/>
  <c r="AB877" i="8" a="1"/>
  <c r="AB877" i="8" s="1"/>
  <c r="AC230" i="8" a="1"/>
  <c r="AC230" i="8" s="1"/>
  <c r="AB230" i="8" a="1"/>
  <c r="AB230" i="8" s="1"/>
  <c r="AC870" i="8" a="1"/>
  <c r="AC870" i="8" s="1"/>
  <c r="AB870" i="8" a="1"/>
  <c r="AB870" i="8" s="1"/>
  <c r="AC868" i="8" a="1"/>
  <c r="AC868" i="8" s="1"/>
  <c r="AB868" i="8" a="1"/>
  <c r="AB868" i="8" s="1"/>
  <c r="AC891" i="8" a="1"/>
  <c r="AC891" i="8" s="1"/>
  <c r="AB891" i="8" a="1"/>
  <c r="AB891" i="8" s="1"/>
  <c r="AC882" i="8" a="1"/>
  <c r="AC882" i="8" s="1"/>
  <c r="AB882" i="8" a="1"/>
  <c r="AB882" i="8" s="1"/>
  <c r="AC905" i="8" a="1"/>
  <c r="AC905" i="8" s="1"/>
  <c r="AB905" i="8" a="1"/>
  <c r="AB905" i="8" s="1"/>
  <c r="AC229" i="8" a="1"/>
  <c r="AC229" i="8" s="1"/>
  <c r="AB229" i="8" a="1"/>
  <c r="AB229" i="8" s="1"/>
  <c r="AC895" i="8" a="1"/>
  <c r="AC895" i="8" s="1"/>
  <c r="AB895" i="8" a="1"/>
  <c r="AB895" i="8" s="1"/>
  <c r="AC875" i="8" a="1"/>
  <c r="AC875" i="8" s="1"/>
  <c r="AB875" i="8" a="1"/>
  <c r="AB875" i="8" s="1"/>
  <c r="AC873" i="8" a="1"/>
  <c r="AC873" i="8" s="1"/>
  <c r="AB873" i="8" a="1"/>
  <c r="AB873" i="8" s="1"/>
  <c r="AC883" i="8" a="1"/>
  <c r="AC883" i="8" s="1"/>
  <c r="AB883" i="8" a="1"/>
  <c r="AB883" i="8" s="1"/>
  <c r="AC879" i="8" a="1"/>
  <c r="AC879" i="8" s="1"/>
  <c r="AB879" i="8" a="1"/>
  <c r="AB879" i="8" s="1"/>
  <c r="AC887" i="8" a="1"/>
  <c r="AC887" i="8" s="1"/>
  <c r="AB887" i="8" a="1"/>
  <c r="AB887" i="8" s="1"/>
  <c r="AC901" i="8" a="1"/>
  <c r="AC901" i="8" s="1"/>
  <c r="AB901" i="8" a="1"/>
  <c r="AB901" i="8" s="1"/>
  <c r="AC227" i="8" a="1"/>
  <c r="AC227" i="8" s="1"/>
  <c r="AB227" i="8" a="1"/>
  <c r="AB227" i="8" s="1"/>
  <c r="AC896" i="8" a="1"/>
  <c r="AC896" i="8" s="1"/>
  <c r="AB896" i="8" a="1"/>
  <c r="AB896" i="8" s="1"/>
  <c r="AA792" i="8"/>
  <c r="AA502" i="8"/>
  <c r="AA501" i="8"/>
  <c r="AA793" i="8"/>
  <c r="AA794" i="8"/>
  <c r="AA307" i="8"/>
  <c r="AA789" i="8"/>
  <c r="AA791" i="8"/>
  <c r="AA906" i="8"/>
  <c r="AA503" i="8"/>
  <c r="AA228" i="8"/>
  <c r="AA506" i="8"/>
  <c r="AA790" i="8"/>
  <c r="AA504" i="8"/>
  <c r="H684" i="14"/>
  <c r="N523" i="14"/>
  <c r="R398" i="14"/>
  <c r="P329" i="14"/>
  <c r="H398" i="14"/>
  <c r="M671" i="14"/>
  <c r="O671" i="14"/>
  <c r="R329" i="14"/>
  <c r="O398" i="14"/>
  <c r="H329" i="14"/>
  <c r="M684" i="14"/>
  <c r="R523" i="14"/>
  <c r="P523" i="14"/>
  <c r="N684" i="14"/>
  <c r="L398" i="14"/>
  <c r="L329" i="14"/>
  <c r="P671" i="14"/>
  <c r="Q398" i="14"/>
  <c r="M523" i="14"/>
  <c r="Q523" i="14"/>
  <c r="H523" i="14"/>
  <c r="L523" i="14"/>
  <c r="N671" i="14"/>
  <c r="O329" i="14"/>
  <c r="P398" i="14"/>
  <c r="L671" i="14"/>
  <c r="O523" i="14"/>
  <c r="Q329" i="14"/>
  <c r="Q684" i="14"/>
  <c r="N398" i="14"/>
  <c r="H671" i="14"/>
  <c r="L684" i="14"/>
  <c r="P684" i="14"/>
  <c r="Q671" i="14"/>
  <c r="R671" i="14"/>
  <c r="M329" i="14"/>
  <c r="O684" i="14"/>
  <c r="R684" i="14"/>
  <c r="N329" i="14"/>
  <c r="M398" i="14"/>
  <c r="H30" i="5"/>
  <c r="H31" i="5"/>
  <c r="H18" i="5"/>
  <c r="H32" i="5"/>
  <c r="J10" i="7" l="1"/>
  <c r="I10" i="7"/>
  <c r="I6" i="7"/>
  <c r="J6" i="7"/>
  <c r="J2" i="7"/>
  <c r="I2" i="7"/>
  <c r="I13" i="7"/>
  <c r="J13" i="7"/>
  <c r="J9" i="7"/>
  <c r="I9" i="7"/>
  <c r="I5" i="7"/>
  <c r="J5" i="7"/>
  <c r="I16" i="7"/>
  <c r="J16" i="7"/>
  <c r="I12" i="7"/>
  <c r="J12" i="7"/>
  <c r="I8" i="7"/>
  <c r="J8" i="7"/>
  <c r="I4" i="7"/>
  <c r="J4" i="7"/>
  <c r="I15" i="7"/>
  <c r="J15" i="7"/>
  <c r="I11" i="7"/>
  <c r="J11" i="7"/>
  <c r="I7" i="7"/>
  <c r="J7" i="7"/>
  <c r="I3" i="7"/>
  <c r="J3" i="7"/>
  <c r="I14" i="7"/>
  <c r="J14" i="7"/>
  <c r="F10" i="7"/>
  <c r="G10" i="7"/>
  <c r="H10" i="7"/>
  <c r="E10" i="7"/>
  <c r="D10" i="7"/>
  <c r="M2" i="7"/>
  <c r="D2" i="7"/>
  <c r="H2" i="7"/>
  <c r="G9" i="7"/>
  <c r="H9" i="7"/>
  <c r="F9" i="7"/>
  <c r="D9" i="7"/>
  <c r="E9" i="7"/>
  <c r="H16" i="7"/>
  <c r="G16" i="7"/>
  <c r="E16" i="7"/>
  <c r="D16" i="7"/>
  <c r="F16" i="7"/>
  <c r="F8" i="7"/>
  <c r="H8" i="7"/>
  <c r="G8" i="7"/>
  <c r="E8" i="7"/>
  <c r="D8" i="7"/>
  <c r="D15" i="7"/>
  <c r="F15" i="7"/>
  <c r="E15" i="7"/>
  <c r="H15" i="7"/>
  <c r="G15" i="7"/>
  <c r="H7" i="7"/>
  <c r="D7" i="7"/>
  <c r="F7" i="7"/>
  <c r="E7" i="7"/>
  <c r="G7" i="7"/>
  <c r="H14" i="7"/>
  <c r="D14" i="7"/>
  <c r="E14" i="7"/>
  <c r="G14" i="7"/>
  <c r="F14" i="7"/>
  <c r="D6" i="7"/>
  <c r="E6" i="7"/>
  <c r="G6" i="7"/>
  <c r="F6" i="7"/>
  <c r="H6" i="7"/>
  <c r="E13" i="7"/>
  <c r="D13" i="7"/>
  <c r="F13" i="7"/>
  <c r="H13" i="7"/>
  <c r="G13" i="7"/>
  <c r="H5" i="7"/>
  <c r="D5" i="7"/>
  <c r="D12" i="7"/>
  <c r="E12" i="7"/>
  <c r="F12" i="7"/>
  <c r="G12" i="7"/>
  <c r="H12" i="7"/>
  <c r="D4" i="7"/>
  <c r="H4" i="7"/>
  <c r="E11" i="7"/>
  <c r="F11" i="7"/>
  <c r="G11" i="7"/>
  <c r="D11" i="7"/>
  <c r="H11" i="7"/>
  <c r="M3" i="7"/>
  <c r="H3" i="7"/>
  <c r="D3" i="7"/>
  <c r="AL140" i="8"/>
  <c r="AL103" i="8"/>
  <c r="AK81" i="8"/>
  <c r="AL81" i="8" s="1"/>
  <c r="L10" i="7"/>
  <c r="M10" i="7"/>
  <c r="L9" i="7"/>
  <c r="M9" i="7"/>
  <c r="L16" i="7"/>
  <c r="M16" i="7"/>
  <c r="L8" i="7"/>
  <c r="M8" i="7"/>
  <c r="L15" i="7"/>
  <c r="M15" i="7"/>
  <c r="L7" i="7"/>
  <c r="M7" i="7"/>
  <c r="L14" i="7"/>
  <c r="M14" i="7"/>
  <c r="L6" i="7"/>
  <c r="M6" i="7"/>
  <c r="L13" i="7"/>
  <c r="M13" i="7"/>
  <c r="L5" i="7"/>
  <c r="M5" i="7"/>
  <c r="L12" i="7"/>
  <c r="M12" i="7"/>
  <c r="L4" i="7"/>
  <c r="M4" i="7"/>
  <c r="L11" i="7"/>
  <c r="M11" i="7"/>
  <c r="K2" i="7"/>
  <c r="L2" i="7"/>
  <c r="K3" i="7"/>
  <c r="L3" i="7"/>
  <c r="K10" i="7"/>
  <c r="K9" i="7"/>
  <c r="K16" i="7"/>
  <c r="K8" i="7"/>
  <c r="K15" i="7"/>
  <c r="K7" i="7"/>
  <c r="K14" i="7"/>
  <c r="K6" i="7"/>
  <c r="K13" i="7"/>
  <c r="K5" i="7"/>
  <c r="K12" i="7"/>
  <c r="K4" i="7"/>
  <c r="K11" i="7"/>
  <c r="N10" i="7"/>
  <c r="N2" i="7"/>
  <c r="N9" i="7"/>
  <c r="N16" i="7"/>
  <c r="N8" i="7"/>
  <c r="N15" i="7"/>
  <c r="N7" i="7"/>
  <c r="N14" i="7"/>
  <c r="N6" i="7"/>
  <c r="N13" i="7"/>
  <c r="N5" i="7"/>
  <c r="N12" i="7"/>
  <c r="N4" i="7"/>
  <c r="N11" i="7"/>
  <c r="N3" i="7"/>
  <c r="R10" i="7" a="1"/>
  <c r="R10" i="7" s="1"/>
  <c r="R2" i="7" a="1"/>
  <c r="R2" i="7" s="1"/>
  <c r="R9" i="7" a="1"/>
  <c r="R9" i="7" s="1"/>
  <c r="R16" i="7" a="1"/>
  <c r="R16" i="7" s="1"/>
  <c r="R8" i="7" a="1"/>
  <c r="R8" i="7" s="1"/>
  <c r="R15" i="7" a="1"/>
  <c r="R15" i="7" s="1"/>
  <c r="R7" i="7" a="1"/>
  <c r="R7" i="7" s="1"/>
  <c r="R14" i="7" a="1"/>
  <c r="R14" i="7" s="1"/>
  <c r="R6" i="7" a="1"/>
  <c r="R6" i="7" s="1"/>
  <c r="R13" i="7" a="1"/>
  <c r="R13" i="7" s="1"/>
  <c r="R5" i="7" a="1"/>
  <c r="R5" i="7" s="1"/>
  <c r="R12" i="7" a="1"/>
  <c r="R12" i="7" s="1"/>
  <c r="R4" i="7" a="1"/>
  <c r="R4" i="7" s="1"/>
  <c r="R11" i="7" a="1"/>
  <c r="R11" i="7" s="1"/>
  <c r="R3" i="7" a="1"/>
  <c r="R3" i="7" s="1"/>
  <c r="AB909" i="8" a="1"/>
  <c r="AB909" i="8" s="1"/>
  <c r="AL2" i="8"/>
  <c r="AK193" i="8"/>
  <c r="AL193" i="8" s="1"/>
  <c r="AK370" i="8"/>
  <c r="AL370" i="8" s="1"/>
  <c r="AK295" i="8"/>
  <c r="AL295" i="8" s="1"/>
  <c r="AK291" i="8"/>
  <c r="AL291" i="8" s="1"/>
  <c r="AK102" i="8"/>
  <c r="AL102" i="8" s="1"/>
  <c r="AK207" i="8"/>
  <c r="AL207" i="8" s="1"/>
  <c r="AK226" i="8"/>
  <c r="AL226" i="8" s="1"/>
  <c r="AK59" i="8"/>
  <c r="AL59" i="8" s="1"/>
  <c r="AK856" i="8"/>
  <c r="AL856" i="8" s="1"/>
  <c r="AK686" i="8"/>
  <c r="AL686" i="8" s="1"/>
  <c r="AK628" i="8"/>
  <c r="AL628" i="8" s="1"/>
  <c r="AK669" i="8"/>
  <c r="AL669" i="8" s="1"/>
  <c r="AK509" i="8"/>
  <c r="AL509" i="8" s="1"/>
  <c r="AK451" i="8"/>
  <c r="AL451" i="8" s="1"/>
  <c r="AK13" i="8"/>
  <c r="AL13" i="8" s="1"/>
  <c r="AK845" i="8"/>
  <c r="AL845" i="8" s="1"/>
  <c r="AK862" i="8"/>
  <c r="AL862" i="8" s="1"/>
  <c r="AK756" i="8"/>
  <c r="AL756" i="8" s="1"/>
  <c r="AK674" i="8"/>
  <c r="AL674" i="8" s="1"/>
  <c r="AK722" i="8"/>
  <c r="AL722" i="8" s="1"/>
  <c r="AK531" i="8"/>
  <c r="AL531" i="8" s="1"/>
  <c r="AK284" i="8"/>
  <c r="AL284" i="8" s="1"/>
  <c r="AK192" i="8"/>
  <c r="AL192" i="8" s="1"/>
  <c r="AK86" i="8"/>
  <c r="AL86" i="8" s="1"/>
  <c r="AK230" i="8"/>
  <c r="AL230" i="8" s="1"/>
  <c r="AK902" i="8"/>
  <c r="AL902" i="8" s="1"/>
  <c r="AK889" i="8"/>
  <c r="AL889" i="8" s="1"/>
  <c r="AK848" i="8"/>
  <c r="AL848" i="8" s="1"/>
  <c r="AK661" i="8"/>
  <c r="AL661" i="8" s="1"/>
  <c r="AK779" i="8"/>
  <c r="AL779" i="8" s="1"/>
  <c r="AK668" i="8"/>
  <c r="AL668" i="8" s="1"/>
  <c r="AK730" i="8"/>
  <c r="AL730" i="8" s="1"/>
  <c r="AK515" i="8"/>
  <c r="AL515" i="8" s="1"/>
  <c r="AK397" i="8"/>
  <c r="AL397" i="8" s="1"/>
  <c r="AK850" i="8"/>
  <c r="AL850" i="8" s="1"/>
  <c r="AK762" i="8"/>
  <c r="AL762" i="8" s="1"/>
  <c r="AK737" i="8"/>
  <c r="AL737" i="8" s="1"/>
  <c r="AK677" i="8"/>
  <c r="AL677" i="8" s="1"/>
  <c r="AK715" i="8"/>
  <c r="AL715" i="8" s="1"/>
  <c r="AK516" i="8"/>
  <c r="AL516" i="8" s="1"/>
  <c r="AK188" i="8"/>
  <c r="AL188" i="8" s="1"/>
  <c r="AK858" i="8"/>
  <c r="AL858" i="8" s="1"/>
  <c r="AK828" i="8"/>
  <c r="AL828" i="8" s="1"/>
  <c r="AK678" i="8"/>
  <c r="AL678" i="8" s="1"/>
  <c r="AK746" i="8"/>
  <c r="AL746" i="8" s="1"/>
  <c r="AK781" i="8"/>
  <c r="AL781" i="8" s="1"/>
  <c r="AK514" i="8"/>
  <c r="AL514" i="8" s="1"/>
  <c r="AK572" i="8"/>
  <c r="AL572" i="8" s="1"/>
  <c r="AK393" i="8"/>
  <c r="AL393" i="8" s="1"/>
  <c r="AK474" i="8"/>
  <c r="AL474" i="8" s="1"/>
  <c r="AK332" i="8"/>
  <c r="AL332" i="8" s="1"/>
  <c r="AK887" i="8"/>
  <c r="AL887" i="8" s="1"/>
  <c r="AK476" i="8"/>
  <c r="AL476" i="8" s="1"/>
  <c r="AK311" i="8"/>
  <c r="AL311" i="8" s="1"/>
  <c r="AK239" i="8"/>
  <c r="AL239" i="8" s="1"/>
  <c r="AK99" i="8"/>
  <c r="AL99" i="8" s="1"/>
  <c r="AK52" i="8"/>
  <c r="AL52" i="8" s="1"/>
  <c r="AK129" i="8"/>
  <c r="AL129" i="8" s="1"/>
  <c r="AK499" i="8"/>
  <c r="AL499" i="8" s="1"/>
  <c r="AK368" i="8"/>
  <c r="AL368" i="8" s="1"/>
  <c r="AK399" i="8"/>
  <c r="AL399" i="8" s="1"/>
  <c r="AK258" i="8"/>
  <c r="AL258" i="8" s="1"/>
  <c r="AK85" i="8"/>
  <c r="AK126" i="8"/>
  <c r="AL126" i="8" s="1"/>
  <c r="AK897" i="8"/>
  <c r="AL897" i="8" s="1"/>
  <c r="AK292" i="8"/>
  <c r="AL292" i="8" s="1"/>
  <c r="AK110" i="8"/>
  <c r="AL110" i="8" s="1"/>
  <c r="AK72" i="8"/>
  <c r="AK815" i="8"/>
  <c r="AL815" i="8" s="1"/>
  <c r="AK665" i="8"/>
  <c r="AL665" i="8" s="1"/>
  <c r="AK654" i="8"/>
  <c r="AL654" i="8" s="1"/>
  <c r="AK771" i="8"/>
  <c r="AL771" i="8" s="1"/>
  <c r="AK453" i="8"/>
  <c r="AL453" i="8" s="1"/>
  <c r="AK498" i="8"/>
  <c r="AL498" i="8" s="1"/>
  <c r="AK373" i="8"/>
  <c r="AL373" i="8" s="1"/>
  <c r="AK327" i="8"/>
  <c r="AL327" i="8" s="1"/>
  <c r="AK301" i="8"/>
  <c r="AL301" i="8" s="1"/>
  <c r="AK907" i="8"/>
  <c r="AL907" i="8" s="1"/>
  <c r="AK244" i="8"/>
  <c r="AL244" i="8" s="1"/>
  <c r="AK169" i="8"/>
  <c r="AL169" i="8" s="1"/>
  <c r="AK181" i="8"/>
  <c r="AL181" i="8" s="1"/>
  <c r="AK791" i="8"/>
  <c r="AL791" i="8" s="1"/>
  <c r="AK810" i="8"/>
  <c r="AL810" i="8" s="1"/>
  <c r="AK753" i="8"/>
  <c r="AL753" i="8" s="1"/>
  <c r="AK763" i="8"/>
  <c r="AL763" i="8" s="1"/>
  <c r="AK743" i="8"/>
  <c r="AL743" i="8" s="1"/>
  <c r="AK447" i="8"/>
  <c r="AL447" i="8" s="1"/>
  <c r="AK452" i="8"/>
  <c r="AL452" i="8" s="1"/>
  <c r="AK851" i="8"/>
  <c r="AL851" i="8" s="1"/>
  <c r="AK796" i="8"/>
  <c r="AL796" i="8" s="1"/>
  <c r="AK690" i="8"/>
  <c r="AL690" i="8" s="1"/>
  <c r="AK671" i="8"/>
  <c r="AL671" i="8" s="1"/>
  <c r="AK723" i="8"/>
  <c r="AL723" i="8" s="1"/>
  <c r="AK565" i="8"/>
  <c r="AL565" i="8" s="1"/>
  <c r="AK532" i="8"/>
  <c r="AL532" i="8" s="1"/>
  <c r="AK364" i="8"/>
  <c r="AL364" i="8" s="1"/>
  <c r="AK407" i="8"/>
  <c r="AL407" i="8" s="1"/>
  <c r="AK315" i="8"/>
  <c r="AL315" i="8" s="1"/>
  <c r="AK501" i="8"/>
  <c r="AL501" i="8" s="1"/>
  <c r="AK246" i="8"/>
  <c r="AL246" i="8" s="1"/>
  <c r="AK37" i="8"/>
  <c r="AL37" i="8" s="1"/>
  <c r="AK209" i="8"/>
  <c r="AL209" i="8" s="1"/>
  <c r="AK63" i="8"/>
  <c r="AL63" i="8" s="1"/>
  <c r="AK14" i="8"/>
  <c r="AL14" i="8" s="1"/>
  <c r="AK245" i="8"/>
  <c r="AL245" i="8" s="1"/>
  <c r="AK120" i="8"/>
  <c r="AL120" i="8" s="1"/>
  <c r="AK90" i="8"/>
  <c r="AL90" i="8" s="1"/>
  <c r="AK586" i="8"/>
  <c r="AL586" i="8" s="1"/>
  <c r="AK353" i="8"/>
  <c r="AL353" i="8" s="1"/>
  <c r="AK396" i="8"/>
  <c r="AL396" i="8" s="1"/>
  <c r="AK3" i="8"/>
  <c r="AL3" i="8" s="1"/>
  <c r="AK802" i="8"/>
  <c r="AL802" i="8" s="1"/>
  <c r="AK784" i="8"/>
  <c r="AL784" i="8" s="1"/>
  <c r="AK714" i="8"/>
  <c r="AL714" i="8" s="1"/>
  <c r="AK441" i="8"/>
  <c r="AL441" i="8" s="1"/>
  <c r="AK408" i="8"/>
  <c r="AL408" i="8" s="1"/>
  <c r="AK270" i="8"/>
  <c r="AL270" i="8" s="1"/>
  <c r="AK119" i="8"/>
  <c r="AL119" i="8" s="1"/>
  <c r="AK208" i="8"/>
  <c r="AL208" i="8" s="1"/>
  <c r="AK218" i="8"/>
  <c r="AL218" i="8" s="1"/>
  <c r="AK184" i="8"/>
  <c r="AL184" i="8" s="1"/>
  <c r="AK30" i="8"/>
  <c r="AL30" i="8" s="1"/>
  <c r="AK231" i="8"/>
  <c r="AL231" i="8" s="1"/>
  <c r="AK177" i="8"/>
  <c r="AL177" i="8" s="1"/>
  <c r="AK51" i="8"/>
  <c r="AL51" i="8" s="1"/>
  <c r="AK276" i="8"/>
  <c r="AL276" i="8" s="1"/>
  <c r="AK74" i="8"/>
  <c r="AL74" i="8" s="1"/>
  <c r="AK155" i="8"/>
  <c r="AL155" i="8" s="1"/>
  <c r="AK883" i="8"/>
  <c r="AL883" i="8" s="1"/>
  <c r="AK806" i="8"/>
  <c r="AL806" i="8" s="1"/>
  <c r="AK636" i="8"/>
  <c r="AL636" i="8" s="1"/>
  <c r="AK761" i="8"/>
  <c r="AL761" i="8" s="1"/>
  <c r="AK650" i="8"/>
  <c r="AL650" i="8" s="1"/>
  <c r="AK376" i="8"/>
  <c r="AL376" i="8" s="1"/>
  <c r="AK417" i="8"/>
  <c r="AL417" i="8" s="1"/>
  <c r="AK401" i="8"/>
  <c r="AL401" i="8" s="1"/>
  <c r="AK320" i="8"/>
  <c r="AL320" i="8" s="1"/>
  <c r="AK286" i="8"/>
  <c r="AL286" i="8" s="1"/>
  <c r="AK87" i="8"/>
  <c r="AL87" i="8" s="1"/>
  <c r="AK211" i="8"/>
  <c r="AL211" i="8" s="1"/>
  <c r="AK147" i="8"/>
  <c r="AL147" i="8" s="1"/>
  <c r="AK585" i="8"/>
  <c r="AL585" i="8" s="1"/>
  <c r="AK849" i="8"/>
  <c r="AL849" i="8" s="1"/>
  <c r="AK750" i="8"/>
  <c r="AL750" i="8" s="1"/>
  <c r="AK685" i="8"/>
  <c r="AL685" i="8" s="1"/>
  <c r="AK731" i="8"/>
  <c r="AL731" i="8" s="1"/>
  <c r="AK383" i="8"/>
  <c r="AL383" i="8" s="1"/>
  <c r="AK868" i="8"/>
  <c r="AL868" i="8" s="1"/>
  <c r="AK644" i="8"/>
  <c r="AL644" i="8" s="1"/>
  <c r="AK609" i="8"/>
  <c r="AL609" i="8" s="1"/>
  <c r="AK595" i="8"/>
  <c r="AL595" i="8" s="1"/>
  <c r="AK513" i="8"/>
  <c r="AL513" i="8" s="1"/>
  <c r="AK374" i="8"/>
  <c r="AL374" i="8" s="1"/>
  <c r="AK492" i="8"/>
  <c r="AL492" i="8" s="1"/>
  <c r="AK384" i="8"/>
  <c r="AL384" i="8" s="1"/>
  <c r="AK381" i="8"/>
  <c r="AL381" i="8" s="1"/>
  <c r="AK400" i="8"/>
  <c r="AL400" i="8" s="1"/>
  <c r="AK254" i="8"/>
  <c r="AL254" i="8" s="1"/>
  <c r="AK198" i="8"/>
  <c r="AK191" i="8"/>
  <c r="AL191" i="8" s="1"/>
  <c r="AK213" i="8"/>
  <c r="AL213" i="8" s="1"/>
  <c r="AK105" i="8"/>
  <c r="AL105" i="8" s="1"/>
  <c r="AK31" i="8"/>
  <c r="AL31" i="8" s="1"/>
  <c r="AK888" i="8"/>
  <c r="AL888" i="8" s="1"/>
  <c r="AK389" i="8"/>
  <c r="AL389" i="8" s="1"/>
  <c r="AK493" i="8"/>
  <c r="AL493" i="8" s="1"/>
  <c r="AK322" i="8"/>
  <c r="AL322" i="8" s="1"/>
  <c r="AK196" i="8"/>
  <c r="AL196" i="8" s="1"/>
  <c r="AK684" i="8"/>
  <c r="AL684" i="8" s="1"/>
  <c r="AK563" i="8"/>
  <c r="AL563" i="8" s="1"/>
  <c r="AK437" i="8"/>
  <c r="AL437" i="8" s="1"/>
  <c r="AK336" i="8"/>
  <c r="AL336" i="8" s="1"/>
  <c r="AK50" i="8"/>
  <c r="AL50" i="8" s="1"/>
  <c r="AK662" i="8"/>
  <c r="AL662" i="8" s="1"/>
  <c r="AK312" i="8"/>
  <c r="AL312" i="8" s="1"/>
  <c r="AK682" i="8"/>
  <c r="AL682" i="8" s="1"/>
  <c r="AK710" i="8"/>
  <c r="AL710" i="8" s="1"/>
  <c r="AK526" i="8"/>
  <c r="AL526" i="8" s="1"/>
  <c r="AK357" i="8"/>
  <c r="AL357" i="8" s="1"/>
  <c r="AK459" i="8"/>
  <c r="AL459" i="8" s="1"/>
  <c r="AK366" i="8"/>
  <c r="AL366" i="8" s="1"/>
  <c r="AK429" i="8"/>
  <c r="AL429" i="8" s="1"/>
  <c r="AK236" i="8"/>
  <c r="AL236" i="8" s="1"/>
  <c r="AK186" i="8"/>
  <c r="AL186" i="8" s="1"/>
  <c r="AK161" i="8"/>
  <c r="AL161" i="8" s="1"/>
  <c r="AK8" i="8"/>
  <c r="AL8" i="8" s="1"/>
  <c r="AK412" i="8"/>
  <c r="AL412" i="8" s="1"/>
  <c r="AK314" i="8"/>
  <c r="AL314" i="8" s="1"/>
  <c r="AK252" i="8"/>
  <c r="AL252" i="8" s="1"/>
  <c r="AK71" i="8"/>
  <c r="AL71" i="8" s="1"/>
  <c r="AK146" i="8"/>
  <c r="AL146" i="8" s="1"/>
  <c r="AK853" i="8"/>
  <c r="AL853" i="8" s="1"/>
  <c r="AK670" i="8"/>
  <c r="AL670" i="8" s="1"/>
  <c r="AK597" i="8"/>
  <c r="AL597" i="8" s="1"/>
  <c r="AK624" i="8"/>
  <c r="AL624" i="8" s="1"/>
  <c r="AK542" i="8"/>
  <c r="AL542" i="8" s="1"/>
  <c r="AK372" i="8"/>
  <c r="AL372" i="8" s="1"/>
  <c r="AK463" i="8"/>
  <c r="AL463" i="8" s="1"/>
  <c r="AK21" i="8"/>
  <c r="AL21" i="8" s="1"/>
  <c r="AK808" i="8"/>
  <c r="AL808" i="8" s="1"/>
  <c r="AK694" i="8"/>
  <c r="AL694" i="8" s="1"/>
  <c r="AK676" i="8"/>
  <c r="AL676" i="8" s="1"/>
  <c r="AK646" i="8"/>
  <c r="AL646" i="8" s="1"/>
  <c r="AK559" i="8"/>
  <c r="AL559" i="8" s="1"/>
  <c r="AK530" i="8"/>
  <c r="AL530" i="8" s="1"/>
  <c r="AK593" i="8"/>
  <c r="AL593" i="8" s="1"/>
  <c r="AK778" i="8"/>
  <c r="AL778" i="8" s="1"/>
  <c r="AK561" i="8"/>
  <c r="AL561" i="8" s="1"/>
  <c r="AK475" i="8"/>
  <c r="AL475" i="8" s="1"/>
  <c r="AK473" i="8"/>
  <c r="AL473" i="8" s="1"/>
  <c r="AK422" i="8"/>
  <c r="AL422" i="8" s="1"/>
  <c r="AK256" i="8"/>
  <c r="AL256" i="8" s="1"/>
  <c r="AK117" i="8"/>
  <c r="AL117" i="8" s="1"/>
  <c r="AK49" i="8"/>
  <c r="AL49" i="8" s="1"/>
  <c r="AK456" i="8"/>
  <c r="AL456" i="8" s="1"/>
  <c r="AK33" i="8"/>
  <c r="AK865" i="8"/>
  <c r="AL865" i="8" s="1"/>
  <c r="AK426" i="8"/>
  <c r="AL426" i="8" s="1"/>
  <c r="AK500" i="8"/>
  <c r="AL500" i="8" s="1"/>
  <c r="AK414" i="8"/>
  <c r="AL414" i="8" s="1"/>
  <c r="AK296" i="8"/>
  <c r="AL296" i="8" s="1"/>
  <c r="AK97" i="8"/>
  <c r="AL97" i="8" s="1"/>
  <c r="AK406" i="8"/>
  <c r="AL406" i="8" s="1"/>
  <c r="AK319" i="8"/>
  <c r="AL319" i="8" s="1"/>
  <c r="AK293" i="8"/>
  <c r="AL293" i="8" s="1"/>
  <c r="AK171" i="8"/>
  <c r="AL171" i="8" s="1"/>
  <c r="AK84" i="8"/>
  <c r="AL84" i="8" s="1"/>
  <c r="AK893" i="8"/>
  <c r="AL893" i="8" s="1"/>
  <c r="AK392" i="8"/>
  <c r="AL392" i="8" s="1"/>
  <c r="AK299" i="8"/>
  <c r="AL299" i="8" s="1"/>
  <c r="AK288" i="8"/>
  <c r="AL288" i="8" s="1"/>
  <c r="AK221" i="8"/>
  <c r="AL221" i="8" s="1"/>
  <c r="AK54" i="8"/>
  <c r="AL54" i="8" s="1"/>
  <c r="AK202" i="8"/>
  <c r="AL202" i="8" s="1"/>
  <c r="AK134" i="8"/>
  <c r="AK16" i="8"/>
  <c r="AL16" i="8" s="1"/>
  <c r="AK811" i="8"/>
  <c r="AL811" i="8" s="1"/>
  <c r="AK152" i="8"/>
  <c r="AL152" i="8" s="1"/>
  <c r="AK829" i="8"/>
  <c r="AL829" i="8" s="1"/>
  <c r="AK709" i="8"/>
  <c r="AL709" i="8" s="1"/>
  <c r="AK612" i="8"/>
  <c r="AL612" i="8" s="1"/>
  <c r="AK658" i="8"/>
  <c r="AL658" i="8" s="1"/>
  <c r="AK583" i="8"/>
  <c r="AL583" i="8" s="1"/>
  <c r="AK432" i="8"/>
  <c r="AL432" i="8" s="1"/>
  <c r="AK173" i="8"/>
  <c r="AL173" i="8" s="1"/>
  <c r="AK842" i="8"/>
  <c r="AL842" i="8" s="1"/>
  <c r="AK608" i="8"/>
  <c r="AL608" i="8" s="1"/>
  <c r="AK574" i="8"/>
  <c r="AL574" i="8" s="1"/>
  <c r="AK310" i="8"/>
  <c r="AL310" i="8" s="1"/>
  <c r="AK32" i="8"/>
  <c r="AL32" i="8" s="1"/>
  <c r="AK820" i="8"/>
  <c r="AL820" i="8" s="1"/>
  <c r="AK647" i="8"/>
  <c r="AL647" i="8" s="1"/>
  <c r="AK698" i="8"/>
  <c r="AL698" i="8" s="1"/>
  <c r="AK467" i="8"/>
  <c r="AL467" i="8" s="1"/>
  <c r="AK287" i="8"/>
  <c r="AL287" i="8" s="1"/>
  <c r="AK6" i="8"/>
  <c r="AL6" i="8" s="1"/>
  <c r="AK834" i="8"/>
  <c r="AL834" i="8" s="1"/>
  <c r="AK693" i="8"/>
  <c r="AL693" i="8" s="1"/>
  <c r="AK507" i="8"/>
  <c r="AL507" i="8" s="1"/>
  <c r="AK484" i="8"/>
  <c r="AL484" i="8" s="1"/>
  <c r="AK825" i="8"/>
  <c r="AL825" i="8" s="1"/>
  <c r="AK764" i="8"/>
  <c r="AL764" i="8" s="1"/>
  <c r="AK607" i="8"/>
  <c r="AL607" i="8" s="1"/>
  <c r="AK548" i="8"/>
  <c r="AL548" i="8" s="1"/>
  <c r="AK567" i="8"/>
  <c r="AL567" i="8" s="1"/>
  <c r="AK76" i="8"/>
  <c r="AL76" i="8" s="1"/>
  <c r="AK444" i="8"/>
  <c r="AL444" i="8" s="1"/>
  <c r="AK455" i="8"/>
  <c r="AL455" i="8" s="1"/>
  <c r="AK282" i="8"/>
  <c r="AL282" i="8" s="1"/>
  <c r="AK201" i="8"/>
  <c r="AK83" i="8"/>
  <c r="AL83" i="8" s="1"/>
  <c r="AK178" i="8"/>
  <c r="AL178" i="8" s="1"/>
  <c r="AK904" i="8"/>
  <c r="AL904" i="8" s="1"/>
  <c r="AK831" i="8"/>
  <c r="AL831" i="8" s="1"/>
  <c r="AK758" i="8"/>
  <c r="AL758" i="8" s="1"/>
  <c r="AK728" i="8"/>
  <c r="AL728" i="8" s="1"/>
  <c r="AK659" i="8"/>
  <c r="AL659" i="8" s="1"/>
  <c r="AK577" i="8"/>
  <c r="AL577" i="8" s="1"/>
  <c r="AK508" i="8"/>
  <c r="AL508" i="8" s="1"/>
  <c r="AK442" i="8"/>
  <c r="AL442" i="8" s="1"/>
  <c r="AK445" i="8"/>
  <c r="AL445" i="8" s="1"/>
  <c r="AK251" i="8"/>
  <c r="AL251" i="8" s="1"/>
  <c r="AK238" i="8"/>
  <c r="AL238" i="8" s="1"/>
  <c r="AK128" i="8"/>
  <c r="AL128" i="8" s="1"/>
  <c r="AK133" i="8"/>
  <c r="AL133" i="8" s="1"/>
  <c r="AK118" i="8"/>
  <c r="AL118" i="8" s="1"/>
  <c r="AK899" i="8"/>
  <c r="AL899" i="8" s="1"/>
  <c r="AK812" i="8"/>
  <c r="AL812" i="8" s="1"/>
  <c r="AK819" i="8"/>
  <c r="AL819" i="8" s="1"/>
  <c r="AK711" i="8"/>
  <c r="AL711" i="8" s="1"/>
  <c r="AK697" i="8"/>
  <c r="AL697" i="8" s="1"/>
  <c r="AK578" i="8"/>
  <c r="AL578" i="8" s="1"/>
  <c r="AK511" i="8"/>
  <c r="AL511" i="8" s="1"/>
  <c r="AK497" i="8"/>
  <c r="AL497" i="8" s="1"/>
  <c r="AK416" i="8"/>
  <c r="AL416" i="8" s="1"/>
  <c r="AK466" i="8"/>
  <c r="AL466" i="8" s="1"/>
  <c r="AK242" i="8"/>
  <c r="AL242" i="8" s="1"/>
  <c r="AK269" i="8"/>
  <c r="AL269" i="8" s="1"/>
  <c r="AK67" i="8"/>
  <c r="AL67" i="8" s="1"/>
  <c r="AK200" i="8"/>
  <c r="AL200" i="8" s="1"/>
  <c r="AK27" i="8"/>
  <c r="AL27" i="8" s="1"/>
  <c r="AK814" i="8"/>
  <c r="AL814" i="8" s="1"/>
  <c r="AK701" i="8"/>
  <c r="AL701" i="8" s="1"/>
  <c r="AK738" i="8"/>
  <c r="AL738" i="8" s="1"/>
  <c r="AK611" i="8"/>
  <c r="AL611" i="8" s="1"/>
  <c r="AK549" i="8"/>
  <c r="AL549" i="8" s="1"/>
  <c r="AK469" i="8"/>
  <c r="AL469" i="8" s="1"/>
  <c r="AK489" i="8"/>
  <c r="AL489" i="8" s="1"/>
  <c r="AK335" i="8"/>
  <c r="AL335" i="8" s="1"/>
  <c r="AK278" i="8"/>
  <c r="AL278" i="8" s="1"/>
  <c r="AK77" i="8"/>
  <c r="AK46" i="8"/>
  <c r="AL46" i="8" s="1"/>
  <c r="AK9" i="8"/>
  <c r="AL9" i="8" s="1"/>
  <c r="AK257" i="8"/>
  <c r="AL257" i="8" s="1"/>
  <c r="AK234" i="8"/>
  <c r="AL234" i="8" s="1"/>
  <c r="AK165" i="8"/>
  <c r="AL165" i="8" s="1"/>
  <c r="AK203" i="8"/>
  <c r="AL203" i="8" s="1"/>
  <c r="AK57" i="8"/>
  <c r="AL57" i="8" s="1"/>
  <c r="AK123" i="8"/>
  <c r="AL123" i="8" s="1"/>
  <c r="AK26" i="8"/>
  <c r="AL26" i="8" s="1"/>
  <c r="AK823" i="8"/>
  <c r="AL823" i="8" s="1"/>
  <c r="AK681" i="8"/>
  <c r="AL681" i="8" s="1"/>
  <c r="AK618" i="8"/>
  <c r="AL618" i="8" s="1"/>
  <c r="AK620" i="8"/>
  <c r="AL620" i="8" s="1"/>
  <c r="AK562" i="8"/>
  <c r="AL562" i="8" s="1"/>
  <c r="AK533" i="8"/>
  <c r="AL533" i="8" s="1"/>
  <c r="AK151" i="8"/>
  <c r="AL151" i="8" s="1"/>
  <c r="AK793" i="8"/>
  <c r="AL793" i="8" s="1"/>
  <c r="AK822" i="8"/>
  <c r="AL822" i="8" s="1"/>
  <c r="AK720" i="8"/>
  <c r="AL720" i="8" s="1"/>
  <c r="AK782" i="8"/>
  <c r="AL782" i="8" s="1"/>
  <c r="AK653" i="8"/>
  <c r="AL653" i="8" s="1"/>
  <c r="AK528" i="8"/>
  <c r="AL528" i="8" s="1"/>
  <c r="AK457" i="8"/>
  <c r="AL457" i="8" s="1"/>
  <c r="AK488" i="8"/>
  <c r="AL488" i="8" s="1"/>
  <c r="AK362" i="8"/>
  <c r="AL362" i="8" s="1"/>
  <c r="AK304" i="8"/>
  <c r="AL304" i="8" s="1"/>
  <c r="AK271" i="8"/>
  <c r="AL271" i="8" s="1"/>
  <c r="AK189" i="8"/>
  <c r="AL189" i="8" s="1"/>
  <c r="AK166" i="8"/>
  <c r="AL166" i="8" s="1"/>
  <c r="AK56" i="8"/>
  <c r="AL56" i="8" s="1"/>
  <c r="AK876" i="8"/>
  <c r="AL876" i="8" s="1"/>
  <c r="AK841" i="8"/>
  <c r="AL841" i="8" s="1"/>
  <c r="AK708" i="8"/>
  <c r="AL708" i="8" s="1"/>
  <c r="AK747" i="8"/>
  <c r="AL747" i="8" s="1"/>
  <c r="AK732" i="8"/>
  <c r="AL732" i="8" s="1"/>
  <c r="AK587" i="8"/>
  <c r="AL587" i="8" s="1"/>
  <c r="AK349" i="8"/>
  <c r="AL349" i="8" s="1"/>
  <c r="AK363" i="8"/>
  <c r="AL363" i="8" s="1"/>
  <c r="AK458" i="8"/>
  <c r="AL458" i="8" s="1"/>
  <c r="AK277" i="8"/>
  <c r="AL277" i="8" s="1"/>
  <c r="AK115" i="8"/>
  <c r="AL115" i="8" s="1"/>
  <c r="AK168" i="8"/>
  <c r="AL168" i="8" s="1"/>
  <c r="AK142" i="8"/>
  <c r="AK817" i="8"/>
  <c r="AL817" i="8" s="1"/>
  <c r="AK590" i="8"/>
  <c r="AL590" i="8" s="1"/>
  <c r="AK768" i="8"/>
  <c r="AL768" i="8" s="1"/>
  <c r="AK631" i="8"/>
  <c r="AL631" i="8" s="1"/>
  <c r="AK540" i="8"/>
  <c r="AL540" i="8" s="1"/>
  <c r="AK557" i="8"/>
  <c r="AL557" i="8" s="1"/>
  <c r="AK402" i="8"/>
  <c r="AL402" i="8" s="1"/>
  <c r="AK341" i="8"/>
  <c r="AL341" i="8" s="1"/>
  <c r="AK290" i="8"/>
  <c r="AL290" i="8" s="1"/>
  <c r="AK289" i="8"/>
  <c r="AL289" i="8" s="1"/>
  <c r="AK68" i="8"/>
  <c r="AL68" i="8" s="1"/>
  <c r="AK106" i="8"/>
  <c r="AL106" i="8" s="1"/>
  <c r="AK220" i="8"/>
  <c r="AL220" i="8" s="1"/>
  <c r="AK795" i="8"/>
  <c r="AL795" i="8" s="1"/>
  <c r="AK859" i="8"/>
  <c r="AL859" i="8" s="1"/>
  <c r="AK596" i="8"/>
  <c r="AL596" i="8" s="1"/>
  <c r="AK109" i="8"/>
  <c r="AK195" i="8"/>
  <c r="AK906" i="8"/>
  <c r="AL906" i="8" s="1"/>
  <c r="AK800" i="8"/>
  <c r="AL800" i="8" s="1"/>
  <c r="AK742" i="8"/>
  <c r="AL742" i="8" s="1"/>
  <c r="AK589" i="8"/>
  <c r="AL589" i="8" s="1"/>
  <c r="AK641" i="8"/>
  <c r="AL641" i="8" s="1"/>
  <c r="AK552" i="8"/>
  <c r="AL552" i="8" s="1"/>
  <c r="AK440" i="8"/>
  <c r="AL440" i="8" s="1"/>
  <c r="AK905" i="8"/>
  <c r="AL905" i="8" s="1"/>
  <c r="AK496" i="8"/>
  <c r="AL496" i="8" s="1"/>
  <c r="AK352" i="8"/>
  <c r="AL352" i="8" s="1"/>
  <c r="AK350" i="8"/>
  <c r="AL350" i="8" s="1"/>
  <c r="AK237" i="8"/>
  <c r="AL237" i="8" s="1"/>
  <c r="AK36" i="8"/>
  <c r="AL36" i="8" s="1"/>
  <c r="AK113" i="8"/>
  <c r="AL113" i="8" s="1"/>
  <c r="AK162" i="8"/>
  <c r="AL162" i="8" s="1"/>
  <c r="AK895" i="8"/>
  <c r="AL895" i="8" s="1"/>
  <c r="AK797" i="8"/>
  <c r="AL797" i="8" s="1"/>
  <c r="AK623" i="8"/>
  <c r="AL623" i="8" s="1"/>
  <c r="AK788" i="8"/>
  <c r="AL788" i="8" s="1"/>
  <c r="AK748" i="8"/>
  <c r="AL748" i="8" s="1"/>
  <c r="AK666" i="8"/>
  <c r="AL666" i="8" s="1"/>
  <c r="AK571" i="8"/>
  <c r="AL571" i="8" s="1"/>
  <c r="AK409" i="8"/>
  <c r="AL409" i="8" s="1"/>
  <c r="AK425" i="8"/>
  <c r="AL425" i="8" s="1"/>
  <c r="AK450" i="8"/>
  <c r="AL450" i="8" s="1"/>
  <c r="AK263" i="8"/>
  <c r="AL263" i="8" s="1"/>
  <c r="AK45" i="8"/>
  <c r="AL45" i="8" s="1"/>
  <c r="AK141" i="8"/>
  <c r="AL141" i="8" s="1"/>
  <c r="AK41" i="8"/>
  <c r="AL41" i="8" s="1"/>
  <c r="AK908" i="8"/>
  <c r="AL908" i="8" s="1"/>
  <c r="AK725" i="8"/>
  <c r="AL725" i="8" s="1"/>
  <c r="AK692" i="8"/>
  <c r="AL692" i="8" s="1"/>
  <c r="AK704" i="8"/>
  <c r="AL704" i="8" s="1"/>
  <c r="AK573" i="8"/>
  <c r="AL573" i="8" s="1"/>
  <c r="AK460" i="8"/>
  <c r="AL460" i="8" s="1"/>
  <c r="AK351" i="8"/>
  <c r="AL351" i="8" s="1"/>
  <c r="AK478" i="8"/>
  <c r="AL478" i="8" s="1"/>
  <c r="AK326" i="8"/>
  <c r="AL326" i="8" s="1"/>
  <c r="AK241" i="8"/>
  <c r="AL241" i="8" s="1"/>
  <c r="AK180" i="8"/>
  <c r="AL180" i="8" s="1"/>
  <c r="AK156" i="8"/>
  <c r="AL156" i="8" s="1"/>
  <c r="AK176" i="8"/>
  <c r="AL176" i="8" s="1"/>
  <c r="AK881" i="8"/>
  <c r="AL881" i="8" s="1"/>
  <c r="AK504" i="8"/>
  <c r="AL504" i="8" s="1"/>
  <c r="AK617" i="8"/>
  <c r="AL617" i="8" s="1"/>
  <c r="AK535" i="8"/>
  <c r="AL535" i="8" s="1"/>
  <c r="AK479" i="8"/>
  <c r="AL479" i="8" s="1"/>
  <c r="AK42" i="8"/>
  <c r="AL42" i="8" s="1"/>
  <c r="AK53" i="8"/>
  <c r="AL53" i="8" s="1"/>
  <c r="AK818" i="8"/>
  <c r="AL818" i="8" s="1"/>
  <c r="AK274" i="8"/>
  <c r="AL274" i="8" s="1"/>
  <c r="AK158" i="8"/>
  <c r="AL158" i="8" s="1"/>
  <c r="AK100" i="8"/>
  <c r="AL100" i="8" s="1"/>
  <c r="AK190" i="8"/>
  <c r="AK794" i="8"/>
  <c r="AL794" i="8" s="1"/>
  <c r="AK729" i="8"/>
  <c r="AL729" i="8" s="1"/>
  <c r="AK739" i="8"/>
  <c r="AL739" i="8" s="1"/>
  <c r="AK482" i="8"/>
  <c r="AL482" i="8" s="1"/>
  <c r="AK404" i="8"/>
  <c r="AL404" i="8" s="1"/>
  <c r="AK265" i="8"/>
  <c r="AL265" i="8" s="1"/>
  <c r="AK247" i="8"/>
  <c r="AL247" i="8" s="1"/>
  <c r="AK39" i="8"/>
  <c r="AL39" i="8" s="1"/>
  <c r="AK95" i="8"/>
  <c r="AL95" i="8" s="1"/>
  <c r="AK70" i="8"/>
  <c r="AK167" i="8"/>
  <c r="AL167" i="8" s="1"/>
  <c r="AK122" i="8"/>
  <c r="AL122" i="8" s="1"/>
  <c r="AK222" i="8"/>
  <c r="AL222" i="8" s="1"/>
  <c r="AK5" i="8"/>
  <c r="AK880" i="8"/>
  <c r="AL880" i="8" s="1"/>
  <c r="AK863" i="8"/>
  <c r="AL863" i="8" s="1"/>
  <c r="AK777" i="8"/>
  <c r="AL777" i="8" s="1"/>
  <c r="AK667" i="8"/>
  <c r="AL667" i="8" s="1"/>
  <c r="AK759" i="8"/>
  <c r="AL759" i="8" s="1"/>
  <c r="AK519" i="8"/>
  <c r="AL519" i="8" s="1"/>
  <c r="AK470" i="8"/>
  <c r="AL470" i="8" s="1"/>
  <c r="AK837" i="8"/>
  <c r="AL837" i="8" s="1"/>
  <c r="AK645" i="8"/>
  <c r="AL645" i="8" s="1"/>
  <c r="AK663" i="8"/>
  <c r="AL663" i="8" s="1"/>
  <c r="AK769" i="8"/>
  <c r="AL769" i="8" s="1"/>
  <c r="AK522" i="8"/>
  <c r="AL522" i="8" s="1"/>
  <c r="AK495" i="8"/>
  <c r="AL495" i="8" s="1"/>
  <c r="AK799" i="8"/>
  <c r="AL799" i="8" s="1"/>
  <c r="AK592" i="8"/>
  <c r="AL592" i="8" s="1"/>
  <c r="AK702" i="8"/>
  <c r="AL702" i="8" s="1"/>
  <c r="AK755" i="8"/>
  <c r="AL755" i="8" s="1"/>
  <c r="AK564" i="8"/>
  <c r="AL564" i="8" s="1"/>
  <c r="AK527" i="8"/>
  <c r="AL527" i="8" s="1"/>
  <c r="AK430" i="8"/>
  <c r="AL430" i="8" s="1"/>
  <c r="AK464" i="8"/>
  <c r="AL464" i="8" s="1"/>
  <c r="AK486" i="8"/>
  <c r="AL486" i="8" s="1"/>
  <c r="AK281" i="8"/>
  <c r="AL281" i="8" s="1"/>
  <c r="AK38" i="8"/>
  <c r="AL38" i="8" s="1"/>
  <c r="AK149" i="8"/>
  <c r="AL149" i="8" s="1"/>
  <c r="AK892" i="8"/>
  <c r="AL892" i="8" s="1"/>
  <c r="AK813" i="8"/>
  <c r="AL813" i="8" s="1"/>
  <c r="AK635" i="8"/>
  <c r="AL635" i="8" s="1"/>
  <c r="AK616" i="8"/>
  <c r="AL616" i="8" s="1"/>
  <c r="AK633" i="8"/>
  <c r="AL633" i="8" s="1"/>
  <c r="AK696" i="8"/>
  <c r="AL696" i="8" s="1"/>
  <c r="AK525" i="8"/>
  <c r="AL525" i="8" s="1"/>
  <c r="AK346" i="8"/>
  <c r="AL346" i="8" s="1"/>
  <c r="AK377" i="8"/>
  <c r="AL377" i="8" s="1"/>
  <c r="AK318" i="8"/>
  <c r="AL318" i="8" s="1"/>
  <c r="AK261" i="8"/>
  <c r="AL261" i="8" s="1"/>
  <c r="AK206" i="8"/>
  <c r="AL206" i="8" s="1"/>
  <c r="AK130" i="8"/>
  <c r="AL130" i="8" s="1"/>
  <c r="AK216" i="8"/>
  <c r="AL216" i="8" s="1"/>
  <c r="AK809" i="8"/>
  <c r="AL809" i="8" s="1"/>
  <c r="AK770" i="8"/>
  <c r="AL770" i="8" s="1"/>
  <c r="AK691" i="8"/>
  <c r="AL691" i="8" s="1"/>
  <c r="AK721" i="8"/>
  <c r="AL721" i="8" s="1"/>
  <c r="AK576" i="8"/>
  <c r="AL576" i="8" s="1"/>
  <c r="AK431" i="8"/>
  <c r="AL431" i="8" s="1"/>
  <c r="AK344" i="8"/>
  <c r="AL344" i="8" s="1"/>
  <c r="AK449" i="8"/>
  <c r="AL449" i="8" s="1"/>
  <c r="AK300" i="8"/>
  <c r="AL300" i="8" s="1"/>
  <c r="AK172" i="8"/>
  <c r="AL172" i="8" s="1"/>
  <c r="AK69" i="8"/>
  <c r="AL69" i="8" s="1"/>
  <c r="AK58" i="8"/>
  <c r="AL58" i="8" s="1"/>
  <c r="AK107" i="8"/>
  <c r="AL107" i="8" s="1"/>
  <c r="AK228" i="8"/>
  <c r="AL228" i="8" s="1"/>
  <c r="AK472" i="8"/>
  <c r="AL472" i="8" s="1"/>
  <c r="AK309" i="8"/>
  <c r="AL309" i="8" s="1"/>
  <c r="AK302" i="8"/>
  <c r="AL302" i="8" s="1"/>
  <c r="AK124" i="8"/>
  <c r="AL124" i="8" s="1"/>
  <c r="AK144" i="8"/>
  <c r="AL144" i="8" s="1"/>
  <c r="AK790" i="8"/>
  <c r="AL790" i="8" s="1"/>
  <c r="AK307" i="8"/>
  <c r="AL307" i="8" s="1"/>
  <c r="AK740" i="8"/>
  <c r="AL740" i="8" s="1"/>
  <c r="AK660" i="8"/>
  <c r="AL660" i="8" s="1"/>
  <c r="AK410" i="8"/>
  <c r="AL410" i="8" s="1"/>
  <c r="AK369" i="8"/>
  <c r="AL369" i="8" s="1"/>
  <c r="AK340" i="8"/>
  <c r="AL340" i="8" s="1"/>
  <c r="AK391" i="8"/>
  <c r="AL391" i="8" s="1"/>
  <c r="AK283" i="8"/>
  <c r="AL283" i="8" s="1"/>
  <c r="AK121" i="8"/>
  <c r="AL121" i="8" s="1"/>
  <c r="AK44" i="8"/>
  <c r="AL44" i="8" s="1"/>
  <c r="AK157" i="8"/>
  <c r="AL157" i="8" s="1"/>
  <c r="AK29" i="8"/>
  <c r="AL29" i="8" s="1"/>
  <c r="AK378" i="8"/>
  <c r="AL378" i="8" s="1"/>
  <c r="AK330" i="8"/>
  <c r="AL330" i="8" s="1"/>
  <c r="AK240" i="8"/>
  <c r="AL240" i="8" s="1"/>
  <c r="AK225" i="8"/>
  <c r="AL225" i="8" s="1"/>
  <c r="AK145" i="8"/>
  <c r="AL145" i="8" s="1"/>
  <c r="AK886" i="8"/>
  <c r="AL886" i="8" s="1"/>
  <c r="AK860" i="8"/>
  <c r="AL860" i="8" s="1"/>
  <c r="AK699" i="8"/>
  <c r="AL699" i="8" s="1"/>
  <c r="AK634" i="8"/>
  <c r="AL634" i="8" s="1"/>
  <c r="AK594" i="8"/>
  <c r="AL594" i="8" s="1"/>
  <c r="AK558" i="8"/>
  <c r="AL558" i="8" s="1"/>
  <c r="AK423" i="8"/>
  <c r="AL423" i="8" s="1"/>
  <c r="AK421" i="8"/>
  <c r="AL421" i="8" s="1"/>
  <c r="AK268" i="8"/>
  <c r="AL268" i="8" s="1"/>
  <c r="AK232" i="8"/>
  <c r="AL232" i="8" s="1"/>
  <c r="AK185" i="8"/>
  <c r="AL185" i="8" s="1"/>
  <c r="AK127" i="8"/>
  <c r="AL127" i="8" s="1"/>
  <c r="AK114" i="8"/>
  <c r="AL114" i="8" s="1"/>
  <c r="AK210" i="8"/>
  <c r="AL210" i="8" s="1"/>
  <c r="AK510" i="8"/>
  <c r="AL510" i="8" s="1"/>
  <c r="AK439" i="8"/>
  <c r="AL439" i="8" s="1"/>
  <c r="AK494" i="8"/>
  <c r="AL494" i="8" s="1"/>
  <c r="AK329" i="8"/>
  <c r="AL329" i="8" s="1"/>
  <c r="AK108" i="8"/>
  <c r="AL108" i="8" s="1"/>
  <c r="AK92" i="8"/>
  <c r="AL92" i="8" s="1"/>
  <c r="AK163" i="8"/>
  <c r="AL163" i="8" s="1"/>
  <c r="AK48" i="8"/>
  <c r="AL48" i="8" s="1"/>
  <c r="AK855" i="8"/>
  <c r="AL855" i="8" s="1"/>
  <c r="AK827" i="8"/>
  <c r="AL827" i="8" s="1"/>
  <c r="AK652" i="8"/>
  <c r="AL652" i="8" s="1"/>
  <c r="AK619" i="8"/>
  <c r="AL619" i="8" s="1"/>
  <c r="AK602" i="8"/>
  <c r="AL602" i="8" s="1"/>
  <c r="AK541" i="8"/>
  <c r="AL541" i="8" s="1"/>
  <c r="AK523" i="8"/>
  <c r="AL523" i="8" s="1"/>
  <c r="AK468" i="8"/>
  <c r="AL468" i="8" s="1"/>
  <c r="AK348" i="8"/>
  <c r="AL348" i="8" s="1"/>
  <c r="AK325" i="8"/>
  <c r="AL325" i="8" s="1"/>
  <c r="AK243" i="8"/>
  <c r="AL243" i="8" s="1"/>
  <c r="AK197" i="8"/>
  <c r="AL197" i="8" s="1"/>
  <c r="AK43" i="8"/>
  <c r="AL43" i="8" s="1"/>
  <c r="AK138" i="8"/>
  <c r="AL138" i="8" s="1"/>
  <c r="AK805" i="8"/>
  <c r="AL805" i="8" s="1"/>
  <c r="AK751" i="8"/>
  <c r="AL751" i="8" s="1"/>
  <c r="AK744" i="8"/>
  <c r="AL744" i="8" s="1"/>
  <c r="AK724" i="8"/>
  <c r="AL724" i="8" s="1"/>
  <c r="AK539" i="8"/>
  <c r="AL539" i="8" s="1"/>
  <c r="AK405" i="8"/>
  <c r="AL405" i="8" s="1"/>
  <c r="AK480" i="8"/>
  <c r="AL480" i="8" s="1"/>
  <c r="AK328" i="8"/>
  <c r="AL328" i="8" s="1"/>
  <c r="AK260" i="8"/>
  <c r="AL260" i="8" s="1"/>
  <c r="AK204" i="8"/>
  <c r="AL204" i="8" s="1"/>
  <c r="AK111" i="8"/>
  <c r="AL111" i="8" s="1"/>
  <c r="AK89" i="8"/>
  <c r="AL89" i="8" s="1"/>
  <c r="AK93" i="8"/>
  <c r="AL93" i="8" s="1"/>
  <c r="AK875" i="8"/>
  <c r="AL875" i="8" s="1"/>
  <c r="AK843" i="8"/>
  <c r="AL843" i="8" s="1"/>
  <c r="AK783" i="8"/>
  <c r="AL783" i="8" s="1"/>
  <c r="AK757" i="8"/>
  <c r="AL757" i="8" s="1"/>
  <c r="AK675" i="8"/>
  <c r="AL675" i="8" s="1"/>
  <c r="AK536" i="8"/>
  <c r="AL536" i="8" s="1"/>
  <c r="AK485" i="8"/>
  <c r="AL485" i="8" s="1"/>
  <c r="AK175" i="8"/>
  <c r="AL175" i="8" s="1"/>
  <c r="AK873" i="8"/>
  <c r="AL873" i="8" s="1"/>
  <c r="AK390" i="8"/>
  <c r="AL390" i="8" s="1"/>
  <c r="AK235" i="8"/>
  <c r="AL235" i="8" s="1"/>
  <c r="AK139" i="8"/>
  <c r="AL139" i="8" s="1"/>
  <c r="AK626" i="8"/>
  <c r="AL626" i="8" s="1"/>
  <c r="AK591" i="8"/>
  <c r="AL591" i="8" s="1"/>
  <c r="AK398" i="8"/>
  <c r="AL398" i="8" s="1"/>
  <c r="AK471" i="8"/>
  <c r="AL471" i="8" s="1"/>
  <c r="AK297" i="8"/>
  <c r="AL297" i="8" s="1"/>
  <c r="AK62" i="8"/>
  <c r="AL62" i="8" s="1"/>
  <c r="AK34" i="8"/>
  <c r="AL34" i="8" s="1"/>
  <c r="AK438" i="8"/>
  <c r="AL438" i="8" s="1"/>
  <c r="AK272" i="8"/>
  <c r="AL272" i="8" s="1"/>
  <c r="AK219" i="8"/>
  <c r="AL219" i="8" s="1"/>
  <c r="AK870" i="8"/>
  <c r="AL870" i="8" s="1"/>
  <c r="AK700" i="8"/>
  <c r="AL700" i="8" s="1"/>
  <c r="AK664" i="8"/>
  <c r="AL664" i="8" s="1"/>
  <c r="AK780" i="8"/>
  <c r="AL780" i="8" s="1"/>
  <c r="AK481" i="8"/>
  <c r="AL481" i="8" s="1"/>
  <c r="AK280" i="8"/>
  <c r="AL280" i="8" s="1"/>
  <c r="AK148" i="8"/>
  <c r="AL148" i="8" s="1"/>
  <c r="AK101" i="8"/>
  <c r="AL101" i="8" s="1"/>
  <c r="AK12" i="8"/>
  <c r="AK433" i="8"/>
  <c r="AL433" i="8" s="1"/>
  <c r="AK411" i="8"/>
  <c r="AL411" i="8" s="1"/>
  <c r="AK65" i="8"/>
  <c r="AL65" i="8" s="1"/>
  <c r="AK170" i="8"/>
  <c r="AL170" i="8" s="1"/>
  <c r="AK78" i="8"/>
  <c r="AL78" i="8" s="1"/>
  <c r="AK250" i="8"/>
  <c r="AL250" i="8" s="1"/>
  <c r="AK80" i="8"/>
  <c r="AL80" i="8" s="1"/>
  <c r="AK194" i="8"/>
  <c r="AL194" i="8" s="1"/>
  <c r="AK826" i="8"/>
  <c r="AL826" i="8" s="1"/>
  <c r="AK605" i="8"/>
  <c r="AL605" i="8" s="1"/>
  <c r="AK775" i="8"/>
  <c r="AL775" i="8" s="1"/>
  <c r="AK604" i="8"/>
  <c r="AL604" i="8" s="1"/>
  <c r="AK581" i="8"/>
  <c r="AL581" i="8" s="1"/>
  <c r="AK487" i="8"/>
  <c r="AL487" i="8" s="1"/>
  <c r="AK428" i="8"/>
  <c r="AL428" i="8" s="1"/>
  <c r="AK323" i="8"/>
  <c r="AL323" i="8" s="1"/>
  <c r="AK294" i="8"/>
  <c r="AL294" i="8" s="1"/>
  <c r="AK852" i="8"/>
  <c r="AL852" i="8" s="1"/>
  <c r="AK630" i="8"/>
  <c r="AL630" i="8" s="1"/>
  <c r="AK638" i="8"/>
  <c r="AL638" i="8" s="1"/>
  <c r="AK688" i="8"/>
  <c r="AL688" i="8" s="1"/>
  <c r="AK579" i="8"/>
  <c r="AL579" i="8" s="1"/>
  <c r="AK367" i="8"/>
  <c r="AL367" i="8" s="1"/>
  <c r="AK19" i="8"/>
  <c r="AL19" i="8" s="1"/>
  <c r="AK229" i="8"/>
  <c r="AL229" i="8" s="1"/>
  <c r="AK625" i="8"/>
  <c r="AL625" i="8" s="1"/>
  <c r="AK719" i="8"/>
  <c r="AL719" i="8" s="1"/>
  <c r="AK776" i="8"/>
  <c r="AL776" i="8" s="1"/>
  <c r="AK580" i="8"/>
  <c r="AL580" i="8" s="1"/>
  <c r="AK371" i="8"/>
  <c r="AL371" i="8" s="1"/>
  <c r="AK382" i="8"/>
  <c r="AL382" i="8" s="1"/>
  <c r="AK465" i="8"/>
  <c r="AL465" i="8" s="1"/>
  <c r="AK317" i="8"/>
  <c r="AL317" i="8" s="1"/>
  <c r="AK88" i="8"/>
  <c r="AL88" i="8" s="1"/>
  <c r="AK419" i="8"/>
  <c r="AL419" i="8" s="1"/>
  <c r="AK305" i="8"/>
  <c r="AL305" i="8" s="1"/>
  <c r="AK91" i="8"/>
  <c r="AL91" i="8" s="1"/>
  <c r="AK174" i="8"/>
  <c r="AL174" i="8" s="1"/>
  <c r="AK7" i="8"/>
  <c r="AL7" i="8" s="1"/>
  <c r="AK789" i="8"/>
  <c r="AL789" i="8" s="1"/>
  <c r="AK836" i="8"/>
  <c r="AL836" i="8" s="1"/>
  <c r="AK754" i="8"/>
  <c r="AL754" i="8" s="1"/>
  <c r="AK718" i="8"/>
  <c r="AL718" i="8" s="1"/>
  <c r="AK712" i="8"/>
  <c r="AL712" i="8" s="1"/>
  <c r="AK560" i="8"/>
  <c r="AL560" i="8" s="1"/>
  <c r="AK385" i="8"/>
  <c r="AL385" i="8" s="1"/>
  <c r="AK354" i="8"/>
  <c r="AL354" i="8" s="1"/>
  <c r="AK248" i="8"/>
  <c r="AL248" i="8" s="1"/>
  <c r="AK285" i="8"/>
  <c r="AL285" i="8" s="1"/>
  <c r="AK60" i="8"/>
  <c r="AL60" i="8" s="1"/>
  <c r="AK224" i="8"/>
  <c r="AL224" i="8" s="1"/>
  <c r="AK79" i="8"/>
  <c r="AL79" i="8" s="1"/>
  <c r="AK4" i="8"/>
  <c r="AL4" i="8" s="1"/>
  <c r="AK839" i="8"/>
  <c r="AL839" i="8" s="1"/>
  <c r="AK749" i="8"/>
  <c r="AL749" i="8" s="1"/>
  <c r="AK599" i="8"/>
  <c r="AL599" i="8" s="1"/>
  <c r="AK600" i="8"/>
  <c r="AL600" i="8" s="1"/>
  <c r="AK521" i="8"/>
  <c r="AL521" i="8" s="1"/>
  <c r="AK164" i="8"/>
  <c r="AK847" i="8"/>
  <c r="AL847" i="8" s="1"/>
  <c r="AK864" i="8"/>
  <c r="AL864" i="8" s="1"/>
  <c r="AK736" i="8"/>
  <c r="AL736" i="8" s="1"/>
  <c r="AK772" i="8"/>
  <c r="AL772" i="8" s="1"/>
  <c r="AK752" i="8"/>
  <c r="AL752" i="8" s="1"/>
  <c r="AK569" i="8"/>
  <c r="AL569" i="8" s="1"/>
  <c r="AK360" i="8"/>
  <c r="AL360" i="8" s="1"/>
  <c r="AK436" i="8"/>
  <c r="AL436" i="8" s="1"/>
  <c r="AK316" i="8"/>
  <c r="AL316" i="8" s="1"/>
  <c r="AK877" i="8"/>
  <c r="AL877" i="8" s="1"/>
  <c r="AK279" i="8"/>
  <c r="AL279" i="8" s="1"/>
  <c r="AK137" i="8"/>
  <c r="AK205" i="8"/>
  <c r="AK96" i="8"/>
  <c r="AL96" i="8" s="1"/>
  <c r="AK24" i="8"/>
  <c r="AL24" i="8" s="1"/>
  <c r="AK857" i="8"/>
  <c r="AL857" i="8" s="1"/>
  <c r="AK804" i="8"/>
  <c r="AL804" i="8" s="1"/>
  <c r="AK613" i="8"/>
  <c r="AL613" i="8" s="1"/>
  <c r="AK705" i="8"/>
  <c r="AL705" i="8" s="1"/>
  <c r="AK582" i="8"/>
  <c r="AL582" i="8" s="1"/>
  <c r="AK490" i="8"/>
  <c r="AL490" i="8" s="1"/>
  <c r="AK347" i="8"/>
  <c r="AL347" i="8" s="1"/>
  <c r="AK275" i="8"/>
  <c r="AL275" i="8" s="1"/>
  <c r="AK267" i="8"/>
  <c r="AL267" i="8" s="1"/>
  <c r="AK104" i="8"/>
  <c r="AL104" i="8" s="1"/>
  <c r="AK66" i="8"/>
  <c r="AL66" i="8" s="1"/>
  <c r="AK18" i="8"/>
  <c r="AL18" i="8" s="1"/>
  <c r="AK253" i="8"/>
  <c r="AL253" i="8" s="1"/>
  <c r="AK223" i="8"/>
  <c r="AL223" i="8" s="1"/>
  <c r="AK25" i="8"/>
  <c r="AK735" i="8"/>
  <c r="AL735" i="8" s="1"/>
  <c r="AK512" i="8"/>
  <c r="AL512" i="8" s="1"/>
  <c r="AK434" i="8"/>
  <c r="AL434" i="8" s="1"/>
  <c r="AK333" i="8"/>
  <c r="AL333" i="8" s="1"/>
  <c r="AK73" i="8"/>
  <c r="AL73" i="8" s="1"/>
  <c r="AK179" i="8"/>
  <c r="AL179" i="8" s="1"/>
  <c r="AK334" i="8"/>
  <c r="AL334" i="8" s="1"/>
  <c r="AK160" i="8"/>
  <c r="AL160" i="8" s="1"/>
  <c r="AK816" i="8"/>
  <c r="AL816" i="8" s="1"/>
  <c r="AK388" i="8"/>
  <c r="AL388" i="8" s="1"/>
  <c r="AK264" i="8"/>
  <c r="AL264" i="8" s="1"/>
  <c r="AK199" i="8"/>
  <c r="AL199" i="8" s="1"/>
  <c r="AK28" i="8"/>
  <c r="AL28" i="8" s="1"/>
  <c r="AK566" i="8"/>
  <c r="AL566" i="8" s="1"/>
  <c r="AK313" i="8"/>
  <c r="AL313" i="8" s="1"/>
  <c r="AK20" i="8"/>
  <c r="AL20" i="8" s="1"/>
  <c r="AK339" i="8"/>
  <c r="AL339" i="8" s="1"/>
  <c r="AK846" i="8"/>
  <c r="AL846" i="8" s="1"/>
  <c r="AK687" i="8"/>
  <c r="AL687" i="8" s="1"/>
  <c r="AK727" i="8"/>
  <c r="AL727" i="8" s="1"/>
  <c r="AK733" i="8"/>
  <c r="AL733" i="8" s="1"/>
  <c r="AK553" i="8"/>
  <c r="AL553" i="8" s="1"/>
  <c r="AK518" i="8"/>
  <c r="AL518" i="8" s="1"/>
  <c r="AK477" i="8"/>
  <c r="AL477" i="8" s="1"/>
  <c r="AK359" i="8"/>
  <c r="AL359" i="8" s="1"/>
  <c r="AK835" i="8"/>
  <c r="AL835" i="8" s="1"/>
  <c r="AK741" i="8"/>
  <c r="AL741" i="8" s="1"/>
  <c r="AK760" i="8"/>
  <c r="AL760" i="8" s="1"/>
  <c r="AK517" i="8"/>
  <c r="AL517" i="8" s="1"/>
  <c r="AK375" i="8"/>
  <c r="AL375" i="8" s="1"/>
  <c r="AK355" i="8"/>
  <c r="AL355" i="8" s="1"/>
  <c r="AK427" i="8"/>
  <c r="AL427" i="8" s="1"/>
  <c r="AK324" i="8"/>
  <c r="AL324" i="8" s="1"/>
  <c r="AK135" i="8"/>
  <c r="AL135" i="8" s="1"/>
  <c r="AK47" i="8"/>
  <c r="AL47" i="8" s="1"/>
  <c r="AK387" i="8"/>
  <c r="AL387" i="8" s="1"/>
  <c r="AK266" i="8"/>
  <c r="AL266" i="8" s="1"/>
  <c r="AK75" i="8"/>
  <c r="AK35" i="8"/>
  <c r="AL35" i="8" s="1"/>
  <c r="AK22" i="8"/>
  <c r="AK342" i="8"/>
  <c r="AL342" i="8" s="1"/>
  <c r="AK249" i="8"/>
  <c r="AL249" i="8" s="1"/>
  <c r="AK233" i="8"/>
  <c r="AL233" i="8" s="1"/>
  <c r="AK143" i="8"/>
  <c r="AL143" i="8" s="1"/>
  <c r="AK212" i="8"/>
  <c r="AL212" i="8" s="1"/>
  <c r="AK61" i="8"/>
  <c r="AL61" i="8" s="1"/>
  <c r="AK15" i="8"/>
  <c r="AK830" i="8"/>
  <c r="AL830" i="8" s="1"/>
  <c r="AK642" i="8"/>
  <c r="AL642" i="8" s="1"/>
  <c r="AK621" i="8"/>
  <c r="AL621" i="8" s="1"/>
  <c r="AK649" i="8"/>
  <c r="AL649" i="8" s="1"/>
  <c r="AK544" i="8"/>
  <c r="AL544" i="8" s="1"/>
  <c r="AK524" i="8"/>
  <c r="AL524" i="8" s="1"/>
  <c r="AK413" i="8"/>
  <c r="AL413" i="8" s="1"/>
  <c r="AK454" i="8"/>
  <c r="AL454" i="8" s="1"/>
  <c r="AK365" i="8"/>
  <c r="AL365" i="8" s="1"/>
  <c r="AK273" i="8"/>
  <c r="AL273" i="8" s="1"/>
  <c r="AK217" i="8"/>
  <c r="AL217" i="8" s="1"/>
  <c r="AK94" i="8"/>
  <c r="AL94" i="8" s="1"/>
  <c r="AK306" i="8"/>
  <c r="AL306" i="8" s="1"/>
  <c r="AK40" i="8"/>
  <c r="AL40" i="8" s="1"/>
  <c r="AK214" i="8"/>
  <c r="AL214" i="8" s="1"/>
  <c r="AK807" i="8"/>
  <c r="AL807" i="8" s="1"/>
  <c r="AK637" i="8"/>
  <c r="AL637" i="8" s="1"/>
  <c r="AK629" i="8"/>
  <c r="AL629" i="8" s="1"/>
  <c r="AK679" i="8"/>
  <c r="AL679" i="8" s="1"/>
  <c r="AK420" i="8"/>
  <c r="AL420" i="8" s="1"/>
  <c r="AK446" i="8"/>
  <c r="AL446" i="8" s="1"/>
  <c r="AK491" i="8"/>
  <c r="AL491" i="8" s="1"/>
  <c r="AK338" i="8"/>
  <c r="AL338" i="8" s="1"/>
  <c r="AK798" i="8"/>
  <c r="AL798" i="8" s="1"/>
  <c r="AK861" i="8"/>
  <c r="AL861" i="8" s="1"/>
  <c r="AK588" i="8"/>
  <c r="AL588" i="8" s="1"/>
  <c r="AK787" i="8"/>
  <c r="AL787" i="8" s="1"/>
  <c r="AK648" i="8"/>
  <c r="AL648" i="8" s="1"/>
  <c r="AK584" i="8"/>
  <c r="AL584" i="8" s="1"/>
  <c r="AK418" i="8"/>
  <c r="AL418" i="8" s="1"/>
  <c r="AK483" i="8"/>
  <c r="AL483" i="8" s="1"/>
  <c r="AK255" i="8"/>
  <c r="AL255" i="8" s="1"/>
  <c r="AK125" i="8"/>
  <c r="AL125" i="8" s="1"/>
  <c r="AK187" i="8"/>
  <c r="AL187" i="8" s="1"/>
  <c r="AK136" i="8"/>
  <c r="AL136" i="8" s="1"/>
  <c r="AK11" i="8"/>
  <c r="AL11" i="8" s="1"/>
  <c r="C17" i="1" a="1"/>
  <c r="C17" i="1" s="1"/>
  <c r="B12" i="5"/>
  <c r="AK505" i="8"/>
  <c r="AL505" i="8" s="1"/>
  <c r="AK227" i="8"/>
  <c r="AL227" i="8" s="1"/>
  <c r="AE17" i="8"/>
  <c r="AK17" i="8" s="1"/>
  <c r="AL17" i="8" s="1"/>
  <c r="AE403" i="8"/>
  <c r="AK403" i="8" s="1"/>
  <c r="AL403" i="8" s="1"/>
  <c r="AE150" i="8"/>
  <c r="AK150" i="8" s="1"/>
  <c r="AL150" i="8" s="1"/>
  <c r="AE792" i="8"/>
  <c r="AE153" i="8"/>
  <c r="AK153" i="8" s="1"/>
  <c r="AL153" i="8" s="1"/>
  <c r="AE878" i="8"/>
  <c r="AK878" i="8" s="1"/>
  <c r="AL878" i="8" s="1"/>
  <c r="AE894" i="8"/>
  <c r="AK894" i="8" s="1"/>
  <c r="AL894" i="8" s="1"/>
  <c r="AE131" i="8"/>
  <c r="AK131" i="8" s="1"/>
  <c r="AL131" i="8" s="1"/>
  <c r="AE890" i="8"/>
  <c r="AK890" i="8" s="1"/>
  <c r="AL890" i="8" s="1"/>
  <c r="AE898" i="8"/>
  <c r="AK898" i="8" s="1"/>
  <c r="AL898" i="8" s="1"/>
  <c r="AE872" i="8"/>
  <c r="AK872" i="8" s="1"/>
  <c r="AL872" i="8" s="1"/>
  <c r="AE885" i="8"/>
  <c r="AK885" i="8" s="1"/>
  <c r="AL885" i="8" s="1"/>
  <c r="AH909" i="8"/>
  <c r="AK909" i="8" s="1"/>
  <c r="AL909" i="8" s="1"/>
  <c r="AE871" i="8"/>
  <c r="AK871" i="8" s="1"/>
  <c r="AL871" i="8" s="1"/>
  <c r="AE867" i="8"/>
  <c r="AK867" i="8" s="1"/>
  <c r="AL867" i="8" s="1"/>
  <c r="AE502" i="8"/>
  <c r="AE506" i="8"/>
  <c r="AK506" i="8" s="1"/>
  <c r="AL506" i="8" s="1"/>
  <c r="AB1143" i="8" a="1"/>
  <c r="AB1143" i="8" s="1"/>
  <c r="AC1143" i="8" a="1"/>
  <c r="AC1143" i="8" s="1"/>
  <c r="AB1236" i="8" a="1"/>
  <c r="AB1236" i="8" s="1"/>
  <c r="AC1236" i="8" a="1"/>
  <c r="AC1236" i="8" s="1"/>
  <c r="AB1083" i="8" a="1"/>
  <c r="AB1083" i="8" s="1"/>
  <c r="AC1083" i="8" a="1"/>
  <c r="AC1083" i="8" s="1"/>
  <c r="AB1043" i="8" a="1"/>
  <c r="AB1043" i="8" s="1"/>
  <c r="AC1043" i="8" a="1"/>
  <c r="AC1043" i="8" s="1"/>
  <c r="AB1203" i="8" a="1"/>
  <c r="AB1203" i="8" s="1"/>
  <c r="AC1203" i="8" a="1"/>
  <c r="AC1203" i="8" s="1"/>
  <c r="AB1175" i="8" a="1"/>
  <c r="AB1175" i="8" s="1"/>
  <c r="AC1175" i="8" a="1"/>
  <c r="AC1175" i="8" s="1"/>
  <c r="AB1229" i="8" a="1"/>
  <c r="AB1229" i="8" s="1"/>
  <c r="AC1229" i="8" a="1"/>
  <c r="AC1229" i="8" s="1"/>
  <c r="AB977" i="8" a="1"/>
  <c r="AB977" i="8" s="1"/>
  <c r="AC977" i="8" a="1"/>
  <c r="AC977" i="8" s="1"/>
  <c r="AB1094" i="8" a="1"/>
  <c r="AB1094" i="8" s="1"/>
  <c r="AC1094" i="8" a="1"/>
  <c r="AC1094" i="8" s="1"/>
  <c r="AB1156" i="8" a="1"/>
  <c r="AB1156" i="8" s="1"/>
  <c r="AC1156" i="8" a="1"/>
  <c r="AC1156" i="8" s="1"/>
  <c r="AB1011" i="8" a="1"/>
  <c r="AB1011" i="8" s="1"/>
  <c r="AC1011" i="8" a="1"/>
  <c r="AC1011" i="8" s="1"/>
  <c r="AB1112" i="8" a="1"/>
  <c r="AB1112" i="8" s="1"/>
  <c r="AC1112" i="8" a="1"/>
  <c r="AC1112" i="8" s="1"/>
  <c r="AB1010" i="8" a="1"/>
  <c r="AB1010" i="8" s="1"/>
  <c r="AC1010" i="8" a="1"/>
  <c r="AC1010" i="8" s="1"/>
  <c r="AB1208" i="8" a="1"/>
  <c r="AB1208" i="8" s="1"/>
  <c r="AC1208" i="8" a="1"/>
  <c r="AC1208" i="8" s="1"/>
  <c r="AB1181" i="8" a="1"/>
  <c r="AB1181" i="8" s="1"/>
  <c r="AC1181" i="8" a="1"/>
  <c r="AC1181" i="8" s="1"/>
  <c r="AB1020" i="8" a="1"/>
  <c r="AB1020" i="8" s="1"/>
  <c r="AC1020" i="8" a="1"/>
  <c r="AC1020" i="8" s="1"/>
  <c r="AB1113" i="8" a="1"/>
  <c r="AB1113" i="8" s="1"/>
  <c r="AC1113" i="8" a="1"/>
  <c r="AC1113" i="8" s="1"/>
  <c r="AB914" i="8" a="1"/>
  <c r="AB914" i="8" s="1"/>
  <c r="AC914" i="8" a="1"/>
  <c r="AC914" i="8" s="1"/>
  <c r="AB942" i="8" a="1"/>
  <c r="AB942" i="8" s="1"/>
  <c r="AC942" i="8" a="1"/>
  <c r="AC942" i="8" s="1"/>
  <c r="AB1085" i="8" a="1"/>
  <c r="AB1085" i="8" s="1"/>
  <c r="AC1085" i="8" a="1"/>
  <c r="AC1085" i="8" s="1"/>
  <c r="AB1248" i="8" a="1"/>
  <c r="AB1248" i="8" s="1"/>
  <c r="AC1248" i="8" a="1"/>
  <c r="AC1248" i="8" s="1"/>
  <c r="AC1005" i="8" a="1"/>
  <c r="AC1005" i="8" s="1"/>
  <c r="AB1005" i="8" a="1"/>
  <c r="AB1005" i="8" s="1"/>
  <c r="AB1170" i="8" a="1"/>
  <c r="AB1170" i="8" s="1"/>
  <c r="AC1170" i="8" a="1"/>
  <c r="AC1170" i="8" s="1"/>
  <c r="AB1013" i="8" a="1"/>
  <c r="AB1013" i="8" s="1"/>
  <c r="AC1013" i="8" a="1"/>
  <c r="AC1013" i="8" s="1"/>
  <c r="AB1120" i="8" a="1"/>
  <c r="AB1120" i="8" s="1"/>
  <c r="AC1120" i="8" a="1"/>
  <c r="AC1120" i="8" s="1"/>
  <c r="AB1206" i="8" a="1"/>
  <c r="AB1206" i="8" s="1"/>
  <c r="AC1206" i="8" a="1"/>
  <c r="AC1206" i="8" s="1"/>
  <c r="AB983" i="8" a="1"/>
  <c r="AB983" i="8" s="1"/>
  <c r="AC983" i="8" a="1"/>
  <c r="AC983" i="8" s="1"/>
  <c r="AB1049" i="8" a="1"/>
  <c r="AB1049" i="8" s="1"/>
  <c r="AC1049" i="8" a="1"/>
  <c r="AC1049" i="8" s="1"/>
  <c r="AB1138" i="8" a="1"/>
  <c r="AB1138" i="8" s="1"/>
  <c r="AC1138" i="8" a="1"/>
  <c r="AC1138" i="8" s="1"/>
  <c r="AB1238" i="8" a="1"/>
  <c r="AB1238" i="8" s="1"/>
  <c r="AC1238" i="8" a="1"/>
  <c r="AC1238" i="8" s="1"/>
  <c r="AB1134" i="8" a="1"/>
  <c r="AB1134" i="8" s="1"/>
  <c r="AC1134" i="8" a="1"/>
  <c r="AC1134" i="8" s="1"/>
  <c r="AB1139" i="8" a="1"/>
  <c r="AB1139" i="8" s="1"/>
  <c r="AC1139" i="8" a="1"/>
  <c r="AC1139" i="8" s="1"/>
  <c r="AB1050" i="8" a="1"/>
  <c r="AB1050" i="8" s="1"/>
  <c r="AC1050" i="8" a="1"/>
  <c r="AC1050" i="8" s="1"/>
  <c r="AB1039" i="8" a="1"/>
  <c r="AB1039" i="8" s="1"/>
  <c r="AC1039" i="8" a="1"/>
  <c r="AC1039" i="8" s="1"/>
  <c r="AB1166" i="8" a="1"/>
  <c r="AB1166" i="8" s="1"/>
  <c r="AC1166" i="8" a="1"/>
  <c r="AC1166" i="8" s="1"/>
  <c r="AB1002" i="8" a="1"/>
  <c r="AB1002" i="8" s="1"/>
  <c r="AC1002" i="8" a="1"/>
  <c r="AC1002" i="8" s="1"/>
  <c r="AB1053" i="8" a="1"/>
  <c r="AB1053" i="8" s="1"/>
  <c r="AC1053" i="8" a="1"/>
  <c r="AC1053" i="8" s="1"/>
  <c r="AB1046" i="8" a="1"/>
  <c r="AB1046" i="8" s="1"/>
  <c r="AC1046" i="8" a="1"/>
  <c r="AC1046" i="8" s="1"/>
  <c r="AB913" i="8" a="1"/>
  <c r="AB913" i="8" s="1"/>
  <c r="AC913" i="8" a="1"/>
  <c r="AC913" i="8" s="1"/>
  <c r="AB1140" i="8" a="1"/>
  <c r="AB1140" i="8" s="1"/>
  <c r="AC1140" i="8" a="1"/>
  <c r="AC1140" i="8" s="1"/>
  <c r="AB1102" i="8" a="1"/>
  <c r="AB1102" i="8" s="1"/>
  <c r="AC1102" i="8" a="1"/>
  <c r="AC1102" i="8" s="1"/>
  <c r="AB964" i="8" a="1"/>
  <c r="AB964" i="8" s="1"/>
  <c r="AC964" i="8" a="1"/>
  <c r="AC964" i="8" s="1"/>
  <c r="AB1176" i="8" a="1"/>
  <c r="AB1176" i="8" s="1"/>
  <c r="AC1176" i="8" a="1"/>
  <c r="AC1176" i="8" s="1"/>
  <c r="AB1172" i="8" a="1"/>
  <c r="AB1172" i="8" s="1"/>
  <c r="AC1172" i="8" a="1"/>
  <c r="AC1172" i="8" s="1"/>
  <c r="AC1033" i="8" a="1"/>
  <c r="AC1033" i="8" s="1"/>
  <c r="AB1033" i="8" a="1"/>
  <c r="AB1033" i="8" s="1"/>
  <c r="AB1124" i="8" a="1"/>
  <c r="AB1124" i="8" s="1"/>
  <c r="AC1124" i="8" a="1"/>
  <c r="AC1124" i="8" s="1"/>
  <c r="AB1249" i="8" a="1"/>
  <c r="AB1249" i="8" s="1"/>
  <c r="AC1249" i="8" a="1"/>
  <c r="AC1249" i="8" s="1"/>
  <c r="AC1150" i="8" a="1"/>
  <c r="AC1150" i="8" s="1"/>
  <c r="AB1150" i="8" a="1"/>
  <c r="AB1150" i="8" s="1"/>
  <c r="AB952" i="8" a="1"/>
  <c r="AB952" i="8" s="1"/>
  <c r="AC952" i="8" a="1"/>
  <c r="AC952" i="8" s="1"/>
  <c r="AB948" i="8" a="1"/>
  <c r="AB948" i="8" s="1"/>
  <c r="AC948" i="8" a="1"/>
  <c r="AC948" i="8" s="1"/>
  <c r="AB937" i="8" a="1"/>
  <c r="AB937" i="8" s="1"/>
  <c r="AC937" i="8" a="1"/>
  <c r="AC937" i="8" s="1"/>
  <c r="AB1036" i="8" a="1"/>
  <c r="AB1036" i="8" s="1"/>
  <c r="AC1036" i="8" a="1"/>
  <c r="AC1036" i="8" s="1"/>
  <c r="AB1096" i="8" a="1"/>
  <c r="AB1096" i="8" s="1"/>
  <c r="AC1096" i="8" a="1"/>
  <c r="AC1096" i="8" s="1"/>
  <c r="AC1178" i="8" a="1"/>
  <c r="AC1178" i="8" s="1"/>
  <c r="AB1178" i="8" a="1"/>
  <c r="AB1178" i="8" s="1"/>
  <c r="AB1126" i="8" a="1"/>
  <c r="AB1126" i="8" s="1"/>
  <c r="AC1126" i="8" a="1"/>
  <c r="AC1126" i="8" s="1"/>
  <c r="AB967" i="8" a="1"/>
  <c r="AB967" i="8" s="1"/>
  <c r="AC967" i="8" a="1"/>
  <c r="AC967" i="8" s="1"/>
  <c r="AB919" i="8" a="1"/>
  <c r="AB919" i="8" s="1"/>
  <c r="AC919" i="8" a="1"/>
  <c r="AC919" i="8" s="1"/>
  <c r="AB1082" i="8" a="1"/>
  <c r="AB1082" i="8" s="1"/>
  <c r="AC1082" i="8" a="1"/>
  <c r="AC1082" i="8" s="1"/>
  <c r="AC917" i="8" a="1"/>
  <c r="AC917" i="8" s="1"/>
  <c r="AB917" i="8" a="1"/>
  <c r="AB917" i="8" s="1"/>
  <c r="AB963" i="8" a="1"/>
  <c r="AB963" i="8" s="1"/>
  <c r="AC963" i="8" a="1"/>
  <c r="AC963" i="8" s="1"/>
  <c r="AB935" i="8" a="1"/>
  <c r="AB935" i="8" s="1"/>
  <c r="AC935" i="8" a="1"/>
  <c r="AC935" i="8" s="1"/>
  <c r="AB1075" i="8" a="1"/>
  <c r="AB1075" i="8" s="1"/>
  <c r="AC1075" i="8" a="1"/>
  <c r="AC1075" i="8" s="1"/>
  <c r="AC1008" i="8" a="1"/>
  <c r="AC1008" i="8" s="1"/>
  <c r="AB1008" i="8" a="1"/>
  <c r="AB1008" i="8" s="1"/>
  <c r="AB1193" i="8" a="1"/>
  <c r="AB1193" i="8" s="1"/>
  <c r="AC1193" i="8" a="1"/>
  <c r="AC1193" i="8" s="1"/>
  <c r="AB1004" i="8" a="1"/>
  <c r="AB1004" i="8" s="1"/>
  <c r="AC1004" i="8" a="1"/>
  <c r="AC1004" i="8" s="1"/>
  <c r="AB1074" i="8" a="1"/>
  <c r="AB1074" i="8" s="1"/>
  <c r="AC1074" i="8" a="1"/>
  <c r="AC1074" i="8" s="1"/>
  <c r="AB1169" i="8" a="1"/>
  <c r="AB1169" i="8" s="1"/>
  <c r="AC1169" i="8" a="1"/>
  <c r="AC1169" i="8" s="1"/>
  <c r="AB1045" i="8" a="1"/>
  <c r="AB1045" i="8" s="1"/>
  <c r="AC1045" i="8" a="1"/>
  <c r="AC1045" i="8" s="1"/>
  <c r="AB1191" i="8" a="1"/>
  <c r="AB1191" i="8" s="1"/>
  <c r="AC1191" i="8" a="1"/>
  <c r="AC1191" i="8" s="1"/>
  <c r="AB1063" i="8" a="1"/>
  <c r="AB1063" i="8" s="1"/>
  <c r="AC1063" i="8" a="1"/>
  <c r="AC1063" i="8" s="1"/>
  <c r="AB957" i="8" a="1"/>
  <c r="AB957" i="8" s="1"/>
  <c r="AC957" i="8" a="1"/>
  <c r="AC957" i="8" s="1"/>
  <c r="AB1121" i="8" a="1"/>
  <c r="AB1121" i="8" s="1"/>
  <c r="AC1121" i="8" a="1"/>
  <c r="AC1121" i="8" s="1"/>
  <c r="AB950" i="8" a="1"/>
  <c r="AB950" i="8" s="1"/>
  <c r="AC950" i="8" a="1"/>
  <c r="AC950" i="8" s="1"/>
  <c r="AB1069" i="8" a="1"/>
  <c r="AB1069" i="8" s="1"/>
  <c r="AC1069" i="8" a="1"/>
  <c r="AC1069" i="8" s="1"/>
  <c r="AB980" i="8" a="1"/>
  <c r="AB980" i="8" s="1"/>
  <c r="AC980" i="8" a="1"/>
  <c r="AC980" i="8" s="1"/>
  <c r="AB992" i="8" a="1"/>
  <c r="AB992" i="8" s="1"/>
  <c r="AC992" i="8" a="1"/>
  <c r="AC992" i="8" s="1"/>
  <c r="AB1081" i="8" a="1"/>
  <c r="AB1081" i="8" s="1"/>
  <c r="AC1081" i="8" a="1"/>
  <c r="AC1081" i="8" s="1"/>
  <c r="AB1173" i="8" a="1"/>
  <c r="AB1173" i="8" s="1"/>
  <c r="AC1173" i="8" a="1"/>
  <c r="AC1173" i="8" s="1"/>
  <c r="AB966" i="8" a="1"/>
  <c r="AB966" i="8" s="1"/>
  <c r="AC966" i="8" a="1"/>
  <c r="AC966" i="8" s="1"/>
  <c r="AB1024" i="8" a="1"/>
  <c r="AB1024" i="8" s="1"/>
  <c r="AC1024" i="8" a="1"/>
  <c r="AC1024" i="8" s="1"/>
  <c r="AB1224" i="8" a="1"/>
  <c r="AB1224" i="8" s="1"/>
  <c r="AC1224" i="8" a="1"/>
  <c r="AC1224" i="8" s="1"/>
  <c r="AC1219" i="8" a="1"/>
  <c r="AC1219" i="8" s="1"/>
  <c r="AB1219" i="8" a="1"/>
  <c r="AB1219" i="8" s="1"/>
  <c r="AB1017" i="8" a="1"/>
  <c r="AB1017" i="8" s="1"/>
  <c r="AC1017" i="8" a="1"/>
  <c r="AC1017" i="8" s="1"/>
  <c r="AB916" i="8" a="1"/>
  <c r="AB916" i="8" s="1"/>
  <c r="AC916" i="8" a="1"/>
  <c r="AC916" i="8" s="1"/>
  <c r="AB1243" i="8" a="1"/>
  <c r="AB1243" i="8" s="1"/>
  <c r="AC1243" i="8" a="1"/>
  <c r="AC1243" i="8" s="1"/>
  <c r="AB1199" i="8" a="1"/>
  <c r="AB1199" i="8" s="1"/>
  <c r="AC1199" i="8" a="1"/>
  <c r="AC1199" i="8" s="1"/>
  <c r="AB1019" i="8" a="1"/>
  <c r="AB1019" i="8" s="1"/>
  <c r="AC1019" i="8" a="1"/>
  <c r="AC1019" i="8" s="1"/>
  <c r="AB1062" i="8" a="1"/>
  <c r="AB1062" i="8" s="1"/>
  <c r="AC1062" i="8" a="1"/>
  <c r="AC1062" i="8" s="1"/>
  <c r="AB1100" i="8" a="1"/>
  <c r="AB1100" i="8" s="1"/>
  <c r="AC1100" i="8" a="1"/>
  <c r="AC1100" i="8" s="1"/>
  <c r="AB1110" i="8" a="1"/>
  <c r="AB1110" i="8" s="1"/>
  <c r="AC1110" i="8" a="1"/>
  <c r="AC1110" i="8" s="1"/>
  <c r="AB1018" i="8" a="1"/>
  <c r="AB1018" i="8" s="1"/>
  <c r="AC1018" i="8" a="1"/>
  <c r="AC1018" i="8" s="1"/>
  <c r="AB1007" i="8" a="1"/>
  <c r="AB1007" i="8" s="1"/>
  <c r="AC1007" i="8" a="1"/>
  <c r="AC1007" i="8" s="1"/>
  <c r="AB1228" i="8" a="1"/>
  <c r="AB1228" i="8" s="1"/>
  <c r="AC1228" i="8" a="1"/>
  <c r="AC1228" i="8" s="1"/>
  <c r="AB1218" i="8" a="1"/>
  <c r="AB1218" i="8" s="1"/>
  <c r="AC1218" i="8" a="1"/>
  <c r="AC1218" i="8" s="1"/>
  <c r="AB959" i="8" a="1"/>
  <c r="AB959" i="8" s="1"/>
  <c r="AC959" i="8" a="1"/>
  <c r="AC959" i="8" s="1"/>
  <c r="AB911" i="8" a="1"/>
  <c r="AB911" i="8" s="1"/>
  <c r="AC911" i="8" a="1"/>
  <c r="AC911" i="8" s="1"/>
  <c r="AB1066" i="8" a="1"/>
  <c r="AB1066" i="8" s="1"/>
  <c r="AC1066" i="8" a="1"/>
  <c r="AC1066" i="8" s="1"/>
  <c r="AB1145" i="8" a="1"/>
  <c r="AB1145" i="8" s="1"/>
  <c r="AC1145" i="8" a="1"/>
  <c r="AC1145" i="8" s="1"/>
  <c r="AB1189" i="8" a="1"/>
  <c r="AB1189" i="8" s="1"/>
  <c r="AC1189" i="8" a="1"/>
  <c r="AC1189" i="8" s="1"/>
  <c r="AB1232" i="8" a="1"/>
  <c r="AB1232" i="8" s="1"/>
  <c r="AC1232" i="8" a="1"/>
  <c r="AC1232" i="8" s="1"/>
  <c r="AB1128" i="8" a="1"/>
  <c r="AB1128" i="8" s="1"/>
  <c r="AC1128" i="8" a="1"/>
  <c r="AC1128" i="8" s="1"/>
  <c r="AB970" i="8" a="1"/>
  <c r="AB970" i="8" s="1"/>
  <c r="AC970" i="8" a="1"/>
  <c r="AC970" i="8" s="1"/>
  <c r="AC981" i="8" a="1"/>
  <c r="AC981" i="8" s="1"/>
  <c r="AB981" i="8" a="1"/>
  <c r="AB981" i="8" s="1"/>
  <c r="AB994" i="8" a="1"/>
  <c r="AB994" i="8" s="1"/>
  <c r="AC994" i="8" a="1"/>
  <c r="AC994" i="8" s="1"/>
  <c r="AB920" i="8" a="1"/>
  <c r="AB920" i="8" s="1"/>
  <c r="AC920" i="8" a="1"/>
  <c r="AC920" i="8" s="1"/>
  <c r="AB1099" i="8" a="1"/>
  <c r="AB1099" i="8" s="1"/>
  <c r="AC1099" i="8" a="1"/>
  <c r="AC1099" i="8" s="1"/>
  <c r="AB1202" i="8" a="1"/>
  <c r="AB1202" i="8" s="1"/>
  <c r="AC1202" i="8" a="1"/>
  <c r="AC1202" i="8" s="1"/>
  <c r="AC940" i="8" a="1"/>
  <c r="AC940" i="8" s="1"/>
  <c r="AB940" i="8" a="1"/>
  <c r="AB940" i="8" s="1"/>
  <c r="AB1025" i="8" a="1"/>
  <c r="AB1025" i="8" s="1"/>
  <c r="AC1025" i="8" a="1"/>
  <c r="AC1025" i="8" s="1"/>
  <c r="AB1148" i="8" a="1"/>
  <c r="AB1148" i="8" s="1"/>
  <c r="AC1148" i="8" a="1"/>
  <c r="AC1148" i="8" s="1"/>
  <c r="AB1144" i="8" a="1"/>
  <c r="AB1144" i="8" s="1"/>
  <c r="AC1144" i="8" a="1"/>
  <c r="AC1144" i="8" s="1"/>
  <c r="AB1213" i="8" a="1"/>
  <c r="AB1213" i="8" s="1"/>
  <c r="AC1213" i="8" a="1"/>
  <c r="AC1213" i="8" s="1"/>
  <c r="AB1188" i="8" a="1"/>
  <c r="AB1188" i="8" s="1"/>
  <c r="AC1188" i="8" a="1"/>
  <c r="AC1188" i="8" s="1"/>
  <c r="AB1077" i="8" a="1"/>
  <c r="AB1077" i="8" s="1"/>
  <c r="AC1077" i="8" a="1"/>
  <c r="AC1077" i="8" s="1"/>
  <c r="AC1054" i="8" a="1"/>
  <c r="AC1054" i="8" s="1"/>
  <c r="AB1054" i="8" a="1"/>
  <c r="AB1054" i="8" s="1"/>
  <c r="AC953" i="8" a="1"/>
  <c r="AC953" i="8" s="1"/>
  <c r="AB953" i="8" a="1"/>
  <c r="AB953" i="8" s="1"/>
  <c r="AB1141" i="8" a="1"/>
  <c r="AB1141" i="8" s="1"/>
  <c r="AC1141" i="8" a="1"/>
  <c r="AC1141" i="8" s="1"/>
  <c r="AB1044" i="8" a="1"/>
  <c r="AB1044" i="8" s="1"/>
  <c r="AC1044" i="8" a="1"/>
  <c r="AC1044" i="8" s="1"/>
  <c r="AB931" i="8" a="1"/>
  <c r="AB931" i="8" s="1"/>
  <c r="AC931" i="8" a="1"/>
  <c r="AC931" i="8" s="1"/>
  <c r="AB1179" i="8" a="1"/>
  <c r="AB1179" i="8" s="1"/>
  <c r="AC1179" i="8" a="1"/>
  <c r="AC1179" i="8" s="1"/>
  <c r="AB1233" i="8" a="1"/>
  <c r="AB1233" i="8" s="1"/>
  <c r="AC1233" i="8" a="1"/>
  <c r="AC1233" i="8" s="1"/>
  <c r="AB943" i="8" a="1"/>
  <c r="AB943" i="8" s="1"/>
  <c r="AC943" i="8" a="1"/>
  <c r="AC943" i="8" s="1"/>
  <c r="AB1042" i="8" a="1"/>
  <c r="AB1042" i="8" s="1"/>
  <c r="AC1042" i="8" a="1"/>
  <c r="AC1042" i="8" s="1"/>
  <c r="AB999" i="8" a="1"/>
  <c r="AB999" i="8" s="1"/>
  <c r="AC999" i="8" a="1"/>
  <c r="AC999" i="8" s="1"/>
  <c r="AB1246" i="8" a="1"/>
  <c r="AB1246" i="8" s="1"/>
  <c r="AC1246" i="8" a="1"/>
  <c r="AC1246" i="8" s="1"/>
  <c r="AB951" i="8" a="1"/>
  <c r="AB951" i="8" s="1"/>
  <c r="AC951" i="8" a="1"/>
  <c r="AC951" i="8" s="1"/>
  <c r="AB1137" i="8" a="1"/>
  <c r="AB1137" i="8" s="1"/>
  <c r="AC1137" i="8" a="1"/>
  <c r="AC1137" i="8" s="1"/>
  <c r="AB946" i="8" a="1"/>
  <c r="AB946" i="8" s="1"/>
  <c r="AC946" i="8" a="1"/>
  <c r="AC946" i="8" s="1"/>
  <c r="AB1159" i="8" a="1"/>
  <c r="AB1159" i="8" s="1"/>
  <c r="AC1159" i="8" a="1"/>
  <c r="AC1159" i="8" s="1"/>
  <c r="AB1154" i="8" a="1"/>
  <c r="AB1154" i="8" s="1"/>
  <c r="AC1154" i="8" a="1"/>
  <c r="AC1154" i="8" s="1"/>
  <c r="AB1153" i="8" a="1"/>
  <c r="AB1153" i="8" s="1"/>
  <c r="AC1153" i="8" a="1"/>
  <c r="AC1153" i="8" s="1"/>
  <c r="AB1111" i="8" a="1"/>
  <c r="AB1111" i="8" s="1"/>
  <c r="AC1111" i="8" a="1"/>
  <c r="AC1111" i="8" s="1"/>
  <c r="AB976" i="8" a="1"/>
  <c r="AB976" i="8" s="1"/>
  <c r="AC976" i="8" a="1"/>
  <c r="AC976" i="8" s="1"/>
  <c r="AB1030" i="8" a="1"/>
  <c r="AB1030" i="8" s="1"/>
  <c r="AC1030" i="8" a="1"/>
  <c r="AC1030" i="8" s="1"/>
  <c r="AB1021" i="8" a="1"/>
  <c r="AB1021" i="8" s="1"/>
  <c r="AC1021" i="8" a="1"/>
  <c r="AC1021" i="8" s="1"/>
  <c r="AB993" i="8" a="1"/>
  <c r="AB993" i="8" s="1"/>
  <c r="AC993" i="8" a="1"/>
  <c r="AC993" i="8" s="1"/>
  <c r="AC941" i="8" a="1"/>
  <c r="AC941" i="8" s="1"/>
  <c r="AB941" i="8" a="1"/>
  <c r="AB941" i="8" s="1"/>
  <c r="AB1059" i="8" a="1"/>
  <c r="AB1059" i="8" s="1"/>
  <c r="AC1059" i="8" a="1"/>
  <c r="AC1059" i="8" s="1"/>
  <c r="AB932" i="8" a="1"/>
  <c r="AB932" i="8" s="1"/>
  <c r="AC932" i="8" a="1"/>
  <c r="AC932" i="8" s="1"/>
  <c r="AB956" i="8" a="1"/>
  <c r="AB956" i="8" s="1"/>
  <c r="AC956" i="8" a="1"/>
  <c r="AC956" i="8" s="1"/>
  <c r="AC985" i="8" a="1"/>
  <c r="AC985" i="8" s="1"/>
  <c r="AB985" i="8" a="1"/>
  <c r="AB985" i="8" s="1"/>
  <c r="AB1158" i="8" a="1"/>
  <c r="AB1158" i="8" s="1"/>
  <c r="AC1158" i="8" a="1"/>
  <c r="AC1158" i="8" s="1"/>
  <c r="AB1201" i="8" a="1"/>
  <c r="AB1201" i="8" s="1"/>
  <c r="AC1201" i="8" a="1"/>
  <c r="AC1201" i="8" s="1"/>
  <c r="AB1125" i="8" a="1"/>
  <c r="AB1125" i="8" s="1"/>
  <c r="AC1125" i="8" a="1"/>
  <c r="AC1125" i="8" s="1"/>
  <c r="AB990" i="8" a="1"/>
  <c r="AB990" i="8" s="1"/>
  <c r="AC990" i="8" a="1"/>
  <c r="AC990" i="8" s="1"/>
  <c r="AB1231" i="8" a="1"/>
  <c r="AB1231" i="8" s="1"/>
  <c r="AC1231" i="8" a="1"/>
  <c r="AC1231" i="8" s="1"/>
  <c r="AB975" i="8" a="1"/>
  <c r="AB975" i="8" s="1"/>
  <c r="AC975" i="8" a="1"/>
  <c r="AC975" i="8" s="1"/>
  <c r="AB934" i="8" a="1"/>
  <c r="AB934" i="8" s="1"/>
  <c r="AC934" i="8" a="1"/>
  <c r="AC934" i="8" s="1"/>
  <c r="AB987" i="8" a="1"/>
  <c r="AB987" i="8" s="1"/>
  <c r="AC987" i="8" a="1"/>
  <c r="AC987" i="8" s="1"/>
  <c r="AB1093" i="8" a="1"/>
  <c r="AB1093" i="8" s="1"/>
  <c r="AC1093" i="8" a="1"/>
  <c r="AC1093" i="8" s="1"/>
  <c r="AC958" i="8" a="1"/>
  <c r="AC958" i="8" s="1"/>
  <c r="AB958" i="8" a="1"/>
  <c r="AB958" i="8" s="1"/>
  <c r="AB1165" i="8" a="1"/>
  <c r="AB1165" i="8" s="1"/>
  <c r="AC1165" i="8" a="1"/>
  <c r="AC1165" i="8" s="1"/>
  <c r="AC1104" i="8" a="1"/>
  <c r="AC1104" i="8" s="1"/>
  <c r="AB1104" i="8" a="1"/>
  <c r="AB1104" i="8" s="1"/>
  <c r="AB1076" i="8" a="1"/>
  <c r="AB1076" i="8" s="1"/>
  <c r="AC1076" i="8" a="1"/>
  <c r="AC1076" i="8" s="1"/>
  <c r="AB1065" i="8" a="1"/>
  <c r="AB1065" i="8" s="1"/>
  <c r="AC1065" i="8" a="1"/>
  <c r="AC1065" i="8" s="1"/>
  <c r="AB972" i="8" a="1"/>
  <c r="AB972" i="8" s="1"/>
  <c r="AC972" i="8" a="1"/>
  <c r="AC972" i="8" s="1"/>
  <c r="AB1204" i="8" a="1"/>
  <c r="AB1204" i="8" s="1"/>
  <c r="AC1204" i="8" a="1"/>
  <c r="AC1204" i="8" s="1"/>
  <c r="AC929" i="8" a="1"/>
  <c r="AC929" i="8" s="1"/>
  <c r="AB929" i="8" a="1"/>
  <c r="AB929" i="8" s="1"/>
  <c r="AB1116" i="8" a="1"/>
  <c r="AB1116" i="8" s="1"/>
  <c r="AC1116" i="8" a="1"/>
  <c r="AC1116" i="8" s="1"/>
  <c r="AB984" i="8" a="1"/>
  <c r="AB984" i="8" s="1"/>
  <c r="AC984" i="8" a="1"/>
  <c r="AC984" i="8" s="1"/>
  <c r="AB938" i="8" a="1"/>
  <c r="AB938" i="8" s="1"/>
  <c r="AC938" i="8" a="1"/>
  <c r="AC938" i="8" s="1"/>
  <c r="AB1060" i="8" a="1"/>
  <c r="AB1060" i="8" s="1"/>
  <c r="AC1060" i="8" a="1"/>
  <c r="AC1060" i="8" s="1"/>
  <c r="AB991" i="8" a="1"/>
  <c r="AB991" i="8" s="1"/>
  <c r="AC991" i="8" a="1"/>
  <c r="AC991" i="8" s="1"/>
  <c r="AB1200" i="8" a="1"/>
  <c r="AB1200" i="8" s="1"/>
  <c r="AC1200" i="8" a="1"/>
  <c r="AC1200" i="8" s="1"/>
  <c r="AB1067" i="8" a="1"/>
  <c r="AB1067" i="8" s="1"/>
  <c r="AC1067" i="8" a="1"/>
  <c r="AC1067" i="8" s="1"/>
  <c r="AC1028" i="8" a="1"/>
  <c r="AC1028" i="8" s="1"/>
  <c r="AB1028" i="8" a="1"/>
  <c r="AB1028" i="8" s="1"/>
  <c r="AB1142" i="8" a="1"/>
  <c r="AB1142" i="8" s="1"/>
  <c r="AC1142" i="8" a="1"/>
  <c r="AC1142" i="8" s="1"/>
  <c r="AB1174" i="8" a="1"/>
  <c r="AB1174" i="8" s="1"/>
  <c r="AC1174" i="8" a="1"/>
  <c r="AC1174" i="8" s="1"/>
  <c r="AB1073" i="8" a="1"/>
  <c r="AB1073" i="8" s="1"/>
  <c r="AC1073" i="8" a="1"/>
  <c r="AC1073" i="8" s="1"/>
  <c r="AB1184" i="8" a="1"/>
  <c r="AB1184" i="8" s="1"/>
  <c r="AC1184" i="8" a="1"/>
  <c r="AC1184" i="8" s="1"/>
  <c r="AB1180" i="8" a="1"/>
  <c r="AB1180" i="8" s="1"/>
  <c r="AC1180" i="8" a="1"/>
  <c r="AC1180" i="8" s="1"/>
  <c r="AC949" i="8" a="1"/>
  <c r="AC949" i="8" s="1"/>
  <c r="AB949" i="8" a="1"/>
  <c r="AB949" i="8" s="1"/>
  <c r="AB1084" i="8" a="1"/>
  <c r="AB1084" i="8" s="1"/>
  <c r="AC1084" i="8" a="1"/>
  <c r="AC1084" i="8" s="1"/>
  <c r="AB971" i="8" a="1"/>
  <c r="AB971" i="8" s="1"/>
  <c r="AC971" i="8" a="1"/>
  <c r="AC971" i="8" s="1"/>
  <c r="AB1171" i="8" a="1"/>
  <c r="AB1171" i="8" s="1"/>
  <c r="AC1171" i="8" a="1"/>
  <c r="AC1171" i="8" s="1"/>
  <c r="AC918" i="8" a="1"/>
  <c r="AC918" i="8" s="1"/>
  <c r="AB918" i="8" a="1"/>
  <c r="AB918" i="8" s="1"/>
  <c r="AB1101" i="8" a="1"/>
  <c r="AB1101" i="8" s="1"/>
  <c r="AC1101" i="8" a="1"/>
  <c r="AC1101" i="8" s="1"/>
  <c r="AB1177" i="8" a="1"/>
  <c r="AB1177" i="8" s="1"/>
  <c r="AC1177" i="8" a="1"/>
  <c r="AC1177" i="8" s="1"/>
  <c r="AB955" i="8" a="1"/>
  <c r="AB955" i="8" s="1"/>
  <c r="AC955" i="8" a="1"/>
  <c r="AC955" i="8" s="1"/>
  <c r="AB1194" i="8" a="1"/>
  <c r="AB1194" i="8" s="1"/>
  <c r="AC1194" i="8" a="1"/>
  <c r="AC1194" i="8" s="1"/>
  <c r="AC926" i="8" a="1"/>
  <c r="AC926" i="8" s="1"/>
  <c r="AB926" i="8" a="1"/>
  <c r="AB926" i="8" s="1"/>
  <c r="AB1132" i="8" a="1"/>
  <c r="AB1132" i="8" s="1"/>
  <c r="AC1132" i="8" a="1"/>
  <c r="AC1132" i="8" s="1"/>
  <c r="AB1097" i="8" a="1"/>
  <c r="AB1097" i="8" s="1"/>
  <c r="AC1097" i="8" a="1"/>
  <c r="AC1097" i="8" s="1"/>
  <c r="AB1029" i="8" a="1"/>
  <c r="AB1029" i="8" s="1"/>
  <c r="AC1029" i="8" a="1"/>
  <c r="AC1029" i="8" s="1"/>
  <c r="AB1119" i="8" a="1"/>
  <c r="AB1119" i="8" s="1"/>
  <c r="AC1119" i="8" a="1"/>
  <c r="AC1119" i="8" s="1"/>
  <c r="AB1016" i="8" a="1"/>
  <c r="AB1016" i="8" s="1"/>
  <c r="AC1016" i="8" a="1"/>
  <c r="AC1016" i="8" s="1"/>
  <c r="AB1168" i="8" a="1"/>
  <c r="AB1168" i="8" s="1"/>
  <c r="AC1168" i="8" a="1"/>
  <c r="AC1168" i="8" s="1"/>
  <c r="AC1001" i="8" a="1"/>
  <c r="AC1001" i="8" s="1"/>
  <c r="AB1001" i="8" a="1"/>
  <c r="AB1001" i="8" s="1"/>
  <c r="AB1152" i="8" a="1"/>
  <c r="AB1152" i="8" s="1"/>
  <c r="AC1152" i="8" a="1"/>
  <c r="AC1152" i="8" s="1"/>
  <c r="AB1078" i="8" a="1"/>
  <c r="AB1078" i="8" s="1"/>
  <c r="AC1078" i="8" a="1"/>
  <c r="AC1078" i="8" s="1"/>
  <c r="AB1222" i="8" a="1"/>
  <c r="AB1222" i="8" s="1"/>
  <c r="AC1222" i="8" a="1"/>
  <c r="AC1222" i="8" s="1"/>
  <c r="AC944" i="8" a="1"/>
  <c r="AC944" i="8" s="1"/>
  <c r="AB944" i="8" a="1"/>
  <c r="AB944" i="8" s="1"/>
  <c r="AB1123" i="8" a="1"/>
  <c r="AB1123" i="8" s="1"/>
  <c r="AC1123" i="8" a="1"/>
  <c r="AC1123" i="8" s="1"/>
  <c r="AB1211" i="8" a="1"/>
  <c r="AB1211" i="8" s="1"/>
  <c r="AC1211" i="8" a="1"/>
  <c r="AC1211" i="8" s="1"/>
  <c r="AB996" i="8" a="1"/>
  <c r="AB996" i="8" s="1"/>
  <c r="AC996" i="8" a="1"/>
  <c r="AC996" i="8" s="1"/>
  <c r="AB927" i="8" a="1"/>
  <c r="AB927" i="8" s="1"/>
  <c r="AC927" i="8" a="1"/>
  <c r="AC927" i="8" s="1"/>
  <c r="AB1087" i="8" a="1"/>
  <c r="AB1087" i="8" s="1"/>
  <c r="AC1087" i="8" a="1"/>
  <c r="AC1087" i="8" s="1"/>
  <c r="AB1105" i="8" a="1"/>
  <c r="AB1105" i="8" s="1"/>
  <c r="AC1105" i="8" a="1"/>
  <c r="AC1105" i="8" s="1"/>
  <c r="AB1003" i="8" a="1"/>
  <c r="AB1003" i="8" s="1"/>
  <c r="AC1003" i="8" a="1"/>
  <c r="AC1003" i="8" s="1"/>
  <c r="AB1186" i="8" a="1"/>
  <c r="AB1186" i="8" s="1"/>
  <c r="AC1186" i="8" a="1"/>
  <c r="AC1186" i="8" s="1"/>
  <c r="AB1227" i="8" a="1"/>
  <c r="AB1227" i="8" s="1"/>
  <c r="AC1227" i="8" a="1"/>
  <c r="AC1227" i="8" s="1"/>
  <c r="AB1048" i="8" a="1"/>
  <c r="AB1048" i="8" s="1"/>
  <c r="AC1048" i="8" a="1"/>
  <c r="AC1048" i="8" s="1"/>
  <c r="AB1214" i="8" a="1"/>
  <c r="AB1214" i="8" s="1"/>
  <c r="AC1214" i="8" a="1"/>
  <c r="AC1214" i="8" s="1"/>
  <c r="AB998" i="8" a="1"/>
  <c r="AB998" i="8" s="1"/>
  <c r="AC998" i="8" a="1"/>
  <c r="AC998" i="8" s="1"/>
  <c r="AB1241" i="8" a="1"/>
  <c r="AB1241" i="8" s="1"/>
  <c r="AC1241" i="8" a="1"/>
  <c r="AC1241" i="8" s="1"/>
  <c r="AB1237" i="8" a="1"/>
  <c r="AB1237" i="8" s="1"/>
  <c r="AC1237" i="8" a="1"/>
  <c r="AC1237" i="8" s="1"/>
  <c r="AB1217" i="8" a="1"/>
  <c r="AB1217" i="8" s="1"/>
  <c r="AC1217" i="8" a="1"/>
  <c r="AC1217" i="8" s="1"/>
  <c r="AB1098" i="8" a="1"/>
  <c r="AB1098" i="8" s="1"/>
  <c r="AC1098" i="8" a="1"/>
  <c r="AC1098" i="8" s="1"/>
  <c r="AB1088" i="8" a="1"/>
  <c r="AB1088" i="8" s="1"/>
  <c r="AC1088" i="8" a="1"/>
  <c r="AC1088" i="8" s="1"/>
  <c r="AB947" i="8" a="1"/>
  <c r="AB947" i="8" s="1"/>
  <c r="AC947" i="8" a="1"/>
  <c r="AC947" i="8" s="1"/>
  <c r="AB1109" i="8" a="1"/>
  <c r="AB1109" i="8" s="1"/>
  <c r="AC1109" i="8" a="1"/>
  <c r="AC1109" i="8" s="1"/>
  <c r="AC1072" i="8" a="1"/>
  <c r="AC1072" i="8" s="1"/>
  <c r="AB1072" i="8" a="1"/>
  <c r="AB1072" i="8" s="1"/>
  <c r="AB1035" i="8" a="1"/>
  <c r="AB1035" i="8" s="1"/>
  <c r="AC1035" i="8" a="1"/>
  <c r="AC1035" i="8" s="1"/>
  <c r="AB928" i="8" a="1"/>
  <c r="AB928" i="8" s="1"/>
  <c r="AC928" i="8" a="1"/>
  <c r="AC928" i="8" s="1"/>
  <c r="AB962" i="8" a="1"/>
  <c r="AB962" i="8" s="1"/>
  <c r="AC962" i="8" a="1"/>
  <c r="AC962" i="8" s="1"/>
  <c r="AB961" i="8" a="1"/>
  <c r="AB961" i="8" s="1"/>
  <c r="AC961" i="8" a="1"/>
  <c r="AC961" i="8" s="1"/>
  <c r="AB974" i="8" a="1"/>
  <c r="AB974" i="8" s="1"/>
  <c r="AC974" i="8" a="1"/>
  <c r="AC974" i="8" s="1"/>
  <c r="AB1071" i="8" a="1"/>
  <c r="AB1071" i="8" s="1"/>
  <c r="AC1071" i="8" a="1"/>
  <c r="AC1071" i="8" s="1"/>
  <c r="AB1131" i="8" a="1"/>
  <c r="AB1131" i="8" s="1"/>
  <c r="AC1131" i="8" a="1"/>
  <c r="AC1131" i="8" s="1"/>
  <c r="AB1197" i="8" a="1"/>
  <c r="AB1197" i="8" s="1"/>
  <c r="AC1197" i="8" a="1"/>
  <c r="AC1197" i="8" s="1"/>
  <c r="AB1122" i="8" a="1"/>
  <c r="AB1122" i="8" s="1"/>
  <c r="AC1122" i="8" a="1"/>
  <c r="AC1122" i="8" s="1"/>
  <c r="AB988" i="8" a="1"/>
  <c r="AB988" i="8" s="1"/>
  <c r="AC988" i="8" a="1"/>
  <c r="AC988" i="8" s="1"/>
  <c r="AB1167" i="8" a="1"/>
  <c r="AB1167" i="8" s="1"/>
  <c r="AC1167" i="8" a="1"/>
  <c r="AC1167" i="8" s="1"/>
  <c r="AB1209" i="8" a="1"/>
  <c r="AB1209" i="8" s="1"/>
  <c r="AC1209" i="8" a="1"/>
  <c r="AC1209" i="8" s="1"/>
  <c r="AB1115" i="8" a="1"/>
  <c r="AB1115" i="8" s="1"/>
  <c r="AC1115" i="8" a="1"/>
  <c r="AC1115" i="8" s="1"/>
  <c r="AC1223" i="8" a="1"/>
  <c r="AC1223" i="8" s="1"/>
  <c r="AB1223" i="8" a="1"/>
  <c r="AB1223" i="8" s="1"/>
  <c r="AB1041" i="8" a="1"/>
  <c r="AB1041" i="8" s="1"/>
  <c r="AC1041" i="8" a="1"/>
  <c r="AC1041" i="8" s="1"/>
  <c r="AB978" i="8" a="1"/>
  <c r="AB978" i="8" s="1"/>
  <c r="AC978" i="8" a="1"/>
  <c r="AC978" i="8" s="1"/>
  <c r="AB1205" i="8" a="1"/>
  <c r="AB1205" i="8" s="1"/>
  <c r="AC1205" i="8" a="1"/>
  <c r="AC1205" i="8" s="1"/>
  <c r="AB1092" i="8" a="1"/>
  <c r="AB1092" i="8" s="1"/>
  <c r="AC1092" i="8" a="1"/>
  <c r="AC1092" i="8" s="1"/>
  <c r="AB1079" i="8" a="1"/>
  <c r="AB1079" i="8" s="1"/>
  <c r="AC1079" i="8" a="1"/>
  <c r="AC1079" i="8" s="1"/>
  <c r="AB986" i="8" a="1"/>
  <c r="AB986" i="8" s="1"/>
  <c r="AC986" i="8" a="1"/>
  <c r="AC986" i="8" s="1"/>
  <c r="AB1226" i="8" a="1"/>
  <c r="AB1226" i="8" s="1"/>
  <c r="AC1226" i="8" a="1"/>
  <c r="AC1226" i="8" s="1"/>
  <c r="AB1163" i="8" a="1"/>
  <c r="AB1163" i="8" s="1"/>
  <c r="AC1163" i="8" a="1"/>
  <c r="AC1163" i="8" s="1"/>
  <c r="AC1095" i="8" a="1"/>
  <c r="AC1095" i="8" s="1"/>
  <c r="AB1095" i="8" a="1"/>
  <c r="AB1095" i="8" s="1"/>
  <c r="AB989" i="8" a="1"/>
  <c r="AB989" i="8" s="1"/>
  <c r="AC989" i="8" a="1"/>
  <c r="AC989" i="8" s="1"/>
  <c r="AB1047" i="8" a="1"/>
  <c r="AB1047" i="8" s="1"/>
  <c r="AC1047" i="8" a="1"/>
  <c r="AC1047" i="8" s="1"/>
  <c r="AC973" i="8" a="1"/>
  <c r="AC973" i="8" s="1"/>
  <c r="AB973" i="8" a="1"/>
  <c r="AB973" i="8" s="1"/>
  <c r="AB968" i="8" a="1"/>
  <c r="AB968" i="8" s="1"/>
  <c r="AC968" i="8" a="1"/>
  <c r="AC968" i="8" s="1"/>
  <c r="AB1034" i="8" a="1"/>
  <c r="AB1034" i="8" s="1"/>
  <c r="AC1034" i="8" a="1"/>
  <c r="AC1034" i="8" s="1"/>
  <c r="AB1225" i="8" a="1"/>
  <c r="AB1225" i="8" s="1"/>
  <c r="AC1225" i="8" a="1"/>
  <c r="AC1225" i="8" s="1"/>
  <c r="AB933" i="8" a="1"/>
  <c r="AB933" i="8" s="1"/>
  <c r="AC933" i="8" a="1"/>
  <c r="AC933" i="8" s="1"/>
  <c r="AB1190" i="8" a="1"/>
  <c r="AB1190" i="8" s="1"/>
  <c r="AC1190" i="8" a="1"/>
  <c r="AC1190" i="8" s="1"/>
  <c r="AB1023" i="8" a="1"/>
  <c r="AB1023" i="8" s="1"/>
  <c r="AC1023" i="8" a="1"/>
  <c r="AC1023" i="8" s="1"/>
  <c r="AB1070" i="8" a="1"/>
  <c r="AB1070" i="8" s="1"/>
  <c r="AC1070" i="8" a="1"/>
  <c r="AC1070" i="8" s="1"/>
  <c r="AB1136" i="8" a="1"/>
  <c r="AB1136" i="8" s="1"/>
  <c r="AC1136" i="8" a="1"/>
  <c r="AC1136" i="8" s="1"/>
  <c r="AB969" i="8" a="1"/>
  <c r="AB969" i="8" s="1"/>
  <c r="AC969" i="8" a="1"/>
  <c r="AC969" i="8" s="1"/>
  <c r="AB1090" i="8" a="1"/>
  <c r="AB1090" i="8" s="1"/>
  <c r="AC1090" i="8" a="1"/>
  <c r="AC1090" i="8" s="1"/>
  <c r="AB1068" i="8" a="1"/>
  <c r="AB1068" i="8" s="1"/>
  <c r="AC1068" i="8" a="1"/>
  <c r="AC1068" i="8" s="1"/>
  <c r="AB1162" i="8" a="1"/>
  <c r="AB1162" i="8" s="1"/>
  <c r="AC1162" i="8" a="1"/>
  <c r="AC1162" i="8" s="1"/>
  <c r="AB1058" i="8" a="1"/>
  <c r="AB1058" i="8" s="1"/>
  <c r="AC1058" i="8" a="1"/>
  <c r="AC1058" i="8" s="1"/>
  <c r="AB924" i="8" a="1"/>
  <c r="AB924" i="8" s="1"/>
  <c r="AC924" i="8" a="1"/>
  <c r="AC924" i="8" s="1"/>
  <c r="AB1187" i="8" a="1"/>
  <c r="AB1187" i="8" s="1"/>
  <c r="AC1187" i="8" a="1"/>
  <c r="AC1187" i="8" s="1"/>
  <c r="AB1103" i="8" a="1"/>
  <c r="AB1103" i="8" s="1"/>
  <c r="AC1103" i="8" a="1"/>
  <c r="AC1103" i="8" s="1"/>
  <c r="AB1192" i="8" a="1"/>
  <c r="AB1192" i="8" s="1"/>
  <c r="AC1192" i="8" a="1"/>
  <c r="AC1192" i="8" s="1"/>
  <c r="AB1216" i="8" a="1"/>
  <c r="AB1216" i="8" s="1"/>
  <c r="AC1216" i="8" a="1"/>
  <c r="AC1216" i="8" s="1"/>
  <c r="AB923" i="8" a="1"/>
  <c r="AB923" i="8" s="1"/>
  <c r="AC923" i="8" a="1"/>
  <c r="AC923" i="8" s="1"/>
  <c r="AB995" i="8" a="1"/>
  <c r="AB995" i="8" s="1"/>
  <c r="AC995" i="8" a="1"/>
  <c r="AC995" i="8" s="1"/>
  <c r="AC1086" i="8" a="1"/>
  <c r="AC1086" i="8" s="1"/>
  <c r="AB1086" i="8" a="1"/>
  <c r="AB1086" i="8" s="1"/>
  <c r="AB1239" i="8" a="1"/>
  <c r="AB1239" i="8" s="1"/>
  <c r="AC1239" i="8" a="1"/>
  <c r="AC1239" i="8" s="1"/>
  <c r="AC921" i="8" a="1"/>
  <c r="AC921" i="8" s="1"/>
  <c r="AB921" i="8" a="1"/>
  <c r="AB921" i="8" s="1"/>
  <c r="AB1032" i="8" a="1"/>
  <c r="AB1032" i="8" s="1"/>
  <c r="AC1032" i="8" a="1"/>
  <c r="AC1032" i="8" s="1"/>
  <c r="AB1061" i="8" a="1"/>
  <c r="AB1061" i="8" s="1"/>
  <c r="AC1061" i="8" a="1"/>
  <c r="AC1061" i="8" s="1"/>
  <c r="AB1057" i="8" a="1"/>
  <c r="AB1057" i="8" s="1"/>
  <c r="AC1057" i="8" a="1"/>
  <c r="AC1057" i="8" s="1"/>
  <c r="AB1015" i="8" a="1"/>
  <c r="AB1015" i="8" s="1"/>
  <c r="AC1015" i="8" a="1"/>
  <c r="AC1015" i="8" s="1"/>
  <c r="AB1108" i="8" a="1"/>
  <c r="AB1108" i="8" s="1"/>
  <c r="AC1108" i="8" a="1"/>
  <c r="AC1108" i="8" s="1"/>
  <c r="AB1247" i="8" a="1"/>
  <c r="AB1247" i="8" s="1"/>
  <c r="AC1247" i="8" a="1"/>
  <c r="AC1247" i="8" s="1"/>
  <c r="AB925" i="8" a="1"/>
  <c r="AB925" i="8" s="1"/>
  <c r="AC925" i="8" a="1"/>
  <c r="AC925" i="8" s="1"/>
  <c r="AB979" i="8" a="1"/>
  <c r="AB979" i="8" s="1"/>
  <c r="AC979" i="8" a="1"/>
  <c r="AC979" i="8" s="1"/>
  <c r="AB1040" i="8" a="1"/>
  <c r="AB1040" i="8" s="1"/>
  <c r="AC1040" i="8" a="1"/>
  <c r="AC1040" i="8" s="1"/>
  <c r="AB1012" i="8" a="1"/>
  <c r="AB1012" i="8" s="1"/>
  <c r="AC1012" i="8" a="1"/>
  <c r="AC1012" i="8" s="1"/>
  <c r="AB1160" i="8" a="1"/>
  <c r="AB1160" i="8" s="1"/>
  <c r="AC1160" i="8" a="1"/>
  <c r="AC1160" i="8" s="1"/>
  <c r="AB960" i="8" a="1"/>
  <c r="AB960" i="8" s="1"/>
  <c r="AC960" i="8" a="1"/>
  <c r="AC960" i="8" s="1"/>
  <c r="AB1052" i="8" a="1"/>
  <c r="AB1052" i="8" s="1"/>
  <c r="AC1052" i="8" a="1"/>
  <c r="AC1052" i="8" s="1"/>
  <c r="AB1183" i="8" a="1"/>
  <c r="AB1183" i="8" s="1"/>
  <c r="AC1183" i="8" a="1"/>
  <c r="AC1183" i="8" s="1"/>
  <c r="AB1064" i="8" a="1"/>
  <c r="AB1064" i="8" s="1"/>
  <c r="AC1064" i="8" a="1"/>
  <c r="AC1064" i="8" s="1"/>
  <c r="AB1250" i="8" a="1"/>
  <c r="AB1250" i="8" s="1"/>
  <c r="AC1250" i="8" a="1"/>
  <c r="AC1250" i="8" s="1"/>
  <c r="AB1031" i="8" a="1"/>
  <c r="AB1031" i="8" s="1"/>
  <c r="AC1031" i="8" a="1"/>
  <c r="AC1031" i="8" s="1"/>
  <c r="AB1026" i="8" a="1"/>
  <c r="AB1026" i="8" s="1"/>
  <c r="AC1026" i="8" a="1"/>
  <c r="AC1026" i="8" s="1"/>
  <c r="AB1022" i="8" a="1"/>
  <c r="AB1022" i="8" s="1"/>
  <c r="AC1022" i="8" a="1"/>
  <c r="AC1022" i="8" s="1"/>
  <c r="AC1146" i="8" a="1"/>
  <c r="AC1146" i="8" s="1"/>
  <c r="AB1146" i="8" a="1"/>
  <c r="AB1146" i="8" s="1"/>
  <c r="AB1135" i="8" a="1"/>
  <c r="AB1135" i="8" s="1"/>
  <c r="AC1135" i="8" a="1"/>
  <c r="AC1135" i="8" s="1"/>
  <c r="AB1027" i="8" a="1"/>
  <c r="AB1027" i="8" s="1"/>
  <c r="AC1027" i="8" a="1"/>
  <c r="AC1027" i="8" s="1"/>
  <c r="AB1220" i="8" a="1"/>
  <c r="AB1220" i="8" s="1"/>
  <c r="AC1220" i="8" a="1"/>
  <c r="AC1220" i="8" s="1"/>
  <c r="AB1185" i="8" a="1"/>
  <c r="AB1185" i="8" s="1"/>
  <c r="AC1185" i="8" a="1"/>
  <c r="AC1185" i="8" s="1"/>
  <c r="AB1212" i="8" a="1"/>
  <c r="AB1212" i="8" s="1"/>
  <c r="AC1212" i="8" a="1"/>
  <c r="AC1212" i="8" s="1"/>
  <c r="AB1009" i="8" a="1"/>
  <c r="AB1009" i="8" s="1"/>
  <c r="AC1009" i="8" a="1"/>
  <c r="AC1009" i="8" s="1"/>
  <c r="AB1207" i="8" a="1"/>
  <c r="AB1207" i="8" s="1"/>
  <c r="AC1207" i="8" a="1"/>
  <c r="AC1207" i="8" s="1"/>
  <c r="AB1196" i="8" a="1"/>
  <c r="AB1196" i="8" s="1"/>
  <c r="AC1196" i="8" a="1"/>
  <c r="AC1196" i="8" s="1"/>
  <c r="AB1157" i="8" a="1"/>
  <c r="AB1157" i="8" s="1"/>
  <c r="AC1157" i="8" a="1"/>
  <c r="AC1157" i="8" s="1"/>
  <c r="AB1107" i="8" a="1"/>
  <c r="AB1107" i="8" s="1"/>
  <c r="AC1107" i="8" a="1"/>
  <c r="AC1107" i="8" s="1"/>
  <c r="AB954" i="8" a="1"/>
  <c r="AB954" i="8" s="1"/>
  <c r="AC954" i="8" a="1"/>
  <c r="AC954" i="8" s="1"/>
  <c r="AB1221" i="8" a="1"/>
  <c r="AB1221" i="8" s="1"/>
  <c r="AC1221" i="8" a="1"/>
  <c r="AC1221" i="8" s="1"/>
  <c r="AB1129" i="8" a="1"/>
  <c r="AB1129" i="8" s="1"/>
  <c r="AC1129" i="8" a="1"/>
  <c r="AC1129" i="8" s="1"/>
  <c r="AC997" i="8" a="1"/>
  <c r="AC997" i="8" s="1"/>
  <c r="AB997" i="8" a="1"/>
  <c r="AB997" i="8" s="1"/>
  <c r="AC1182" i="8" a="1"/>
  <c r="AC1182" i="8" s="1"/>
  <c r="AB1182" i="8" a="1"/>
  <c r="AB1182" i="8" s="1"/>
  <c r="AB1133" i="8" a="1"/>
  <c r="AB1133" i="8" s="1"/>
  <c r="AC1133" i="8" a="1"/>
  <c r="AC1133" i="8" s="1"/>
  <c r="AB1210" i="8" a="1"/>
  <c r="AB1210" i="8" s="1"/>
  <c r="AC1210" i="8" a="1"/>
  <c r="AC1210" i="8" s="1"/>
  <c r="AB1130" i="8" a="1"/>
  <c r="AB1130" i="8" s="1"/>
  <c r="AC1130" i="8" a="1"/>
  <c r="AC1130" i="8" s="1"/>
  <c r="AB965" i="8" a="1"/>
  <c r="AB965" i="8" s="1"/>
  <c r="AC965" i="8" a="1"/>
  <c r="AC965" i="8" s="1"/>
  <c r="AB1245" i="8" a="1"/>
  <c r="AB1245" i="8" s="1"/>
  <c r="AC1245" i="8" a="1"/>
  <c r="AC1245" i="8" s="1"/>
  <c r="AB915" i="8" a="1"/>
  <c r="AB915" i="8" s="1"/>
  <c r="AC915" i="8" a="1"/>
  <c r="AC915" i="8" s="1"/>
  <c r="AB1037" i="8" a="1"/>
  <c r="AB1037" i="8" s="1"/>
  <c r="AC1037" i="8" a="1"/>
  <c r="AC1037" i="8" s="1"/>
  <c r="AB1244" i="8" a="1"/>
  <c r="AB1244" i="8" s="1"/>
  <c r="AC1244" i="8" a="1"/>
  <c r="AC1244" i="8" s="1"/>
  <c r="AB1155" i="8" a="1"/>
  <c r="AB1155" i="8" s="1"/>
  <c r="AC1155" i="8" a="1"/>
  <c r="AC1155" i="8" s="1"/>
  <c r="AB1147" i="8" a="1"/>
  <c r="AB1147" i="8" s="1"/>
  <c r="AC1147" i="8" a="1"/>
  <c r="AC1147" i="8" s="1"/>
  <c r="AC930" i="8" a="1"/>
  <c r="AC930" i="8" s="1"/>
  <c r="AB930" i="8" a="1"/>
  <c r="AB930" i="8" s="1"/>
  <c r="AB1051" i="8" a="1"/>
  <c r="AB1051" i="8" s="1"/>
  <c r="AC1051" i="8" a="1"/>
  <c r="AC1051" i="8" s="1"/>
  <c r="AB1106" i="8" a="1"/>
  <c r="AB1106" i="8" s="1"/>
  <c r="AC1106" i="8" a="1"/>
  <c r="AC1106" i="8" s="1"/>
  <c r="AB936" i="8" a="1"/>
  <c r="AB936" i="8" s="1"/>
  <c r="AC936" i="8" a="1"/>
  <c r="AC936" i="8" s="1"/>
  <c r="AB1055" i="8" a="1"/>
  <c r="AB1055" i="8" s="1"/>
  <c r="AC1055" i="8" a="1"/>
  <c r="AC1055" i="8" s="1"/>
  <c r="AB1242" i="8" a="1"/>
  <c r="AB1242" i="8" s="1"/>
  <c r="AC1242" i="8" a="1"/>
  <c r="AC1242" i="8" s="1"/>
  <c r="AB939" i="8" a="1"/>
  <c r="AB939" i="8" s="1"/>
  <c r="AC939" i="8" a="1"/>
  <c r="AC939" i="8" s="1"/>
  <c r="AC1127" i="8" a="1"/>
  <c r="AC1127" i="8" s="1"/>
  <c r="AB1127" i="8" a="1"/>
  <c r="AB1127" i="8" s="1"/>
  <c r="AB1240" i="8" a="1"/>
  <c r="AB1240" i="8" s="1"/>
  <c r="AC1240" i="8" a="1"/>
  <c r="AC1240" i="8" s="1"/>
  <c r="AB1014" i="8" a="1"/>
  <c r="AB1014" i="8" s="1"/>
  <c r="AC1014" i="8" a="1"/>
  <c r="AC1014" i="8" s="1"/>
  <c r="AB945" i="8" a="1"/>
  <c r="AB945" i="8" s="1"/>
  <c r="AC945" i="8" a="1"/>
  <c r="AC945" i="8" s="1"/>
  <c r="AB1215" i="8" a="1"/>
  <c r="AB1215" i="8" s="1"/>
  <c r="AC1215" i="8" a="1"/>
  <c r="AC1215" i="8" s="1"/>
  <c r="AB1161" i="8" a="1"/>
  <c r="AB1161" i="8" s="1"/>
  <c r="AC1161" i="8" a="1"/>
  <c r="AC1161" i="8" s="1"/>
  <c r="AB1056" i="8" a="1"/>
  <c r="AB1056" i="8" s="1"/>
  <c r="AC1056" i="8" a="1"/>
  <c r="AC1056" i="8" s="1"/>
  <c r="AB1089" i="8" a="1"/>
  <c r="AB1089" i="8" s="1"/>
  <c r="AC1089" i="8" a="1"/>
  <c r="AC1089" i="8" s="1"/>
  <c r="AB982" i="8" a="1"/>
  <c r="AB982" i="8" s="1"/>
  <c r="AC982" i="8" a="1"/>
  <c r="AC982" i="8" s="1"/>
  <c r="AB1080" i="8" a="1"/>
  <c r="AB1080" i="8" s="1"/>
  <c r="AC1080" i="8" a="1"/>
  <c r="AC1080" i="8" s="1"/>
  <c r="AB1006" i="8" a="1"/>
  <c r="AB1006" i="8" s="1"/>
  <c r="AC1006" i="8" a="1"/>
  <c r="AC1006" i="8" s="1"/>
  <c r="AC1091" i="8" a="1"/>
  <c r="AC1091" i="8" s="1"/>
  <c r="AB1091" i="8" a="1"/>
  <c r="AB1091" i="8" s="1"/>
  <c r="AB1230" i="8" a="1"/>
  <c r="AB1230" i="8" s="1"/>
  <c r="AC1230" i="8" a="1"/>
  <c r="AC1230" i="8" s="1"/>
  <c r="AB1149" i="8" a="1"/>
  <c r="AB1149" i="8" s="1"/>
  <c r="AC1149" i="8" a="1"/>
  <c r="AC1149" i="8" s="1"/>
  <c r="AB1195" i="8" a="1"/>
  <c r="AB1195" i="8" s="1"/>
  <c r="AC1195" i="8" a="1"/>
  <c r="AC1195" i="8" s="1"/>
  <c r="AB1118" i="8" a="1"/>
  <c r="AB1118" i="8" s="1"/>
  <c r="AC1118" i="8" a="1"/>
  <c r="AC1118" i="8" s="1"/>
  <c r="AB1114" i="8" a="1"/>
  <c r="AB1114" i="8" s="1"/>
  <c r="AC1114" i="8" a="1"/>
  <c r="AC1114" i="8" s="1"/>
  <c r="AB1000" i="8" a="1"/>
  <c r="AB1000" i="8" s="1"/>
  <c r="AC1000" i="8" a="1"/>
  <c r="AC1000" i="8" s="1"/>
  <c r="AB1151" i="8" a="1"/>
  <c r="AB1151" i="8" s="1"/>
  <c r="AC1151" i="8" a="1"/>
  <c r="AC1151" i="8" s="1"/>
  <c r="AB1235" i="8" a="1"/>
  <c r="AB1235" i="8" s="1"/>
  <c r="AC1235" i="8" a="1"/>
  <c r="AC1235" i="8" s="1"/>
  <c r="AB1198" i="8" a="1"/>
  <c r="AB1198" i="8" s="1"/>
  <c r="AC1198" i="8" a="1"/>
  <c r="AC1198" i="8" s="1"/>
  <c r="AC912" i="8" a="1"/>
  <c r="AC912" i="8" s="1"/>
  <c r="AB912" i="8" a="1"/>
  <c r="AB912" i="8" s="1"/>
  <c r="AB1234" i="8" a="1"/>
  <c r="AB1234" i="8" s="1"/>
  <c r="AC1234" i="8" a="1"/>
  <c r="AC1234" i="8" s="1"/>
  <c r="AB1164" i="8" a="1"/>
  <c r="AB1164" i="8" s="1"/>
  <c r="AC1164" i="8" a="1"/>
  <c r="AC1164" i="8" s="1"/>
  <c r="AB922" i="8" a="1"/>
  <c r="AB922" i="8" s="1"/>
  <c r="AC922" i="8" a="1"/>
  <c r="AC922" i="8" s="1"/>
  <c r="AC1038" i="8" a="1"/>
  <c r="AC1038" i="8" s="1"/>
  <c r="AB1038" i="8" a="1"/>
  <c r="AB1038" i="8" s="1"/>
  <c r="AB1117" i="8" a="1"/>
  <c r="AB1117" i="8" s="1"/>
  <c r="AC1117" i="8" a="1"/>
  <c r="AC1117" i="8" s="1"/>
  <c r="AB885" i="8" a="1"/>
  <c r="AB885" i="8" s="1"/>
  <c r="AB908" i="8" a="1"/>
  <c r="AB908" i="8" s="1"/>
  <c r="AB848" i="8" a="1"/>
  <c r="AB848" i="8" s="1"/>
  <c r="AC848" i="8" a="1"/>
  <c r="AC848" i="8" s="1"/>
  <c r="AB814" i="8" a="1"/>
  <c r="AB814" i="8" s="1"/>
  <c r="AC814" i="8" a="1"/>
  <c r="AC814" i="8" s="1"/>
  <c r="AC837" i="8" a="1"/>
  <c r="AC837" i="8" s="1"/>
  <c r="AB837" i="8" a="1"/>
  <c r="AB837" i="8" s="1"/>
  <c r="AB810" i="8" a="1"/>
  <c r="AB810" i="8" s="1"/>
  <c r="AC810" i="8" a="1"/>
  <c r="AC810" i="8" s="1"/>
  <c r="AB850" i="8" a="1"/>
  <c r="AB850" i="8" s="1"/>
  <c r="AC850" i="8" a="1"/>
  <c r="AC850" i="8" s="1"/>
  <c r="AC823" i="8" a="1"/>
  <c r="AC823" i="8" s="1"/>
  <c r="AB823" i="8" a="1"/>
  <c r="AB823" i="8" s="1"/>
  <c r="AC832" i="8" a="1"/>
  <c r="AC832" i="8" s="1"/>
  <c r="AB832" i="8" a="1"/>
  <c r="AB832" i="8" s="1"/>
  <c r="AB820" i="8" a="1"/>
  <c r="AB820" i="8" s="1"/>
  <c r="AC820" i="8" a="1"/>
  <c r="AC820" i="8" s="1"/>
  <c r="AB827" i="8" a="1"/>
  <c r="AB827" i="8" s="1"/>
  <c r="AC827" i="8" a="1"/>
  <c r="AC827" i="8" s="1"/>
  <c r="AC809" i="8" a="1"/>
  <c r="AC809" i="8" s="1"/>
  <c r="AB809" i="8" a="1"/>
  <c r="AB809" i="8" s="1"/>
  <c r="AC807" i="8" a="1"/>
  <c r="AC807" i="8" s="1"/>
  <c r="AB807" i="8" a="1"/>
  <c r="AB807" i="8" s="1"/>
  <c r="AB849" i="8" a="1"/>
  <c r="AB849" i="8" s="1"/>
  <c r="AC849" i="8" a="1"/>
  <c r="AC849" i="8" s="1"/>
  <c r="AC843" i="8" a="1"/>
  <c r="AC843" i="8" s="1"/>
  <c r="AB843" i="8" a="1"/>
  <c r="AB843" i="8" s="1"/>
  <c r="AB842" i="8" a="1"/>
  <c r="AB842" i="8" s="1"/>
  <c r="AC842" i="8" a="1"/>
  <c r="AC842" i="8" s="1"/>
  <c r="AB801" i="8" a="1"/>
  <c r="AB801" i="8" s="1"/>
  <c r="AC801" i="8" a="1"/>
  <c r="AC801" i="8" s="1"/>
  <c r="AB818" i="8" a="1"/>
  <c r="AB818" i="8" s="1"/>
  <c r="AC818" i="8" a="1"/>
  <c r="AC818" i="8" s="1"/>
  <c r="AC840" i="8" a="1"/>
  <c r="AC840" i="8" s="1"/>
  <c r="AB840" i="8" a="1"/>
  <c r="AB840" i="8" s="1"/>
  <c r="AB800" i="8" a="1"/>
  <c r="AB800" i="8" s="1"/>
  <c r="AC800" i="8" a="1"/>
  <c r="AC800" i="8" s="1"/>
  <c r="AC860" i="8" a="1"/>
  <c r="AC860" i="8" s="1"/>
  <c r="AB860" i="8" a="1"/>
  <c r="AB860" i="8" s="1"/>
  <c r="AB802" i="8" a="1"/>
  <c r="AB802" i="8" s="1"/>
  <c r="AC802" i="8" a="1"/>
  <c r="AC802" i="8" s="1"/>
  <c r="AC839" i="8" a="1"/>
  <c r="AC839" i="8" s="1"/>
  <c r="AB839" i="8" a="1"/>
  <c r="AB839" i="8" s="1"/>
  <c r="AB808" i="8" a="1"/>
  <c r="AB808" i="8" s="1"/>
  <c r="AC808" i="8" a="1"/>
  <c r="AC808" i="8" s="1"/>
  <c r="AB858" i="8" a="1"/>
  <c r="AB858" i="8" s="1"/>
  <c r="AC858" i="8" a="1"/>
  <c r="AC858" i="8" s="1"/>
  <c r="AC852" i="8" a="1"/>
  <c r="AC852" i="8" s="1"/>
  <c r="AB852" i="8" a="1"/>
  <c r="AB852" i="8" s="1"/>
  <c r="AC831" i="8" a="1"/>
  <c r="AC831" i="8" s="1"/>
  <c r="AB831" i="8" a="1"/>
  <c r="AB831" i="8" s="1"/>
  <c r="AB812" i="8" a="1"/>
  <c r="AB812" i="8" s="1"/>
  <c r="AC812" i="8" a="1"/>
  <c r="AC812" i="8" s="1"/>
  <c r="AB819" i="8" a="1"/>
  <c r="AB819" i="8" s="1"/>
  <c r="AC819" i="8" a="1"/>
  <c r="AC819" i="8" s="1"/>
  <c r="AC811" i="8" a="1"/>
  <c r="AC811" i="8" s="1"/>
  <c r="AB811" i="8" a="1"/>
  <c r="AB811" i="8" s="1"/>
  <c r="AB830" i="8" a="1"/>
  <c r="AB830" i="8" s="1"/>
  <c r="AC830" i="8" a="1"/>
  <c r="AC830" i="8" s="1"/>
  <c r="AB799" i="8" a="1"/>
  <c r="AB799" i="8" s="1"/>
  <c r="AC799" i="8" a="1"/>
  <c r="AC799" i="8" s="1"/>
  <c r="AB822" i="8" a="1"/>
  <c r="AB822" i="8" s="1"/>
  <c r="AC822" i="8" a="1"/>
  <c r="AC822" i="8" s="1"/>
  <c r="AB828" i="8" a="1"/>
  <c r="AB828" i="8" s="1"/>
  <c r="AC828" i="8" a="1"/>
  <c r="AC828" i="8" s="1"/>
  <c r="AC805" i="8" a="1"/>
  <c r="AC805" i="8" s="1"/>
  <c r="AB805" i="8" a="1"/>
  <c r="AB805" i="8" s="1"/>
  <c r="AB806" i="8" a="1"/>
  <c r="AB806" i="8" s="1"/>
  <c r="AC806" i="8" a="1"/>
  <c r="AC806" i="8" s="1"/>
  <c r="AC841" i="8" a="1"/>
  <c r="AC841" i="8" s="1"/>
  <c r="AB841" i="8" a="1"/>
  <c r="AB841" i="8" s="1"/>
  <c r="AB824" i="8" a="1"/>
  <c r="AB824" i="8" s="1"/>
  <c r="AC824" i="8" a="1"/>
  <c r="AC824" i="8" s="1"/>
  <c r="AB833" i="8" a="1"/>
  <c r="AB833" i="8" s="1"/>
  <c r="AC833" i="8" a="1"/>
  <c r="AC833" i="8" s="1"/>
  <c r="AB863" i="8" a="1"/>
  <c r="AB863" i="8" s="1"/>
  <c r="AC863" i="8" a="1"/>
  <c r="AC863" i="8" s="1"/>
  <c r="AC816" i="8" a="1"/>
  <c r="AC816" i="8" s="1"/>
  <c r="AB816" i="8" a="1"/>
  <c r="AB816" i="8" s="1"/>
  <c r="AC847" i="8" a="1"/>
  <c r="AC847" i="8" s="1"/>
  <c r="AB847" i="8" a="1"/>
  <c r="AB847" i="8" s="1"/>
  <c r="AC864" i="8" a="1"/>
  <c r="AC864" i="8" s="1"/>
  <c r="AB864" i="8" a="1"/>
  <c r="AB864" i="8" s="1"/>
  <c r="AB797" i="8" a="1"/>
  <c r="AB797" i="8" s="1"/>
  <c r="AC797" i="8" a="1"/>
  <c r="AC797" i="8" s="1"/>
  <c r="AB826" i="8" a="1"/>
  <c r="AB826" i="8" s="1"/>
  <c r="AC826" i="8" a="1"/>
  <c r="AC826" i="8" s="1"/>
  <c r="AC857" i="8" a="1"/>
  <c r="AC857" i="8" s="1"/>
  <c r="AB857" i="8" a="1"/>
  <c r="AB857" i="8" s="1"/>
  <c r="AB838" i="8" a="1"/>
  <c r="AB838" i="8" s="1"/>
  <c r="AC838" i="8" a="1"/>
  <c r="AC838" i="8" s="1"/>
  <c r="AC804" i="8" a="1"/>
  <c r="AC804" i="8" s="1"/>
  <c r="AB804" i="8" a="1"/>
  <c r="AB804" i="8" s="1"/>
  <c r="AB854" i="8" a="1"/>
  <c r="AB854" i="8" s="1"/>
  <c r="AC854" i="8" a="1"/>
  <c r="AC854" i="8" s="1"/>
  <c r="AC817" i="8" a="1"/>
  <c r="AC817" i="8" s="1"/>
  <c r="AB817" i="8" a="1"/>
  <c r="AB817" i="8" s="1"/>
  <c r="AB859" i="8" a="1"/>
  <c r="AB859" i="8" s="1"/>
  <c r="AC859" i="8" a="1"/>
  <c r="AC859" i="8" s="1"/>
  <c r="AC821" i="8" a="1"/>
  <c r="AC821" i="8" s="1"/>
  <c r="AB821" i="8" a="1"/>
  <c r="AB821" i="8" s="1"/>
  <c r="AB856" i="8" a="1"/>
  <c r="AB856" i="8" s="1"/>
  <c r="AC856" i="8" a="1"/>
  <c r="AC856" i="8" s="1"/>
  <c r="AB834" i="8" a="1"/>
  <c r="AB834" i="8" s="1"/>
  <c r="AC834" i="8" a="1"/>
  <c r="AC834" i="8" s="1"/>
  <c r="AC853" i="8" a="1"/>
  <c r="AC853" i="8" s="1"/>
  <c r="AB853" i="8" a="1"/>
  <c r="AB853" i="8" s="1"/>
  <c r="AB836" i="8" a="1"/>
  <c r="AB836" i="8" s="1"/>
  <c r="AC836" i="8" a="1"/>
  <c r="AC836" i="8" s="1"/>
  <c r="AB845" i="8" a="1"/>
  <c r="AB845" i="8" s="1"/>
  <c r="AC845" i="8" a="1"/>
  <c r="AC845" i="8" s="1"/>
  <c r="AB825" i="8" a="1"/>
  <c r="AB825" i="8" s="1"/>
  <c r="AC825" i="8" a="1"/>
  <c r="AC825" i="8" s="1"/>
  <c r="AB862" i="8" a="1"/>
  <c r="AB862" i="8" s="1"/>
  <c r="AC862" i="8" a="1"/>
  <c r="AC862" i="8" s="1"/>
  <c r="AC851" i="8" a="1"/>
  <c r="AC851" i="8" s="1"/>
  <c r="AB851" i="8" a="1"/>
  <c r="AB851" i="8" s="1"/>
  <c r="AB846" i="8" a="1"/>
  <c r="AB846" i="8" s="1"/>
  <c r="AC846" i="8" a="1"/>
  <c r="AC846" i="8" s="1"/>
  <c r="AB803" i="8" a="1"/>
  <c r="AB803" i="8" s="1"/>
  <c r="AC803" i="8" a="1"/>
  <c r="AC803" i="8" s="1"/>
  <c r="AC844" i="8" a="1"/>
  <c r="AC844" i="8" s="1"/>
  <c r="AB844" i="8" a="1"/>
  <c r="AB844" i="8" s="1"/>
  <c r="AC835" i="8" a="1"/>
  <c r="AC835" i="8" s="1"/>
  <c r="AB835" i="8" a="1"/>
  <c r="AB835" i="8" s="1"/>
  <c r="AC855" i="8" a="1"/>
  <c r="AC855" i="8" s="1"/>
  <c r="AB855" i="8" a="1"/>
  <c r="AB855" i="8" s="1"/>
  <c r="AH832" i="8"/>
  <c r="AC813" i="8" a="1"/>
  <c r="AC813" i="8" s="1"/>
  <c r="AB813" i="8" a="1"/>
  <c r="AB813" i="8" s="1"/>
  <c r="AB796" i="8" a="1"/>
  <c r="AB796" i="8" s="1"/>
  <c r="AC796" i="8" a="1"/>
  <c r="AC796" i="8" s="1"/>
  <c r="AC815" i="8" a="1"/>
  <c r="AC815" i="8" s="1"/>
  <c r="AB815" i="8" a="1"/>
  <c r="AB815" i="8" s="1"/>
  <c r="AB798" i="8" a="1"/>
  <c r="AB798" i="8" s="1"/>
  <c r="AC798" i="8" a="1"/>
  <c r="AC798" i="8" s="1"/>
  <c r="AC829" i="8" a="1"/>
  <c r="AC829" i="8" s="1"/>
  <c r="AB829" i="8" a="1"/>
  <c r="AB829" i="8" s="1"/>
  <c r="AC861" i="8" a="1"/>
  <c r="AC861" i="8" s="1"/>
  <c r="AB861" i="8" a="1"/>
  <c r="AB861" i="8" s="1"/>
  <c r="AB587" i="8" a="1"/>
  <c r="AB587" i="8" s="1"/>
  <c r="AC587" i="8" a="1"/>
  <c r="AC587" i="8" s="1"/>
  <c r="AB687" i="8" a="1"/>
  <c r="AB687" i="8" s="1"/>
  <c r="AC687" i="8" a="1"/>
  <c r="AC687" i="8" s="1"/>
  <c r="AB614" i="8" a="1"/>
  <c r="AB614" i="8" s="1"/>
  <c r="AC614" i="8" a="1"/>
  <c r="AC614" i="8" s="1"/>
  <c r="AC727" i="8" a="1"/>
  <c r="AC727" i="8" s="1"/>
  <c r="AB727" i="8" a="1"/>
  <c r="AB727" i="8" s="1"/>
  <c r="AB766" i="8" a="1"/>
  <c r="AB766" i="8" s="1"/>
  <c r="AC766" i="8" a="1"/>
  <c r="AC766" i="8" s="1"/>
  <c r="AB733" i="8" a="1"/>
  <c r="AB733" i="8" s="1"/>
  <c r="AC733" i="8" a="1"/>
  <c r="AC733" i="8" s="1"/>
  <c r="AC606" i="8" a="1"/>
  <c r="AC606" i="8" s="1"/>
  <c r="AB606" i="8" a="1"/>
  <c r="AB606" i="8" s="1"/>
  <c r="AB765" i="8" a="1"/>
  <c r="AB765" i="8" s="1"/>
  <c r="AC765" i="8" a="1"/>
  <c r="AC765" i="8" s="1"/>
  <c r="AC682" i="8" a="1"/>
  <c r="AC682" i="8" s="1"/>
  <c r="AB682" i="8" a="1"/>
  <c r="AB682" i="8" s="1"/>
  <c r="AB719" i="8" a="1"/>
  <c r="AB719" i="8" s="1"/>
  <c r="AC719" i="8" a="1"/>
  <c r="AC719" i="8" s="1"/>
  <c r="AB710" i="8" a="1"/>
  <c r="AB710" i="8" s="1"/>
  <c r="AC710" i="8" a="1"/>
  <c r="AC710" i="8" s="1"/>
  <c r="AC776" i="8" a="1"/>
  <c r="AC776" i="8" s="1"/>
  <c r="AB776" i="8" a="1"/>
  <c r="AB776" i="8" s="1"/>
  <c r="AB661" i="8" a="1"/>
  <c r="AB661" i="8" s="1"/>
  <c r="AC661" i="8" a="1"/>
  <c r="AC661" i="8" s="1"/>
  <c r="AB701" i="8" a="1"/>
  <c r="AB701" i="8" s="1"/>
  <c r="AC701" i="8" a="1"/>
  <c r="AC701" i="8" s="1"/>
  <c r="AC779" i="8" a="1"/>
  <c r="AC779" i="8" s="1"/>
  <c r="AB779" i="8" a="1"/>
  <c r="AB779" i="8" s="1"/>
  <c r="AB738" i="8" a="1"/>
  <c r="AB738" i="8" s="1"/>
  <c r="AC738" i="8" a="1"/>
  <c r="AC738" i="8" s="1"/>
  <c r="AB668" i="8" a="1"/>
  <c r="AB668" i="8" s="1"/>
  <c r="AC668" i="8" a="1"/>
  <c r="AC668" i="8" s="1"/>
  <c r="AB611" i="8" a="1"/>
  <c r="AB611" i="8" s="1"/>
  <c r="AC611" i="8" a="1"/>
  <c r="AC611" i="8" s="1"/>
  <c r="AB642" i="8" a="1"/>
  <c r="AB642" i="8" s="1"/>
  <c r="AC642" i="8" a="1"/>
  <c r="AC642" i="8" s="1"/>
  <c r="AB592" i="8" a="1"/>
  <c r="AB592" i="8" s="1"/>
  <c r="AC592" i="8" a="1"/>
  <c r="AC592" i="8" s="1"/>
  <c r="AB621" i="8" a="1"/>
  <c r="AB621" i="8" s="1"/>
  <c r="AC621" i="8" a="1"/>
  <c r="AC621" i="8" s="1"/>
  <c r="AB702" i="8" a="1"/>
  <c r="AB702" i="8" s="1"/>
  <c r="AC702" i="8" a="1"/>
  <c r="AC702" i="8" s="1"/>
  <c r="AC649" i="8" a="1"/>
  <c r="AC649" i="8" s="1"/>
  <c r="AB649" i="8" a="1"/>
  <c r="AB649" i="8" s="1"/>
  <c r="AC755" i="8" a="1"/>
  <c r="AC755" i="8" s="1"/>
  <c r="AB755" i="8" a="1"/>
  <c r="AB755" i="8" s="1"/>
  <c r="AC622" i="8" a="1"/>
  <c r="AC622" i="8" s="1"/>
  <c r="AB622" i="8" a="1"/>
  <c r="AB622" i="8" s="1"/>
  <c r="AB695" i="8" a="1"/>
  <c r="AB695" i="8" s="1"/>
  <c r="AC695" i="8" a="1"/>
  <c r="AC695" i="8" s="1"/>
  <c r="AB786" i="8" a="1"/>
  <c r="AB786" i="8" s="1"/>
  <c r="AC786" i="8" a="1"/>
  <c r="AC786" i="8" s="1"/>
  <c r="AB593" i="8" a="1"/>
  <c r="AB593" i="8" s="1"/>
  <c r="AC593" i="8" a="1"/>
  <c r="AC593" i="8" s="1"/>
  <c r="AC613" i="8" a="1"/>
  <c r="AC613" i="8" s="1"/>
  <c r="AB613" i="8" a="1"/>
  <c r="AB613" i="8" s="1"/>
  <c r="AC778" i="8" a="1"/>
  <c r="AC778" i="8" s="1"/>
  <c r="AB778" i="8" a="1"/>
  <c r="AB778" i="8" s="1"/>
  <c r="AC705" i="8" a="1"/>
  <c r="AC705" i="8" s="1"/>
  <c r="AB705" i="8" a="1"/>
  <c r="AB705" i="8" s="1"/>
  <c r="AC656" i="8" a="1"/>
  <c r="AC656" i="8" s="1"/>
  <c r="AB656" i="8" a="1"/>
  <c r="AB656" i="8" s="1"/>
  <c r="AC745" i="8" a="1"/>
  <c r="AC745" i="8" s="1"/>
  <c r="AB745" i="8" a="1"/>
  <c r="AB745" i="8" s="1"/>
  <c r="AB730" i="8" a="1"/>
  <c r="AB730" i="8" s="1"/>
  <c r="AC730" i="8" a="1"/>
  <c r="AC730" i="8" s="1"/>
  <c r="AB699" i="8" a="1"/>
  <c r="AB699" i="8" s="1"/>
  <c r="AC699" i="8" a="1"/>
  <c r="AC699" i="8" s="1"/>
  <c r="AB784" i="8" a="1"/>
  <c r="AB784" i="8" s="1"/>
  <c r="AC784" i="8" a="1"/>
  <c r="AC784" i="8" s="1"/>
  <c r="AB634" i="8" a="1"/>
  <c r="AB634" i="8" s="1"/>
  <c r="AC634" i="8" a="1"/>
  <c r="AC634" i="8" s="1"/>
  <c r="AB662" i="8" a="1"/>
  <c r="AB662" i="8" s="1"/>
  <c r="AC662" i="8" a="1"/>
  <c r="AC662" i="8" s="1"/>
  <c r="AC594" i="8" a="1"/>
  <c r="AC594" i="8" s="1"/>
  <c r="AB594" i="8" a="1"/>
  <c r="AB594" i="8" s="1"/>
  <c r="AC714" i="8" a="1"/>
  <c r="AC714" i="8" s="1"/>
  <c r="AB714" i="8" a="1"/>
  <c r="AB714" i="8" s="1"/>
  <c r="AB722" i="8" a="1"/>
  <c r="AB722" i="8" s="1"/>
  <c r="AC722" i="8" a="1"/>
  <c r="AC722" i="8" s="1"/>
  <c r="AH598" i="8"/>
  <c r="AK598" i="8" s="1"/>
  <c r="AL598" i="8" s="1"/>
  <c r="AB652" i="8" a="1"/>
  <c r="AB652" i="8" s="1"/>
  <c r="AC652" i="8" a="1"/>
  <c r="AC652" i="8" s="1"/>
  <c r="AC707" i="8" a="1"/>
  <c r="AC707" i="8" s="1"/>
  <c r="AB707" i="8" a="1"/>
  <c r="AB707" i="8" s="1"/>
  <c r="AB619" i="8" a="1"/>
  <c r="AB619" i="8" s="1"/>
  <c r="AC619" i="8" a="1"/>
  <c r="AC619" i="8" s="1"/>
  <c r="AB655" i="8" a="1"/>
  <c r="AB655" i="8" s="1"/>
  <c r="AC655" i="8" a="1"/>
  <c r="AC655" i="8" s="1"/>
  <c r="AB602" i="8" a="1"/>
  <c r="AB602" i="8" s="1"/>
  <c r="AC602" i="8" a="1"/>
  <c r="AC602" i="8" s="1"/>
  <c r="AC767" i="8" a="1"/>
  <c r="AC767" i="8" s="1"/>
  <c r="AB767" i="8" a="1"/>
  <c r="AB767" i="8" s="1"/>
  <c r="AB605" i="8" a="1"/>
  <c r="AB605" i="8" s="1"/>
  <c r="AC605" i="8" a="1"/>
  <c r="AC605" i="8" s="1"/>
  <c r="AB689" i="8" a="1"/>
  <c r="AB689" i="8" s="1"/>
  <c r="AC689" i="8" a="1"/>
  <c r="AC689" i="8" s="1"/>
  <c r="AC775" i="8" a="1"/>
  <c r="AC775" i="8" s="1"/>
  <c r="AB775" i="8" a="1"/>
  <c r="AB775" i="8" s="1"/>
  <c r="AB774" i="8" a="1"/>
  <c r="AB774" i="8" s="1"/>
  <c r="AC774" i="8" a="1"/>
  <c r="AC774" i="8" s="1"/>
  <c r="AC604" i="8" a="1"/>
  <c r="AC604" i="8" s="1"/>
  <c r="AB604" i="8" a="1"/>
  <c r="AB604" i="8" s="1"/>
  <c r="AC709" i="8" a="1"/>
  <c r="AC709" i="8" s="1"/>
  <c r="AB709" i="8" a="1"/>
  <c r="AB709" i="8" s="1"/>
  <c r="AC773" i="8" a="1"/>
  <c r="AC773" i="8" s="1"/>
  <c r="AB773" i="8" a="1"/>
  <c r="AB773" i="8" s="1"/>
  <c r="AC617" i="8" a="1"/>
  <c r="AC617" i="8" s="1"/>
  <c r="AB617" i="8" a="1"/>
  <c r="AB617" i="8" s="1"/>
  <c r="AC672" i="8" a="1"/>
  <c r="AC672" i="8" s="1"/>
  <c r="AB672" i="8" a="1"/>
  <c r="AB672" i="8" s="1"/>
  <c r="AB698" i="8" a="1"/>
  <c r="AB698" i="8" s="1"/>
  <c r="AC698" i="8" a="1"/>
  <c r="AC698" i="8" s="1"/>
  <c r="AB610" i="8" a="1"/>
  <c r="AB610" i="8" s="1"/>
  <c r="AC610" i="8" a="1"/>
  <c r="AC610" i="8" s="1"/>
  <c r="AB608" i="8" a="1"/>
  <c r="AB608" i="8" s="1"/>
  <c r="AC608" i="8" a="1"/>
  <c r="AC608" i="8" s="1"/>
  <c r="AB615" i="8" a="1"/>
  <c r="AB615" i="8" s="1"/>
  <c r="AC615" i="8" a="1"/>
  <c r="AC615" i="8" s="1"/>
  <c r="AB601" i="8" a="1"/>
  <c r="AB601" i="8" s="1"/>
  <c r="AC601" i="8" a="1"/>
  <c r="AC601" i="8" s="1"/>
  <c r="AH627" i="8"/>
  <c r="AK627" i="8" s="1"/>
  <c r="AL627" i="8" s="1"/>
  <c r="AB603" i="8" a="1"/>
  <c r="AB603" i="8" s="1"/>
  <c r="AC603" i="8" a="1"/>
  <c r="AC603" i="8" s="1"/>
  <c r="AC741" i="8" a="1"/>
  <c r="AC741" i="8" s="1"/>
  <c r="AB741" i="8" a="1"/>
  <c r="AB741" i="8" s="1"/>
  <c r="AB657" i="8" a="1"/>
  <c r="AB657" i="8" s="1"/>
  <c r="AC657" i="8" a="1"/>
  <c r="AC657" i="8" s="1"/>
  <c r="AB760" i="8" a="1"/>
  <c r="AB760" i="8" s="1"/>
  <c r="AC760" i="8" a="1"/>
  <c r="AC760" i="8" s="1"/>
  <c r="AB742" i="8" a="1"/>
  <c r="AB742" i="8" s="1"/>
  <c r="AC742" i="8" a="1"/>
  <c r="AC742" i="8" s="1"/>
  <c r="AB680" i="8" a="1"/>
  <c r="AB680" i="8" s="1"/>
  <c r="AC680" i="8" a="1"/>
  <c r="AC680" i="8" s="1"/>
  <c r="AB589" i="8" a="1"/>
  <c r="AB589" i="8" s="1"/>
  <c r="AC589" i="8" a="1"/>
  <c r="AC589" i="8" s="1"/>
  <c r="AB640" i="8" a="1"/>
  <c r="AB640" i="8" s="1"/>
  <c r="AC640" i="8" a="1"/>
  <c r="AC640" i="8" s="1"/>
  <c r="AB641" i="8" a="1"/>
  <c r="AB641" i="8" s="1"/>
  <c r="AC641" i="8" a="1"/>
  <c r="AC641" i="8" s="1"/>
  <c r="AC764" i="8" a="1"/>
  <c r="AC764" i="8" s="1"/>
  <c r="AB764" i="8" a="1"/>
  <c r="AB764" i="8" s="1"/>
  <c r="AB756" i="8" a="1"/>
  <c r="AB756" i="8" s="1"/>
  <c r="AC756" i="8" a="1"/>
  <c r="AC756" i="8" s="1"/>
  <c r="AB647" i="8" a="1"/>
  <c r="AB647" i="8" s="1"/>
  <c r="AC647" i="8" a="1"/>
  <c r="AC647" i="8" s="1"/>
  <c r="AB674" i="8" a="1"/>
  <c r="AB674" i="8" s="1"/>
  <c r="AC674" i="8" a="1"/>
  <c r="AC674" i="8" s="1"/>
  <c r="AB607" i="8" a="1"/>
  <c r="AB607" i="8" s="1"/>
  <c r="AC607" i="8" a="1"/>
  <c r="AC607" i="8" s="1"/>
  <c r="AC588" i="8" a="1"/>
  <c r="AC588" i="8" s="1"/>
  <c r="AB588" i="8" a="1"/>
  <c r="AB588" i="8" s="1"/>
  <c r="AC612" i="8" a="1"/>
  <c r="AC612" i="8" s="1"/>
  <c r="AB612" i="8" a="1"/>
  <c r="AB612" i="8" s="1"/>
  <c r="AC787" i="8" a="1"/>
  <c r="AC787" i="8" s="1"/>
  <c r="AB787" i="8" a="1"/>
  <c r="AB787" i="8" s="1"/>
  <c r="AC658" i="8" a="1"/>
  <c r="AC658" i="8" s="1"/>
  <c r="AB658" i="8" a="1"/>
  <c r="AB658" i="8" s="1"/>
  <c r="AB648" i="8" a="1"/>
  <c r="AB648" i="8" s="1"/>
  <c r="AC648" i="8" a="1"/>
  <c r="AC648" i="8" s="1"/>
  <c r="AC713" i="8" a="1"/>
  <c r="AC713" i="8" s="1"/>
  <c r="AB713" i="8" a="1"/>
  <c r="AB713" i="8" s="1"/>
  <c r="AB785" i="8" a="1"/>
  <c r="AB785" i="8" s="1"/>
  <c r="AC785" i="8" a="1"/>
  <c r="AC785" i="8" s="1"/>
  <c r="AC759" i="8" a="1"/>
  <c r="AC759" i="8" s="1"/>
  <c r="AB759" i="8" a="1"/>
  <c r="AB759" i="8" s="1"/>
  <c r="AC644" i="8" a="1"/>
  <c r="AC644" i="8" s="1"/>
  <c r="AB644" i="8" a="1"/>
  <c r="AB644" i="8" s="1"/>
  <c r="AB700" i="8" a="1"/>
  <c r="AB700" i="8" s="1"/>
  <c r="AC700" i="8" a="1"/>
  <c r="AC700" i="8" s="1"/>
  <c r="AB609" i="8" a="1"/>
  <c r="AB609" i="8" s="1"/>
  <c r="AC609" i="8" a="1"/>
  <c r="AC609" i="8" s="1"/>
  <c r="AB664" i="8" a="1"/>
  <c r="AB664" i="8" s="1"/>
  <c r="AC664" i="8" a="1"/>
  <c r="AC664" i="8" s="1"/>
  <c r="AB595" i="8" a="1"/>
  <c r="AB595" i="8" s="1"/>
  <c r="AC595" i="8" a="1"/>
  <c r="AC595" i="8" s="1"/>
  <c r="AC780" i="8" a="1"/>
  <c r="AC780" i="8" s="1"/>
  <c r="AB780" i="8" a="1"/>
  <c r="AB780" i="8" s="1"/>
  <c r="AB762" i="8" a="1"/>
  <c r="AB762" i="8" s="1"/>
  <c r="AC762" i="8" a="1"/>
  <c r="AC762" i="8" s="1"/>
  <c r="AB598" i="8" a="1"/>
  <c r="AB598" i="8" s="1"/>
  <c r="AC598" i="8" a="1"/>
  <c r="AC598" i="8" s="1"/>
  <c r="AC678" i="8" a="1"/>
  <c r="AC678" i="8" s="1"/>
  <c r="AB678" i="8" a="1"/>
  <c r="AB678" i="8" s="1"/>
  <c r="AB720" i="8" a="1"/>
  <c r="AB720" i="8" s="1"/>
  <c r="AC720" i="8" a="1"/>
  <c r="AC720" i="8" s="1"/>
  <c r="AC746" i="8" a="1"/>
  <c r="AC746" i="8" s="1"/>
  <c r="AB746" i="8" a="1"/>
  <c r="AB746" i="8" s="1"/>
  <c r="AB782" i="8" a="1"/>
  <c r="AB782" i="8" s="1"/>
  <c r="AC782" i="8" a="1"/>
  <c r="AC782" i="8" s="1"/>
  <c r="AB781" i="8" a="1"/>
  <c r="AB781" i="8" s="1"/>
  <c r="AC781" i="8" a="1"/>
  <c r="AC781" i="8" s="1"/>
  <c r="AC653" i="8" a="1"/>
  <c r="AC653" i="8" s="1"/>
  <c r="AB653" i="8" a="1"/>
  <c r="AB653" i="8" s="1"/>
  <c r="AB725" i="8" a="1"/>
  <c r="AB725" i="8" s="1"/>
  <c r="AC725" i="8" a="1"/>
  <c r="AC725" i="8" s="1"/>
  <c r="AB665" i="8" a="1"/>
  <c r="AB665" i="8" s="1"/>
  <c r="AC665" i="8" a="1"/>
  <c r="AC665" i="8" s="1"/>
  <c r="AB692" i="8" a="1"/>
  <c r="AB692" i="8" s="1"/>
  <c r="AC692" i="8" a="1"/>
  <c r="AC692" i="8" s="1"/>
  <c r="AC654" i="8" a="1"/>
  <c r="AC654" i="8" s="1"/>
  <c r="AB654" i="8" a="1"/>
  <c r="AB654" i="8" s="1"/>
  <c r="AC704" i="8" a="1"/>
  <c r="AC704" i="8" s="1"/>
  <c r="AB704" i="8" a="1"/>
  <c r="AB704" i="8" s="1"/>
  <c r="AC771" i="8" a="1"/>
  <c r="AC771" i="8" s="1"/>
  <c r="AB771" i="8" a="1"/>
  <c r="AB771" i="8" s="1"/>
  <c r="AB750" i="8" a="1"/>
  <c r="AB750" i="8" s="1"/>
  <c r="AC750" i="8" a="1"/>
  <c r="AC750" i="8" s="1"/>
  <c r="AB783" i="8" a="1"/>
  <c r="AB783" i="8" s="1"/>
  <c r="AC783" i="8" a="1"/>
  <c r="AC783" i="8" s="1"/>
  <c r="AH651" i="8"/>
  <c r="AB703" i="8" a="1"/>
  <c r="AB703" i="8" s="1"/>
  <c r="AC703" i="8" a="1"/>
  <c r="AC703" i="8" s="1"/>
  <c r="AB758" i="8" a="1"/>
  <c r="AB758" i="8" s="1"/>
  <c r="AC758" i="8" a="1"/>
  <c r="AC758" i="8" s="1"/>
  <c r="AB643" i="8" a="1"/>
  <c r="AB643" i="8" s="1"/>
  <c r="AC643" i="8" a="1"/>
  <c r="AC643" i="8" s="1"/>
  <c r="AB728" i="8" a="1"/>
  <c r="AB728" i="8" s="1"/>
  <c r="AC728" i="8" a="1"/>
  <c r="AC728" i="8" s="1"/>
  <c r="AB659" i="8" a="1"/>
  <c r="AB659" i="8" s="1"/>
  <c r="AC659" i="8" a="1"/>
  <c r="AC659" i="8" s="1"/>
  <c r="AC632" i="8" a="1"/>
  <c r="AC632" i="8" s="1"/>
  <c r="AB632" i="8" a="1"/>
  <c r="AB632" i="8" s="1"/>
  <c r="AC626" i="8" a="1"/>
  <c r="AC626" i="8" s="1"/>
  <c r="AB626" i="8" a="1"/>
  <c r="AB626" i="8" s="1"/>
  <c r="AB627" i="8" a="1"/>
  <c r="AB627" i="8" s="1"/>
  <c r="AC627" i="8" a="1"/>
  <c r="AC627" i="8" s="1"/>
  <c r="AC740" i="8" a="1"/>
  <c r="AC740" i="8" s="1"/>
  <c r="AB740" i="8" a="1"/>
  <c r="AB740" i="8" s="1"/>
  <c r="AB684" i="8" a="1"/>
  <c r="AB684" i="8" s="1"/>
  <c r="AC684" i="8" a="1"/>
  <c r="AC684" i="8" s="1"/>
  <c r="AB660" i="8" a="1"/>
  <c r="AB660" i="8" s="1"/>
  <c r="AC660" i="8" a="1"/>
  <c r="AC660" i="8" s="1"/>
  <c r="AC586" i="8" a="1"/>
  <c r="AC586" i="8" s="1"/>
  <c r="AB586" i="8" a="1"/>
  <c r="AB586" i="8" s="1"/>
  <c r="AC716" i="8" a="1"/>
  <c r="AC716" i="8" s="1"/>
  <c r="AB716" i="8" a="1"/>
  <c r="AB716" i="8" s="1"/>
  <c r="AC777" i="8" a="1"/>
  <c r="AC777" i="8" s="1"/>
  <c r="AB777" i="8" a="1"/>
  <c r="AB777" i="8" s="1"/>
  <c r="AB683" i="8" a="1"/>
  <c r="AB683" i="8" s="1"/>
  <c r="AC683" i="8" a="1"/>
  <c r="AC683" i="8" s="1"/>
  <c r="AB667" i="8" a="1"/>
  <c r="AB667" i="8" s="1"/>
  <c r="AC667" i="8" a="1"/>
  <c r="AC667" i="8" s="1"/>
  <c r="AB670" i="8" a="1"/>
  <c r="AB670" i="8" s="1"/>
  <c r="AC670" i="8" a="1"/>
  <c r="AC670" i="8" s="1"/>
  <c r="AB718" i="8" a="1"/>
  <c r="AB718" i="8" s="1"/>
  <c r="AC718" i="8" a="1"/>
  <c r="AC718" i="8" s="1"/>
  <c r="AH639" i="8"/>
  <c r="AK639" i="8" s="1"/>
  <c r="AL639" i="8" s="1"/>
  <c r="AC681" i="8" a="1"/>
  <c r="AC681" i="8" s="1"/>
  <c r="AB681" i="8" a="1"/>
  <c r="AB681" i="8" s="1"/>
  <c r="AC737" i="8" a="1"/>
  <c r="AC737" i="8" s="1"/>
  <c r="AB737" i="8" a="1"/>
  <c r="AB737" i="8" s="1"/>
  <c r="AC618" i="8" a="1"/>
  <c r="AC618" i="8" s="1"/>
  <c r="AB618" i="8" a="1"/>
  <c r="AB618" i="8" s="1"/>
  <c r="AC677" i="8" a="1"/>
  <c r="AC677" i="8" s="1"/>
  <c r="AB677" i="8" a="1"/>
  <c r="AB677" i="8" s="1"/>
  <c r="AC620" i="8" a="1"/>
  <c r="AC620" i="8" s="1"/>
  <c r="AB620" i="8" a="1"/>
  <c r="AB620" i="8" s="1"/>
  <c r="AC715" i="8" a="1"/>
  <c r="AC715" i="8" s="1"/>
  <c r="AB715" i="8" a="1"/>
  <c r="AB715" i="8" s="1"/>
  <c r="AB623" i="8" a="1"/>
  <c r="AB623" i="8" s="1"/>
  <c r="AC623" i="8" a="1"/>
  <c r="AC623" i="8" s="1"/>
  <c r="AC736" i="8" a="1"/>
  <c r="AC736" i="8" s="1"/>
  <c r="AB736" i="8" a="1"/>
  <c r="AB736" i="8" s="1"/>
  <c r="AB770" i="8" a="1"/>
  <c r="AB770" i="8" s="1"/>
  <c r="AC770" i="8" a="1"/>
  <c r="AC770" i="8" s="1"/>
  <c r="AC685" i="8" a="1"/>
  <c r="AC685" i="8" s="1"/>
  <c r="AB685" i="8" a="1"/>
  <c r="AB685" i="8" s="1"/>
  <c r="AB757" i="8" a="1"/>
  <c r="AB757" i="8" s="1"/>
  <c r="AC757" i="8" a="1"/>
  <c r="AC757" i="8" s="1"/>
  <c r="AC731" i="8" a="1"/>
  <c r="AC731" i="8" s="1"/>
  <c r="AB731" i="8" a="1"/>
  <c r="AB731" i="8" s="1"/>
  <c r="AB675" i="8" a="1"/>
  <c r="AB675" i="8" s="1"/>
  <c r="AC675" i="8" a="1"/>
  <c r="AC675" i="8" s="1"/>
  <c r="AC768" i="8" a="1"/>
  <c r="AC768" i="8" s="1"/>
  <c r="AB768" i="8" a="1"/>
  <c r="AB768" i="8" s="1"/>
  <c r="AB697" i="8" a="1"/>
  <c r="AB697" i="8" s="1"/>
  <c r="AC697" i="8" a="1"/>
  <c r="AC697" i="8" s="1"/>
  <c r="AB591" i="8" a="1"/>
  <c r="AB591" i="8" s="1"/>
  <c r="AC591" i="8" a="1"/>
  <c r="AC591" i="8" s="1"/>
  <c r="AC686" i="8" a="1"/>
  <c r="AC686" i="8" s="1"/>
  <c r="AB686" i="8" a="1"/>
  <c r="AB686" i="8" s="1"/>
  <c r="AH717" i="8"/>
  <c r="AB754" i="8" a="1"/>
  <c r="AB754" i="8" s="1"/>
  <c r="AC754" i="8" a="1"/>
  <c r="AC754" i="8" s="1"/>
  <c r="AB597" i="8" a="1"/>
  <c r="AB597" i="8" s="1"/>
  <c r="AC597" i="8" a="1"/>
  <c r="AC597" i="8" s="1"/>
  <c r="AB624" i="8" a="1"/>
  <c r="AB624" i="8" s="1"/>
  <c r="AC624" i="8" a="1"/>
  <c r="AC624" i="8" s="1"/>
  <c r="AC712" i="8" a="1"/>
  <c r="AC712" i="8" s="1"/>
  <c r="AB712" i="8" a="1"/>
  <c r="AB712" i="8" s="1"/>
  <c r="AB788" i="8" a="1"/>
  <c r="AB788" i="8" s="1"/>
  <c r="AC788" i="8" a="1"/>
  <c r="AC788" i="8" s="1"/>
  <c r="AC772" i="8" a="1"/>
  <c r="AC772" i="8" s="1"/>
  <c r="AB772" i="8" a="1"/>
  <c r="AB772" i="8" s="1"/>
  <c r="AC748" i="8" a="1"/>
  <c r="AC748" i="8" s="1"/>
  <c r="AB748" i="8" a="1"/>
  <c r="AB748" i="8" s="1"/>
  <c r="AB752" i="8" a="1"/>
  <c r="AB752" i="8" s="1"/>
  <c r="AC752" i="8" a="1"/>
  <c r="AC752" i="8" s="1"/>
  <c r="AB666" i="8" a="1"/>
  <c r="AB666" i="8" s="1"/>
  <c r="AC666" i="8" a="1"/>
  <c r="AC666" i="8" s="1"/>
  <c r="AB637" i="8" a="1"/>
  <c r="AB637" i="8" s="1"/>
  <c r="AC637" i="8" a="1"/>
  <c r="AC637" i="8" s="1"/>
  <c r="AB691" i="8" a="1"/>
  <c r="AB691" i="8" s="1"/>
  <c r="AC691" i="8" a="1"/>
  <c r="AC691" i="8" s="1"/>
  <c r="AB629" i="8" a="1"/>
  <c r="AB629" i="8" s="1"/>
  <c r="AC629" i="8" a="1"/>
  <c r="AC629" i="8" s="1"/>
  <c r="AB721" i="8" a="1"/>
  <c r="AB721" i="8" s="1"/>
  <c r="AC721" i="8" a="1"/>
  <c r="AC721" i="8" s="1"/>
  <c r="AB679" i="8" a="1"/>
  <c r="AB679" i="8" s="1"/>
  <c r="AC679" i="8" a="1"/>
  <c r="AC679" i="8" s="1"/>
  <c r="AC708" i="8" a="1"/>
  <c r="AC708" i="8" s="1"/>
  <c r="AB708" i="8" a="1"/>
  <c r="AB708" i="8" s="1"/>
  <c r="AB630" i="8" a="1"/>
  <c r="AB630" i="8" s="1"/>
  <c r="AC630" i="8" a="1"/>
  <c r="AC630" i="8" s="1"/>
  <c r="AC688" i="8" a="1"/>
  <c r="AC688" i="8" s="1"/>
  <c r="AB688" i="8" a="1"/>
  <c r="AB688" i="8" s="1"/>
  <c r="AB651" i="8" a="1"/>
  <c r="AB651" i="8" s="1"/>
  <c r="AC651" i="8" a="1"/>
  <c r="AC651" i="8" s="1"/>
  <c r="AB706" i="8" a="1"/>
  <c r="AB706" i="8" s="1"/>
  <c r="AC706" i="8" a="1"/>
  <c r="AC706" i="8" s="1"/>
  <c r="AB590" i="8" a="1"/>
  <c r="AB590" i="8" s="1"/>
  <c r="AC590" i="8" a="1"/>
  <c r="AC590" i="8" s="1"/>
  <c r="AC673" i="8" a="1"/>
  <c r="AC673" i="8" s="1"/>
  <c r="AB673" i="8" a="1"/>
  <c r="AB673" i="8" s="1"/>
  <c r="AB726" i="8" a="1"/>
  <c r="AB726" i="8" s="1"/>
  <c r="AC726" i="8" a="1"/>
  <c r="AC726" i="8" s="1"/>
  <c r="AB631" i="8" a="1"/>
  <c r="AB631" i="8" s="1"/>
  <c r="AC631" i="8" a="1"/>
  <c r="AC631" i="8" s="1"/>
  <c r="AC596" i="8" a="1"/>
  <c r="AC596" i="8" s="1"/>
  <c r="AB596" i="8" a="1"/>
  <c r="AB596" i="8" s="1"/>
  <c r="AB625" i="8" a="1"/>
  <c r="AB625" i="8" s="1"/>
  <c r="AC625" i="8" a="1"/>
  <c r="AC625" i="8" s="1"/>
  <c r="AC711" i="8" a="1"/>
  <c r="AC711" i="8" s="1"/>
  <c r="AB711" i="8" a="1"/>
  <c r="AB711" i="8" s="1"/>
  <c r="AC735" i="8" a="1"/>
  <c r="AC735" i="8" s="1"/>
  <c r="AB735" i="8" a="1"/>
  <c r="AB735" i="8" s="1"/>
  <c r="AB729" i="8" a="1"/>
  <c r="AB729" i="8" s="1"/>
  <c r="AC729" i="8" a="1"/>
  <c r="AC729" i="8" s="1"/>
  <c r="AB628" i="8" a="1"/>
  <c r="AB628" i="8" s="1"/>
  <c r="AC628" i="8" a="1"/>
  <c r="AC628" i="8" s="1"/>
  <c r="AB693" i="8" a="1"/>
  <c r="AB693" i="8" s="1"/>
  <c r="AC693" i="8" a="1"/>
  <c r="AC693" i="8" s="1"/>
  <c r="AB669" i="8" a="1"/>
  <c r="AB669" i="8" s="1"/>
  <c r="AC669" i="8" a="1"/>
  <c r="AC669" i="8" s="1"/>
  <c r="AC739" i="8" a="1"/>
  <c r="AC739" i="8" s="1"/>
  <c r="AB739" i="8" a="1"/>
  <c r="AB739" i="8" s="1"/>
  <c r="AC743" i="8" a="1"/>
  <c r="AC743" i="8" s="1"/>
  <c r="AB743" i="8" a="1"/>
  <c r="AB743" i="8" s="1"/>
  <c r="AB639" i="8" a="1"/>
  <c r="AB639" i="8" s="1"/>
  <c r="AC639" i="8" a="1"/>
  <c r="AC639" i="8" s="1"/>
  <c r="AB694" i="8" a="1"/>
  <c r="AB694" i="8" s="1"/>
  <c r="AC694" i="8" a="1"/>
  <c r="AC694" i="8" s="1"/>
  <c r="AB749" i="8" a="1"/>
  <c r="AB749" i="8" s="1"/>
  <c r="AC749" i="8" a="1"/>
  <c r="AC749" i="8" s="1"/>
  <c r="AC676" i="8" a="1"/>
  <c r="AC676" i="8" s="1"/>
  <c r="AB676" i="8" a="1"/>
  <c r="AB676" i="8" s="1"/>
  <c r="AB599" i="8" a="1"/>
  <c r="AB599" i="8" s="1"/>
  <c r="AC599" i="8" a="1"/>
  <c r="AC599" i="8" s="1"/>
  <c r="AB646" i="8" a="1"/>
  <c r="AB646" i="8" s="1"/>
  <c r="AC646" i="8" a="1"/>
  <c r="AC646" i="8" s="1"/>
  <c r="AB600" i="8" a="1"/>
  <c r="AB600" i="8" s="1"/>
  <c r="AC600" i="8" a="1"/>
  <c r="AC600" i="8" s="1"/>
  <c r="AC690" i="8" a="1"/>
  <c r="AC690" i="8" s="1"/>
  <c r="AB690" i="8" a="1"/>
  <c r="AB690" i="8" s="1"/>
  <c r="AB761" i="8" a="1"/>
  <c r="AB761" i="8" s="1"/>
  <c r="AC761" i="8" a="1"/>
  <c r="AC761" i="8" s="1"/>
  <c r="AB734" i="8" a="1"/>
  <c r="AB734" i="8" s="1"/>
  <c r="AC734" i="8" a="1"/>
  <c r="AC734" i="8" s="1"/>
  <c r="AH786" i="8"/>
  <c r="AK786" i="8" s="1"/>
  <c r="AL786" i="8" s="1"/>
  <c r="AC747" i="8" a="1"/>
  <c r="AC747" i="8" s="1"/>
  <c r="AB747" i="8" a="1"/>
  <c r="AB747" i="8" s="1"/>
  <c r="AC638" i="8" a="1"/>
  <c r="AC638" i="8" s="1"/>
  <c r="AB638" i="8" a="1"/>
  <c r="AB638" i="8" s="1"/>
  <c r="AC732" i="8" a="1"/>
  <c r="AC732" i="8" s="1"/>
  <c r="AB732" i="8" a="1"/>
  <c r="AB732" i="8" s="1"/>
  <c r="AH656" i="8"/>
  <c r="AK656" i="8" s="1"/>
  <c r="AL656" i="8" s="1"/>
  <c r="AB717" i="8" a="1"/>
  <c r="AB717" i="8" s="1"/>
  <c r="AC717" i="8" a="1"/>
  <c r="AC717" i="8" s="1"/>
  <c r="AC645" i="8" a="1"/>
  <c r="AC645" i="8" s="1"/>
  <c r="AB645" i="8" a="1"/>
  <c r="AB645" i="8" s="1"/>
  <c r="AB753" i="8" a="1"/>
  <c r="AB753" i="8" s="1"/>
  <c r="AC753" i="8" a="1"/>
  <c r="AC753" i="8" s="1"/>
  <c r="AB663" i="8" a="1"/>
  <c r="AB663" i="8" s="1"/>
  <c r="AC663" i="8" a="1"/>
  <c r="AC663" i="8" s="1"/>
  <c r="AC763" i="8" a="1"/>
  <c r="AC763" i="8" s="1"/>
  <c r="AB763" i="8" a="1"/>
  <c r="AB763" i="8" s="1"/>
  <c r="AC769" i="8" a="1"/>
  <c r="AC769" i="8" s="1"/>
  <c r="AB769" i="8" a="1"/>
  <c r="AB769" i="8" s="1"/>
  <c r="AB635" i="8" a="1"/>
  <c r="AB635" i="8" s="1"/>
  <c r="AC635" i="8" a="1"/>
  <c r="AC635" i="8" s="1"/>
  <c r="AB616" i="8" a="1"/>
  <c r="AB616" i="8" s="1"/>
  <c r="AC616" i="8" a="1"/>
  <c r="AC616" i="8" s="1"/>
  <c r="AB671" i="8" a="1"/>
  <c r="AB671" i="8" s="1"/>
  <c r="AC671" i="8" a="1"/>
  <c r="AC671" i="8" s="1"/>
  <c r="AC633" i="8" a="1"/>
  <c r="AC633" i="8" s="1"/>
  <c r="AB633" i="8" a="1"/>
  <c r="AB633" i="8" s="1"/>
  <c r="AC723" i="8" a="1"/>
  <c r="AC723" i="8" s="1"/>
  <c r="AB723" i="8" a="1"/>
  <c r="AB723" i="8" s="1"/>
  <c r="AB696" i="8" a="1"/>
  <c r="AB696" i="8" s="1"/>
  <c r="AC696" i="8" a="1"/>
  <c r="AC696" i="8" s="1"/>
  <c r="AB751" i="8" a="1"/>
  <c r="AB751" i="8" s="1"/>
  <c r="AC751" i="8" a="1"/>
  <c r="AC751" i="8" s="1"/>
  <c r="AC636" i="8" a="1"/>
  <c r="AC636" i="8" s="1"/>
  <c r="AB636" i="8" a="1"/>
  <c r="AB636" i="8" s="1"/>
  <c r="AC744" i="8" a="1"/>
  <c r="AC744" i="8" s="1"/>
  <c r="AB744" i="8" a="1"/>
  <c r="AB744" i="8" s="1"/>
  <c r="AB724" i="8" a="1"/>
  <c r="AB724" i="8" s="1"/>
  <c r="AC724" i="8" a="1"/>
  <c r="AC724" i="8" s="1"/>
  <c r="AC650" i="8" a="1"/>
  <c r="AC650" i="8" s="1"/>
  <c r="AB650" i="8" a="1"/>
  <c r="AB650" i="8" s="1"/>
  <c r="AC872" i="8" a="1"/>
  <c r="AC872" i="8" s="1"/>
  <c r="AB546" i="8" a="1"/>
  <c r="AB546" i="8" s="1"/>
  <c r="AC546" i="8" a="1"/>
  <c r="AC546" i="8" s="1"/>
  <c r="AB508" i="8" a="1"/>
  <c r="AB508" i="8" s="1"/>
  <c r="AC508" i="8" a="1"/>
  <c r="AC508" i="8" s="1"/>
  <c r="AB578" i="8" a="1"/>
  <c r="AB578" i="8" s="1"/>
  <c r="AC578" i="8" a="1"/>
  <c r="AC578" i="8" s="1"/>
  <c r="AC511" i="8" a="1"/>
  <c r="AC511" i="8" s="1"/>
  <c r="AB511" i="8" a="1"/>
  <c r="AB511" i="8" s="1"/>
  <c r="AB515" i="8" a="1"/>
  <c r="AB515" i="8" s="1"/>
  <c r="AC515" i="8" a="1"/>
  <c r="AC515" i="8" s="1"/>
  <c r="AB560" i="8" a="1"/>
  <c r="AB560" i="8" s="1"/>
  <c r="AC560" i="8" a="1"/>
  <c r="AC560" i="8" s="1"/>
  <c r="AB559" i="8" a="1"/>
  <c r="AB559" i="8" s="1"/>
  <c r="AC559" i="8" a="1"/>
  <c r="AC559" i="8" s="1"/>
  <c r="AC521" i="8" a="1"/>
  <c r="AC521" i="8" s="1"/>
  <c r="AB521" i="8" a="1"/>
  <c r="AB521" i="8" s="1"/>
  <c r="AC530" i="8" a="1"/>
  <c r="AC530" i="8" s="1"/>
  <c r="AB530" i="8" a="1"/>
  <c r="AB530" i="8" s="1"/>
  <c r="AC523" i="8" a="1"/>
  <c r="AC523" i="8" s="1"/>
  <c r="AB523" i="8" a="1"/>
  <c r="AB523" i="8" s="1"/>
  <c r="AC575" i="8" a="1"/>
  <c r="AC575" i="8" s="1"/>
  <c r="AB575" i="8" a="1"/>
  <c r="AB575" i="8" s="1"/>
  <c r="AC557" i="8" a="1"/>
  <c r="AC557" i="8" s="1"/>
  <c r="AB557" i="8" a="1"/>
  <c r="AB557" i="8" s="1"/>
  <c r="AC512" i="8" a="1"/>
  <c r="AC512" i="8" s="1"/>
  <c r="AB512" i="8" a="1"/>
  <c r="AB512" i="8" s="1"/>
  <c r="AB549" i="8" a="1"/>
  <c r="AB549" i="8" s="1"/>
  <c r="AC549" i="8" a="1"/>
  <c r="AC549" i="8" s="1"/>
  <c r="AB522" i="8" a="1"/>
  <c r="AB522" i="8" s="1"/>
  <c r="AC522" i="8" a="1"/>
  <c r="AC522" i="8" s="1"/>
  <c r="AB538" i="8" a="1"/>
  <c r="AB538" i="8" s="1"/>
  <c r="AC538" i="8" a="1"/>
  <c r="AC538" i="8" s="1"/>
  <c r="AB539" i="8" a="1"/>
  <c r="AB539" i="8" s="1"/>
  <c r="AC539" i="8" a="1"/>
  <c r="AC539" i="8" s="1"/>
  <c r="AC536" i="8" a="1"/>
  <c r="AC536" i="8" s="1"/>
  <c r="AB536" i="8" a="1"/>
  <c r="AB536" i="8" s="1"/>
  <c r="AB555" i="8" a="1"/>
  <c r="AB555" i="8" s="1"/>
  <c r="AC555" i="8" a="1"/>
  <c r="AC555" i="8" s="1"/>
  <c r="AB540" i="8" a="1"/>
  <c r="AB540" i="8" s="1"/>
  <c r="AC540" i="8" a="1"/>
  <c r="AC540" i="8" s="1"/>
  <c r="AB545" i="8" a="1"/>
  <c r="AB545" i="8" s="1"/>
  <c r="AC545" i="8" a="1"/>
  <c r="AC545" i="8" s="1"/>
  <c r="AB526" i="8" a="1"/>
  <c r="AB526" i="8" s="1"/>
  <c r="AC526" i="8" a="1"/>
  <c r="AC526" i="8" s="1"/>
  <c r="AB558" i="8" a="1"/>
  <c r="AB558" i="8" s="1"/>
  <c r="AC558" i="8" a="1"/>
  <c r="AC558" i="8" s="1"/>
  <c r="AB544" i="8" a="1"/>
  <c r="AB544" i="8" s="1"/>
  <c r="AC544" i="8" a="1"/>
  <c r="AC544" i="8" s="1"/>
  <c r="AB564" i="8" a="1"/>
  <c r="AB564" i="8" s="1"/>
  <c r="AC564" i="8" a="1"/>
  <c r="AC564" i="8" s="1"/>
  <c r="AB524" i="8" a="1"/>
  <c r="AB524" i="8" s="1"/>
  <c r="AC524" i="8" a="1"/>
  <c r="AC524" i="8" s="1"/>
  <c r="AB527" i="8" a="1"/>
  <c r="AB527" i="8" s="1"/>
  <c r="AC527" i="8" a="1"/>
  <c r="AC527" i="8" s="1"/>
  <c r="AB514" i="8" a="1"/>
  <c r="AB514" i="8" s="1"/>
  <c r="AC514" i="8" a="1"/>
  <c r="AC514" i="8" s="1"/>
  <c r="AC537" i="8" a="1"/>
  <c r="AC537" i="8" s="1"/>
  <c r="AB537" i="8" a="1"/>
  <c r="AB537" i="8" s="1"/>
  <c r="AC580" i="8" a="1"/>
  <c r="AC580" i="8" s="1"/>
  <c r="AB580" i="8" a="1"/>
  <c r="AB580" i="8" s="1"/>
  <c r="AC568" i="8" a="1"/>
  <c r="AC568" i="8" s="1"/>
  <c r="AB568" i="8" a="1"/>
  <c r="AB568" i="8" s="1"/>
  <c r="AC552" i="8" a="1"/>
  <c r="AC552" i="8" s="1"/>
  <c r="AB552" i="8" a="1"/>
  <c r="AB552" i="8" s="1"/>
  <c r="AB520" i="8" a="1"/>
  <c r="AB520" i="8" s="1"/>
  <c r="AC520" i="8" a="1"/>
  <c r="AC520" i="8" s="1"/>
  <c r="AB510" i="8" a="1"/>
  <c r="AB510" i="8" s="1"/>
  <c r="AC510" i="8" a="1"/>
  <c r="AC510" i="8" s="1"/>
  <c r="AH556" i="8"/>
  <c r="AB528" i="8" a="1"/>
  <c r="AB528" i="8" s="1"/>
  <c r="AC528" i="8" a="1"/>
  <c r="AC528" i="8" s="1"/>
  <c r="AB572" i="8" a="1"/>
  <c r="AB572" i="8" s="1"/>
  <c r="AC572" i="8" a="1"/>
  <c r="AC572" i="8" s="1"/>
  <c r="AC534" i="8" a="1"/>
  <c r="AC534" i="8" s="1"/>
  <c r="AB534" i="8" a="1"/>
  <c r="AB534" i="8" s="1"/>
  <c r="AB581" i="8" a="1"/>
  <c r="AB581" i="8" s="1"/>
  <c r="AC581" i="8" a="1"/>
  <c r="AC581" i="8" s="1"/>
  <c r="AC579" i="8" a="1"/>
  <c r="AC579" i="8" s="1"/>
  <c r="AB579" i="8" a="1"/>
  <c r="AB579" i="8" s="1"/>
  <c r="AC553" i="8" a="1"/>
  <c r="AC553" i="8" s="1"/>
  <c r="AB553" i="8" a="1"/>
  <c r="AB553" i="8" s="1"/>
  <c r="AC518" i="8" a="1"/>
  <c r="AC518" i="8" s="1"/>
  <c r="AB518" i="8" a="1"/>
  <c r="AB518" i="8" s="1"/>
  <c r="AB554" i="8" a="1"/>
  <c r="AB554" i="8" s="1"/>
  <c r="AC554" i="8" a="1"/>
  <c r="AC554" i="8" s="1"/>
  <c r="AC547" i="8" a="1"/>
  <c r="AC547" i="8" s="1"/>
  <c r="AB547" i="8" a="1"/>
  <c r="AB547" i="8" s="1"/>
  <c r="AH570" i="8"/>
  <c r="AK570" i="8" s="1"/>
  <c r="AL570" i="8" s="1"/>
  <c r="AC548" i="8" a="1"/>
  <c r="AC548" i="8" s="1"/>
  <c r="AB548" i="8" a="1"/>
  <c r="AB548" i="8" s="1"/>
  <c r="AB531" i="8" a="1"/>
  <c r="AB531" i="8" s="1"/>
  <c r="AC531" i="8" a="1"/>
  <c r="AC531" i="8" s="1"/>
  <c r="AB567" i="8" a="1"/>
  <c r="AB567" i="8" s="1"/>
  <c r="AC567" i="8" a="1"/>
  <c r="AC567" i="8" s="1"/>
  <c r="AC561" i="8" a="1"/>
  <c r="AC561" i="8" s="1"/>
  <c r="AB561" i="8" a="1"/>
  <c r="AB561" i="8" s="1"/>
  <c r="AC574" i="8" a="1"/>
  <c r="AC574" i="8" s="1"/>
  <c r="AB574" i="8" a="1"/>
  <c r="AB574" i="8" s="1"/>
  <c r="AC543" i="8" a="1"/>
  <c r="AC543" i="8" s="1"/>
  <c r="AB543" i="8" a="1"/>
  <c r="AB543" i="8" s="1"/>
  <c r="AC517" i="8" a="1"/>
  <c r="AC517" i="8" s="1"/>
  <c r="AB517" i="8" a="1"/>
  <c r="AB517" i="8" s="1"/>
  <c r="AC550" i="8" a="1"/>
  <c r="AC550" i="8" s="1"/>
  <c r="AB550" i="8" a="1"/>
  <c r="AB550" i="8" s="1"/>
  <c r="AB519" i="8" a="1"/>
  <c r="AB519" i="8" s="1"/>
  <c r="AC519" i="8" a="1"/>
  <c r="AC519" i="8" s="1"/>
  <c r="AB513" i="8" a="1"/>
  <c r="AB513" i="8" s="1"/>
  <c r="AC513" i="8" a="1"/>
  <c r="AC513" i="8" s="1"/>
  <c r="AB556" i="8" a="1"/>
  <c r="AB556" i="8" s="1"/>
  <c r="AC556" i="8" a="1"/>
  <c r="AC556" i="8" s="1"/>
  <c r="AB571" i="8" a="1"/>
  <c r="AB571" i="8" s="1"/>
  <c r="AC571" i="8" a="1"/>
  <c r="AC571" i="8" s="1"/>
  <c r="AC569" i="8" a="1"/>
  <c r="AC569" i="8" s="1"/>
  <c r="AB569" i="8" a="1"/>
  <c r="AB569" i="8" s="1"/>
  <c r="AC573" i="8" a="1"/>
  <c r="AC573" i="8" s="1"/>
  <c r="AB573" i="8" a="1"/>
  <c r="AB573" i="8" s="1"/>
  <c r="AC582" i="8" a="1"/>
  <c r="AC582" i="8" s="1"/>
  <c r="AB582" i="8" a="1"/>
  <c r="AB582" i="8" s="1"/>
  <c r="AB535" i="8" a="1"/>
  <c r="AB535" i="8" s="1"/>
  <c r="AC535" i="8" a="1"/>
  <c r="AC535" i="8" s="1"/>
  <c r="AC529" i="8" a="1"/>
  <c r="AC529" i="8" s="1"/>
  <c r="AB529" i="8" a="1"/>
  <c r="AB529" i="8" s="1"/>
  <c r="AC551" i="8" a="1"/>
  <c r="AC551" i="8" s="1"/>
  <c r="AB551" i="8" a="1"/>
  <c r="AB551" i="8" s="1"/>
  <c r="AB570" i="8" a="1"/>
  <c r="AB570" i="8" s="1"/>
  <c r="AC570" i="8" a="1"/>
  <c r="AC570" i="8" s="1"/>
  <c r="AB562" i="8" a="1"/>
  <c r="AB562" i="8" s="1"/>
  <c r="AC562" i="8" a="1"/>
  <c r="AC562" i="8" s="1"/>
  <c r="AB516" i="8" a="1"/>
  <c r="AB516" i="8" s="1"/>
  <c r="AC516" i="8" a="1"/>
  <c r="AC516" i="8" s="1"/>
  <c r="AC533" i="8" a="1"/>
  <c r="AC533" i="8" s="1"/>
  <c r="AB533" i="8" a="1"/>
  <c r="AB533" i="8" s="1"/>
  <c r="AB566" i="8" a="1"/>
  <c r="AB566" i="8" s="1"/>
  <c r="AC566" i="8" a="1"/>
  <c r="AC566" i="8" s="1"/>
  <c r="AB577" i="8" a="1"/>
  <c r="AB577" i="8" s="1"/>
  <c r="AC577" i="8" a="1"/>
  <c r="AC577" i="8" s="1"/>
  <c r="AH543" i="8"/>
  <c r="AB563" i="8" a="1"/>
  <c r="AB563" i="8" s="1"/>
  <c r="AC563" i="8" a="1"/>
  <c r="AC563" i="8" s="1"/>
  <c r="AB507" i="8" a="1"/>
  <c r="AB507" i="8" s="1"/>
  <c r="AC507" i="8" a="1"/>
  <c r="AC507" i="8" s="1"/>
  <c r="AC509" i="8" a="1"/>
  <c r="AC509" i="8" s="1"/>
  <c r="AB509" i="8" a="1"/>
  <c r="AB509" i="8" s="1"/>
  <c r="AC542" i="8" a="1"/>
  <c r="AC542" i="8" s="1"/>
  <c r="AB542" i="8" a="1"/>
  <c r="AB542" i="8" s="1"/>
  <c r="AC541" i="8" a="1"/>
  <c r="AC541" i="8" s="1"/>
  <c r="AB541" i="8" a="1"/>
  <c r="AB541" i="8" s="1"/>
  <c r="AC565" i="8" a="1"/>
  <c r="AC565" i="8" s="1"/>
  <c r="AB565" i="8" a="1"/>
  <c r="AB565" i="8" s="1"/>
  <c r="AC525" i="8" a="1"/>
  <c r="AC525" i="8" s="1"/>
  <c r="AB525" i="8" a="1"/>
  <c r="AB525" i="8" s="1"/>
  <c r="AC532" i="8" a="1"/>
  <c r="AC532" i="8" s="1"/>
  <c r="AB532" i="8" a="1"/>
  <c r="AB532" i="8" s="1"/>
  <c r="AB576" i="8" a="1"/>
  <c r="AB576" i="8" s="1"/>
  <c r="AC576" i="8" a="1"/>
  <c r="AC576" i="8" s="1"/>
  <c r="AB583" i="8" a="1"/>
  <c r="AB583" i="8" s="1"/>
  <c r="AC583" i="8" a="1"/>
  <c r="AC583" i="8" s="1"/>
  <c r="AC584" i="8" a="1"/>
  <c r="AC584" i="8" s="1"/>
  <c r="AB584" i="8" a="1"/>
  <c r="AB584" i="8" s="1"/>
  <c r="AC451" i="8" a="1"/>
  <c r="AC451" i="8" s="1"/>
  <c r="AB451" i="8" a="1"/>
  <c r="AB451" i="8" s="1"/>
  <c r="AB495" i="8" a="1"/>
  <c r="AB495" i="8" s="1"/>
  <c r="AC495" i="8" a="1"/>
  <c r="AC495" i="8" s="1"/>
  <c r="AC452" i="8" a="1"/>
  <c r="AC452" i="8" s="1"/>
  <c r="AB452" i="8" a="1"/>
  <c r="AB452" i="8" s="1"/>
  <c r="AB367" i="8" a="1"/>
  <c r="AB367" i="8" s="1"/>
  <c r="AC367" i="8" a="1"/>
  <c r="AC367" i="8" s="1"/>
  <c r="AB402" i="8" a="1"/>
  <c r="AB402" i="8" s="1"/>
  <c r="AC402" i="8" a="1"/>
  <c r="AC402" i="8" s="1"/>
  <c r="AC484" i="8" a="1"/>
  <c r="AC484" i="8" s="1"/>
  <c r="AB484" i="8" a="1"/>
  <c r="AB484" i="8" s="1"/>
  <c r="AB482" i="8" a="1"/>
  <c r="AB482" i="8" s="1"/>
  <c r="AC482" i="8" a="1"/>
  <c r="AC482" i="8" s="1"/>
  <c r="AB378" i="8" a="1"/>
  <c r="AB378" i="8" s="1"/>
  <c r="AC378" i="8" a="1"/>
  <c r="AC378" i="8" s="1"/>
  <c r="AC447" i="8" a="1"/>
  <c r="AC447" i="8" s="1"/>
  <c r="AB447" i="8" a="1"/>
  <c r="AB447" i="8" s="1"/>
  <c r="AB392" i="8" a="1"/>
  <c r="AB392" i="8" s="1"/>
  <c r="AC392" i="8" a="1"/>
  <c r="AC392" i="8" s="1"/>
  <c r="AB342" i="8" a="1"/>
  <c r="AB342" i="8" s="1"/>
  <c r="AC342" i="8" a="1"/>
  <c r="AC342" i="8" s="1"/>
  <c r="AC384" i="8" a="1"/>
  <c r="AC384" i="8" s="1"/>
  <c r="AB384" i="8" a="1"/>
  <c r="AB384" i="8" s="1"/>
  <c r="AB433" i="8" a="1"/>
  <c r="AB433" i="8" s="1"/>
  <c r="AC433" i="8" a="1"/>
  <c r="AC433" i="8" s="1"/>
  <c r="AB381" i="8" a="1"/>
  <c r="AB381" i="8" s="1"/>
  <c r="AC381" i="8" a="1"/>
  <c r="AC381" i="8" s="1"/>
  <c r="AB411" i="8" a="1"/>
  <c r="AB411" i="8" s="1"/>
  <c r="AC411" i="8" a="1"/>
  <c r="AC411" i="8" s="1"/>
  <c r="AB400" i="8" a="1"/>
  <c r="AB400" i="8" s="1"/>
  <c r="AC400" i="8" a="1"/>
  <c r="AC400" i="8" s="1"/>
  <c r="AB409" i="8" a="1"/>
  <c r="AB409" i="8" s="1"/>
  <c r="AC409" i="8" a="1"/>
  <c r="AC409" i="8" s="1"/>
  <c r="AB360" i="8" a="1"/>
  <c r="AB360" i="8" s="1"/>
  <c r="AC360" i="8" a="1"/>
  <c r="AC360" i="8" s="1"/>
  <c r="AC425" i="8" a="1"/>
  <c r="AC425" i="8" s="1"/>
  <c r="AB425" i="8" a="1"/>
  <c r="AB425" i="8" s="1"/>
  <c r="AB436" i="8" a="1"/>
  <c r="AB436" i="8" s="1"/>
  <c r="AC436" i="8" a="1"/>
  <c r="AC436" i="8" s="1"/>
  <c r="AB450" i="8" a="1"/>
  <c r="AB450" i="8" s="1"/>
  <c r="AC450" i="8" a="1"/>
  <c r="AC450" i="8" s="1"/>
  <c r="AB435" i="8" a="1"/>
  <c r="AB435" i="8" s="1"/>
  <c r="AC435" i="8" a="1"/>
  <c r="AC435" i="8" s="1"/>
  <c r="AC487" i="8" a="1"/>
  <c r="AC487" i="8" s="1"/>
  <c r="AB487" i="8" a="1"/>
  <c r="AB487" i="8" s="1"/>
  <c r="AB389" i="8" a="1"/>
  <c r="AB389" i="8" s="1"/>
  <c r="AC389" i="8" a="1"/>
  <c r="AC389" i="8" s="1"/>
  <c r="AB428" i="8" a="1"/>
  <c r="AB428" i="8" s="1"/>
  <c r="AC428" i="8" a="1"/>
  <c r="AC428" i="8" s="1"/>
  <c r="AB493" i="8" a="1"/>
  <c r="AB493" i="8" s="1"/>
  <c r="AC493" i="8" a="1"/>
  <c r="AC493" i="8" s="1"/>
  <c r="AB349" i="8" a="1"/>
  <c r="AB349" i="8" s="1"/>
  <c r="AC349" i="8" a="1"/>
  <c r="AC349" i="8" s="1"/>
  <c r="AC363" i="8" a="1"/>
  <c r="AC363" i="8" s="1"/>
  <c r="AB363" i="8" a="1"/>
  <c r="AB363" i="8" s="1"/>
  <c r="AC403" i="8" a="1"/>
  <c r="AC403" i="8" s="1"/>
  <c r="AB403" i="8" a="1"/>
  <c r="AB403" i="8" s="1"/>
  <c r="AC455" i="8" a="1"/>
  <c r="AC455" i="8" s="1"/>
  <c r="AB455" i="8" a="1"/>
  <c r="AB455" i="8" s="1"/>
  <c r="AB345" i="8" a="1"/>
  <c r="AB345" i="8" s="1"/>
  <c r="AC345" i="8" a="1"/>
  <c r="AC345" i="8" s="1"/>
  <c r="AB386" i="8" a="1"/>
  <c r="AB386" i="8" s="1"/>
  <c r="AC386" i="8" a="1"/>
  <c r="AC386" i="8" s="1"/>
  <c r="AB341" i="8" a="1"/>
  <c r="AB341" i="8" s="1"/>
  <c r="AC341" i="8" a="1"/>
  <c r="AC341" i="8" s="1"/>
  <c r="AC456" i="8" a="1"/>
  <c r="AC456" i="8" s="1"/>
  <c r="AB456" i="8" a="1"/>
  <c r="AB456" i="8" s="1"/>
  <c r="AC398" i="8" a="1"/>
  <c r="AC398" i="8" s="1"/>
  <c r="AB398" i="8" a="1"/>
  <c r="AB398" i="8" s="1"/>
  <c r="AB497" i="8" a="1"/>
  <c r="AB497" i="8" s="1"/>
  <c r="AC497" i="8" a="1"/>
  <c r="AC497" i="8" s="1"/>
  <c r="AB434" i="8" a="1"/>
  <c r="AB434" i="8" s="1"/>
  <c r="AC434" i="8" a="1"/>
  <c r="AC434" i="8" s="1"/>
  <c r="AB416" i="8" a="1"/>
  <c r="AB416" i="8" s="1"/>
  <c r="AC416" i="8" a="1"/>
  <c r="AC416" i="8" s="1"/>
  <c r="AC471" i="8" a="1"/>
  <c r="AC471" i="8" s="1"/>
  <c r="AB471" i="8" a="1"/>
  <c r="AB471" i="8" s="1"/>
  <c r="AB466" i="8" a="1"/>
  <c r="AB466" i="8" s="1"/>
  <c r="AC466" i="8" a="1"/>
  <c r="AC466" i="8" s="1"/>
  <c r="AB359" i="8" a="1"/>
  <c r="AB359" i="8" s="1"/>
  <c r="AC359" i="8" a="1"/>
  <c r="AC359" i="8" s="1"/>
  <c r="AB469" i="8" a="1"/>
  <c r="AB469" i="8" s="1"/>
  <c r="AC469" i="8" a="1"/>
  <c r="AC469" i="8" s="1"/>
  <c r="AB397" i="8" a="1"/>
  <c r="AB397" i="8" s="1"/>
  <c r="AC397" i="8" a="1"/>
  <c r="AC397" i="8" s="1"/>
  <c r="AC489" i="8" a="1"/>
  <c r="AC489" i="8" s="1"/>
  <c r="AB489" i="8" a="1"/>
  <c r="AB489" i="8" s="1"/>
  <c r="AB438" i="8" a="1"/>
  <c r="AB438" i="8" s="1"/>
  <c r="AC438" i="8" a="1"/>
  <c r="AC438" i="8" s="1"/>
  <c r="AB441" i="8" a="1"/>
  <c r="AB441" i="8" s="1"/>
  <c r="AC441" i="8" a="1"/>
  <c r="AC441" i="8" s="1"/>
  <c r="AC423" i="8" a="1"/>
  <c r="AC423" i="8" s="1"/>
  <c r="AB423" i="8" a="1"/>
  <c r="AB423" i="8" s="1"/>
  <c r="AC408" i="8" a="1"/>
  <c r="AC408" i="8" s="1"/>
  <c r="AB408" i="8" a="1"/>
  <c r="AB408" i="8" s="1"/>
  <c r="AB421" i="8" a="1"/>
  <c r="AB421" i="8" s="1"/>
  <c r="AC421" i="8" a="1"/>
  <c r="AC421" i="8" s="1"/>
  <c r="AB499" i="8" a="1"/>
  <c r="AB499" i="8" s="1"/>
  <c r="AC499" i="8" a="1"/>
  <c r="AC499" i="8" s="1"/>
  <c r="AB496" i="8" a="1"/>
  <c r="AB496" i="8" s="1"/>
  <c r="AC496" i="8" a="1"/>
  <c r="AC496" i="8" s="1"/>
  <c r="AC368" i="8" a="1"/>
  <c r="AC368" i="8" s="1"/>
  <c r="AB368" i="8" a="1"/>
  <c r="AB368" i="8" s="1"/>
  <c r="AB352" i="8" a="1"/>
  <c r="AB352" i="8" s="1"/>
  <c r="AC352" i="8" a="1"/>
  <c r="AC352" i="8" s="1"/>
  <c r="AB399" i="8" a="1"/>
  <c r="AB399" i="8" s="1"/>
  <c r="AC399" i="8" a="1"/>
  <c r="AC399" i="8" s="1"/>
  <c r="AB350" i="8" a="1"/>
  <c r="AB350" i="8" s="1"/>
  <c r="AC350" i="8" a="1"/>
  <c r="AC350" i="8" s="1"/>
  <c r="AB346" i="8" a="1"/>
  <c r="AB346" i="8" s="1"/>
  <c r="AC346" i="8" a="1"/>
  <c r="AC346" i="8" s="1"/>
  <c r="AB364" i="8" a="1"/>
  <c r="AB364" i="8" s="1"/>
  <c r="AC364" i="8" a="1"/>
  <c r="AC364" i="8" s="1"/>
  <c r="AC377" i="8" a="1"/>
  <c r="AC377" i="8" s="1"/>
  <c r="AB377" i="8" a="1"/>
  <c r="AB377" i="8" s="1"/>
  <c r="AC407" i="8" a="1"/>
  <c r="AC407" i="8" s="1"/>
  <c r="AB407" i="8" a="1"/>
  <c r="AB407" i="8" s="1"/>
  <c r="AC453" i="8" a="1"/>
  <c r="AC453" i="8" s="1"/>
  <c r="AB453" i="8" a="1"/>
  <c r="AB453" i="8" s="1"/>
  <c r="AB460" i="8" a="1"/>
  <c r="AB460" i="8" s="1"/>
  <c r="AC460" i="8" a="1"/>
  <c r="AC460" i="8" s="1"/>
  <c r="AB498" i="8" a="1"/>
  <c r="AB498" i="8" s="1"/>
  <c r="AC498" i="8" a="1"/>
  <c r="AC498" i="8" s="1"/>
  <c r="AB351" i="8" a="1"/>
  <c r="AB351" i="8" s="1"/>
  <c r="AC351" i="8" a="1"/>
  <c r="AC351" i="8" s="1"/>
  <c r="AB373" i="8" a="1"/>
  <c r="AB373" i="8" s="1"/>
  <c r="AC373" i="8" a="1"/>
  <c r="AC373" i="8" s="1"/>
  <c r="AB478" i="8" a="1"/>
  <c r="AB478" i="8" s="1"/>
  <c r="AC478" i="8" a="1"/>
  <c r="AC478" i="8" s="1"/>
  <c r="AC475" i="8" a="1"/>
  <c r="AC475" i="8" s="1"/>
  <c r="AB475" i="8" a="1"/>
  <c r="AB475" i="8" s="1"/>
  <c r="AB490" i="8" a="1"/>
  <c r="AB490" i="8" s="1"/>
  <c r="AC490" i="8" a="1"/>
  <c r="AC490" i="8" s="1"/>
  <c r="AB473" i="8" a="1"/>
  <c r="AB473" i="8" s="1"/>
  <c r="AC473" i="8" a="1"/>
  <c r="AC473" i="8" s="1"/>
  <c r="AC476" i="8" a="1"/>
  <c r="AC476" i="8" s="1"/>
  <c r="AB476" i="8" a="1"/>
  <c r="AB476" i="8" s="1"/>
  <c r="AB458" i="8" a="1"/>
  <c r="AB458" i="8" s="1"/>
  <c r="AC458" i="8" a="1"/>
  <c r="AC458" i="8" s="1"/>
  <c r="AB477" i="8" a="1"/>
  <c r="AB477" i="8" s="1"/>
  <c r="AC477" i="8" a="1"/>
  <c r="AC477" i="8" s="1"/>
  <c r="AB379" i="8" a="1"/>
  <c r="AB379" i="8" s="1"/>
  <c r="AC379" i="8" a="1"/>
  <c r="AC379" i="8" s="1"/>
  <c r="AC404" i="8" a="1"/>
  <c r="AC404" i="8" s="1"/>
  <c r="AB404" i="8" a="1"/>
  <c r="AB404" i="8" s="1"/>
  <c r="AB357" i="8" a="1"/>
  <c r="AB357" i="8" s="1"/>
  <c r="AC357" i="8" a="1"/>
  <c r="AC357" i="8" s="1"/>
  <c r="AB371" i="8" a="1"/>
  <c r="AB371" i="8" s="1"/>
  <c r="AC371" i="8" a="1"/>
  <c r="AC371" i="8" s="1"/>
  <c r="AC459" i="8" a="1"/>
  <c r="AC459" i="8" s="1"/>
  <c r="AB459" i="8" a="1"/>
  <c r="AB459" i="8" s="1"/>
  <c r="AB382" i="8" a="1"/>
  <c r="AB382" i="8" s="1"/>
  <c r="AC382" i="8" a="1"/>
  <c r="AC382" i="8" s="1"/>
  <c r="AB366" i="8" a="1"/>
  <c r="AB366" i="8" s="1"/>
  <c r="AC366" i="8" a="1"/>
  <c r="AC366" i="8" s="1"/>
  <c r="AB465" i="8" a="1"/>
  <c r="AB465" i="8" s="1"/>
  <c r="AC465" i="8" a="1"/>
  <c r="AC465" i="8" s="1"/>
  <c r="AB429" i="8" a="1"/>
  <c r="AB429" i="8" s="1"/>
  <c r="AC429" i="8" a="1"/>
  <c r="AC429" i="8" s="1"/>
  <c r="AB431" i="8" a="1"/>
  <c r="AB431" i="8" s="1"/>
  <c r="AC431" i="8" a="1"/>
  <c r="AC431" i="8" s="1"/>
  <c r="AB344" i="8" a="1"/>
  <c r="AB344" i="8" s="1"/>
  <c r="AC344" i="8" a="1"/>
  <c r="AC344" i="8" s="1"/>
  <c r="AB440" i="8" a="1"/>
  <c r="AB440" i="8" s="1"/>
  <c r="AC440" i="8" a="1"/>
  <c r="AC440" i="8" s="1"/>
  <c r="AB394" i="8" a="1"/>
  <c r="AB394" i="8" s="1"/>
  <c r="AC394" i="8" a="1"/>
  <c r="AC394" i="8" s="1"/>
  <c r="AB412" i="8" a="1"/>
  <c r="AB412" i="8" s="1"/>
  <c r="AC412" i="8" a="1"/>
  <c r="AC412" i="8" s="1"/>
  <c r="AC419" i="8" a="1"/>
  <c r="AC419" i="8" s="1"/>
  <c r="AB419" i="8" a="1"/>
  <c r="AB419" i="8" s="1"/>
  <c r="AB374" i="8" a="1"/>
  <c r="AB374" i="8" s="1"/>
  <c r="AC374" i="8" a="1"/>
  <c r="AC374" i="8" s="1"/>
  <c r="AB481" i="8" a="1"/>
  <c r="AB481" i="8" s="1"/>
  <c r="AC481" i="8" a="1"/>
  <c r="AC481" i="8" s="1"/>
  <c r="AB492" i="8" a="1"/>
  <c r="AB492" i="8" s="1"/>
  <c r="AC492" i="8" a="1"/>
  <c r="AC492" i="8" s="1"/>
  <c r="AB388" i="8" a="1"/>
  <c r="AB388" i="8" s="1"/>
  <c r="AC388" i="8" a="1"/>
  <c r="AC388" i="8" s="1"/>
  <c r="AB413" i="8" a="1"/>
  <c r="AB413" i="8" s="1"/>
  <c r="AC413" i="8" a="1"/>
  <c r="AC413" i="8" s="1"/>
  <c r="AC430" i="8" a="1"/>
  <c r="AC430" i="8" s="1"/>
  <c r="AB430" i="8" a="1"/>
  <c r="AB430" i="8" s="1"/>
  <c r="AB454" i="8" a="1"/>
  <c r="AB454" i="8" s="1"/>
  <c r="AC454" i="8" a="1"/>
  <c r="AC454" i="8" s="1"/>
  <c r="AB464" i="8" a="1"/>
  <c r="AB464" i="8" s="1"/>
  <c r="AC464" i="8" a="1"/>
  <c r="AC464" i="8" s="1"/>
  <c r="AB365" i="8" a="1"/>
  <c r="AB365" i="8" s="1"/>
  <c r="AC365" i="8" a="1"/>
  <c r="AC365" i="8" s="1"/>
  <c r="AB486" i="8" a="1"/>
  <c r="AB486" i="8" s="1"/>
  <c r="AC486" i="8" a="1"/>
  <c r="AC486" i="8" s="1"/>
  <c r="AB468" i="8" a="1"/>
  <c r="AB468" i="8" s="1"/>
  <c r="AC468" i="8" a="1"/>
  <c r="AC468" i="8" s="1"/>
  <c r="AB461" i="8" a="1"/>
  <c r="AB461" i="8" s="1"/>
  <c r="AC461" i="8" a="1"/>
  <c r="AC461" i="8" s="1"/>
  <c r="AB348" i="8" a="1"/>
  <c r="AB348" i="8" s="1"/>
  <c r="AC348" i="8" a="1"/>
  <c r="AC348" i="8" s="1"/>
  <c r="AB361" i="8" a="1"/>
  <c r="AB361" i="8" s="1"/>
  <c r="AC361" i="8" a="1"/>
  <c r="AC361" i="8" s="1"/>
  <c r="AC420" i="8" a="1"/>
  <c r="AC420" i="8" s="1"/>
  <c r="AB420" i="8" a="1"/>
  <c r="AB420" i="8" s="1"/>
  <c r="AB446" i="8" a="1"/>
  <c r="AB446" i="8" s="1"/>
  <c r="AC446" i="8" a="1"/>
  <c r="AC446" i="8" s="1"/>
  <c r="AC491" i="8" a="1"/>
  <c r="AC491" i="8" s="1"/>
  <c r="AB491" i="8" a="1"/>
  <c r="AB491" i="8" s="1"/>
  <c r="AB449" i="8" a="1"/>
  <c r="AB449" i="8" s="1"/>
  <c r="AC449" i="8" a="1"/>
  <c r="AC449" i="8" s="1"/>
  <c r="AB432" i="8" a="1"/>
  <c r="AB432" i="8" s="1"/>
  <c r="AC432" i="8" a="1"/>
  <c r="AC432" i="8" s="1"/>
  <c r="AB418" i="8" a="1"/>
  <c r="AB418" i="8" s="1"/>
  <c r="AC418" i="8" a="1"/>
  <c r="AC418" i="8" s="1"/>
  <c r="AB472" i="8" a="1"/>
  <c r="AB472" i="8" s="1"/>
  <c r="AC472" i="8" a="1"/>
  <c r="AC472" i="8" s="1"/>
  <c r="AC347" i="8" a="1"/>
  <c r="AC347" i="8" s="1"/>
  <c r="AB347" i="8" a="1"/>
  <c r="AB347" i="8" s="1"/>
  <c r="AB422" i="8" a="1"/>
  <c r="AB422" i="8" s="1"/>
  <c r="AC422" i="8" a="1"/>
  <c r="AC422" i="8" s="1"/>
  <c r="AB467" i="8" a="1"/>
  <c r="AB467" i="8" s="1"/>
  <c r="AC467" i="8" a="1"/>
  <c r="AC467" i="8" s="1"/>
  <c r="AC462" i="8" a="1"/>
  <c r="AC462" i="8" s="1"/>
  <c r="AB462" i="8" a="1"/>
  <c r="AB462" i="8" s="1"/>
  <c r="AC479" i="8" a="1"/>
  <c r="AC479" i="8" s="1"/>
  <c r="AB479" i="8" a="1"/>
  <c r="AB479" i="8" s="1"/>
  <c r="AB370" i="8" a="1"/>
  <c r="AB370" i="8" s="1"/>
  <c r="AC370" i="8" a="1"/>
  <c r="AC370" i="8" s="1"/>
  <c r="AC448" i="8" a="1"/>
  <c r="AC448" i="8" s="1"/>
  <c r="AB448" i="8" a="1"/>
  <c r="AB448" i="8" s="1"/>
  <c r="AB375" i="8" a="1"/>
  <c r="AB375" i="8" s="1"/>
  <c r="AC375" i="8" a="1"/>
  <c r="AC375" i="8" s="1"/>
  <c r="AB426" i="8" a="1"/>
  <c r="AB426" i="8" s="1"/>
  <c r="AC426" i="8" a="1"/>
  <c r="AC426" i="8" s="1"/>
  <c r="AB355" i="8" a="1"/>
  <c r="AB355" i="8" s="1"/>
  <c r="AC355" i="8" a="1"/>
  <c r="AC355" i="8" s="1"/>
  <c r="AB500" i="8" a="1"/>
  <c r="AB500" i="8" s="1"/>
  <c r="AC500" i="8" a="1"/>
  <c r="AC500" i="8" s="1"/>
  <c r="AC427" i="8" a="1"/>
  <c r="AC427" i="8" s="1"/>
  <c r="AB427" i="8" a="1"/>
  <c r="AB427" i="8" s="1"/>
  <c r="AB414" i="8" a="1"/>
  <c r="AB414" i="8" s="1"/>
  <c r="AC414" i="8" a="1"/>
  <c r="AC414" i="8" s="1"/>
  <c r="AC387" i="8" a="1"/>
  <c r="AC387" i="8" s="1"/>
  <c r="AB387" i="8" a="1"/>
  <c r="AB387" i="8" s="1"/>
  <c r="AB474" i="8" a="1"/>
  <c r="AB474" i="8" s="1"/>
  <c r="AC474" i="8" a="1"/>
  <c r="AC474" i="8" s="1"/>
  <c r="AC410" i="8" a="1"/>
  <c r="AC410" i="8" s="1"/>
  <c r="AB410" i="8" a="1"/>
  <c r="AB410" i="8" s="1"/>
  <c r="AC391" i="8" a="1"/>
  <c r="AC391" i="8" s="1"/>
  <c r="AB391" i="8" a="1"/>
  <c r="AB391" i="8" s="1"/>
  <c r="AB358" i="8" a="1"/>
  <c r="AB358" i="8" s="1"/>
  <c r="AC358" i="8" a="1"/>
  <c r="AC358" i="8" s="1"/>
  <c r="AB470" i="8" a="1"/>
  <c r="AB470" i="8" s="1"/>
  <c r="AC470" i="8" a="1"/>
  <c r="AC470" i="8" s="1"/>
  <c r="AB356" i="8" a="1"/>
  <c r="AB356" i="8" s="1"/>
  <c r="AC356" i="8" a="1"/>
  <c r="AC356" i="8" s="1"/>
  <c r="AB406" i="8" a="1"/>
  <c r="AB406" i="8" s="1"/>
  <c r="AC406" i="8" a="1"/>
  <c r="AC406" i="8" s="1"/>
  <c r="AB372" i="8" a="1"/>
  <c r="AB372" i="8" s="1"/>
  <c r="AC372" i="8" a="1"/>
  <c r="AC372" i="8" s="1"/>
  <c r="AB385" i="8" a="1"/>
  <c r="AB385" i="8" s="1"/>
  <c r="AC385" i="8" a="1"/>
  <c r="AC385" i="8" s="1"/>
  <c r="AB463" i="8" a="1"/>
  <c r="AB463" i="8" s="1"/>
  <c r="AC463" i="8" a="1"/>
  <c r="AC463" i="8" s="1"/>
  <c r="AB354" i="8" a="1"/>
  <c r="AB354" i="8" s="1"/>
  <c r="AC354" i="8" a="1"/>
  <c r="AC354" i="8" s="1"/>
  <c r="AB380" i="8" a="1"/>
  <c r="AB380" i="8" s="1"/>
  <c r="AC380" i="8" a="1"/>
  <c r="AC380" i="8" s="1"/>
  <c r="AC439" i="8" a="1"/>
  <c r="AC439" i="8" s="1"/>
  <c r="AB439" i="8" a="1"/>
  <c r="AB439" i="8" s="1"/>
  <c r="AC415" i="8" a="1"/>
  <c r="AC415" i="8" s="1"/>
  <c r="AB415" i="8" a="1"/>
  <c r="AB415" i="8" s="1"/>
  <c r="AB494" i="8" a="1"/>
  <c r="AB494" i="8" s="1"/>
  <c r="AC494" i="8" a="1"/>
  <c r="AC494" i="8" s="1"/>
  <c r="AC343" i="8" a="1"/>
  <c r="AC343" i="8" s="1"/>
  <c r="AB343" i="8" a="1"/>
  <c r="AB343" i="8" s="1"/>
  <c r="AC457" i="8" a="1"/>
  <c r="AC457" i="8" s="1"/>
  <c r="AB457" i="8" a="1"/>
  <c r="AB457" i="8" s="1"/>
  <c r="AB393" i="8" a="1"/>
  <c r="AB393" i="8" s="1"/>
  <c r="AC393" i="8" a="1"/>
  <c r="AC393" i="8" s="1"/>
  <c r="AC488" i="8" a="1"/>
  <c r="AC488" i="8" s="1"/>
  <c r="AB488" i="8" a="1"/>
  <c r="AB488" i="8" s="1"/>
  <c r="AB362" i="8" a="1"/>
  <c r="AB362" i="8" s="1"/>
  <c r="AC362" i="8" a="1"/>
  <c r="AC362" i="8" s="1"/>
  <c r="AB376" i="8" a="1"/>
  <c r="AB376" i="8" s="1"/>
  <c r="AC376" i="8" a="1"/>
  <c r="AC376" i="8" s="1"/>
  <c r="AB405" i="8" a="1"/>
  <c r="AB405" i="8" s="1"/>
  <c r="AC405" i="8" a="1"/>
  <c r="AC405" i="8" s="1"/>
  <c r="AB417" i="8" a="1"/>
  <c r="AB417" i="8" s="1"/>
  <c r="AC417" i="8" a="1"/>
  <c r="AC417" i="8" s="1"/>
  <c r="AC480" i="8" a="1"/>
  <c r="AC480" i="8" s="1"/>
  <c r="AB480" i="8" a="1"/>
  <c r="AB480" i="8" s="1"/>
  <c r="AB401" i="8" a="1"/>
  <c r="AB401" i="8" s="1"/>
  <c r="AC401" i="8" a="1"/>
  <c r="AC401" i="8" s="1"/>
  <c r="AC383" i="8" a="1"/>
  <c r="AC383" i="8" s="1"/>
  <c r="AB383" i="8" a="1"/>
  <c r="AB383" i="8" s="1"/>
  <c r="AC485" i="8" a="1"/>
  <c r="AC485" i="8" s="1"/>
  <c r="AB485" i="8" a="1"/>
  <c r="AB485" i="8" s="1"/>
  <c r="AC444" i="8" a="1"/>
  <c r="AC444" i="8" s="1"/>
  <c r="AB444" i="8" a="1"/>
  <c r="AB444" i="8" s="1"/>
  <c r="AC443" i="8" a="1"/>
  <c r="AC443" i="8" s="1"/>
  <c r="AB443" i="8" a="1"/>
  <c r="AB443" i="8" s="1"/>
  <c r="AC483" i="8" a="1"/>
  <c r="AC483" i="8" s="1"/>
  <c r="AB483" i="8" a="1"/>
  <c r="AB483" i="8" s="1"/>
  <c r="AC395" i="8" a="1"/>
  <c r="AC395" i="8" s="1"/>
  <c r="AB395" i="8" a="1"/>
  <c r="AB395" i="8" s="1"/>
  <c r="AB442" i="8" a="1"/>
  <c r="AB442" i="8" s="1"/>
  <c r="AC442" i="8" a="1"/>
  <c r="AC442" i="8" s="1"/>
  <c r="AC424" i="8" a="1"/>
  <c r="AC424" i="8" s="1"/>
  <c r="AB424" i="8" a="1"/>
  <c r="AB424" i="8" s="1"/>
  <c r="AB445" i="8" a="1"/>
  <c r="AB445" i="8" s="1"/>
  <c r="AC445" i="8" a="1"/>
  <c r="AC445" i="8" s="1"/>
  <c r="AB390" i="8" a="1"/>
  <c r="AB390" i="8" s="1"/>
  <c r="AC390" i="8" a="1"/>
  <c r="AC390" i="8" s="1"/>
  <c r="AB353" i="8" a="1"/>
  <c r="AB353" i="8" s="1"/>
  <c r="AC353" i="8" a="1"/>
  <c r="AC353" i="8" s="1"/>
  <c r="AB369" i="8" a="1"/>
  <c r="AB369" i="8" s="1"/>
  <c r="AC369" i="8" a="1"/>
  <c r="AC369" i="8" s="1"/>
  <c r="AB437" i="8" a="1"/>
  <c r="AB437" i="8" s="1"/>
  <c r="AC437" i="8" a="1"/>
  <c r="AC437" i="8" s="1"/>
  <c r="AB340" i="8" a="1"/>
  <c r="AB340" i="8" s="1"/>
  <c r="AC340" i="8" a="1"/>
  <c r="AC340" i="8" s="1"/>
  <c r="AC396" i="8" a="1"/>
  <c r="AC396" i="8" s="1"/>
  <c r="AB396" i="8" a="1"/>
  <c r="AB396" i="8" s="1"/>
  <c r="AC316" i="8" a="1"/>
  <c r="AC316" i="8" s="1"/>
  <c r="AB316" i="8" a="1"/>
  <c r="AB316" i="8" s="1"/>
  <c r="AC322" i="8" a="1"/>
  <c r="AC322" i="8" s="1"/>
  <c r="AB322" i="8" a="1"/>
  <c r="AB322" i="8" s="1"/>
  <c r="AC334" i="8" a="1"/>
  <c r="AC334" i="8" s="1"/>
  <c r="AB334" i="8" a="1"/>
  <c r="AB334" i="8" s="1"/>
  <c r="AB323" i="8" a="1"/>
  <c r="AB323" i="8" s="1"/>
  <c r="AC323" i="8" a="1"/>
  <c r="AC323" i="8" s="1"/>
  <c r="AB311" i="8" a="1"/>
  <c r="AB311" i="8" s="1"/>
  <c r="AC311" i="8" a="1"/>
  <c r="AC311" i="8" s="1"/>
  <c r="AC317" i="8" a="1"/>
  <c r="AC317" i="8" s="1"/>
  <c r="AB317" i="8" a="1"/>
  <c r="AB317" i="8" s="1"/>
  <c r="AB335" i="8" a="1"/>
  <c r="AB335" i="8" s="1"/>
  <c r="AC335" i="8" a="1"/>
  <c r="AC335" i="8" s="1"/>
  <c r="AC318" i="8" a="1"/>
  <c r="AC318" i="8" s="1"/>
  <c r="AB318" i="8" a="1"/>
  <c r="AB318" i="8" s="1"/>
  <c r="AC326" i="8" a="1"/>
  <c r="AC326" i="8" s="1"/>
  <c r="AB326" i="8" a="1"/>
  <c r="AB326" i="8" s="1"/>
  <c r="AC324" i="8" a="1"/>
  <c r="AC324" i="8" s="1"/>
  <c r="AB324" i="8" a="1"/>
  <c r="AB324" i="8" s="1"/>
  <c r="AC314" i="8" a="1"/>
  <c r="AC314" i="8" s="1"/>
  <c r="AB314" i="8" a="1"/>
  <c r="AB314" i="8" s="1"/>
  <c r="AC312" i="8" a="1"/>
  <c r="AC312" i="8" s="1"/>
  <c r="AB312" i="8" a="1"/>
  <c r="AB312" i="8" s="1"/>
  <c r="AB315" i="8" a="1"/>
  <c r="AB315" i="8" s="1"/>
  <c r="AC315" i="8" a="1"/>
  <c r="AC315" i="8" s="1"/>
  <c r="AB327" i="8" a="1"/>
  <c r="AB327" i="8" s="1"/>
  <c r="AC327" i="8" a="1"/>
  <c r="AC327" i="8" s="1"/>
  <c r="AC321" i="8" a="1"/>
  <c r="AC321" i="8" s="1"/>
  <c r="AB321" i="8" a="1"/>
  <c r="AB321" i="8" s="1"/>
  <c r="AC338" i="8" a="1"/>
  <c r="AC338" i="8" s="1"/>
  <c r="AB338" i="8" a="1"/>
  <c r="AB338" i="8" s="1"/>
  <c r="AC310" i="8" a="1"/>
  <c r="AC310" i="8" s="1"/>
  <c r="AB310" i="8" a="1"/>
  <c r="AB310" i="8" s="1"/>
  <c r="AC336" i="8" a="1"/>
  <c r="AC336" i="8" s="1"/>
  <c r="AB336" i="8" a="1"/>
  <c r="AB336" i="8" s="1"/>
  <c r="AC325" i="8" a="1"/>
  <c r="AC325" i="8" s="1"/>
  <c r="AB325" i="8" a="1"/>
  <c r="AB325" i="8" s="1"/>
  <c r="AC337" i="8" a="1"/>
  <c r="AC337" i="8" s="1"/>
  <c r="AB337" i="8" a="1"/>
  <c r="AB337" i="8" s="1"/>
  <c r="AC309" i="8" a="1"/>
  <c r="AC309" i="8" s="1"/>
  <c r="AB309" i="8" a="1"/>
  <c r="AB309" i="8" s="1"/>
  <c r="AB319" i="8" a="1"/>
  <c r="AB319" i="8" s="1"/>
  <c r="AC319" i="8" a="1"/>
  <c r="AC319" i="8" s="1"/>
  <c r="AC329" i="8" a="1"/>
  <c r="AC329" i="8" s="1"/>
  <c r="AB329" i="8" a="1"/>
  <c r="AB329" i="8" s="1"/>
  <c r="AC332" i="8" a="1"/>
  <c r="AC332" i="8" s="1"/>
  <c r="AB332" i="8" a="1"/>
  <c r="AB332" i="8" s="1"/>
  <c r="AC328" i="8" a="1"/>
  <c r="AC328" i="8" s="1"/>
  <c r="AB328" i="8" a="1"/>
  <c r="AB328" i="8" s="1"/>
  <c r="AC320" i="8" a="1"/>
  <c r="AC320" i="8" s="1"/>
  <c r="AB320" i="8" a="1"/>
  <c r="AB320" i="8" s="1"/>
  <c r="AC308" i="8" a="1"/>
  <c r="AC308" i="8" s="1"/>
  <c r="AB308" i="8" a="1"/>
  <c r="AB308" i="8" s="1"/>
  <c r="AC330" i="8" a="1"/>
  <c r="AC330" i="8" s="1"/>
  <c r="AB330" i="8" a="1"/>
  <c r="AB330" i="8" s="1"/>
  <c r="AC333" i="8" a="1"/>
  <c r="AC333" i="8" s="1"/>
  <c r="AB333" i="8" a="1"/>
  <c r="AB333" i="8" s="1"/>
  <c r="AB331" i="8" a="1"/>
  <c r="AB331" i="8" s="1"/>
  <c r="AC331" i="8" a="1"/>
  <c r="AC331" i="8" s="1"/>
  <c r="AC313" i="8" a="1"/>
  <c r="AC313" i="8" s="1"/>
  <c r="AB313" i="8" a="1"/>
  <c r="AB313" i="8" s="1"/>
  <c r="AB252" i="8" a="1"/>
  <c r="AB252" i="8" s="1"/>
  <c r="AC252" i="8" a="1"/>
  <c r="AC252" i="8" s="1"/>
  <c r="AC281" i="8" a="1"/>
  <c r="AC281" i="8" s="1"/>
  <c r="AB281" i="8" a="1"/>
  <c r="AB281" i="8" s="1"/>
  <c r="AC276" i="8" a="1"/>
  <c r="AC276" i="8" s="1"/>
  <c r="AB276" i="8" a="1"/>
  <c r="AB276" i="8" s="1"/>
  <c r="AB271" i="8" a="1"/>
  <c r="AB271" i="8" s="1"/>
  <c r="AC271" i="8" a="1"/>
  <c r="AC271" i="8" s="1"/>
  <c r="AB284" i="8" a="1"/>
  <c r="AB284" i="8" s="1"/>
  <c r="AC284" i="8" a="1"/>
  <c r="AC284" i="8" s="1"/>
  <c r="AB265" i="8" a="1"/>
  <c r="AB265" i="8" s="1"/>
  <c r="AC265" i="8" a="1"/>
  <c r="AC265" i="8" s="1"/>
  <c r="AC236" i="8" a="1"/>
  <c r="AC236" i="8" s="1"/>
  <c r="AB236" i="8" a="1"/>
  <c r="AB236" i="8" s="1"/>
  <c r="AB305" i="8" a="1"/>
  <c r="AB305" i="8" s="1"/>
  <c r="AC305" i="8" a="1"/>
  <c r="AC305" i="8" s="1"/>
  <c r="AB257" i="8" a="1"/>
  <c r="AB257" i="8" s="1"/>
  <c r="AC257" i="8" a="1"/>
  <c r="AC257" i="8" s="1"/>
  <c r="AB280" i="8" a="1"/>
  <c r="AB280" i="8" s="1"/>
  <c r="AC280" i="8" a="1"/>
  <c r="AC280" i="8" s="1"/>
  <c r="AC234" i="8" a="1"/>
  <c r="AC234" i="8" s="1"/>
  <c r="AB234" i="8" a="1"/>
  <c r="AB234" i="8" s="1"/>
  <c r="AB264" i="8" a="1"/>
  <c r="AB264" i="8" s="1"/>
  <c r="AC264" i="8" a="1"/>
  <c r="AC264" i="8" s="1"/>
  <c r="AB273" i="8" a="1"/>
  <c r="AB273" i="8" s="1"/>
  <c r="AC273" i="8" a="1"/>
  <c r="AC273" i="8" s="1"/>
  <c r="AC243" i="8" a="1"/>
  <c r="AC243" i="8" s="1"/>
  <c r="AB243" i="8" a="1"/>
  <c r="AB243" i="8" s="1"/>
  <c r="AB294" i="8" a="1"/>
  <c r="AB294" i="8" s="1"/>
  <c r="AC294" i="8" a="1"/>
  <c r="AC294" i="8" s="1"/>
  <c r="AC282" i="8" a="1"/>
  <c r="AC282" i="8" s="1"/>
  <c r="AB282" i="8" a="1"/>
  <c r="AB282" i="8" s="1"/>
  <c r="AB262" i="8" a="1"/>
  <c r="AB262" i="8" s="1"/>
  <c r="AC262" i="8" a="1"/>
  <c r="AC262" i="8" s="1"/>
  <c r="AB247" i="8" a="1"/>
  <c r="AB247" i="8" s="1"/>
  <c r="AC247" i="8" a="1"/>
  <c r="AC247" i="8" s="1"/>
  <c r="AB245" i="8" a="1"/>
  <c r="AB245" i="8" s="1"/>
  <c r="AC245" i="8" a="1"/>
  <c r="AC245" i="8" s="1"/>
  <c r="AB303" i="8" a="1"/>
  <c r="AB303" i="8" s="1"/>
  <c r="AC303" i="8" a="1"/>
  <c r="AC303" i="8" s="1"/>
  <c r="AC267" i="8" a="1"/>
  <c r="AC267" i="8" s="1"/>
  <c r="AB267" i="8" a="1"/>
  <c r="AB267" i="8" s="1"/>
  <c r="AC239" i="8" a="1"/>
  <c r="AC239" i="8" s="1"/>
  <c r="AB239" i="8" a="1"/>
  <c r="AB239" i="8" s="1"/>
  <c r="AB287" i="8" a="1"/>
  <c r="AB287" i="8" s="1"/>
  <c r="AC287" i="8" a="1"/>
  <c r="AC287" i="8" s="1"/>
  <c r="AC244" i="8" a="1"/>
  <c r="AC244" i="8" s="1"/>
  <c r="AB244" i="8" a="1"/>
  <c r="AB244" i="8" s="1"/>
  <c r="AC266" i="8" a="1"/>
  <c r="AC266" i="8" s="1"/>
  <c r="AB266" i="8" a="1"/>
  <c r="AB266" i="8" s="1"/>
  <c r="AC293" i="8" a="1"/>
  <c r="AC293" i="8" s="1"/>
  <c r="AB293" i="8" a="1"/>
  <c r="AB293" i="8" s="1"/>
  <c r="AC298" i="8" a="1"/>
  <c r="AC298" i="8" s="1"/>
  <c r="AB298" i="8" a="1"/>
  <c r="AB298" i="8" s="1"/>
  <c r="AC248" i="8" a="1"/>
  <c r="AC248" i="8" s="1"/>
  <c r="AB248" i="8" a="1"/>
  <c r="AB248" i="8" s="1"/>
  <c r="AB285" i="8" a="1"/>
  <c r="AB285" i="8" s="1"/>
  <c r="AC285" i="8" a="1"/>
  <c r="AC285" i="8" s="1"/>
  <c r="AB231" i="8" a="1"/>
  <c r="AB231" i="8" s="1"/>
  <c r="AC231" i="8" a="1"/>
  <c r="AC231" i="8" s="1"/>
  <c r="AB304" i="8" a="1"/>
  <c r="AB304" i="8" s="1"/>
  <c r="AC304" i="8" a="1"/>
  <c r="AC304" i="8" s="1"/>
  <c r="AC250" i="8" a="1"/>
  <c r="AC250" i="8" s="1"/>
  <c r="AB250" i="8" a="1"/>
  <c r="AB250" i="8" s="1"/>
  <c r="AB279" i="8" a="1"/>
  <c r="AB279" i="8" s="1"/>
  <c r="AC279" i="8" a="1"/>
  <c r="AC279" i="8" s="1"/>
  <c r="AC241" i="8" a="1"/>
  <c r="AC241" i="8" s="1"/>
  <c r="AB241" i="8" a="1"/>
  <c r="AB241" i="8" s="1"/>
  <c r="AC277" i="8" a="1"/>
  <c r="AC277" i="8" s="1"/>
  <c r="AB277" i="8" a="1"/>
  <c r="AB277" i="8" s="1"/>
  <c r="AC295" i="8" a="1"/>
  <c r="AC295" i="8" s="1"/>
  <c r="AB295" i="8" a="1"/>
  <c r="AB295" i="8" s="1"/>
  <c r="AC291" i="8" a="1"/>
  <c r="AC291" i="8" s="1"/>
  <c r="AB291" i="8" a="1"/>
  <c r="AB291" i="8" s="1"/>
  <c r="AB296" i="8" a="1"/>
  <c r="AB296" i="8" s="1"/>
  <c r="AC296" i="8" a="1"/>
  <c r="AC296" i="8" s="1"/>
  <c r="AC299" i="8" a="1"/>
  <c r="AC299" i="8" s="1"/>
  <c r="AB299" i="8" a="1"/>
  <c r="AB299" i="8" s="1"/>
  <c r="AB254" i="8" a="1"/>
  <c r="AB254" i="8" s="1"/>
  <c r="AC254" i="8" a="1"/>
  <c r="AC254" i="8" s="1"/>
  <c r="AB263" i="8" a="1"/>
  <c r="AB263" i="8" s="1"/>
  <c r="AC263" i="8" a="1"/>
  <c r="AC263" i="8" s="1"/>
  <c r="AC292" i="8" a="1"/>
  <c r="AC292" i="8" s="1"/>
  <c r="AB292" i="8" a="1"/>
  <c r="AB292" i="8" s="1"/>
  <c r="AC300" i="8" a="1"/>
  <c r="AC300" i="8" s="1"/>
  <c r="AB300" i="8" a="1"/>
  <c r="AB300" i="8" s="1"/>
  <c r="AC251" i="8" a="1"/>
  <c r="AC251" i="8" s="1"/>
  <c r="AB251" i="8" a="1"/>
  <c r="AB251" i="8" s="1"/>
  <c r="AC235" i="8" a="1"/>
  <c r="AC235" i="8" s="1"/>
  <c r="AB235" i="8" a="1"/>
  <c r="AB235" i="8" s="1"/>
  <c r="AC283" i="8" a="1"/>
  <c r="AC283" i="8" s="1"/>
  <c r="AB283" i="8" a="1"/>
  <c r="AB283" i="8" s="1"/>
  <c r="AC274" i="8" a="1"/>
  <c r="AC274" i="8" s="1"/>
  <c r="AB274" i="8" a="1"/>
  <c r="AB274" i="8" s="1"/>
  <c r="AC259" i="8" a="1"/>
  <c r="AC259" i="8" s="1"/>
  <c r="AB259" i="8" a="1"/>
  <c r="AB259" i="8" s="1"/>
  <c r="AB240" i="8" a="1"/>
  <c r="AB240" i="8" s="1"/>
  <c r="AC240" i="8" a="1"/>
  <c r="AC240" i="8" s="1"/>
  <c r="AB249" i="8" a="1"/>
  <c r="AB249" i="8" s="1"/>
  <c r="AC249" i="8" a="1"/>
  <c r="AC249" i="8" s="1"/>
  <c r="AB288" i="8" a="1"/>
  <c r="AB288" i="8" s="1"/>
  <c r="AC288" i="8" a="1"/>
  <c r="AC288" i="8" s="1"/>
  <c r="AB233" i="8" a="1"/>
  <c r="AB233" i="8" s="1"/>
  <c r="AC233" i="8" a="1"/>
  <c r="AC233" i="8" s="1"/>
  <c r="AC246" i="8" a="1"/>
  <c r="AC246" i="8" s="1"/>
  <c r="AB246" i="8" a="1"/>
  <c r="AB246" i="8" s="1"/>
  <c r="AB275" i="8" a="1"/>
  <c r="AB275" i="8" s="1"/>
  <c r="AC275" i="8" a="1"/>
  <c r="AC275" i="8" s="1"/>
  <c r="AB256" i="8" a="1"/>
  <c r="AB256" i="8" s="1"/>
  <c r="AC256" i="8" a="1"/>
  <c r="AC256" i="8" s="1"/>
  <c r="AB253" i="8" a="1"/>
  <c r="AB253" i="8" s="1"/>
  <c r="AC253" i="8" a="1"/>
  <c r="AC253" i="8" s="1"/>
  <c r="AB238" i="8" a="1"/>
  <c r="AB238" i="8" s="1"/>
  <c r="AC238" i="8" a="1"/>
  <c r="AC238" i="8" s="1"/>
  <c r="AB268" i="8" a="1"/>
  <c r="AB268" i="8" s="1"/>
  <c r="AC268" i="8" a="1"/>
  <c r="AC268" i="8" s="1"/>
  <c r="AC260" i="8" a="1"/>
  <c r="AC260" i="8" s="1"/>
  <c r="AB260" i="8" a="1"/>
  <c r="AB260" i="8" s="1"/>
  <c r="AC290" i="8" a="1"/>
  <c r="AC290" i="8" s="1"/>
  <c r="AB290" i="8" a="1"/>
  <c r="AB290" i="8" s="1"/>
  <c r="AB242" i="8" a="1"/>
  <c r="AB242" i="8" s="1"/>
  <c r="AC242" i="8" a="1"/>
  <c r="AC242" i="8" s="1"/>
  <c r="AB278" i="8" a="1"/>
  <c r="AB278" i="8" s="1"/>
  <c r="AC278" i="8" a="1"/>
  <c r="AC278" i="8" s="1"/>
  <c r="AB272" i="8" a="1"/>
  <c r="AB272" i="8" s="1"/>
  <c r="AC272" i="8" a="1"/>
  <c r="AC272" i="8" s="1"/>
  <c r="AB270" i="8" a="1"/>
  <c r="AB270" i="8" s="1"/>
  <c r="AC270" i="8" a="1"/>
  <c r="AC270" i="8" s="1"/>
  <c r="AB232" i="8" a="1"/>
  <c r="AB232" i="8" s="1"/>
  <c r="AC232" i="8" a="1"/>
  <c r="AC232" i="8" s="1"/>
  <c r="AB258" i="8" a="1"/>
  <c r="AB258" i="8" s="1"/>
  <c r="AC258" i="8" a="1"/>
  <c r="AC258" i="8" s="1"/>
  <c r="AB237" i="8" a="1"/>
  <c r="AB237" i="8" s="1"/>
  <c r="AC237" i="8" a="1"/>
  <c r="AC237" i="8" s="1"/>
  <c r="AB261" i="8" a="1"/>
  <c r="AB261" i="8" s="1"/>
  <c r="AC261" i="8" a="1"/>
  <c r="AC261" i="8" s="1"/>
  <c r="AB306" i="8" a="1"/>
  <c r="AB306" i="8" s="1"/>
  <c r="AC306" i="8" a="1"/>
  <c r="AC306" i="8" s="1"/>
  <c r="AB286" i="8" a="1"/>
  <c r="AB286" i="8" s="1"/>
  <c r="AC286" i="8" a="1"/>
  <c r="AC286" i="8" s="1"/>
  <c r="AB255" i="8" a="1"/>
  <c r="AB255" i="8" s="1"/>
  <c r="AC255" i="8" a="1"/>
  <c r="AC255" i="8" s="1"/>
  <c r="AB302" i="8" a="1"/>
  <c r="AB302" i="8" s="1"/>
  <c r="AC302" i="8" a="1"/>
  <c r="AC302" i="8" s="1"/>
  <c r="AC301" i="8" a="1"/>
  <c r="AC301" i="8" s="1"/>
  <c r="AB301" i="8" a="1"/>
  <c r="AB301" i="8" s="1"/>
  <c r="AB289" i="8" a="1"/>
  <c r="AB289" i="8" s="1"/>
  <c r="AC289" i="8" a="1"/>
  <c r="AC289" i="8" s="1"/>
  <c r="AB297" i="8" a="1"/>
  <c r="AB297" i="8" s="1"/>
  <c r="AC297" i="8" a="1"/>
  <c r="AC297" i="8" s="1"/>
  <c r="AB269" i="8" a="1"/>
  <c r="AB269" i="8" s="1"/>
  <c r="AC269" i="8" a="1"/>
  <c r="AC269" i="8" s="1"/>
  <c r="AB93" i="8" a="1"/>
  <c r="AB93" i="8" s="1"/>
  <c r="AC93" i="8" a="1"/>
  <c r="AC93" i="8" s="1"/>
  <c r="AC49" i="8" a="1"/>
  <c r="AC49" i="8" s="1"/>
  <c r="AB49" i="8" a="1"/>
  <c r="AB49" i="8" s="1"/>
  <c r="AB193" i="8" a="1"/>
  <c r="AB193" i="8" s="1"/>
  <c r="AC193" i="8" a="1"/>
  <c r="AC193" i="8" s="1"/>
  <c r="AB129" i="8" a="1"/>
  <c r="AB129" i="8" s="1"/>
  <c r="AC129" i="8" a="1"/>
  <c r="AC129" i="8" s="1"/>
  <c r="AB33" i="8" a="1"/>
  <c r="AB33" i="8" s="1"/>
  <c r="AC33" i="8" a="1"/>
  <c r="AC33" i="8" s="1"/>
  <c r="AB220" i="8" a="1"/>
  <c r="AB220" i="8" s="1"/>
  <c r="AC220" i="8" a="1"/>
  <c r="AC220" i="8" s="1"/>
  <c r="AB135" i="8" a="1"/>
  <c r="AB135" i="8" s="1"/>
  <c r="AC135" i="8" a="1"/>
  <c r="AC135" i="8" s="1"/>
  <c r="AC84" i="8" a="1"/>
  <c r="AC84" i="8" s="1"/>
  <c r="AB84" i="8" a="1"/>
  <c r="AB84" i="8" s="1"/>
  <c r="AB31" i="8" a="1"/>
  <c r="AB31" i="8" s="1"/>
  <c r="AC31" i="8" a="1"/>
  <c r="AC31" i="8" s="1"/>
  <c r="AC204" i="8" a="1"/>
  <c r="AC204" i="8" s="1"/>
  <c r="AB204" i="8" a="1"/>
  <c r="AB204" i="8" s="1"/>
  <c r="AB87" i="8" a="1"/>
  <c r="AB87" i="8" s="1"/>
  <c r="AC87" i="8" a="1"/>
  <c r="AC87" i="8" s="1"/>
  <c r="AB111" i="8" a="1"/>
  <c r="AB111" i="8" s="1"/>
  <c r="AC111" i="8" a="1"/>
  <c r="AC111" i="8" s="1"/>
  <c r="AB211" i="8" a="1"/>
  <c r="AB211" i="8" s="1"/>
  <c r="AC211" i="8" a="1"/>
  <c r="AC211" i="8" s="1"/>
  <c r="AC89" i="8" a="1"/>
  <c r="AC89" i="8" s="1"/>
  <c r="AB89" i="8" a="1"/>
  <c r="AB89" i="8" s="1"/>
  <c r="AB147" i="8" a="1"/>
  <c r="AB147" i="8" s="1"/>
  <c r="AC147" i="8" a="1"/>
  <c r="AC147" i="8" s="1"/>
  <c r="AB117" i="8" a="1"/>
  <c r="AB117" i="8" s="1"/>
  <c r="AC117" i="8" a="1"/>
  <c r="AC117" i="8" s="1"/>
  <c r="AC104" i="8" a="1"/>
  <c r="AC104" i="8" s="1"/>
  <c r="AB104" i="8" a="1"/>
  <c r="AB104" i="8" s="1"/>
  <c r="AB66" i="8" a="1"/>
  <c r="AB66" i="8" s="1"/>
  <c r="AC66" i="8" a="1"/>
  <c r="AC66" i="8" s="1"/>
  <c r="AB55" i="8" a="1"/>
  <c r="AB55" i="8" s="1"/>
  <c r="AC55" i="8" a="1"/>
  <c r="AC55" i="8" s="1"/>
  <c r="AC68" i="8" a="1"/>
  <c r="AC68" i="8" s="1"/>
  <c r="AB68" i="8" a="1"/>
  <c r="AB68" i="8" s="1"/>
  <c r="AB106" i="8" a="1"/>
  <c r="AB106" i="8" s="1"/>
  <c r="AC106" i="8" a="1"/>
  <c r="AC106" i="8" s="1"/>
  <c r="AB167" i="8" a="1"/>
  <c r="AB167" i="8" s="1"/>
  <c r="AC167" i="8" a="1"/>
  <c r="AC167" i="8" s="1"/>
  <c r="AB169" i="8" a="1"/>
  <c r="AB169" i="8" s="1"/>
  <c r="AC169" i="8" a="1"/>
  <c r="AC169" i="8" s="1"/>
  <c r="AB97" i="8" a="1"/>
  <c r="AB97" i="8" s="1"/>
  <c r="AC97" i="8" a="1"/>
  <c r="AC97" i="8" s="1"/>
  <c r="AB181" i="8" a="1"/>
  <c r="AB181" i="8" s="1"/>
  <c r="AC181" i="8" a="1"/>
  <c r="AC181" i="8" s="1"/>
  <c r="AC122" i="8" a="1"/>
  <c r="AC122" i="8" s="1"/>
  <c r="AB122" i="8" a="1"/>
  <c r="AB122" i="8" s="1"/>
  <c r="AB222" i="8" a="1"/>
  <c r="AB222" i="8" s="1"/>
  <c r="AC222" i="8" a="1"/>
  <c r="AC222" i="8" s="1"/>
  <c r="AB47" i="8" a="1"/>
  <c r="AB47" i="8" s="1"/>
  <c r="AC47" i="8" a="1"/>
  <c r="AC47" i="8" s="1"/>
  <c r="AB82" i="8" a="1"/>
  <c r="AB82" i="8" s="1"/>
  <c r="AC82" i="8" a="1"/>
  <c r="AC82" i="8" s="1"/>
  <c r="AB171" i="8" a="1"/>
  <c r="AB171" i="8" s="1"/>
  <c r="AC171" i="8" a="1"/>
  <c r="AC171" i="8" s="1"/>
  <c r="AB35" i="8" a="1"/>
  <c r="AB35" i="8" s="1"/>
  <c r="AC35" i="8" a="1"/>
  <c r="AC35" i="8" s="1"/>
  <c r="AB165" i="8" a="1"/>
  <c r="AB165" i="8" s="1"/>
  <c r="AC165" i="8" a="1"/>
  <c r="AC165" i="8" s="1"/>
  <c r="AC148" i="8" a="1"/>
  <c r="AC148" i="8" s="1"/>
  <c r="AB148" i="8" a="1"/>
  <c r="AB148" i="8" s="1"/>
  <c r="AB203" i="8" a="1"/>
  <c r="AB203" i="8" s="1"/>
  <c r="AC203" i="8" a="1"/>
  <c r="AC203" i="8" s="1"/>
  <c r="AB199" i="8" a="1"/>
  <c r="AB199" i="8" s="1"/>
  <c r="AC199" i="8" a="1"/>
  <c r="AC199" i="8" s="1"/>
  <c r="AC57" i="8" a="1"/>
  <c r="AC57" i="8" s="1"/>
  <c r="AB57" i="8" a="1"/>
  <c r="AB57" i="8" s="1"/>
  <c r="AB101" i="8" a="1"/>
  <c r="AB101" i="8" s="1"/>
  <c r="AC101" i="8" a="1"/>
  <c r="AC101" i="8" s="1"/>
  <c r="AB123" i="8" a="1"/>
  <c r="AB123" i="8" s="1"/>
  <c r="AC123" i="8" a="1"/>
  <c r="AC123" i="8" s="1"/>
  <c r="AB131" i="8" a="1"/>
  <c r="AB131" i="8" s="1"/>
  <c r="AC131" i="8" a="1"/>
  <c r="AC131" i="8" s="1"/>
  <c r="AB217" i="8" a="1"/>
  <c r="AB217" i="8" s="1"/>
  <c r="AC217" i="8" a="1"/>
  <c r="AC217" i="8" s="1"/>
  <c r="AB152" i="8" a="1"/>
  <c r="AB152" i="8" s="1"/>
  <c r="AC152" i="8" a="1"/>
  <c r="AC152" i="8" s="1"/>
  <c r="AB94" i="8" a="1"/>
  <c r="AB94" i="8" s="1"/>
  <c r="AC94" i="8" a="1"/>
  <c r="AC94" i="8" s="1"/>
  <c r="AB38" i="8" a="1"/>
  <c r="AB38" i="8" s="1"/>
  <c r="AC38" i="8" a="1"/>
  <c r="AC38" i="8" s="1"/>
  <c r="AC182" i="8" a="1"/>
  <c r="AC182" i="8" s="1"/>
  <c r="AB182" i="8" a="1"/>
  <c r="AB182" i="8" s="1"/>
  <c r="AB149" i="8" a="1"/>
  <c r="AB149" i="8" s="1"/>
  <c r="AC149" i="8" a="1"/>
  <c r="AC149" i="8" s="1"/>
  <c r="AB213" i="8" a="1"/>
  <c r="AB213" i="8" s="1"/>
  <c r="AC213" i="8" a="1"/>
  <c r="AC213" i="8" s="1"/>
  <c r="AB80" i="8" a="1"/>
  <c r="AB80" i="8" s="1"/>
  <c r="AC80" i="8" a="1"/>
  <c r="AC80" i="8" s="1"/>
  <c r="AB105" i="8" a="1"/>
  <c r="AB105" i="8" s="1"/>
  <c r="AC105" i="8" a="1"/>
  <c r="AC105" i="8" s="1"/>
  <c r="AB194" i="8" a="1"/>
  <c r="AB194" i="8" s="1"/>
  <c r="AC194" i="8" a="1"/>
  <c r="AC194" i="8" s="1"/>
  <c r="AC116" i="8" a="1"/>
  <c r="AC116" i="8" s="1"/>
  <c r="AB116" i="8" a="1"/>
  <c r="AB116" i="8" s="1"/>
  <c r="AB95" i="8" a="1"/>
  <c r="AB95" i="8" s="1"/>
  <c r="AC95" i="8" a="1"/>
  <c r="AC95" i="8" s="1"/>
  <c r="AB81" i="8" a="1"/>
  <c r="AB81" i="8" s="1"/>
  <c r="AC81" i="8" a="1"/>
  <c r="AC81" i="8" s="1"/>
  <c r="AB159" i="8" a="1"/>
  <c r="AB159" i="8" s="1"/>
  <c r="AC159" i="8" a="1"/>
  <c r="AC159" i="8" s="1"/>
  <c r="AB64" i="8" a="1"/>
  <c r="AB64" i="8" s="1"/>
  <c r="AC64" i="8" a="1"/>
  <c r="AC64" i="8" s="1"/>
  <c r="AB177" i="8" a="1"/>
  <c r="AB177" i="8" s="1"/>
  <c r="AC177" i="8" a="1"/>
  <c r="AC177" i="8" s="1"/>
  <c r="AB189" i="8" a="1"/>
  <c r="AB189" i="8" s="1"/>
  <c r="AC189" i="8" a="1"/>
  <c r="AC189" i="8" s="1"/>
  <c r="AB154" i="8" a="1"/>
  <c r="AB154" i="8" s="1"/>
  <c r="AC154" i="8" a="1"/>
  <c r="AC154" i="8" s="1"/>
  <c r="AB166" i="8" a="1"/>
  <c r="AB166" i="8" s="1"/>
  <c r="AC166" i="8" a="1"/>
  <c r="AC166" i="8" s="1"/>
  <c r="AB103" i="8" a="1"/>
  <c r="AB103" i="8" s="1"/>
  <c r="AC103" i="8" a="1"/>
  <c r="AC103" i="8" s="1"/>
  <c r="AB56" i="8" a="1"/>
  <c r="AB56" i="8" s="1"/>
  <c r="AC56" i="8" a="1"/>
  <c r="AC56" i="8" s="1"/>
  <c r="AB125" i="8" a="1"/>
  <c r="AB125" i="8" s="1"/>
  <c r="AC125" i="8" a="1"/>
  <c r="AC125" i="8" s="1"/>
  <c r="AB124" i="8" a="1"/>
  <c r="AB124" i="8" s="1"/>
  <c r="AC124" i="8" a="1"/>
  <c r="AC124" i="8" s="1"/>
  <c r="AB187" i="8" a="1"/>
  <c r="AB187" i="8" s="1"/>
  <c r="AC187" i="8" a="1"/>
  <c r="AC187" i="8" s="1"/>
  <c r="AC144" i="8" a="1"/>
  <c r="AC144" i="8" s="1"/>
  <c r="AB144" i="8" a="1"/>
  <c r="AB144" i="8" s="1"/>
  <c r="AC136" i="8" a="1"/>
  <c r="AC136" i="8" s="1"/>
  <c r="AB136" i="8" a="1"/>
  <c r="AB136" i="8" s="1"/>
  <c r="AB153" i="8" a="1"/>
  <c r="AB153" i="8" s="1"/>
  <c r="AC153" i="8" a="1"/>
  <c r="AC153" i="8" s="1"/>
  <c r="AB132" i="8" a="1"/>
  <c r="AB132" i="8" s="1"/>
  <c r="AC132" i="8" a="1"/>
  <c r="AC132" i="8" s="1"/>
  <c r="AB39" i="8" a="1"/>
  <c r="AB39" i="8" s="1"/>
  <c r="AC39" i="8" a="1"/>
  <c r="AC39" i="8" s="1"/>
  <c r="AB183" i="8" a="1"/>
  <c r="AB183" i="8" s="1"/>
  <c r="AC183" i="8" a="1"/>
  <c r="AC183" i="8" s="1"/>
  <c r="AC215" i="8" a="1"/>
  <c r="AC215" i="8" s="1"/>
  <c r="AB215" i="8" a="1"/>
  <c r="AB215" i="8" s="1"/>
  <c r="AB70" i="8" a="1"/>
  <c r="AB70" i="8" s="1"/>
  <c r="AC70" i="8" a="1"/>
  <c r="AC70" i="8" s="1"/>
  <c r="AB121" i="8" a="1"/>
  <c r="AB121" i="8" s="1"/>
  <c r="AC121" i="8" a="1"/>
  <c r="AC121" i="8" s="1"/>
  <c r="AB158" i="8" a="1"/>
  <c r="AB158" i="8" s="1"/>
  <c r="AC158" i="8" a="1"/>
  <c r="AC158" i="8" s="1"/>
  <c r="AB59" i="8" a="1"/>
  <c r="AB59" i="8" s="1"/>
  <c r="AC59" i="8" a="1"/>
  <c r="AC59" i="8" s="1"/>
  <c r="AB100" i="8" a="1"/>
  <c r="AB100" i="8" s="1"/>
  <c r="AC100" i="8" a="1"/>
  <c r="AC100" i="8" s="1"/>
  <c r="AB44" i="8" a="1"/>
  <c r="AB44" i="8" s="1"/>
  <c r="AC44" i="8" a="1"/>
  <c r="AC44" i="8" s="1"/>
  <c r="AB190" i="8" a="1"/>
  <c r="AB190" i="8" s="1"/>
  <c r="AC190" i="8" a="1"/>
  <c r="AC190" i="8" s="1"/>
  <c r="AB157" i="8" a="1"/>
  <c r="AB157" i="8" s="1"/>
  <c r="AC157" i="8" a="1"/>
  <c r="AC157" i="8" s="1"/>
  <c r="AB50" i="8" a="1"/>
  <c r="AB50" i="8" s="1"/>
  <c r="AC50" i="8" a="1"/>
  <c r="AC50" i="8" s="1"/>
  <c r="AC150" i="8" a="1"/>
  <c r="AC150" i="8" s="1"/>
  <c r="AB150" i="8" a="1"/>
  <c r="AB150" i="8" s="1"/>
  <c r="AB225" i="8" a="1"/>
  <c r="AB225" i="8" s="1"/>
  <c r="AC225" i="8" a="1"/>
  <c r="AC225" i="8" s="1"/>
  <c r="AB145" i="8" a="1"/>
  <c r="AB145" i="8" s="1"/>
  <c r="AC145" i="8" a="1"/>
  <c r="AC145" i="8" s="1"/>
  <c r="AB60" i="8" a="1"/>
  <c r="AB60" i="8" s="1"/>
  <c r="AC60" i="8" a="1"/>
  <c r="AC60" i="8" s="1"/>
  <c r="AC140" i="8" a="1"/>
  <c r="AC140" i="8" s="1"/>
  <c r="AB140" i="8" a="1"/>
  <c r="AB140" i="8" s="1"/>
  <c r="AC224" i="8" a="1"/>
  <c r="AC224" i="8" s="1"/>
  <c r="AB224" i="8" a="1"/>
  <c r="AB224" i="8" s="1"/>
  <c r="AC79" i="8" a="1"/>
  <c r="AC79" i="8" s="1"/>
  <c r="AB79" i="8" a="1"/>
  <c r="AB79" i="8" s="1"/>
  <c r="AB98" i="8" a="1"/>
  <c r="AB98" i="8" s="1"/>
  <c r="AC98" i="8" a="1"/>
  <c r="AC98" i="8" s="1"/>
  <c r="AC108" i="8" a="1"/>
  <c r="AC108" i="8" s="1"/>
  <c r="AB108" i="8" a="1"/>
  <c r="AB108" i="8" s="1"/>
  <c r="AB92" i="8" a="1"/>
  <c r="AB92" i="8" s="1"/>
  <c r="AC92" i="8" a="1"/>
  <c r="AC92" i="8" s="1"/>
  <c r="AB51" i="8" a="1"/>
  <c r="AB51" i="8" s="1"/>
  <c r="AC51" i="8" a="1"/>
  <c r="AC51" i="8" s="1"/>
  <c r="AB163" i="8" a="1"/>
  <c r="AB163" i="8" s="1"/>
  <c r="AC163" i="8" a="1"/>
  <c r="AC163" i="8" s="1"/>
  <c r="AB76" i="8" a="1"/>
  <c r="AB76" i="8" s="1"/>
  <c r="AC76" i="8" a="1"/>
  <c r="AC76" i="8" s="1"/>
  <c r="AC48" i="8" a="1"/>
  <c r="AC48" i="8" s="1"/>
  <c r="AB48" i="8" a="1"/>
  <c r="AB48" i="8" s="1"/>
  <c r="AB45" i="8" a="1"/>
  <c r="AB45" i="8" s="1"/>
  <c r="AC45" i="8" a="1"/>
  <c r="AC45" i="8" s="1"/>
  <c r="AB110" i="8" a="1"/>
  <c r="AB110" i="8" s="1"/>
  <c r="AC110" i="8" a="1"/>
  <c r="AC110" i="8" s="1"/>
  <c r="AB141" i="8" a="1"/>
  <c r="AB141" i="8" s="1"/>
  <c r="AC141" i="8" a="1"/>
  <c r="AC141" i="8" s="1"/>
  <c r="AC72" i="8" a="1"/>
  <c r="AC72" i="8" s="1"/>
  <c r="AB72" i="8" a="1"/>
  <c r="AB72" i="8" s="1"/>
  <c r="AB41" i="8" a="1"/>
  <c r="AB41" i="8" s="1"/>
  <c r="AC41" i="8" a="1"/>
  <c r="AC41" i="8" s="1"/>
  <c r="AB102" i="8" a="1"/>
  <c r="AB102" i="8" s="1"/>
  <c r="AC102" i="8" a="1"/>
  <c r="AC102" i="8" s="1"/>
  <c r="AC112" i="8" a="1"/>
  <c r="AC112" i="8" s="1"/>
  <c r="AB112" i="8" a="1"/>
  <c r="AB112" i="8" s="1"/>
  <c r="AB77" i="8" a="1"/>
  <c r="AB77" i="8" s="1"/>
  <c r="AC77" i="8" a="1"/>
  <c r="AC77" i="8" s="1"/>
  <c r="AB61" i="8" a="1"/>
  <c r="AB61" i="8" s="1"/>
  <c r="AC61" i="8" a="1"/>
  <c r="AC61" i="8" s="1"/>
  <c r="AC191" i="8" a="1"/>
  <c r="AC191" i="8" s="1"/>
  <c r="AB191" i="8" a="1"/>
  <c r="AB191" i="8" s="1"/>
  <c r="AB137" i="8" a="1"/>
  <c r="AB137" i="8" s="1"/>
  <c r="AC137" i="8" a="1"/>
  <c r="AC137" i="8" s="1"/>
  <c r="AC180" i="8" a="1"/>
  <c r="AC180" i="8" s="1"/>
  <c r="AB180" i="8" a="1"/>
  <c r="AB180" i="8" s="1"/>
  <c r="AB205" i="8" a="1"/>
  <c r="AB205" i="8" s="1"/>
  <c r="AC205" i="8" a="1"/>
  <c r="AC205" i="8" s="1"/>
  <c r="AB156" i="8" a="1"/>
  <c r="AB156" i="8" s="1"/>
  <c r="AC156" i="8" a="1"/>
  <c r="AC156" i="8" s="1"/>
  <c r="AC96" i="8" a="1"/>
  <c r="AC96" i="8" s="1"/>
  <c r="AB96" i="8" a="1"/>
  <c r="AB96" i="8" s="1"/>
  <c r="AC176" i="8" a="1"/>
  <c r="AC176" i="8" s="1"/>
  <c r="AB176" i="8" a="1"/>
  <c r="AB176" i="8" s="1"/>
  <c r="AB201" i="8" a="1"/>
  <c r="AB201" i="8" s="1"/>
  <c r="AC201" i="8" a="1"/>
  <c r="AC201" i="8" s="1"/>
  <c r="AC192" i="8" a="1"/>
  <c r="AC192" i="8" s="1"/>
  <c r="AB192" i="8" a="1"/>
  <c r="AB192" i="8" s="1"/>
  <c r="AB83" i="8" a="1"/>
  <c r="AB83" i="8" s="1"/>
  <c r="AC83" i="8" a="1"/>
  <c r="AC83" i="8" s="1"/>
  <c r="AB86" i="8" a="1"/>
  <c r="AB86" i="8" s="1"/>
  <c r="AC86" i="8" a="1"/>
  <c r="AC86" i="8" s="1"/>
  <c r="AB178" i="8" a="1"/>
  <c r="AB178" i="8" s="1"/>
  <c r="AC178" i="8" a="1"/>
  <c r="AC178" i="8" s="1"/>
  <c r="AB173" i="8" a="1"/>
  <c r="AB173" i="8" s="1"/>
  <c r="AC173" i="8" a="1"/>
  <c r="AC173" i="8" s="1"/>
  <c r="AB42" i="8" a="1"/>
  <c r="AB42" i="8" s="1"/>
  <c r="AC42" i="8" a="1"/>
  <c r="AC42" i="8" s="1"/>
  <c r="AB32" i="8" a="1"/>
  <c r="AB32" i="8" s="1"/>
  <c r="AC32" i="8" a="1"/>
  <c r="AC32" i="8" s="1"/>
  <c r="AB207" i="8" a="1"/>
  <c r="AB207" i="8" s="1"/>
  <c r="AC207" i="8" a="1"/>
  <c r="AC207" i="8" s="1"/>
  <c r="AB53" i="8" a="1"/>
  <c r="AB53" i="8" s="1"/>
  <c r="AC53" i="8" a="1"/>
  <c r="AC53" i="8" s="1"/>
  <c r="AB226" i="8" a="1"/>
  <c r="AB226" i="8" s="1"/>
  <c r="AC226" i="8" a="1"/>
  <c r="AC226" i="8" s="1"/>
  <c r="AC73" i="8" a="1"/>
  <c r="AC73" i="8" s="1"/>
  <c r="AB73" i="8" a="1"/>
  <c r="AB73" i="8" s="1"/>
  <c r="AB62" i="8" a="1"/>
  <c r="AB62" i="8" s="1"/>
  <c r="AC62" i="8" a="1"/>
  <c r="AC62" i="8" s="1"/>
  <c r="AB67" i="8" a="1"/>
  <c r="AB67" i="8" s="1"/>
  <c r="AC67" i="8" a="1"/>
  <c r="AC67" i="8" s="1"/>
  <c r="AB179" i="8" a="1"/>
  <c r="AB179" i="8" s="1"/>
  <c r="AC179" i="8" a="1"/>
  <c r="AC179" i="8" s="1"/>
  <c r="AC200" i="8" a="1"/>
  <c r="AC200" i="8" s="1"/>
  <c r="AB200" i="8" a="1"/>
  <c r="AB200" i="8" s="1"/>
  <c r="AB34" i="8" a="1"/>
  <c r="AB34" i="8" s="1"/>
  <c r="AC34" i="8" a="1"/>
  <c r="AC34" i="8" s="1"/>
  <c r="AB91" i="8" a="1"/>
  <c r="AB91" i="8" s="1"/>
  <c r="AC91" i="8" a="1"/>
  <c r="AC91" i="8" s="1"/>
  <c r="AC160" i="8" a="1"/>
  <c r="AC160" i="8" s="1"/>
  <c r="AB160" i="8" a="1"/>
  <c r="AB160" i="8" s="1"/>
  <c r="AB46" i="8" a="1"/>
  <c r="AB46" i="8" s="1"/>
  <c r="AC46" i="8" a="1"/>
  <c r="AC46" i="8" s="1"/>
  <c r="AB219" i="8" a="1"/>
  <c r="AB219" i="8" s="1"/>
  <c r="AC219" i="8" a="1"/>
  <c r="AC219" i="8" s="1"/>
  <c r="AB221" i="8" a="1"/>
  <c r="AB221" i="8" s="1"/>
  <c r="AC221" i="8" a="1"/>
  <c r="AC221" i="8" s="1"/>
  <c r="AB143" i="8" a="1"/>
  <c r="AB143" i="8" s="1"/>
  <c r="AC143" i="8" a="1"/>
  <c r="AC143" i="8" s="1"/>
  <c r="AB54" i="8" a="1"/>
  <c r="AB54" i="8" s="1"/>
  <c r="AC54" i="8" a="1"/>
  <c r="AC54" i="8" s="1"/>
  <c r="AC212" i="8" a="1"/>
  <c r="AC212" i="8" s="1"/>
  <c r="AB212" i="8" a="1"/>
  <c r="AB212" i="8" s="1"/>
  <c r="AB202" i="8" a="1"/>
  <c r="AB202" i="8" s="1"/>
  <c r="AC202" i="8" a="1"/>
  <c r="AC202" i="8" s="1"/>
  <c r="AB134" i="8" a="1"/>
  <c r="AB134" i="8" s="1"/>
  <c r="AC134" i="8" a="1"/>
  <c r="AC134" i="8" s="1"/>
  <c r="AB65" i="8" a="1"/>
  <c r="AB65" i="8" s="1"/>
  <c r="AC65" i="8" a="1"/>
  <c r="AC65" i="8" s="1"/>
  <c r="AB198" i="8" a="1"/>
  <c r="AB198" i="8" s="1"/>
  <c r="AC198" i="8" a="1"/>
  <c r="AC198" i="8" s="1"/>
  <c r="AB170" i="8" a="1"/>
  <c r="AB170" i="8" s="1"/>
  <c r="AC170" i="8" a="1"/>
  <c r="AC170" i="8" s="1"/>
  <c r="AC151" i="8" a="1"/>
  <c r="AC151" i="8" s="1"/>
  <c r="AB151" i="8" a="1"/>
  <c r="AB151" i="8" s="1"/>
  <c r="AB188" i="8" a="1"/>
  <c r="AB188" i="8" s="1"/>
  <c r="AC188" i="8" a="1"/>
  <c r="AC188" i="8" s="1"/>
  <c r="AC78" i="8" a="1"/>
  <c r="AC78" i="8" s="1"/>
  <c r="AB78" i="8" a="1"/>
  <c r="AB78" i="8" s="1"/>
  <c r="AC206" i="8" a="1"/>
  <c r="AC206" i="8" s="1"/>
  <c r="AB206" i="8" a="1"/>
  <c r="AB206" i="8" s="1"/>
  <c r="AC40" i="8" a="1"/>
  <c r="AC40" i="8" s="1"/>
  <c r="AB40" i="8" a="1"/>
  <c r="AB40" i="8" s="1"/>
  <c r="AB130" i="8" a="1"/>
  <c r="AB130" i="8" s="1"/>
  <c r="AC130" i="8" a="1"/>
  <c r="AC130" i="8" s="1"/>
  <c r="AC214" i="8" a="1"/>
  <c r="AC214" i="8" s="1"/>
  <c r="AB214" i="8" a="1"/>
  <c r="AB214" i="8" s="1"/>
  <c r="AB216" i="8" a="1"/>
  <c r="AB216" i="8" s="1"/>
  <c r="AC216" i="8" a="1"/>
  <c r="AC216" i="8" s="1"/>
  <c r="AB209" i="8" a="1"/>
  <c r="AB209" i="8" s="1"/>
  <c r="AC209" i="8" a="1"/>
  <c r="AC209" i="8" s="1"/>
  <c r="AB63" i="8" a="1"/>
  <c r="AB63" i="8" s="1"/>
  <c r="AC63" i="8" a="1"/>
  <c r="AC63" i="8" s="1"/>
  <c r="AB175" i="8" a="1"/>
  <c r="AB175" i="8" s="1"/>
  <c r="AC175" i="8" a="1"/>
  <c r="AC175" i="8" s="1"/>
  <c r="AB223" i="8" a="1"/>
  <c r="AB223" i="8" s="1"/>
  <c r="AC223" i="8" a="1"/>
  <c r="AC223" i="8" s="1"/>
  <c r="AC208" i="8" a="1"/>
  <c r="AC208" i="8" s="1"/>
  <c r="AB208" i="8" a="1"/>
  <c r="AB208" i="8" s="1"/>
  <c r="AC127" i="8" a="1"/>
  <c r="AC127" i="8" s="1"/>
  <c r="AB127" i="8" a="1"/>
  <c r="AB127" i="8" s="1"/>
  <c r="AB164" i="8" a="1"/>
  <c r="AB164" i="8" s="1"/>
  <c r="AC164" i="8" a="1"/>
  <c r="AC164" i="8" s="1"/>
  <c r="AB113" i="8" a="1"/>
  <c r="AB113" i="8" s="1"/>
  <c r="AC113" i="8" a="1"/>
  <c r="AC113" i="8" s="1"/>
  <c r="AC172" i="8" a="1"/>
  <c r="AC172" i="8" s="1"/>
  <c r="AB172" i="8" a="1"/>
  <c r="AB172" i="8" s="1"/>
  <c r="AC37" i="8" a="1"/>
  <c r="AC37" i="8" s="1"/>
  <c r="AB37" i="8" a="1"/>
  <c r="AB37" i="8" s="1"/>
  <c r="AB69" i="8" a="1"/>
  <c r="AB69" i="8" s="1"/>
  <c r="AC69" i="8" a="1"/>
  <c r="AC69" i="8" s="1"/>
  <c r="AB58" i="8" a="1"/>
  <c r="AB58" i="8" s="1"/>
  <c r="AC58" i="8" a="1"/>
  <c r="AC58" i="8" s="1"/>
  <c r="AB107" i="8" a="1"/>
  <c r="AB107" i="8" s="1"/>
  <c r="AC107" i="8" a="1"/>
  <c r="AC107" i="8" s="1"/>
  <c r="AB115" i="8" a="1"/>
  <c r="AB115" i="8" s="1"/>
  <c r="AC115" i="8" a="1"/>
  <c r="AC115" i="8" s="1"/>
  <c r="AB99" i="8" a="1"/>
  <c r="AB99" i="8" s="1"/>
  <c r="AC99" i="8" a="1"/>
  <c r="AC99" i="8" s="1"/>
  <c r="AC168" i="8" a="1"/>
  <c r="AC168" i="8" s="1"/>
  <c r="AB168" i="8" a="1"/>
  <c r="AB168" i="8" s="1"/>
  <c r="AB52" i="8" a="1"/>
  <c r="AB52" i="8" s="1"/>
  <c r="AC52" i="8" a="1"/>
  <c r="AC52" i="8" s="1"/>
  <c r="AC142" i="8" a="1"/>
  <c r="AC142" i="8" s="1"/>
  <c r="AB142" i="8" a="1"/>
  <c r="AB142" i="8" s="1"/>
  <c r="AC128" i="8" a="1"/>
  <c r="AC128" i="8" s="1"/>
  <c r="AB128" i="8" a="1"/>
  <c r="AB128" i="8" s="1"/>
  <c r="AB133" i="8" a="1"/>
  <c r="AB133" i="8" s="1"/>
  <c r="AC133" i="8" a="1"/>
  <c r="AC133" i="8" s="1"/>
  <c r="AB139" i="8" a="1"/>
  <c r="AB139" i="8" s="1"/>
  <c r="AC139" i="8" a="1"/>
  <c r="AC139" i="8" s="1"/>
  <c r="AC118" i="8" a="1"/>
  <c r="AC118" i="8" s="1"/>
  <c r="AB118" i="8" a="1"/>
  <c r="AB118" i="8" s="1"/>
  <c r="AB186" i="8" a="1"/>
  <c r="AB186" i="8" s="1"/>
  <c r="AC186" i="8" a="1"/>
  <c r="AC186" i="8" s="1"/>
  <c r="AB88" i="8" a="1"/>
  <c r="AB88" i="8" s="1"/>
  <c r="AC88" i="8" a="1"/>
  <c r="AC88" i="8" s="1"/>
  <c r="AB161" i="8" a="1"/>
  <c r="AB161" i="8" s="1"/>
  <c r="AC161" i="8" a="1"/>
  <c r="AC161" i="8" s="1"/>
  <c r="AB196" i="8" a="1"/>
  <c r="AB196" i="8" s="1"/>
  <c r="AC196" i="8" a="1"/>
  <c r="AC196" i="8" s="1"/>
  <c r="AB109" i="8" a="1"/>
  <c r="AB109" i="8" s="1"/>
  <c r="AC109" i="8" a="1"/>
  <c r="AC109" i="8" s="1"/>
  <c r="AB120" i="8" a="1"/>
  <c r="AB120" i="8" s="1"/>
  <c r="AC120" i="8" a="1"/>
  <c r="AC120" i="8" s="1"/>
  <c r="AC195" i="8" a="1"/>
  <c r="AC195" i="8" s="1"/>
  <c r="AB195" i="8" a="1"/>
  <c r="AB195" i="8" s="1"/>
  <c r="AB90" i="8" a="1"/>
  <c r="AB90" i="8" s="1"/>
  <c r="AC90" i="8" a="1"/>
  <c r="AC90" i="8" s="1"/>
  <c r="AB75" i="8" a="1"/>
  <c r="AB75" i="8" s="1"/>
  <c r="AC75" i="8" a="1"/>
  <c r="AC75" i="8" s="1"/>
  <c r="AB71" i="8" a="1"/>
  <c r="AB71" i="8" s="1"/>
  <c r="AC71" i="8" a="1"/>
  <c r="AC71" i="8" s="1"/>
  <c r="AC174" i="8" a="1"/>
  <c r="AC174" i="8" s="1"/>
  <c r="AB174" i="8" a="1"/>
  <c r="AB174" i="8" s="1"/>
  <c r="AB146" i="8" a="1"/>
  <c r="AB146" i="8" s="1"/>
  <c r="AC146" i="8" a="1"/>
  <c r="AC146" i="8" s="1"/>
  <c r="AC119" i="8" a="1"/>
  <c r="AC119" i="8" s="1"/>
  <c r="AB119" i="8" a="1"/>
  <c r="AB119" i="8" s="1"/>
  <c r="AB185" i="8" a="1"/>
  <c r="AB185" i="8" s="1"/>
  <c r="AC185" i="8" a="1"/>
  <c r="AC185" i="8" s="1"/>
  <c r="AC218" i="8" a="1"/>
  <c r="AC218" i="8" s="1"/>
  <c r="AB218" i="8" a="1"/>
  <c r="AB218" i="8" s="1"/>
  <c r="AB114" i="8" a="1"/>
  <c r="AB114" i="8" s="1"/>
  <c r="AC114" i="8" a="1"/>
  <c r="AC114" i="8" s="1"/>
  <c r="AB184" i="8" a="1"/>
  <c r="AB184" i="8" s="1"/>
  <c r="AC184" i="8" a="1"/>
  <c r="AC184" i="8" s="1"/>
  <c r="AB210" i="8" a="1"/>
  <c r="AB210" i="8" s="1"/>
  <c r="AC210" i="8" a="1"/>
  <c r="AC210" i="8" s="1"/>
  <c r="AB85" i="8" a="1"/>
  <c r="AB85" i="8" s="1"/>
  <c r="AC85" i="8" a="1"/>
  <c r="AC85" i="8" s="1"/>
  <c r="AB36" i="8" a="1"/>
  <c r="AB36" i="8" s="1"/>
  <c r="AC36" i="8" a="1"/>
  <c r="AC36" i="8" s="1"/>
  <c r="AB126" i="8" a="1"/>
  <c r="AB126" i="8" s="1"/>
  <c r="AC126" i="8" a="1"/>
  <c r="AC126" i="8" s="1"/>
  <c r="AB162" i="8" a="1"/>
  <c r="AB162" i="8" s="1"/>
  <c r="AC162" i="8" a="1"/>
  <c r="AC162" i="8" s="1"/>
  <c r="AB30" i="8" a="1"/>
  <c r="AB30" i="8" s="1"/>
  <c r="AC30" i="8" a="1"/>
  <c r="AC30" i="8" s="1"/>
  <c r="AB197" i="8" a="1"/>
  <c r="AB197" i="8" s="1"/>
  <c r="AC197" i="8" a="1"/>
  <c r="AC197" i="8" s="1"/>
  <c r="AB74" i="8" a="1"/>
  <c r="AB74" i="8" s="1"/>
  <c r="AC74" i="8" a="1"/>
  <c r="AC74" i="8" s="1"/>
  <c r="AB43" i="8" a="1"/>
  <c r="AB43" i="8" s="1"/>
  <c r="AC43" i="8" a="1"/>
  <c r="AC43" i="8" s="1"/>
  <c r="AB155" i="8" a="1"/>
  <c r="AB155" i="8" s="1"/>
  <c r="AC155" i="8" a="1"/>
  <c r="AC155" i="8" s="1"/>
  <c r="AB138" i="8" a="1"/>
  <c r="AB138" i="8" s="1"/>
  <c r="AC138" i="8" a="1"/>
  <c r="AC138" i="8" s="1"/>
  <c r="AB25" i="8" a="1"/>
  <c r="AB25" i="8" s="1"/>
  <c r="AC25" i="8" a="1"/>
  <c r="AC25" i="8" s="1"/>
  <c r="AC27" i="8" a="1"/>
  <c r="AC27" i="8" s="1"/>
  <c r="AB27" i="8" a="1"/>
  <c r="AB27" i="8" s="1"/>
  <c r="AC23" i="8" a="1"/>
  <c r="AC23" i="8" s="1"/>
  <c r="AB23" i="8" a="1"/>
  <c r="AB23" i="8" s="1"/>
  <c r="AC28" i="8" a="1"/>
  <c r="AC28" i="8" s="1"/>
  <c r="AB28" i="8" a="1"/>
  <c r="AB28" i="8" s="1"/>
  <c r="AC24" i="8" a="1"/>
  <c r="AC24" i="8" s="1"/>
  <c r="AB24" i="8" a="1"/>
  <c r="AB24" i="8" s="1"/>
  <c r="AB26" i="8" a="1"/>
  <c r="AB26" i="8" s="1"/>
  <c r="AC26" i="8" a="1"/>
  <c r="AC26" i="8" s="1"/>
  <c r="AB907" i="8" a="1"/>
  <c r="AB907" i="8" s="1"/>
  <c r="AC7" i="8" a="1"/>
  <c r="AC7" i="8" s="1"/>
  <c r="AB7" i="8" a="1"/>
  <c r="AB7" i="8" s="1"/>
  <c r="AB20" i="8" a="1"/>
  <c r="AB20" i="8" s="1"/>
  <c r="AC20" i="8" a="1"/>
  <c r="AC20" i="8" s="1"/>
  <c r="AB19" i="8" a="1"/>
  <c r="AB19" i="8" s="1"/>
  <c r="AC19" i="8" a="1"/>
  <c r="AC19" i="8" s="1"/>
  <c r="AC18" i="8" a="1"/>
  <c r="AC18" i="8" s="1"/>
  <c r="AB18" i="8" a="1"/>
  <c r="AB18" i="8" s="1"/>
  <c r="AC22" i="8" a="1"/>
  <c r="AC22" i="8" s="1"/>
  <c r="AB22" i="8" a="1"/>
  <c r="AB22" i="8" s="1"/>
  <c r="AB21" i="8" a="1"/>
  <c r="AB21" i="8" s="1"/>
  <c r="AC21" i="8" a="1"/>
  <c r="AC21" i="8" s="1"/>
  <c r="AB867" i="8" a="1"/>
  <c r="AB867" i="8" s="1"/>
  <c r="AC16" i="8" a="1"/>
  <c r="AC16" i="8" s="1"/>
  <c r="AB16" i="8" a="1"/>
  <c r="AB16" i="8" s="1"/>
  <c r="AC11" i="8" a="1"/>
  <c r="AC11" i="8" s="1"/>
  <c r="AB11" i="8" a="1"/>
  <c r="AB11" i="8" s="1"/>
  <c r="AB5" i="8" a="1"/>
  <c r="AB5" i="8" s="1"/>
  <c r="AC5" i="8" a="1"/>
  <c r="AC5" i="8" s="1"/>
  <c r="AB4" i="8" a="1"/>
  <c r="AB4" i="8" s="1"/>
  <c r="AC4" i="8" a="1"/>
  <c r="AC4" i="8" s="1"/>
  <c r="AB10" i="8" a="1"/>
  <c r="AB10" i="8" s="1"/>
  <c r="AC10" i="8" a="1"/>
  <c r="AC10" i="8" s="1"/>
  <c r="AB3" i="8" a="1"/>
  <c r="AB3" i="8" s="1"/>
  <c r="AC3" i="8" a="1"/>
  <c r="AC3" i="8" s="1"/>
  <c r="AC15" i="8" a="1"/>
  <c r="AC15" i="8" s="1"/>
  <c r="AB15" i="8" a="1"/>
  <c r="AB15" i="8" s="1"/>
  <c r="AB9" i="8" a="1"/>
  <c r="AB9" i="8" s="1"/>
  <c r="AC9" i="8" a="1"/>
  <c r="AC9" i="8" s="1"/>
  <c r="AC6" i="8" a="1"/>
  <c r="AC6" i="8" s="1"/>
  <c r="AB6" i="8" a="1"/>
  <c r="AB6" i="8" s="1"/>
  <c r="AB13" i="8" a="1"/>
  <c r="AB13" i="8" s="1"/>
  <c r="AC13" i="8" a="1"/>
  <c r="AC13" i="8" s="1"/>
  <c r="AB14" i="8" a="1"/>
  <c r="AB14" i="8" s="1"/>
  <c r="AC14" i="8" a="1"/>
  <c r="AC14" i="8" s="1"/>
  <c r="AC2" i="8" a="1"/>
  <c r="AC2" i="8" s="1"/>
  <c r="AB2" i="8" a="1"/>
  <c r="AB2" i="8" s="1"/>
  <c r="AB8" i="8" a="1"/>
  <c r="AB8" i="8" s="1"/>
  <c r="AC8" i="8" a="1"/>
  <c r="AC8" i="8" s="1"/>
  <c r="AB12" i="8" a="1"/>
  <c r="AB12" i="8" s="1"/>
  <c r="AC12" i="8" a="1"/>
  <c r="AC12" i="8" s="1"/>
  <c r="AC885" i="8" a="1"/>
  <c r="AC885" i="8" s="1"/>
  <c r="AC897" i="8" a="1"/>
  <c r="AC897" i="8" s="1"/>
  <c r="AB890" i="8" a="1"/>
  <c r="AB890" i="8" s="1"/>
  <c r="AB894" i="8" a="1"/>
  <c r="AB894" i="8" s="1"/>
  <c r="AC585" i="8" a="1"/>
  <c r="AC585" i="8" s="1"/>
  <c r="AB585" i="8" a="1"/>
  <c r="AB585" i="8" s="1"/>
  <c r="AB29" i="8" a="1"/>
  <c r="AB29" i="8" s="1"/>
  <c r="AC29" i="8" a="1"/>
  <c r="AC29" i="8" s="1"/>
  <c r="AB878" i="8" a="1"/>
  <c r="AB878" i="8" s="1"/>
  <c r="AB903" i="8" a="1"/>
  <c r="AB903" i="8" s="1"/>
  <c r="AB889" i="8" a="1"/>
  <c r="AB889" i="8" s="1"/>
  <c r="AB898" i="8" a="1"/>
  <c r="AB898" i="8" s="1"/>
  <c r="AB904" i="8" a="1"/>
  <c r="AB904" i="8" s="1"/>
  <c r="AC17" i="8" a="1"/>
  <c r="AC17" i="8" s="1"/>
  <c r="AB17" i="8" a="1"/>
  <c r="AB17" i="8" s="1"/>
  <c r="AB871" i="8" a="1"/>
  <c r="AB871" i="8" s="1"/>
  <c r="AC893" i="8" a="1"/>
  <c r="AC893" i="8" s="1"/>
  <c r="AB876" i="8" a="1"/>
  <c r="AB876" i="8" s="1"/>
  <c r="AC789" i="8" a="1"/>
  <c r="AC789" i="8" s="1"/>
  <c r="AB789" i="8" a="1"/>
  <c r="AB789" i="8" s="1"/>
  <c r="AC501" i="8" a="1"/>
  <c r="AC501" i="8" s="1"/>
  <c r="AB501" i="8" a="1"/>
  <c r="AB501" i="8" s="1"/>
  <c r="AC228" i="8" a="1"/>
  <c r="AC228" i="8" s="1"/>
  <c r="AB228" i="8" a="1"/>
  <c r="AB228" i="8" s="1"/>
  <c r="AC504" i="8" a="1"/>
  <c r="AC504" i="8" s="1"/>
  <c r="AB504" i="8" a="1"/>
  <c r="AB504" i="8" s="1"/>
  <c r="AC503" i="8" a="1"/>
  <c r="AC503" i="8" s="1"/>
  <c r="AB503" i="8" a="1"/>
  <c r="AB503" i="8" s="1"/>
  <c r="AC307" i="8" a="1"/>
  <c r="AC307" i="8" s="1"/>
  <c r="AB307" i="8" a="1"/>
  <c r="AB307" i="8" s="1"/>
  <c r="AC502" i="8" a="1"/>
  <c r="AC502" i="8" s="1"/>
  <c r="AB502" i="8" a="1"/>
  <c r="AB502" i="8" s="1"/>
  <c r="AC790" i="8" a="1"/>
  <c r="AC790" i="8" s="1"/>
  <c r="AB790" i="8" a="1"/>
  <c r="AB790" i="8" s="1"/>
  <c r="AC906" i="8" a="1"/>
  <c r="AC906" i="8" s="1"/>
  <c r="AB906" i="8" a="1"/>
  <c r="AB906" i="8" s="1"/>
  <c r="AC794" i="8" a="1"/>
  <c r="AC794" i="8" s="1"/>
  <c r="AB794" i="8" a="1"/>
  <c r="AB794" i="8" s="1"/>
  <c r="AC506" i="8" a="1"/>
  <c r="AC506" i="8" s="1"/>
  <c r="AB506" i="8" a="1"/>
  <c r="AB506" i="8" s="1"/>
  <c r="AC791" i="8" a="1"/>
  <c r="AC791" i="8" s="1"/>
  <c r="AB791" i="8" a="1"/>
  <c r="AB791" i="8" s="1"/>
  <c r="AC793" i="8" a="1"/>
  <c r="AC793" i="8" s="1"/>
  <c r="AB793" i="8" a="1"/>
  <c r="AB793" i="8" s="1"/>
  <c r="AC792" i="8" a="1"/>
  <c r="AC792" i="8" s="1"/>
  <c r="AB792" i="8" a="1"/>
  <c r="AB792" i="8" s="1"/>
  <c r="F6" i="17"/>
  <c r="E7" i="17"/>
  <c r="E6" i="17"/>
  <c r="E2" i="17"/>
  <c r="F4" i="17"/>
  <c r="F2" i="17"/>
  <c r="F7" i="17"/>
  <c r="E5" i="17"/>
  <c r="E4" i="17"/>
  <c r="F5" i="17"/>
  <c r="H6" i="16" l="1"/>
  <c r="I6" i="16"/>
  <c r="G6" i="16"/>
  <c r="G7" i="16"/>
  <c r="H7" i="16"/>
  <c r="I7" i="16"/>
  <c r="G5" i="16"/>
  <c r="H5" i="16"/>
  <c r="I5" i="16"/>
  <c r="G9" i="16"/>
  <c r="H9" i="16"/>
  <c r="I9" i="16"/>
  <c r="G10" i="16"/>
  <c r="H10" i="16"/>
  <c r="I10" i="16"/>
  <c r="H16" i="16"/>
  <c r="G16" i="16"/>
  <c r="I16" i="16"/>
  <c r="G11" i="16"/>
  <c r="H11" i="16"/>
  <c r="I11" i="16"/>
  <c r="G13" i="16"/>
  <c r="H13" i="16"/>
  <c r="I13" i="16"/>
  <c r="H15" i="16"/>
  <c r="G17" i="16"/>
  <c r="H17" i="16"/>
  <c r="I17" i="16"/>
  <c r="G14" i="16"/>
  <c r="H14" i="16"/>
  <c r="I14" i="16"/>
  <c r="G15" i="16"/>
  <c r="I15" i="16"/>
  <c r="G2" i="16"/>
  <c r="H2" i="16"/>
  <c r="I2" i="16"/>
  <c r="G3" i="16"/>
  <c r="H3" i="16"/>
  <c r="I3" i="16"/>
  <c r="G4" i="16"/>
  <c r="G8" i="16"/>
  <c r="H8" i="16"/>
  <c r="I8" i="16"/>
  <c r="G12" i="16"/>
  <c r="H12" i="16"/>
  <c r="I12" i="16"/>
  <c r="I4" i="16"/>
  <c r="H4" i="16"/>
  <c r="AL198" i="8"/>
  <c r="AL201" i="8"/>
  <c r="AL205" i="8"/>
  <c r="J275" i="14"/>
  <c r="K275" i="14"/>
  <c r="AL195" i="8"/>
  <c r="I275" i="14"/>
  <c r="AL190" i="8"/>
  <c r="AL164" i="8"/>
  <c r="AL142" i="8"/>
  <c r="AL137" i="8"/>
  <c r="AL134" i="8"/>
  <c r="J515" i="14"/>
  <c r="I515" i="14"/>
  <c r="K515" i="14"/>
  <c r="AL109" i="8"/>
  <c r="AL77" i="8"/>
  <c r="AL85" i="8"/>
  <c r="B15" i="5"/>
  <c r="AL75" i="8"/>
  <c r="H23" i="5"/>
  <c r="H24" i="5"/>
  <c r="H25" i="5"/>
  <c r="H21" i="5"/>
  <c r="H26" i="5"/>
  <c r="M17" i="7" a="1"/>
  <c r="M17" i="7" s="1"/>
  <c r="J115" i="14"/>
  <c r="K115" i="14"/>
  <c r="AL72" i="8"/>
  <c r="I115" i="14"/>
  <c r="AL70" i="8"/>
  <c r="AL33" i="8"/>
  <c r="AL25" i="8"/>
  <c r="AL22" i="8"/>
  <c r="AL15" i="8"/>
  <c r="AL12" i="8"/>
  <c r="AL5" i="8"/>
  <c r="K373" i="14"/>
  <c r="I373" i="14"/>
  <c r="J373" i="14"/>
  <c r="AK792" i="8"/>
  <c r="AL792" i="8" s="1"/>
  <c r="AK556" i="8"/>
  <c r="AL556" i="8" s="1"/>
  <c r="AK651" i="8"/>
  <c r="AL651" i="8" s="1"/>
  <c r="AK832" i="8"/>
  <c r="AL832" i="8" s="1"/>
  <c r="AK543" i="8"/>
  <c r="AL543" i="8" s="1"/>
  <c r="AK502" i="8"/>
  <c r="AL502" i="8" s="1"/>
  <c r="AK717" i="8"/>
  <c r="AL717" i="8" s="1"/>
  <c r="K329" i="14"/>
  <c r="I329" i="14"/>
  <c r="J329" i="14"/>
  <c r="AH896" i="8"/>
  <c r="AG896" i="8"/>
  <c r="AH872" i="8"/>
  <c r="AG872" i="8"/>
  <c r="AH902" i="8"/>
  <c r="AG902" i="8"/>
  <c r="AH886" i="8"/>
  <c r="AG886" i="8"/>
  <c r="AH870" i="8"/>
  <c r="AG870" i="8"/>
  <c r="AH897" i="8"/>
  <c r="AG897" i="8"/>
  <c r="AH904" i="8"/>
  <c r="AG904" i="8"/>
  <c r="AH888" i="8"/>
  <c r="AG888" i="8"/>
  <c r="AH880" i="8"/>
  <c r="AG880" i="8"/>
  <c r="AH903" i="8"/>
  <c r="AG903" i="8"/>
  <c r="AH895" i="8"/>
  <c r="AG895" i="8"/>
  <c r="AH887" i="8"/>
  <c r="AG887" i="8"/>
  <c r="AH879" i="8"/>
  <c r="AG879" i="8"/>
  <c r="AG871" i="8"/>
  <c r="AH871" i="8"/>
  <c r="AG892" i="8"/>
  <c r="AH892" i="8"/>
  <c r="AG867" i="8"/>
  <c r="AH867" i="8"/>
  <c r="AG899" i="8"/>
  <c r="AH899" i="8"/>
  <c r="AG891" i="8"/>
  <c r="AH891" i="8"/>
  <c r="AG883" i="8"/>
  <c r="AH883" i="8"/>
  <c r="AG875" i="8"/>
  <c r="AH875" i="8"/>
  <c r="AG866" i="8"/>
  <c r="AH866" i="8"/>
  <c r="AH894" i="8"/>
  <c r="AG894" i="8"/>
  <c r="AH878" i="8"/>
  <c r="AG878" i="8"/>
  <c r="AG901" i="8"/>
  <c r="AH901" i="8"/>
  <c r="AG893" i="8"/>
  <c r="AH893" i="8"/>
  <c r="AG885" i="8"/>
  <c r="AH885" i="8"/>
  <c r="AG877" i="8"/>
  <c r="AH877" i="8"/>
  <c r="AG869" i="8"/>
  <c r="AH869" i="8"/>
  <c r="AG900" i="8"/>
  <c r="AH900" i="8"/>
  <c r="AG884" i="8"/>
  <c r="AH884" i="8"/>
  <c r="AG876" i="8"/>
  <c r="AH876" i="8"/>
  <c r="AG898" i="8"/>
  <c r="AH898" i="8"/>
  <c r="AG890" i="8"/>
  <c r="AH890" i="8"/>
  <c r="AG882" i="8"/>
  <c r="AH882" i="8"/>
  <c r="AG874" i="8"/>
  <c r="AH874" i="8"/>
  <c r="AH865" i="8"/>
  <c r="AG865" i="8"/>
  <c r="AH889" i="8"/>
  <c r="AG889" i="8"/>
  <c r="AH881" i="8"/>
  <c r="AG881" i="8"/>
  <c r="AH873" i="8"/>
  <c r="AG873" i="8"/>
  <c r="AG868" i="8"/>
  <c r="AH868" i="8"/>
  <c r="P17" i="7"/>
  <c r="O17" i="7"/>
  <c r="H17" i="5"/>
  <c r="H14" i="5"/>
  <c r="H12" i="5"/>
  <c r="H16" i="5"/>
  <c r="H15" i="5"/>
  <c r="G5" i="7" l="1"/>
  <c r="F3" i="7"/>
  <c r="G3" i="7"/>
  <c r="F5" i="7"/>
  <c r="G4" i="7"/>
  <c r="E4" i="7"/>
  <c r="E5" i="7"/>
  <c r="E3" i="7"/>
  <c r="F4" i="7"/>
  <c r="E2" i="7"/>
  <c r="F2" i="7"/>
  <c r="G2" i="7"/>
  <c r="D3" i="17"/>
  <c r="H3" i="5" s="1"/>
  <c r="K523" i="14"/>
  <c r="I523" i="14"/>
  <c r="J523" i="14"/>
  <c r="K684" i="14"/>
  <c r="I684" i="14"/>
  <c r="J684" i="14"/>
  <c r="K17" i="7" l="1"/>
  <c r="L17" i="7"/>
  <c r="I17" i="7"/>
  <c r="H17" i="7"/>
  <c r="D17" i="7"/>
  <c r="J17" i="7"/>
  <c r="K671" i="14" l="1"/>
  <c r="K398" i="14"/>
  <c r="J398" i="14"/>
  <c r="I671" i="14"/>
  <c r="J671" i="14"/>
  <c r="I398" i="14"/>
  <c r="F3" i="17"/>
  <c r="E3" i="17"/>
  <c r="H22" i="5" l="1"/>
  <c r="I18" i="16"/>
  <c r="H18" i="16"/>
  <c r="G18" i="16"/>
  <c r="F17" i="7"/>
  <c r="G17" i="7"/>
  <c r="E17" i="7"/>
  <c r="N17" i="7"/>
  <c r="H13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9EE2D1-F822-48E4-AE0E-FCC39F79A324}" keepAlive="1" interval="5" name="Query - Stats" description="Connection to the 'Stats' query in the workbook." type="5" refreshedVersion="8" background="1" refreshOnLoad="1" saveData="1">
    <dbPr connection="Provider=Microsoft.Mashup.OleDb.1;Data Source=$Workbook$;Location=Stats;Extended Properties=&quot;&quot;" command="SELECT * FROM [Stat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<sst xmlns="http://schemas.openxmlformats.org/spreadsheetml/2006/main" count="6002" uniqueCount="1546">
  <si>
    <t>asOfDate</t>
  </si>
  <si>
    <t>allTime</t>
  </si>
  <si>
    <t>APP</t>
  </si>
  <si>
    <t>season</t>
  </si>
  <si>
    <t>W</t>
  </si>
  <si>
    <t>G</t>
  </si>
  <si>
    <t>firstName</t>
  </si>
  <si>
    <t>Ndu</t>
  </si>
  <si>
    <t>A</t>
  </si>
  <si>
    <t>lastName</t>
  </si>
  <si>
    <t>Okeke</t>
  </si>
  <si>
    <t>INV</t>
  </si>
  <si>
    <t>knownAs</t>
  </si>
  <si>
    <t>Chiagoziem</t>
  </si>
  <si>
    <t>MOTM</t>
  </si>
  <si>
    <t>nationality</t>
  </si>
  <si>
    <t>United States</t>
  </si>
  <si>
    <t>TOTW</t>
  </si>
  <si>
    <t>birthDate</t>
  </si>
  <si>
    <t>POTM</t>
  </si>
  <si>
    <t>POTY</t>
  </si>
  <si>
    <t>age</t>
  </si>
  <si>
    <t>height</t>
  </si>
  <si>
    <t>seasonHigh</t>
  </si>
  <si>
    <t>weight</t>
  </si>
  <si>
    <t>club</t>
  </si>
  <si>
    <t>position</t>
  </si>
  <si>
    <t>kitNumber</t>
  </si>
  <si>
    <t>weeklyWage</t>
  </si>
  <si>
    <t>playerValue</t>
  </si>
  <si>
    <t>seasonAVG</t>
  </si>
  <si>
    <t>strongFoot</t>
  </si>
  <si>
    <t>Right</t>
  </si>
  <si>
    <t>weakFoot</t>
  </si>
  <si>
    <t>attackRate</t>
  </si>
  <si>
    <t>defenseRate</t>
  </si>
  <si>
    <t>skillMoves</t>
  </si>
  <si>
    <t>matchHigh</t>
  </si>
  <si>
    <t>matchAVG</t>
  </si>
  <si>
    <t>titles</t>
  </si>
  <si>
    <t>status</t>
  </si>
  <si>
    <t>heightFeet</t>
  </si>
  <si>
    <t>heightInches</t>
  </si>
  <si>
    <t>weightPounds</t>
  </si>
  <si>
    <t>OVR</t>
  </si>
  <si>
    <t>PAC</t>
  </si>
  <si>
    <t>SHO</t>
  </si>
  <si>
    <t>PAS</t>
  </si>
  <si>
    <t>DRI</t>
  </si>
  <si>
    <t>DEF</t>
  </si>
  <si>
    <t>PHY</t>
  </si>
  <si>
    <t>weeklyWageEuro</t>
  </si>
  <si>
    <t>marketValueEuro</t>
  </si>
  <si>
    <t>weeklyWageUSD</t>
  </si>
  <si>
    <t>marketValueUSD</t>
  </si>
  <si>
    <t>2023/2024</t>
  </si>
  <si>
    <t>RM</t>
  </si>
  <si>
    <t>Medium</t>
  </si>
  <si>
    <t>2024/2025</t>
  </si>
  <si>
    <t>2025/2026</t>
  </si>
  <si>
    <t>RAM</t>
  </si>
  <si>
    <t>2026/2027</t>
  </si>
  <si>
    <t>2027/2028</t>
  </si>
  <si>
    <t>2028/2029</t>
  </si>
  <si>
    <t>2029/2030</t>
  </si>
  <si>
    <t>2030/2031</t>
  </si>
  <si>
    <t>2031/2032</t>
  </si>
  <si>
    <t>2032/2033</t>
  </si>
  <si>
    <t>2033/2034</t>
  </si>
  <si>
    <t>2034/2035</t>
  </si>
  <si>
    <t>2035/2036</t>
  </si>
  <si>
    <t>2036/2037</t>
  </si>
  <si>
    <t>2037/2038</t>
  </si>
  <si>
    <t>Latest</t>
  </si>
  <si>
    <t>date</t>
  </si>
  <si>
    <t>startTime</t>
  </si>
  <si>
    <t>weather</t>
  </si>
  <si>
    <t>stadium</t>
  </si>
  <si>
    <t>referee</t>
  </si>
  <si>
    <t>competition</t>
  </si>
  <si>
    <t>homeTeam</t>
  </si>
  <si>
    <t>awayTeam</t>
  </si>
  <si>
    <t>homeScore</t>
  </si>
  <si>
    <t>awayScore</t>
  </si>
  <si>
    <t>homePens</t>
  </si>
  <si>
    <t>awayPens</t>
  </si>
  <si>
    <t>YC</t>
  </si>
  <si>
    <t>RC</t>
  </si>
  <si>
    <t>MR</t>
  </si>
  <si>
    <t>compType</t>
  </si>
  <si>
    <t>exhibition</t>
  </si>
  <si>
    <t>compID</t>
  </si>
  <si>
    <t>userTeamID</t>
  </si>
  <si>
    <t>userTeam</t>
  </si>
  <si>
    <t>userTeamType</t>
  </si>
  <si>
    <t>userSide</t>
  </si>
  <si>
    <t>oppTeam</t>
  </si>
  <si>
    <t>oppTeamID</t>
  </si>
  <si>
    <t>oppTeamType</t>
  </si>
  <si>
    <t>userScore</t>
  </si>
  <si>
    <t>oppScore</t>
  </si>
  <si>
    <t>penalties</t>
  </si>
  <si>
    <t>userPens</t>
  </si>
  <si>
    <t>oppPens</t>
  </si>
  <si>
    <t>result</t>
  </si>
  <si>
    <t>margin</t>
  </si>
  <si>
    <t>label</t>
  </si>
  <si>
    <t>milestones</t>
  </si>
  <si>
    <t>N/A</t>
  </si>
  <si>
    <t>European International Cup</t>
  </si>
  <si>
    <t>KRC Genk</t>
  </si>
  <si>
    <t>Genoa</t>
  </si>
  <si>
    <t>Debut professional match; Debut appearance for Genk</t>
  </si>
  <si>
    <t>SV Werder Bremen</t>
  </si>
  <si>
    <t>FC Nantes</t>
  </si>
  <si>
    <t>Waldstadion</t>
  </si>
  <si>
    <t>1A Pro League</t>
  </si>
  <si>
    <t>KAS Eupen</t>
  </si>
  <si>
    <t>Debut in the 1A Pro League</t>
  </si>
  <si>
    <t>Town Park</t>
  </si>
  <si>
    <t>R. Union St.-G</t>
  </si>
  <si>
    <t>KVC Westerlo</t>
  </si>
  <si>
    <t>RWD Molenbeek</t>
  </si>
  <si>
    <t>Royal Antwerp FC</t>
  </si>
  <si>
    <t>Standard Liège</t>
  </si>
  <si>
    <t>1st career assist; 1st assist for Genk</t>
  </si>
  <si>
    <t>OH Leuven</t>
  </si>
  <si>
    <t>Dignity Health Sports Park</t>
  </si>
  <si>
    <t>International Friendly</t>
  </si>
  <si>
    <t>Qatar</t>
  </si>
  <si>
    <t>Debut appearance for United States</t>
  </si>
  <si>
    <t>Argentina</t>
  </si>
  <si>
    <t>STVV</t>
  </si>
  <si>
    <t>1st career goal; 1st goal for Genk</t>
  </si>
  <si>
    <t>UEFA Europa Conference League</t>
  </si>
  <si>
    <t>St. Pats</t>
  </si>
  <si>
    <t>Cercle Brugge</t>
  </si>
  <si>
    <t>1st career start; 1st start for Genk</t>
  </si>
  <si>
    <t>KV Kortrijk</t>
  </si>
  <si>
    <t>Fiorentina</t>
  </si>
  <si>
    <t>KV Mechelen</t>
  </si>
  <si>
    <t>Union Park Stadium</t>
  </si>
  <si>
    <t>Finland</t>
  </si>
  <si>
    <t>1st assist for United States</t>
  </si>
  <si>
    <t>Belgium</t>
  </si>
  <si>
    <t>KAA Gent</t>
  </si>
  <si>
    <t>Ferencvárosi TC</t>
  </si>
  <si>
    <t>Stade Municipal</t>
  </si>
  <si>
    <t>RSC Anderlecht</t>
  </si>
  <si>
    <t>Sp. Charleroi</t>
  </si>
  <si>
    <t>Club Brugge</t>
  </si>
  <si>
    <t>Wembley Stadium</t>
  </si>
  <si>
    <t>England</t>
  </si>
  <si>
    <t>1st start for United States</t>
  </si>
  <si>
    <t>Ghana</t>
  </si>
  <si>
    <t>Croky Cup</t>
  </si>
  <si>
    <t>Forest Park Stadium</t>
  </si>
  <si>
    <t>Stadion Neder</t>
  </si>
  <si>
    <t>Court Lane</t>
  </si>
  <si>
    <t>Rangers</t>
  </si>
  <si>
    <t>Ibrox Stadium</t>
  </si>
  <si>
    <t>Clear</t>
  </si>
  <si>
    <t>1st time wearing captain's armband</t>
  </si>
  <si>
    <t>Spain</t>
  </si>
  <si>
    <t>Czech Republic</t>
  </si>
  <si>
    <t>Sparta Rotterdam</t>
  </si>
  <si>
    <t>Pro League Play-Off</t>
  </si>
  <si>
    <t>Philips Stadion</t>
  </si>
  <si>
    <t>Champions Trophy</t>
  </si>
  <si>
    <t>Burnley</t>
  </si>
  <si>
    <t>CA Osasuna</t>
  </si>
  <si>
    <t>Debut appearance for Burnley; 1st assist for Burnley</t>
  </si>
  <si>
    <t>OL</t>
  </si>
  <si>
    <t>1st goal for Burnley</t>
  </si>
  <si>
    <t>Crystal Palace</t>
  </si>
  <si>
    <t>Turf Moor</t>
  </si>
  <si>
    <t>EFL Championship</t>
  </si>
  <si>
    <t>Blackburn Rovers</t>
  </si>
  <si>
    <t>Debut in the EFL Championship</t>
  </si>
  <si>
    <t>Sunderland</t>
  </si>
  <si>
    <t>Carabao Cup</t>
  </si>
  <si>
    <t>Exeter City</t>
  </si>
  <si>
    <t>Debut in the Carabao Cup</t>
  </si>
  <si>
    <t>Overcast</t>
  </si>
  <si>
    <t>QPR</t>
  </si>
  <si>
    <t>The Hawthorns</t>
  </si>
  <si>
    <t>Andy Davies</t>
  </si>
  <si>
    <t>West Brom</t>
  </si>
  <si>
    <t>Jeremy Simpson</t>
  </si>
  <si>
    <t>Sheffield Utd</t>
  </si>
  <si>
    <t>Molton Road</t>
  </si>
  <si>
    <t>Jacob Miles</t>
  </si>
  <si>
    <t>Blackpool</t>
  </si>
  <si>
    <t>James Bell</t>
  </si>
  <si>
    <t>Charlton Ath</t>
  </si>
  <si>
    <t>Partly Clear</t>
  </si>
  <si>
    <t>MKM Stadium</t>
  </si>
  <si>
    <t>Hull City</t>
  </si>
  <si>
    <t>Anthony Backhouse</t>
  </si>
  <si>
    <t>Bolton</t>
  </si>
  <si>
    <t>Elvisa Trto</t>
  </si>
  <si>
    <t>1st goal for United States</t>
  </si>
  <si>
    <t>Arijana Loraj</t>
  </si>
  <si>
    <t>Rain</t>
  </si>
  <si>
    <t>Stoke City FC Stadium</t>
  </si>
  <si>
    <t>Leigh Doughty</t>
  </si>
  <si>
    <t>Stoke City</t>
  </si>
  <si>
    <t>Swansea City</t>
  </si>
  <si>
    <t>Andrew Kitchen</t>
  </si>
  <si>
    <t>Coventry City</t>
  </si>
  <si>
    <t>Luton Town</t>
  </si>
  <si>
    <t>Matthew Mzizi</t>
  </si>
  <si>
    <t>Axeliane Clarke</t>
  </si>
  <si>
    <t>Poland</t>
  </si>
  <si>
    <t>Vicarage Road</t>
  </si>
  <si>
    <t>Stephen Martin</t>
  </si>
  <si>
    <t>Watford</t>
  </si>
  <si>
    <t>Josh Smith</t>
  </si>
  <si>
    <t>Fleetwood Town</t>
  </si>
  <si>
    <t>Matthew Donohue</t>
  </si>
  <si>
    <t>Bristol City</t>
  </si>
  <si>
    <t>Riverside Stadium</t>
  </si>
  <si>
    <t>Middlesbrough</t>
  </si>
  <si>
    <t>Regis Graver</t>
  </si>
  <si>
    <t>Croatia</t>
  </si>
  <si>
    <t>Preston</t>
  </si>
  <si>
    <t>Northern Ireland</t>
  </si>
  <si>
    <t>Ipswich</t>
  </si>
  <si>
    <t>St. Mary’s Stadium</t>
  </si>
  <si>
    <t>Southampton</t>
  </si>
  <si>
    <t>Cardiff City</t>
  </si>
  <si>
    <t>Kirklees Stadium</t>
  </si>
  <si>
    <t>Huddersfield</t>
  </si>
  <si>
    <t>Birmingham City</t>
  </si>
  <si>
    <t>Ivy Lane</t>
  </si>
  <si>
    <t>Millwall</t>
  </si>
  <si>
    <t>Cardiff City Stadium</t>
  </si>
  <si>
    <t>Dean Whitestone</t>
  </si>
  <si>
    <t>Geoff Eltringham</t>
  </si>
  <si>
    <t>1st career hat-trick; 1st hat-trick for Burnley</t>
  </si>
  <si>
    <t>David Webb</t>
  </si>
  <si>
    <t>Bramall Lane</t>
  </si>
  <si>
    <t>Peter Wright</t>
  </si>
  <si>
    <t>Emirates FA Cup</t>
  </si>
  <si>
    <t>Paul Tierney</t>
  </si>
  <si>
    <t>Sanderson Park</t>
  </si>
  <si>
    <t>Stuart Attwell</t>
  </si>
  <si>
    <t>Norwich</t>
  </si>
  <si>
    <t>Gavin Ward</t>
  </si>
  <si>
    <t>Robert Madley</t>
  </si>
  <si>
    <t>James Linington</t>
  </si>
  <si>
    <t>Vyacheslav Bondartchuk</t>
  </si>
  <si>
    <t>Mexico</t>
  </si>
  <si>
    <t>Leonidas Lambrakis</t>
  </si>
  <si>
    <t>Italy</t>
  </si>
  <si>
    <t>Swansea.com Stadium</t>
  </si>
  <si>
    <t>Loftus Road</t>
  </si>
  <si>
    <t>Oliver Langford</t>
  </si>
  <si>
    <t>Keith Stroud</t>
  </si>
  <si>
    <t>Red Bull Arena</t>
  </si>
  <si>
    <t>Baran Kocaoğul</t>
  </si>
  <si>
    <t>Bundesliga</t>
  </si>
  <si>
    <t>RB Leipzig</t>
  </si>
  <si>
    <t>Leverkusen</t>
  </si>
  <si>
    <t>MEWA ARENA</t>
  </si>
  <si>
    <t>Harald Fimmler</t>
  </si>
  <si>
    <t>1. FSV Mainz 05</t>
  </si>
  <si>
    <t>Franziska Hummelberg</t>
  </si>
  <si>
    <t>SC Freiburg</t>
  </si>
  <si>
    <t>Grant Lindum</t>
  </si>
  <si>
    <t>Ireland</t>
  </si>
  <si>
    <t>Volkswagen Arena</t>
  </si>
  <si>
    <t>VfL Wolfsburg</t>
  </si>
  <si>
    <t>Etihad Stadium</t>
  </si>
  <si>
    <t>UEFA Champions League</t>
  </si>
  <si>
    <t>Manchester City</t>
  </si>
  <si>
    <t>M'gladbach</t>
  </si>
  <si>
    <t>DFB-Pokal</t>
  </si>
  <si>
    <t>Holstein Kiel</t>
  </si>
  <si>
    <t>Hertha Berlin</t>
  </si>
  <si>
    <t>Joep Druppers</t>
  </si>
  <si>
    <t>OM</t>
  </si>
  <si>
    <t>Vonovia Ruhrstadion</t>
  </si>
  <si>
    <t>VfL Bochum</t>
  </si>
  <si>
    <t>Sweden</t>
  </si>
  <si>
    <t>Eastpoint Arena</t>
  </si>
  <si>
    <t>Norway</t>
  </si>
  <si>
    <t>Frankfurt</t>
  </si>
  <si>
    <t>Donbass Arena</t>
  </si>
  <si>
    <t>Flemming Fredskild</t>
  </si>
  <si>
    <t>Shakhtar Donetsk</t>
  </si>
  <si>
    <t>Vincent Lentvogt</t>
  </si>
  <si>
    <t>FC Bayern München</t>
  </si>
  <si>
    <t>MHPArena</t>
  </si>
  <si>
    <t>Maximilian Mehlbacher</t>
  </si>
  <si>
    <t>VfB Stuttgart</t>
  </si>
  <si>
    <t>Frieda Pranzlhain</t>
  </si>
  <si>
    <t>Borussia Dortmund</t>
  </si>
  <si>
    <t>Innes McKellar</t>
  </si>
  <si>
    <t>Snow</t>
  </si>
  <si>
    <t>wohninvest Weserstadion</t>
  </si>
  <si>
    <t>Wales</t>
  </si>
  <si>
    <t>La Bombonera</t>
  </si>
  <si>
    <t>Hamburger SV</t>
  </si>
  <si>
    <t>Dragoș Tismăneanu</t>
  </si>
  <si>
    <t>Jascha Zurheide</t>
  </si>
  <si>
    <t>FC Augsburg</t>
  </si>
  <si>
    <t>Orange Vélodrome</t>
  </si>
  <si>
    <t>RheinEnergieStadion</t>
  </si>
  <si>
    <t>Jannik Zöckler</t>
  </si>
  <si>
    <t>1. FC Köln</t>
  </si>
  <si>
    <t>Union Berlin</t>
  </si>
  <si>
    <t>PreZero Arena</t>
  </si>
  <si>
    <t>TSG Hoffenheim</t>
  </si>
  <si>
    <t>Europa-Park Stadion</t>
  </si>
  <si>
    <t>BayArena</t>
  </si>
  <si>
    <t>Hakan Bozbakan</t>
  </si>
  <si>
    <t>Nikodem Dworaczyk</t>
  </si>
  <si>
    <t>Fenerbahçe</t>
  </si>
  <si>
    <t>WWK Arena</t>
  </si>
  <si>
    <t>Stadion An der Alten Försterei</t>
  </si>
  <si>
    <t>Gavin Monksfield</t>
  </si>
  <si>
    <t>Signal Iduna Park</t>
  </si>
  <si>
    <t>Mălin Butacu</t>
  </si>
  <si>
    <t>Volksparkstadion</t>
  </si>
  <si>
    <t>Leonardo San Milano</t>
  </si>
  <si>
    <t>Deutsche Bank Park</t>
  </si>
  <si>
    <t>Vitor Secretario</t>
  </si>
  <si>
    <t>Paris SG</t>
  </si>
  <si>
    <t>Parc des Princes</t>
  </si>
  <si>
    <t>Arcibaldo Pombal</t>
  </si>
  <si>
    <t>Olympiastadion</t>
  </si>
  <si>
    <t>BORUSSIA-PARK</t>
  </si>
  <si>
    <t>O Dromo</t>
  </si>
  <si>
    <t>Men's International Cup</t>
  </si>
  <si>
    <t>Hungary</t>
  </si>
  <si>
    <t>El Libertador</t>
  </si>
  <si>
    <t>Germany</t>
  </si>
  <si>
    <t>Inaya Okech</t>
  </si>
  <si>
    <t>France</t>
  </si>
  <si>
    <t>Estadio Santiago Bernabéu</t>
  </si>
  <si>
    <t>Real Sociedad</t>
  </si>
  <si>
    <t>Stacey Pearson</t>
  </si>
  <si>
    <t>Udinese</t>
  </si>
  <si>
    <t>Iwona Małdowicz</t>
  </si>
  <si>
    <t>West Ham</t>
  </si>
  <si>
    <t>Düsseldorf</t>
  </si>
  <si>
    <t>New Zealand</t>
  </si>
  <si>
    <t>SV Darmstadt 98</t>
  </si>
  <si>
    <t>Hannover 96</t>
  </si>
  <si>
    <t>Ansgar von Hauenstein</t>
  </si>
  <si>
    <t>Mehmet Yıldıraz</t>
  </si>
  <si>
    <t>Stadion Olympik</t>
  </si>
  <si>
    <t>VELTINS-Arena</t>
  </si>
  <si>
    <t>FC Schalke 04</t>
  </si>
  <si>
    <t>Stadion Hanguk</t>
  </si>
  <si>
    <t>Düsseldorf-Arena</t>
  </si>
  <si>
    <t>FC St. Pauli</t>
  </si>
  <si>
    <t>team</t>
  </si>
  <si>
    <t>D</t>
  </si>
  <si>
    <t>L</t>
  </si>
  <si>
    <t>AVG</t>
  </si>
  <si>
    <t>Domestic League</t>
  </si>
  <si>
    <t>Domestic Cup</t>
  </si>
  <si>
    <t>Preseason Friendly</t>
  </si>
  <si>
    <t>Domestic League Play-off</t>
  </si>
  <si>
    <t>Continental Cup</t>
  </si>
  <si>
    <t>International Cup</t>
  </si>
  <si>
    <t>Total</t>
  </si>
  <si>
    <t>category</t>
  </si>
  <si>
    <t>description</t>
  </si>
  <si>
    <t>type</t>
  </si>
  <si>
    <t>appearances</t>
  </si>
  <si>
    <t>stat</t>
  </si>
  <si>
    <t>*</t>
  </si>
  <si>
    <t>wins</t>
  </si>
  <si>
    <t>goals</t>
  </si>
  <si>
    <t>assists</t>
  </si>
  <si>
    <t>goal involements</t>
  </si>
  <si>
    <t>Man of the Match</t>
  </si>
  <si>
    <t>award</t>
  </si>
  <si>
    <t>Team of the Week</t>
  </si>
  <si>
    <t>Player of the Month</t>
  </si>
  <si>
    <t>Player of the Year</t>
  </si>
  <si>
    <t>name</t>
  </si>
  <si>
    <t>nation</t>
  </si>
  <si>
    <t>teamType</t>
  </si>
  <si>
    <t>teamID</t>
  </si>
  <si>
    <t>startDate</t>
  </si>
  <si>
    <t>endDate</t>
  </si>
  <si>
    <t>relevant</t>
  </si>
  <si>
    <t>Club</t>
  </si>
  <si>
    <t>1. FC Magdeburg</t>
  </si>
  <si>
    <t>1. FC Nürnberg</t>
  </si>
  <si>
    <t>1860 München</t>
  </si>
  <si>
    <t>9 de Octubre FC</t>
  </si>
  <si>
    <t>Ecuador</t>
  </si>
  <si>
    <t>AaB</t>
  </si>
  <si>
    <t>Denmark</t>
  </si>
  <si>
    <t>Aalesunds FK</t>
  </si>
  <si>
    <t>Aberdeen</t>
  </si>
  <si>
    <t>Scotland</t>
  </si>
  <si>
    <t>Abha Club</t>
  </si>
  <si>
    <t>Saudi Arabia</t>
  </si>
  <si>
    <t>AC Ajaccio</t>
  </si>
  <si>
    <t>AC Horsens</t>
  </si>
  <si>
    <t>Accrington</t>
  </si>
  <si>
    <t>Adana Demirspor</t>
  </si>
  <si>
    <t>Turkey</t>
  </si>
  <si>
    <t>Adelaide United</t>
  </si>
  <si>
    <t>Australia</t>
  </si>
  <si>
    <t>adidas All-Star</t>
  </si>
  <si>
    <t>Special</t>
  </si>
  <si>
    <t>Admira Wacker</t>
  </si>
  <si>
    <t>Austria</t>
  </si>
  <si>
    <t>AEK Athens</t>
  </si>
  <si>
    <t>Greece</t>
  </si>
  <si>
    <t>AFC Bournemouth</t>
  </si>
  <si>
    <t>AFC Chindia</t>
  </si>
  <si>
    <t>Romania</t>
  </si>
  <si>
    <t>AFC Wimbledon</t>
  </si>
  <si>
    <t>AGF</t>
  </si>
  <si>
    <t>AIK</t>
  </si>
  <si>
    <t>AJ Auxerre</t>
  </si>
  <si>
    <t>Ajax</t>
  </si>
  <si>
    <t>Netherlands</t>
  </si>
  <si>
    <t>Al Adalah</t>
  </si>
  <si>
    <t>Al Ain FC</t>
  </si>
  <si>
    <t>United Arab Emirates</t>
  </si>
  <si>
    <t>Al Batin</t>
  </si>
  <si>
    <t>Al Fateh</t>
  </si>
  <si>
    <t>Al Fayha</t>
  </si>
  <si>
    <t>Al Hilal</t>
  </si>
  <si>
    <t>Al Ittihad</t>
  </si>
  <si>
    <t>Al Khaleej</t>
  </si>
  <si>
    <t>Al Nassr</t>
  </si>
  <si>
    <t>Al Raed</t>
  </si>
  <si>
    <t>Al Shabab</t>
  </si>
  <si>
    <t>Al Taawoun</t>
  </si>
  <si>
    <t>Al Tai</t>
  </si>
  <si>
    <t>Al Wehda</t>
  </si>
  <si>
    <t>Alanyaspor</t>
  </si>
  <si>
    <t>Albacete BP</t>
  </si>
  <si>
    <t>Aldosivi</t>
  </si>
  <si>
    <t>Alianza Lima</t>
  </si>
  <si>
    <t>Peru</t>
  </si>
  <si>
    <t>Always Ready</t>
  </si>
  <si>
    <t>Bolivia</t>
  </si>
  <si>
    <t>América de Cali</t>
  </si>
  <si>
    <t>Colombia</t>
  </si>
  <si>
    <t>América Mineiro</t>
  </si>
  <si>
    <t>Brazil</t>
  </si>
  <si>
    <t>Amiens SC</t>
  </si>
  <si>
    <t>Angers SCO</t>
  </si>
  <si>
    <t>Antalyaspor</t>
  </si>
  <si>
    <t>Antofagasta</t>
  </si>
  <si>
    <t>Chile</t>
  </si>
  <si>
    <t>Apoel FC</t>
  </si>
  <si>
    <t>Cyprus</t>
  </si>
  <si>
    <t>National</t>
  </si>
  <si>
    <t>Argentinos Jrs.</t>
  </si>
  <si>
    <t>Arminia Bielefeld</t>
  </si>
  <si>
    <t>Arouca</t>
  </si>
  <si>
    <t>Portugal</t>
  </si>
  <si>
    <t>Arsenal</t>
  </si>
  <si>
    <t>Arsenal Fútbol Club</t>
  </si>
  <si>
    <t>AS Monaco</t>
  </si>
  <si>
    <t>AS Saint-Étienne</t>
  </si>
  <si>
    <t>Ascoli</t>
  </si>
  <si>
    <t>Aston Villa</t>
  </si>
  <si>
    <t>Athletic Club</t>
  </si>
  <si>
    <t>Athletico-PR</t>
  </si>
  <si>
    <t>ATK Mohun Bagan</t>
  </si>
  <si>
    <t>India</t>
  </si>
  <si>
    <t>Atl. Nacional</t>
  </si>
  <si>
    <t>Atlanta United</t>
  </si>
  <si>
    <t>Atlético de Madrid</t>
  </si>
  <si>
    <t>Atlético Mineiro</t>
  </si>
  <si>
    <t>Atlético Tucumán</t>
  </si>
  <si>
    <t>Atlético-GO</t>
  </si>
  <si>
    <t>Austin FC</t>
  </si>
  <si>
    <t>Austria Klagenfurt</t>
  </si>
  <si>
    <t>Ayacucho</t>
  </si>
  <si>
    <t>AZ</t>
  </si>
  <si>
    <t>B. Dortmund II</t>
  </si>
  <si>
    <t>Banfield</t>
  </si>
  <si>
    <t>Barcelona SC</t>
  </si>
  <si>
    <t>Bari</t>
  </si>
  <si>
    <t>Barnsley</t>
  </si>
  <si>
    <t>Barracas Central</t>
  </si>
  <si>
    <t>Barrow</t>
  </si>
  <si>
    <t>Başakşehir</t>
  </si>
  <si>
    <t>Beijing Guoan</t>
  </si>
  <si>
    <t>China</t>
  </si>
  <si>
    <t>Benevento</t>
  </si>
  <si>
    <t>Bengaluru FC</t>
  </si>
  <si>
    <t>Bergamo Calcio**</t>
  </si>
  <si>
    <t>Beşiktaş</t>
  </si>
  <si>
    <t>BK Häcken</t>
  </si>
  <si>
    <t>Boavista FC</t>
  </si>
  <si>
    <t>Boca Juniors</t>
  </si>
  <si>
    <t>Bohemian FC</t>
  </si>
  <si>
    <t>Bologna</t>
  </si>
  <si>
    <t>Bordeaux</t>
  </si>
  <si>
    <t>Bradford City</t>
  </si>
  <si>
    <t>Braunschweig</t>
  </si>
  <si>
    <t>Brentford</t>
  </si>
  <si>
    <t>Brescia</t>
  </si>
  <si>
    <t>Brighton</t>
  </si>
  <si>
    <t>Brisbane Roar</t>
  </si>
  <si>
    <t>Bristol Rovers</t>
  </si>
  <si>
    <t>Brøndby IF</t>
  </si>
  <si>
    <t>BSC Young Boys</t>
  </si>
  <si>
    <t>Switzerland</t>
  </si>
  <si>
    <t>Burgos CF</t>
  </si>
  <si>
    <t>Burton Albion</t>
  </si>
  <si>
    <t>Cádiz CF</t>
  </si>
  <si>
    <t>Cagliari</t>
  </si>
  <si>
    <t>Cambridge Utd</t>
  </si>
  <si>
    <t>Canada</t>
  </si>
  <si>
    <t>Cangzhou FC</t>
  </si>
  <si>
    <t>Caracas F.C.</t>
  </si>
  <si>
    <t>Venezuela</t>
  </si>
  <si>
    <t>Carlisle United</t>
  </si>
  <si>
    <t>Casa Pia AC</t>
  </si>
  <si>
    <t>CD Leganés</t>
  </si>
  <si>
    <t>CD Lugo</t>
  </si>
  <si>
    <t>CD Mirandés</t>
  </si>
  <si>
    <t>CD Tenerife</t>
  </si>
  <si>
    <t>Ceará SC</t>
  </si>
  <si>
    <t>Celtic</t>
  </si>
  <si>
    <t>Central Coast</t>
  </si>
  <si>
    <t>Central Córdoba</t>
  </si>
  <si>
    <t>Cerro Largo</t>
  </si>
  <si>
    <t>Uruguay</t>
  </si>
  <si>
    <t>Cerro Porteño</t>
  </si>
  <si>
    <t>Paraguay</t>
  </si>
  <si>
    <t>CF Montréal</t>
  </si>
  <si>
    <t>CFR 1907 Cluj</t>
  </si>
  <si>
    <t>Changchun Yatai</t>
  </si>
  <si>
    <t>Charlotte FC</t>
  </si>
  <si>
    <t>Chelsea</t>
  </si>
  <si>
    <t>Cheltenham Town</t>
  </si>
  <si>
    <t>Chennaiyin FC</t>
  </si>
  <si>
    <t>Chicago Fire FC</t>
  </si>
  <si>
    <t>China PR</t>
  </si>
  <si>
    <t>Cienciano</t>
  </si>
  <si>
    <t>Cittadella</t>
  </si>
  <si>
    <t>Clermont Foot 63</t>
  </si>
  <si>
    <t>Club Nacional</t>
  </si>
  <si>
    <t>Colchester</t>
  </si>
  <si>
    <t>Colo-Colo</t>
  </si>
  <si>
    <t>Colón</t>
  </si>
  <si>
    <t>Colorado Rapids</t>
  </si>
  <si>
    <t>Columbus Crew</t>
  </si>
  <si>
    <t>Como</t>
  </si>
  <si>
    <t>Corinthians</t>
  </si>
  <si>
    <t>Cosenza</t>
  </si>
  <si>
    <t>Cracovia</t>
  </si>
  <si>
    <t>Crawley Town</t>
  </si>
  <si>
    <t>Cremonese</t>
  </si>
  <si>
    <t>Crewe Alexandra</t>
  </si>
  <si>
    <t>CS Emelec</t>
  </si>
  <si>
    <t>CS Mioveni</t>
  </si>
  <si>
    <t>Cuiabá</t>
  </si>
  <si>
    <t>D. Alavés</t>
  </si>
  <si>
    <t>D.C. United</t>
  </si>
  <si>
    <t>Daegu FC</t>
  </si>
  <si>
    <t>Korea Republic</t>
  </si>
  <si>
    <t>Dalian Pro</t>
  </si>
  <si>
    <t>Damac FC</t>
  </si>
  <si>
    <t>Defensa</t>
  </si>
  <si>
    <t>Degerfors IF</t>
  </si>
  <si>
    <t>Delfín S.C.</t>
  </si>
  <si>
    <t>Dep. La Guaira</t>
  </si>
  <si>
    <t>Dep. Táchira</t>
  </si>
  <si>
    <t>Deportes Tolima</t>
  </si>
  <si>
    <t>Deportivo Cali</t>
  </si>
  <si>
    <t>Derby County</t>
  </si>
  <si>
    <t>Derry City</t>
  </si>
  <si>
    <t>Dijon FCO</t>
  </si>
  <si>
    <t>Dinamo Zagreb</t>
  </si>
  <si>
    <t>Djurgårdens IF</t>
  </si>
  <si>
    <t>Doncaster</t>
  </si>
  <si>
    <t>Drogheda United</t>
  </si>
  <si>
    <t>Dundalk</t>
  </si>
  <si>
    <t>Dundee United</t>
  </si>
  <si>
    <t>Dynamo Dresden</t>
  </si>
  <si>
    <t>Dynamo Kyiv</t>
  </si>
  <si>
    <t>Ukraine</t>
  </si>
  <si>
    <t>East Bengal</t>
  </si>
  <si>
    <t>Elche CF</t>
  </si>
  <si>
    <t>Empoli</t>
  </si>
  <si>
    <t>En Avant Guingamp</t>
  </si>
  <si>
    <t>Est. de Mérida</t>
  </si>
  <si>
    <t>ESTAC Troyes</t>
  </si>
  <si>
    <t>Estoril Praia</t>
  </si>
  <si>
    <t>Estudiantes</t>
  </si>
  <si>
    <t>Ettifaq FC</t>
  </si>
  <si>
    <t>Everton</t>
  </si>
  <si>
    <t>Everton de Viña</t>
  </si>
  <si>
    <t>Excelsior</t>
  </si>
  <si>
    <t>F.C. København</t>
  </si>
  <si>
    <t>Farul Constanța</t>
  </si>
  <si>
    <t>FBC Melgar</t>
  </si>
  <si>
    <t>FC Andorra</t>
  </si>
  <si>
    <t>FC Annecy</t>
  </si>
  <si>
    <t>FC Argeș</t>
  </si>
  <si>
    <t>FC Barcelona</t>
  </si>
  <si>
    <t>FC Basel 1893</t>
  </si>
  <si>
    <t>FC Botoșani</t>
  </si>
  <si>
    <t>FC Cartagena</t>
  </si>
  <si>
    <t>FC Cincinnati</t>
  </si>
  <si>
    <t>FC Dallas</t>
  </si>
  <si>
    <t>FC Emmen</t>
  </si>
  <si>
    <t>FC Erzgebirge Aue</t>
  </si>
  <si>
    <t>FC Famalicão</t>
  </si>
  <si>
    <t>FC Goa</t>
  </si>
  <si>
    <t>FC Groningen</t>
  </si>
  <si>
    <t>FC Hermannstadt</t>
  </si>
  <si>
    <t>FC Ingolstadt 04</t>
  </si>
  <si>
    <t>FC Lorient</t>
  </si>
  <si>
    <t>FC Lugano</t>
  </si>
  <si>
    <t>FC Luzern</t>
  </si>
  <si>
    <t>FC Metz</t>
  </si>
  <si>
    <t>FC Midtjylland</t>
  </si>
  <si>
    <t>FC Nordsjælland</t>
  </si>
  <si>
    <t>FC Petrolul</t>
  </si>
  <si>
    <t>FC Porto</t>
  </si>
  <si>
    <t>FC Rapid 1923</t>
  </si>
  <si>
    <t>FC Seoul</t>
  </si>
  <si>
    <t>FC Sion</t>
  </si>
  <si>
    <t>FC St. Gallen</t>
  </si>
  <si>
    <t>FC Twente</t>
  </si>
  <si>
    <t>FC Univ. Cluj</t>
  </si>
  <si>
    <t>FC Utrecht</t>
  </si>
  <si>
    <t>FC Vizela</t>
  </si>
  <si>
    <t>FC Volendam</t>
  </si>
  <si>
    <t>FC Voluntari</t>
  </si>
  <si>
    <t>FC Winterthur</t>
  </si>
  <si>
    <t>FC Zürich</t>
  </si>
  <si>
    <t>FCSB</t>
  </si>
  <si>
    <t>FCSM</t>
  </si>
  <si>
    <t>FCU 1948</t>
  </si>
  <si>
    <t>Feyenoord</t>
  </si>
  <si>
    <t>Finn Harps</t>
  </si>
  <si>
    <t>FK Austria Wien</t>
  </si>
  <si>
    <t>FK Bodø/Glimt</t>
  </si>
  <si>
    <t>FK Haugesund</t>
  </si>
  <si>
    <t>FK Jerv</t>
  </si>
  <si>
    <t>Flamengo</t>
  </si>
  <si>
    <t>Fluminense</t>
  </si>
  <si>
    <t>Forest Green</t>
  </si>
  <si>
    <t>Fortaleza</t>
  </si>
  <si>
    <t>Fortuna Sittard</t>
  </si>
  <si>
    <t>Frosinone</t>
  </si>
  <si>
    <t>FSV Zwickau</t>
  </si>
  <si>
    <t>Fulham</t>
  </si>
  <si>
    <t>Fürth </t>
  </si>
  <si>
    <t>Galatasaray</t>
  </si>
  <si>
    <t>Gangwon FC</t>
  </si>
  <si>
    <t>Gaziantep</t>
  </si>
  <si>
    <t>GD Chaves</t>
  </si>
  <si>
    <t>Getafe CF</t>
  </si>
  <si>
    <t>GIF Sundsvall</t>
  </si>
  <si>
    <t>Gil Vicente</t>
  </si>
  <si>
    <t>Gillingham</t>
  </si>
  <si>
    <t>Gimcheon Sangmu</t>
  </si>
  <si>
    <t>Gimnasia</t>
  </si>
  <si>
    <t>Giresunspor</t>
  </si>
  <si>
    <t>Girona FC</t>
  </si>
  <si>
    <t>Go Ahead Eagles</t>
  </si>
  <si>
    <t>Godoy Cruz</t>
  </si>
  <si>
    <t>Górnik Zabrze</t>
  </si>
  <si>
    <t>Gral. Caballero</t>
  </si>
  <si>
    <t>Granada CF</t>
  </si>
  <si>
    <t>Grasshopper Club</t>
  </si>
  <si>
    <t>Grenoble Foot 38</t>
  </si>
  <si>
    <t>Grimsby Town</t>
  </si>
  <si>
    <t>Guabirá</t>
  </si>
  <si>
    <t>Guaireña</t>
  </si>
  <si>
    <t>Guangzhou City</t>
  </si>
  <si>
    <t>Guangzhou FC</t>
  </si>
  <si>
    <t>Hajduk Split</t>
  </si>
  <si>
    <t>Hallescher FC</t>
  </si>
  <si>
    <t>HamKam Fotball</t>
  </si>
  <si>
    <t>Hammarby IF</t>
  </si>
  <si>
    <t>Hansa Rostock</t>
  </si>
  <si>
    <t>Harrogate Town</t>
  </si>
  <si>
    <t>Hartlepool</t>
  </si>
  <si>
    <t>Hatayspor</t>
  </si>
  <si>
    <t>Havre AC</t>
  </si>
  <si>
    <t>Hearts</t>
  </si>
  <si>
    <t>Hebei FC</t>
  </si>
  <si>
    <t>Heidenheim</t>
  </si>
  <si>
    <t>Hellas Verona</t>
  </si>
  <si>
    <t>Helsingborgs IF</t>
  </si>
  <si>
    <t>Henan SSLM FC</t>
  </si>
  <si>
    <t>Hibernian</t>
  </si>
  <si>
    <t>HJK Helsinki</t>
  </si>
  <si>
    <t>Hnos. Colmenárez</t>
  </si>
  <si>
    <t>Houston Dynamo</t>
  </si>
  <si>
    <t>Huracán</t>
  </si>
  <si>
    <t>Hyderabad FC</t>
  </si>
  <si>
    <t>Iceland</t>
  </si>
  <si>
    <t>IF Elfsborg</t>
  </si>
  <si>
    <t>IFK Göteborg</t>
  </si>
  <si>
    <t>IFK Norrköping</t>
  </si>
  <si>
    <t>IFK Värnamo</t>
  </si>
  <si>
    <t>IK Sirius</t>
  </si>
  <si>
    <t>Incheon United</t>
  </si>
  <si>
    <t>Ind. Petrolero</t>
  </si>
  <si>
    <t>Indep. Medellín</t>
  </si>
  <si>
    <t>Independiente</t>
  </si>
  <si>
    <t>Independiente DV</t>
  </si>
  <si>
    <t>Inter</t>
  </si>
  <si>
    <t>Inter Miami CF</t>
  </si>
  <si>
    <t>Internacional</t>
  </si>
  <si>
    <t>İstanbulspor</t>
  </si>
  <si>
    <t>Jagiellonia</t>
  </si>
  <si>
    <t>Jahn Regensburg</t>
  </si>
  <si>
    <t>Jamshedpur FC</t>
  </si>
  <si>
    <t>Jeju United</t>
  </si>
  <si>
    <t>Jeonbuk Hyundai</t>
  </si>
  <si>
    <t>Junior</t>
  </si>
  <si>
    <t>Juventus</t>
  </si>
  <si>
    <t>Kaiserslautern</t>
  </si>
  <si>
    <t>Kaizer Chiefs</t>
  </si>
  <si>
    <t>South Africa</t>
  </si>
  <si>
    <t>Kalmar FF</t>
  </si>
  <si>
    <t>Karagümrük SK</t>
  </si>
  <si>
    <t>Karlsruher SC</t>
  </si>
  <si>
    <t>Kasımpaşa</t>
  </si>
  <si>
    <t>Kayserispor</t>
  </si>
  <si>
    <t>Kerala Blasters</t>
  </si>
  <si>
    <t>Kilmarnock</t>
  </si>
  <si>
    <t>Konyaspor</t>
  </si>
  <si>
    <t>Korona Kielce</t>
  </si>
  <si>
    <t>Kristiansund BK</t>
  </si>
  <si>
    <t>KV Oostende</t>
  </si>
  <si>
    <t>La Equidad</t>
  </si>
  <si>
    <t>LA Galaxy</t>
  </si>
  <si>
    <t>LAFC</t>
  </si>
  <si>
    <t>Lanús</t>
  </si>
  <si>
    <t>LASK</t>
  </si>
  <si>
    <t>Latium**</t>
  </si>
  <si>
    <t>LDU Quito</t>
  </si>
  <si>
    <t>Lecce</t>
  </si>
  <si>
    <t>Lech Poznań</t>
  </si>
  <si>
    <t>Lechia Gdańsk</t>
  </si>
  <si>
    <t>Leeds United</t>
  </si>
  <si>
    <t>Legia Warszawa</t>
  </si>
  <si>
    <t>Leicester City</t>
  </si>
  <si>
    <t>Levante UD</t>
  </si>
  <si>
    <t>Leyton Orient</t>
  </si>
  <si>
    <t>Libertad</t>
  </si>
  <si>
    <t>Lillestrøm SK</t>
  </si>
  <si>
    <t>Lincoln City</t>
  </si>
  <si>
    <t>Liverpool</t>
  </si>
  <si>
    <t>Liverpool F.C.</t>
  </si>
  <si>
    <t>Livingston</t>
  </si>
  <si>
    <t>LOSC Lille</t>
  </si>
  <si>
    <t>Lyngby BK</t>
  </si>
  <si>
    <t>Macarthur FC</t>
  </si>
  <si>
    <t>Málaga CF</t>
  </si>
  <si>
    <t>Malmö FF</t>
  </si>
  <si>
    <t>Mamelodi Sundowns</t>
  </si>
  <si>
    <t>Manchester Utd</t>
  </si>
  <si>
    <t>Mansfield Town</t>
  </si>
  <si>
    <t>Marítimo</t>
  </si>
  <si>
    <t>Meizhou Hakka</t>
  </si>
  <si>
    <t>Melb. Victory</t>
  </si>
  <si>
    <t>Melbourne City</t>
  </si>
  <si>
    <t>Metropolitanos</t>
  </si>
  <si>
    <t>Miedź Legnica</t>
  </si>
  <si>
    <t>Milan</t>
  </si>
  <si>
    <t>Minnesota United</t>
  </si>
  <si>
    <t>Mjällby AIF</t>
  </si>
  <si>
    <t>MK Dons</t>
  </si>
  <si>
    <t>MKE Ankaragücü</t>
  </si>
  <si>
    <t>MLS All Stars</t>
  </si>
  <si>
    <t>Modena</t>
  </si>
  <si>
    <t>Molde FK</t>
  </si>
  <si>
    <t>Montpellier</t>
  </si>
  <si>
    <t>Monza</t>
  </si>
  <si>
    <t>Morecambe</t>
  </si>
  <si>
    <t>Morocco</t>
  </si>
  <si>
    <t>Motherwell</t>
  </si>
  <si>
    <t>MSV Duisburg</t>
  </si>
  <si>
    <t>Mumbai City FC</t>
  </si>
  <si>
    <t>Mushuc Runa</t>
  </si>
  <si>
    <t>N.E.C. Nijmegen</t>
  </si>
  <si>
    <t>Nacional</t>
  </si>
  <si>
    <t>Napoli FC**</t>
  </si>
  <si>
    <t>Nashville SC</t>
  </si>
  <si>
    <t>New England</t>
  </si>
  <si>
    <t>New York City FC</t>
  </si>
  <si>
    <t>Newcastle Jets</t>
  </si>
  <si>
    <t>Newcastle Utd</t>
  </si>
  <si>
    <t>Newell's</t>
  </si>
  <si>
    <t>Newport County</t>
  </si>
  <si>
    <t>Nîmes Olympique</t>
  </si>
  <si>
    <t>Niort</t>
  </si>
  <si>
    <t>Northampton</t>
  </si>
  <si>
    <t>NorthEast United</t>
  </si>
  <si>
    <t>Nott'm Forest</t>
  </si>
  <si>
    <t>Notts County</t>
  </si>
  <si>
    <t>Ñublense</t>
  </si>
  <si>
    <t>O. Petrolero</t>
  </si>
  <si>
    <t>Odds BK</t>
  </si>
  <si>
    <t>Odense BK</t>
  </si>
  <si>
    <t>Odisha FC</t>
  </si>
  <si>
    <t>OGC Nice</t>
  </si>
  <si>
    <t>Olimpia</t>
  </si>
  <si>
    <t>Orlando City</t>
  </si>
  <si>
    <t>Orlando Pirates</t>
  </si>
  <si>
    <t>Oxford United</t>
  </si>
  <si>
    <t>Paços Ferreira</t>
  </si>
  <si>
    <t>Palermo</t>
  </si>
  <si>
    <t>Palmeiras</t>
  </si>
  <si>
    <t>Panathinaikos</t>
  </si>
  <si>
    <t>PAOK FC</t>
  </si>
  <si>
    <t>Paris FC</t>
  </si>
  <si>
    <t>Parma</t>
  </si>
  <si>
    <t>Patronato</t>
  </si>
  <si>
    <t>Pau FC</t>
  </si>
  <si>
    <t>Peñarol</t>
  </si>
  <si>
    <t>Perth Glory</t>
  </si>
  <si>
    <t>Perugia</t>
  </si>
  <si>
    <t>Peterborough</t>
  </si>
  <si>
    <t>Philadelphia</t>
  </si>
  <si>
    <t>Piast Gliwice</t>
  </si>
  <si>
    <t>Pisa</t>
  </si>
  <si>
    <t>Platense</t>
  </si>
  <si>
    <t>Plymouth Argyle</t>
  </si>
  <si>
    <t>Pogoń Szczecin</t>
  </si>
  <si>
    <t>Pohang Steelers</t>
  </si>
  <si>
    <t>Port Vale</t>
  </si>
  <si>
    <t>Portimonense SC</t>
  </si>
  <si>
    <t>Portland Timbers</t>
  </si>
  <si>
    <t>Portsmouth</t>
  </si>
  <si>
    <t>PSV</t>
  </si>
  <si>
    <t>Quevilly Rouen</t>
  </si>
  <si>
    <t>R. Oviedo</t>
  </si>
  <si>
    <t>R. Racing Club</t>
  </si>
  <si>
    <t>R. Sporting</t>
  </si>
  <si>
    <t>R. Valladolid CF</t>
  </si>
  <si>
    <t>Racing Club</t>
  </si>
  <si>
    <t>Radomiak Radom</t>
  </si>
  <si>
    <t>Raków</t>
  </si>
  <si>
    <t>Randers FC</t>
  </si>
  <si>
    <t>Rayo Vallecano</t>
  </si>
  <si>
    <t>RB Bragantino</t>
  </si>
  <si>
    <t>RB Salzburg</t>
  </si>
  <si>
    <t>RC Celta</t>
  </si>
  <si>
    <t>RC Lens</t>
  </si>
  <si>
    <t>RCD Espanyol</t>
  </si>
  <si>
    <t>RCD Mallorca</t>
  </si>
  <si>
    <t>Reading</t>
  </si>
  <si>
    <t>Real Betis</t>
  </si>
  <si>
    <t>Real Madrid</t>
  </si>
  <si>
    <t>Real Salt Lake</t>
  </si>
  <si>
    <t>Real Zaragoza</t>
  </si>
  <si>
    <t>Red Bulls</t>
  </si>
  <si>
    <t>Reggina</t>
  </si>
  <si>
    <t>RFC Seraing</t>
  </si>
  <si>
    <t>Rio Ave FC</t>
  </si>
  <si>
    <t>River Plate</t>
  </si>
  <si>
    <t>RKC Waalwijk</t>
  </si>
  <si>
    <t>Rochdale</t>
  </si>
  <si>
    <t>Rodez AF</t>
  </si>
  <si>
    <t>Roma FC**</t>
  </si>
  <si>
    <t>Rongcheng FC</t>
  </si>
  <si>
    <t>Rosario Central</t>
  </si>
  <si>
    <t>Rosenborg BK</t>
  </si>
  <si>
    <t>Ross County</t>
  </si>
  <si>
    <t>Rotherham Utd</t>
  </si>
  <si>
    <t>Rot-Weiss Essen</t>
  </si>
  <si>
    <t>Royal Pari</t>
  </si>
  <si>
    <t>Saarbrücken</t>
  </si>
  <si>
    <t>Salernitana</t>
  </si>
  <si>
    <t>Salford City</t>
  </si>
  <si>
    <t>Sampdoria</t>
  </si>
  <si>
    <t>San Lorenzo</t>
  </si>
  <si>
    <t>Sandefjord</t>
  </si>
  <si>
    <t>Santa Clara</t>
  </si>
  <si>
    <t>Santos</t>
  </si>
  <si>
    <t>São Paulo</t>
  </si>
  <si>
    <t>Sarmiento</t>
  </si>
  <si>
    <t>Sarpsborg 08</t>
  </si>
  <si>
    <t>Sassuolo</t>
  </si>
  <si>
    <t>SC Austria</t>
  </si>
  <si>
    <t>SC Bastia</t>
  </si>
  <si>
    <t>SC Braga</t>
  </si>
  <si>
    <t>SC Cambuur</t>
  </si>
  <si>
    <t>SC Freiburg II</t>
  </si>
  <si>
    <t>sc Heerenveen</t>
  </si>
  <si>
    <t>SC Paderborn 07</t>
  </si>
  <si>
    <t>SC Verl</t>
  </si>
  <si>
    <t>SCR Altach</t>
  </si>
  <si>
    <t>SD Eibar</t>
  </si>
  <si>
    <t>SD Huesca</t>
  </si>
  <si>
    <t>SD Ponferradina</t>
  </si>
  <si>
    <t>Seongnam FC</t>
  </si>
  <si>
    <t>Sepsi OSK</t>
  </si>
  <si>
    <t>Servette FC</t>
  </si>
  <si>
    <t>Sevilla FC</t>
  </si>
  <si>
    <t>Shamrock Rovers</t>
  </si>
  <si>
    <t>Shandong Taishan</t>
  </si>
  <si>
    <t>Shanghai Port</t>
  </si>
  <si>
    <t>Shanghai Shenhua</t>
  </si>
  <si>
    <t>Sheffield Wed</t>
  </si>
  <si>
    <t>Shelbourne</t>
  </si>
  <si>
    <t>Shenzhen FC</t>
  </si>
  <si>
    <t>Shrewsbury</t>
  </si>
  <si>
    <t>Silkeborg IF</t>
  </si>
  <si>
    <t>Sivasspor</t>
  </si>
  <si>
    <t>SJ Earthquakes</t>
  </si>
  <si>
    <t>SK Rapid Wien</t>
  </si>
  <si>
    <t>SK Sturm Graz</t>
  </si>
  <si>
    <t>SL Benfica</t>
  </si>
  <si>
    <t>Śląsk Wrocław</t>
  </si>
  <si>
    <t>Slavia Praha</t>
  </si>
  <si>
    <t>Sligo Rovers</t>
  </si>
  <si>
    <t>SM Caen</t>
  </si>
  <si>
    <t>Soccer Aid</t>
  </si>
  <si>
    <t>Sol de América</t>
  </si>
  <si>
    <t>Sounders FC</t>
  </si>
  <si>
    <t>SPAL</t>
  </si>
  <si>
    <t>Sparta Praha</t>
  </si>
  <si>
    <t>Spezia</t>
  </si>
  <si>
    <t>Sport Boys</t>
  </si>
  <si>
    <t>Sporting CP</t>
  </si>
  <si>
    <t>Sporting Cristal</t>
  </si>
  <si>
    <t>Sporting KC</t>
  </si>
  <si>
    <t>Spurs</t>
  </si>
  <si>
    <t>SpVgg Bayreuth</t>
  </si>
  <si>
    <t>St. Johnstone</t>
  </si>
  <si>
    <t>St. Mirren</t>
  </si>
  <si>
    <t>Stade Brestois 29</t>
  </si>
  <si>
    <t>Stade de Reims</t>
  </si>
  <si>
    <t>Stade Lavallois</t>
  </si>
  <si>
    <t>Stade Rennais FC</t>
  </si>
  <si>
    <t>Stal Mielec</t>
  </si>
  <si>
    <t>Stevenage</t>
  </si>
  <si>
    <t>Stockport</t>
  </si>
  <si>
    <t>Strasbourg</t>
  </si>
  <si>
    <t>Strømsgodset IF</t>
  </si>
  <si>
    <t>Südtirol</t>
  </si>
  <si>
    <t>Sutton United</t>
  </si>
  <si>
    <t>Suwon FC</t>
  </si>
  <si>
    <t>Suwon Samsung</t>
  </si>
  <si>
    <t>SV Elversberg</t>
  </si>
  <si>
    <t>SV Meppen</t>
  </si>
  <si>
    <t>SV Ried</t>
  </si>
  <si>
    <t>SV Sandhausen</t>
  </si>
  <si>
    <t>SV Waldhof</t>
  </si>
  <si>
    <t>Swindon Town</t>
  </si>
  <si>
    <t>Sydney FC</t>
  </si>
  <si>
    <t>Talleres</t>
  </si>
  <si>
    <t>Ternana</t>
  </si>
  <si>
    <t>The Strongest</t>
  </si>
  <si>
    <t>Tianjin JMT FC</t>
  </si>
  <si>
    <t>Tigre</t>
  </si>
  <si>
    <t>Torino</t>
  </si>
  <si>
    <t>Toronto FC</t>
  </si>
  <si>
    <t>Toulouse FC</t>
  </si>
  <si>
    <t>Trabzonspor</t>
  </si>
  <si>
    <t>Tranmere Rovers</t>
  </si>
  <si>
    <t>Tromsø IL</t>
  </si>
  <si>
    <t>TSV Hartberg</t>
  </si>
  <si>
    <t>U. Católica</t>
  </si>
  <si>
    <t>UCD AFC</t>
  </si>
  <si>
    <t>UD Almería</t>
  </si>
  <si>
    <t>UD Ibiza</t>
  </si>
  <si>
    <t>UD Las Palmas</t>
  </si>
  <si>
    <t>Ulsan Hyundai</t>
  </si>
  <si>
    <t>Ümraniyespor</t>
  </si>
  <si>
    <t>Uni. Católica</t>
  </si>
  <si>
    <t>Unión</t>
  </si>
  <si>
    <t>Unión Española</t>
  </si>
  <si>
    <t>Unión La Calera</t>
  </si>
  <si>
    <t>Univ. Craiova</t>
  </si>
  <si>
    <t>UTA Arad</t>
  </si>
  <si>
    <t>Valencia CF</t>
  </si>
  <si>
    <t>Valenciennes FC</t>
  </si>
  <si>
    <t>Vålerenga Fotball</t>
  </si>
  <si>
    <t>Varbergs BoIS</t>
  </si>
  <si>
    <t>Vélez Sarsfield</t>
  </si>
  <si>
    <t>Venezia</t>
  </si>
  <si>
    <t>VfB Oldenburg</t>
  </si>
  <si>
    <t>VfL Osnabrück</t>
  </si>
  <si>
    <t>Viborg FF</t>
  </si>
  <si>
    <t>Viking FK</t>
  </si>
  <si>
    <t>Viktoria Köln</t>
  </si>
  <si>
    <t>Viktoria Plzeň</t>
  </si>
  <si>
    <t>Villarreal CF</t>
  </si>
  <si>
    <t>Villarreal CF B</t>
  </si>
  <si>
    <t>Vitesse</t>
  </si>
  <si>
    <t>Vitória SC</t>
  </si>
  <si>
    <t>Walsall</t>
  </si>
  <si>
    <t>Wanderers</t>
  </si>
  <si>
    <t>Warta Poznań</t>
  </si>
  <si>
    <t>Wehen Wiesbaden</t>
  </si>
  <si>
    <t>Well. Phoenix</t>
  </si>
  <si>
    <t>Western United</t>
  </si>
  <si>
    <t>Whitecaps FC</t>
  </si>
  <si>
    <t>Widzew Łódź</t>
  </si>
  <si>
    <t>Wigan Athletic</t>
  </si>
  <si>
    <t>Wilstermann</t>
  </si>
  <si>
    <t>Wisła Płock</t>
  </si>
  <si>
    <t>Wolfsberger AC</t>
  </si>
  <si>
    <t>Wolves</t>
  </si>
  <si>
    <t>Wrexham AFC</t>
  </si>
  <si>
    <t>WS Wanderers</t>
  </si>
  <si>
    <t>WSG Tirol</t>
  </si>
  <si>
    <t>Wuhan 3 Towns</t>
  </si>
  <si>
    <t>Wuhan FC</t>
  </si>
  <si>
    <t>Wycombe</t>
  </si>
  <si>
    <t>Zagłębie Lubin</t>
  </si>
  <si>
    <t>Zhejiang Pro</t>
  </si>
  <si>
    <t>Zulte Waregem</t>
  </si>
  <si>
    <t>4th Place</t>
  </si>
  <si>
    <t>3. Liga</t>
  </si>
  <si>
    <t>3F Superliga</t>
  </si>
  <si>
    <t>AFC Champions League</t>
  </si>
  <si>
    <t>A-League</t>
  </si>
  <si>
    <t>Allsvenskan</t>
  </si>
  <si>
    <t>American Challenge Cup</t>
  </si>
  <si>
    <t>Asian Elite Cup</t>
  </si>
  <si>
    <t>2nd Place</t>
  </si>
  <si>
    <t>Bundesliga 2</t>
  </si>
  <si>
    <t>Round 2</t>
  </si>
  <si>
    <t>Winner</t>
  </si>
  <si>
    <t>Championship Play-Offs</t>
  </si>
  <si>
    <t>cinch Prem</t>
  </si>
  <si>
    <t>CONMEBOL Libertadores</t>
  </si>
  <si>
    <t>CONMEBOL Sudamericana</t>
  </si>
  <si>
    <t>Copa de España</t>
  </si>
  <si>
    <t>Coppa Italia</t>
  </si>
  <si>
    <t>Coupe Nationale</t>
  </si>
  <si>
    <t>CSL</t>
  </si>
  <si>
    <t>CSSL</t>
  </si>
  <si>
    <t>Cupa Naţională</t>
  </si>
  <si>
    <t>Round 3</t>
  </si>
  <si>
    <t>DFL-Supercup</t>
  </si>
  <si>
    <t>Domestic Super Cup</t>
  </si>
  <si>
    <t>EA SPORTS Cup</t>
  </si>
  <si>
    <t>EFL League One</t>
  </si>
  <si>
    <t>EFL League Two</t>
  </si>
  <si>
    <t>Eliteserien</t>
  </si>
  <si>
    <t>Round 4</t>
  </si>
  <si>
    <t>Eredivisie</t>
  </si>
  <si>
    <t>European Championship</t>
  </si>
  <si>
    <t>Intercontinental Cup</t>
  </si>
  <si>
    <t>European Continental Shield</t>
  </si>
  <si>
    <t>7th Place</t>
  </si>
  <si>
    <t>FA Community Shield</t>
  </si>
  <si>
    <t>Hero ISL</t>
  </si>
  <si>
    <t>Invitational Cup</t>
  </si>
  <si>
    <t>K League 1</t>
  </si>
  <si>
    <t>LaLiga Santander</t>
  </si>
  <si>
    <t>LaLiga SmartBank</t>
  </si>
  <si>
    <t>Liga Portugal</t>
  </si>
  <si>
    <t>Ligue 1 Uber Eats</t>
  </si>
  <si>
    <t>Ligue 2 BKT</t>
  </si>
  <si>
    <t>LPF</t>
  </si>
  <si>
    <t>Quarter-Finals</t>
  </si>
  <si>
    <t>MLS</t>
  </si>
  <si>
    <t>NM</t>
  </si>
  <si>
    <t>North American All-Stars Trophy</t>
  </si>
  <si>
    <t>Ö. Bundesliga</t>
  </si>
  <si>
    <t>Oranje Beker</t>
  </si>
  <si>
    <t>Österreich-Pokal</t>
  </si>
  <si>
    <t>Papa John's Trophy</t>
  </si>
  <si>
    <t>PKO Ekstraklasa</t>
  </si>
  <si>
    <t>Premier League</t>
  </si>
  <si>
    <t>Final</t>
  </si>
  <si>
    <t>Puchar Kraju</t>
  </si>
  <si>
    <t>Relegation Play-Offs</t>
  </si>
  <si>
    <t>ROSHN Saudi League</t>
  </si>
  <si>
    <t>Schweizer Pokal</t>
  </si>
  <si>
    <t>Scottish Cup</t>
  </si>
  <si>
    <t>Serie A TIM</t>
  </si>
  <si>
    <t>Serie BKT</t>
  </si>
  <si>
    <t>South America Continental Shield</t>
  </si>
  <si>
    <t>SSE Airtricity PD</t>
  </si>
  <si>
    <t>Süper Lig</t>
  </si>
  <si>
    <t>Supercopa</t>
  </si>
  <si>
    <t>SUPERLIGA</t>
  </si>
  <si>
    <t>Sveriges Cup</t>
  </si>
  <si>
    <t>Sydbank Pokalen</t>
  </si>
  <si>
    <t>Taça Portuguesa</t>
  </si>
  <si>
    <t>Türk Kupası</t>
  </si>
  <si>
    <t>U.S. Open Cup</t>
  </si>
  <si>
    <t>Semi-Finals</t>
  </si>
  <si>
    <t>UEFA Europa League</t>
  </si>
  <si>
    <t>UEFA Super Cup</t>
  </si>
  <si>
    <t>Continental Super Cup</t>
  </si>
  <si>
    <t>cardStrictness</t>
  </si>
  <si>
    <t>foulStrictness</t>
  </si>
  <si>
    <t>real</t>
  </si>
  <si>
    <t>version</t>
  </si>
  <si>
    <t>Aaron Bannister</t>
  </si>
  <si>
    <t xml:space="preserve">Average </t>
  </si>
  <si>
    <t>Average</t>
  </si>
  <si>
    <t>EAFC 24</t>
  </si>
  <si>
    <t>Abdulmajeed Al-Reshedi</t>
  </si>
  <si>
    <t>Ábel Medvés</t>
  </si>
  <si>
    <t>Abigail Byrne</t>
  </si>
  <si>
    <t>Adam Herczeg</t>
  </si>
  <si>
    <t>Ade Soneye</t>
  </si>
  <si>
    <t>Adrian Gløersen</t>
  </si>
  <si>
    <t xml:space="preserve">Lenient </t>
  </si>
  <si>
    <t>Afonso Masarenhas</t>
  </si>
  <si>
    <t>Afonso Secretario</t>
  </si>
  <si>
    <t>Lenient</t>
  </si>
  <si>
    <t>FIFA 23</t>
  </si>
  <si>
    <t>Agathe Leyrac</t>
  </si>
  <si>
    <t>Aina Corella</t>
  </si>
  <si>
    <t>Alan Young</t>
  </si>
  <si>
    <t>Strict</t>
  </si>
  <si>
    <t>Alasdair McMann</t>
  </si>
  <si>
    <t>Albin Kuniak</t>
  </si>
  <si>
    <t>Alexander Poppinger</t>
  </si>
  <si>
    <t>Alexey Borochovsky</t>
  </si>
  <si>
    <t>Russia</t>
  </si>
  <si>
    <t>Alexey Potrepkin</t>
  </si>
  <si>
    <t>Alizée</t>
  </si>
  <si>
    <t>Alvaro Aldgate</t>
  </si>
  <si>
    <t>Álvaro Arias Romera</t>
  </si>
  <si>
    <t>Alvaro Joaquín Florez</t>
  </si>
  <si>
    <t xml:space="preserve">Strict </t>
  </si>
  <si>
    <t>Amalie Faxe Seebach</t>
  </si>
  <si>
    <t>Amalie Lotte Bundgaard</t>
  </si>
  <si>
    <t>Amy Fearn</t>
  </si>
  <si>
    <t>Andre Marriner</t>
  </si>
  <si>
    <t>Andriy Markinov</t>
  </si>
  <si>
    <t>Andy Haines</t>
  </si>
  <si>
    <t>Andy Madley</t>
  </si>
  <si>
    <t>Andy Woolmer</t>
  </si>
  <si>
    <t>An-Jol Park</t>
  </si>
  <si>
    <t>South Korea</t>
  </si>
  <si>
    <t>Anna Poltavkina</t>
  </si>
  <si>
    <t>Anne De Vaert</t>
  </si>
  <si>
    <t>Anthony Taylor</t>
  </si>
  <si>
    <t>Antony Coggins</t>
  </si>
  <si>
    <t>Albania</t>
  </si>
  <si>
    <t>Ashley Boroughbridge</t>
  </si>
  <si>
    <t>Aske Hemmingsen</t>
  </si>
  <si>
    <t>Athenea Pinilla</t>
  </si>
  <si>
    <t>Audra Didgalviskaitė</t>
  </si>
  <si>
    <t>Lithuania</t>
  </si>
  <si>
    <t>Audrey Sargnac</t>
  </si>
  <si>
    <t>Aurelio Oriol Gaspar</t>
  </si>
  <si>
    <t>Austen Bayliffe</t>
  </si>
  <si>
    <t>Azlan Hamberi</t>
  </si>
  <si>
    <t>Malaysia</t>
  </si>
  <si>
    <t>Baptiste Alacoque</t>
  </si>
  <si>
    <t>Bea Mühlendorf</t>
  </si>
  <si>
    <t>Ben Atkinson</t>
  </si>
  <si>
    <t>Ben Toner</t>
  </si>
  <si>
    <t>Benjamin Speedie</t>
  </si>
  <si>
    <t>Benoît Taillade</t>
  </si>
  <si>
    <t>Bethany Callanish</t>
  </si>
  <si>
    <t>Brett Huxtable</t>
  </si>
  <si>
    <t>Buk-Chol Choi</t>
  </si>
  <si>
    <t>Carl Boyeson</t>
  </si>
  <si>
    <t>Carl Brook</t>
  </si>
  <si>
    <t>Celina Heiselmann</t>
  </si>
  <si>
    <t>Charles Breakspear</t>
  </si>
  <si>
    <t>Chatura Gaurab</t>
  </si>
  <si>
    <t>Chris Kavanagh</t>
  </si>
  <si>
    <t>Chris Sarginson</t>
  </si>
  <si>
    <t>Christopher Pollard</t>
  </si>
  <si>
    <t>Claire Linglet</t>
  </si>
  <si>
    <t>Clémentine Lavenir</t>
  </si>
  <si>
    <t>Conor O’Connelly</t>
  </si>
  <si>
    <t>Coralie Fabrier</t>
  </si>
  <si>
    <t>Craig Hicks</t>
  </si>
  <si>
    <t>Craig Pawson</t>
  </si>
  <si>
    <t>Cristiana Hattersley</t>
  </si>
  <si>
    <t>Daisuke Matsuyo</t>
  </si>
  <si>
    <t>Japan</t>
  </si>
  <si>
    <t>Dane McCarrick</t>
  </si>
  <si>
    <t>Daniel Soengas Bello</t>
  </si>
  <si>
    <t>Danish Nabil Riaz</t>
  </si>
  <si>
    <t>Danny Middleton</t>
  </si>
  <si>
    <t>Dario Nuessli</t>
  </si>
  <si>
    <t>Darren</t>
  </si>
  <si>
    <t>Darren Bond</t>
  </si>
  <si>
    <t>Darren Drysdale</t>
  </si>
  <si>
    <t>Darren England</t>
  </si>
  <si>
    <t>Darren Handley</t>
  </si>
  <si>
    <t>David Coote</t>
  </si>
  <si>
    <t>David Rock</t>
  </si>
  <si>
    <t>Dawud Al-Habash</t>
  </si>
  <si>
    <t>Bahrain</t>
  </si>
  <si>
    <t>Declan Bourne</t>
  </si>
  <si>
    <t>Dietmar Schönlebe</t>
  </si>
  <si>
    <t>Dilara Dahmen</t>
  </si>
  <si>
    <t>Dong-Kyoo Choi</t>
  </si>
  <si>
    <t>Ed Duckworth</t>
  </si>
  <si>
    <t>Edith Vancruysse</t>
  </si>
  <si>
    <t>Elanne Fung</t>
  </si>
  <si>
    <t>Elias Monteiro Flavio</t>
  </si>
  <si>
    <t>Elliott Swallow</t>
  </si>
  <si>
    <t>Bosnia &amp; Herzegovina</t>
  </si>
  <si>
    <t>Emily Heaslip</t>
  </si>
  <si>
    <t>Enis Balbay</t>
  </si>
  <si>
    <t>Esben Schjønberg</t>
  </si>
  <si>
    <t>Eufemio Lafranchi</t>
  </si>
  <si>
    <t>Eunate Pazos</t>
  </si>
  <si>
    <t>Fabrice Madoulet</t>
  </si>
  <si>
    <t>Farrai Hallam</t>
  </si>
  <si>
    <t>Fedder Gotthard</t>
  </si>
  <si>
    <t>Federica Pellecciolli</t>
  </si>
  <si>
    <t>Federico Ramos Navarro</t>
  </si>
  <si>
    <t>Feridun Doğançay</t>
  </si>
  <si>
    <t>Filippo Giacoletti</t>
  </si>
  <si>
    <t>Francisco Caldejos</t>
  </si>
  <si>
    <t>Françoise Berringuet</t>
  </si>
  <si>
    <t>Fuad Al-Rishani</t>
  </si>
  <si>
    <t>Gabriel Santiseban</t>
  </si>
  <si>
    <t>Gabriele Hüttli</t>
  </si>
  <si>
    <t>Gaëlle Hauchard</t>
  </si>
  <si>
    <t>Gang-sheng Bai</t>
  </si>
  <si>
    <t>Gennaro Scarpulla</t>
  </si>
  <si>
    <t>Gianluca Del Tarano</t>
  </si>
  <si>
    <t>Gijsbert Declerck</t>
  </si>
  <si>
    <t>Giovanna Piñeda</t>
  </si>
  <si>
    <t>Gökberk Topaloğlu</t>
  </si>
  <si>
    <t>Grace MacCallan</t>
  </si>
  <si>
    <t>Graham Boverick</t>
  </si>
  <si>
    <t>Graham Scott</t>
  </si>
  <si>
    <t>Gregor Winkler</t>
  </si>
  <si>
    <t>Guilherme Santoso</t>
  </si>
  <si>
    <t>Gustavo Apollonio</t>
  </si>
  <si>
    <t>Gwidon Pietrzykowski</t>
  </si>
  <si>
    <t>Hadrien Dumortier</t>
  </si>
  <si>
    <t>Hai-wang Sui</t>
  </si>
  <si>
    <t>Hans de Noteboom</t>
  </si>
  <si>
    <t>Haruto Shimaguchi</t>
  </si>
  <si>
    <t>Hayden Pennyfeather</t>
  </si>
  <si>
    <t>Heimo Wasserschneider</t>
  </si>
  <si>
    <t>Henry McDillon</t>
  </si>
  <si>
    <t>Heribert Allmaier</t>
  </si>
  <si>
    <t>Hermine Kruse Andresen</t>
  </si>
  <si>
    <t>Hilda Schmitzenberg</t>
  </si>
  <si>
    <t>Honorata Grażyńska</t>
  </si>
  <si>
    <t>Hoo-gwo Xiang</t>
  </si>
  <si>
    <t>Hussain Al-Shamkali</t>
  </si>
  <si>
    <t>Hyun-Soon Han</t>
  </si>
  <si>
    <t>Iacob Săulescu</t>
  </si>
  <si>
    <t>Ian Lowcroft</t>
  </si>
  <si>
    <t>Ignacio Muñiz Villate</t>
  </si>
  <si>
    <t>Sudan</t>
  </si>
  <si>
    <t>Ingrún Svansdóttir</t>
  </si>
  <si>
    <t>Ingvar Tollefsen</t>
  </si>
  <si>
    <t>Ioana Hatmanu</t>
  </si>
  <si>
    <t>Ireneusz Iglikowski</t>
  </si>
  <si>
    <t>Iris Pavlidou</t>
  </si>
  <si>
    <t>Isla Nulliner</t>
  </si>
  <si>
    <t>Jack Packman</t>
  </si>
  <si>
    <t>James Adcock</t>
  </si>
  <si>
    <t>James Oldham</t>
  </si>
  <si>
    <t>Jane Simms</t>
  </si>
  <si>
    <t>Jarred Gillett</t>
  </si>
  <si>
    <t>Jason Richardson</t>
  </si>
  <si>
    <t>Jasper de Waart</t>
  </si>
  <si>
    <t>Jaylani Velazquez</t>
  </si>
  <si>
    <t>Jean Rabault</t>
  </si>
  <si>
    <t>Jean-Daniel Lacagne</t>
  </si>
  <si>
    <t>Jefferson Robertford</t>
  </si>
  <si>
    <t>Jennifer Vesnier</t>
  </si>
  <si>
    <t>Jerónimo Santarelli</t>
  </si>
  <si>
    <t>Jett Colling</t>
  </si>
  <si>
    <t>Jochem Van Vosselen</t>
  </si>
  <si>
    <t>Joel Highett</t>
  </si>
  <si>
    <t>John Brooks</t>
  </si>
  <si>
    <t>John Busby</t>
  </si>
  <si>
    <t>Jonathan Moss</t>
  </si>
  <si>
    <t>José del Mirrón</t>
  </si>
  <si>
    <t>Josh Brithwell</t>
  </si>
  <si>
    <t>Juliane Dohlmeier</t>
  </si>
  <si>
    <t>Kaisley Leal</t>
  </si>
  <si>
    <t>Kaiya Blackwell</t>
  </si>
  <si>
    <t>Kasper Krosby</t>
  </si>
  <si>
    <t>Kenji Sunadori</t>
  </si>
  <si>
    <t>Kertu Meitsar</t>
  </si>
  <si>
    <t>Estonia</t>
  </si>
  <si>
    <t>Kevin Friend</t>
  </si>
  <si>
    <t>Kevin Johnson</t>
  </si>
  <si>
    <t>Kimber Burchfield</t>
  </si>
  <si>
    <t>Kirsty Dowie</t>
  </si>
  <si>
    <t>Klemens Pilegaard</t>
  </si>
  <si>
    <t>Kristoffer Frohlander</t>
  </si>
  <si>
    <t>Lamon Darawan</t>
  </si>
  <si>
    <t>Thailand</t>
  </si>
  <si>
    <t>Laoise McInerney</t>
  </si>
  <si>
    <t>Lasse Lagerroth</t>
  </si>
  <si>
    <t>Lauren Impey</t>
  </si>
  <si>
    <t>Laurent Glaisyer</t>
  </si>
  <si>
    <t>Laurits Tyllesen</t>
  </si>
  <si>
    <t>Lee Swabey</t>
  </si>
  <si>
    <t>Leire Perlas</t>
  </si>
  <si>
    <t>Liam Keymer</t>
  </si>
  <si>
    <t>Ligaya Magsumbol</t>
  </si>
  <si>
    <t>Philippines</t>
  </si>
  <si>
    <t>Lisa Benn</t>
  </si>
  <si>
    <t>Loïc Dacquigny</t>
  </si>
  <si>
    <t>Lola Depeyre</t>
  </si>
  <si>
    <t>Lucy May</t>
  </si>
  <si>
    <t>Ludger Falck</t>
  </si>
  <si>
    <t>Ludvig Walfridsson</t>
  </si>
  <si>
    <t>Lukas Papwick</t>
  </si>
  <si>
    <t>Lutz Gersthofer</t>
  </si>
  <si>
    <t>Luuk Hoebacke</t>
  </si>
  <si>
    <t>Maci Pannell</t>
  </si>
  <si>
    <t>Maddison Streatfield</t>
  </si>
  <si>
    <t>Mahit Faujdar</t>
  </si>
  <si>
    <t>Maja Ytternäs</t>
  </si>
  <si>
    <t>Manuel Rui Barbosa</t>
  </si>
  <si>
    <t>Marc Edwards</t>
  </si>
  <si>
    <t>Marcela Sostoni</t>
  </si>
  <si>
    <t>Márcio Herrera Lomba</t>
  </si>
  <si>
    <t>María José Hortaleza</t>
  </si>
  <si>
    <t>Marialaura Chiusdano</t>
  </si>
  <si>
    <t>Mariam Peñarrieta</t>
  </si>
  <si>
    <t>Marilza Bencatel</t>
  </si>
  <si>
    <t>Martin Atkinson</t>
  </si>
  <si>
    <t>Martin Coy</t>
  </si>
  <si>
    <t>Martin Woods</t>
  </si>
  <si>
    <t>Matt Corlett</t>
  </si>
  <si>
    <t>Matthew Dicicco</t>
  </si>
  <si>
    <t>Maximiliano Recobedo</t>
  </si>
  <si>
    <t>Mazhar Al-Amur</t>
  </si>
  <si>
    <t>Mel Burgin</t>
  </si>
  <si>
    <t>Michael Oliver</t>
  </si>
  <si>
    <t>Michael Salisbury</t>
  </si>
  <si>
    <t>Mike Dean</t>
  </si>
  <si>
    <t>Millie Cutrell</t>
  </si>
  <si>
    <t>Miloje Tomčić</t>
  </si>
  <si>
    <t>Serbia</t>
  </si>
  <si>
    <t>Moray Baird</t>
  </si>
  <si>
    <t>Narendra Mamdani</t>
  </si>
  <si>
    <t>Naroa Lete</t>
  </si>
  <si>
    <t>Natalie Tregonwell</t>
  </si>
  <si>
    <t>Nazario Dasmarinas</t>
  </si>
  <si>
    <t>Neea Jokelainen</t>
  </si>
  <si>
    <t>Neil Hair</t>
  </si>
  <si>
    <t>Netra Sudrajat</t>
  </si>
  <si>
    <t>Indonesia</t>
  </si>
  <si>
    <t>Nina Kramermann</t>
  </si>
  <si>
    <t>Njål Flaten</t>
  </si>
  <si>
    <t>Oliver Benito Ledesma</t>
  </si>
  <si>
    <t>Olivia Azarona</t>
  </si>
  <si>
    <t>Ollie Yates</t>
  </si>
  <si>
    <t>Özgür Öztürkmek</t>
  </si>
  <si>
    <t>Paisleigh Monroe</t>
  </si>
  <si>
    <t>Pat Framlow</t>
  </si>
  <si>
    <t>Paul Howard</t>
  </si>
  <si>
    <t>Paula Wyatt</t>
  </si>
  <si>
    <t>Paweł Grygorski</t>
  </si>
  <si>
    <t>Pedro Orteguilla</t>
  </si>
  <si>
    <t>Peter Bankes</t>
  </si>
  <si>
    <t>Peyton Nethercoat</t>
  </si>
  <si>
    <t>Philippe Daboussier</t>
  </si>
  <si>
    <t>Phoebe Cross</t>
  </si>
  <si>
    <t>Pim Ploegmakers</t>
  </si>
  <si>
    <t>Pim van Tilburgh</t>
  </si>
  <si>
    <t>Pintyőke Magyar</t>
  </si>
  <si>
    <t>Pontus Ortendhal</t>
  </si>
  <si>
    <t>Radovan Palenković</t>
  </si>
  <si>
    <t>Rafael Ruibal Losada</t>
  </si>
  <si>
    <t>Rainier Vannier</t>
  </si>
  <si>
    <t>Ramón Alcanto</t>
  </si>
  <si>
    <t>Ramsey Doel</t>
  </si>
  <si>
    <t>Ranjit Kadakia</t>
  </si>
  <si>
    <t>Rebecca Welch</t>
  </si>
  <si>
    <t>Zimbabwe</t>
  </si>
  <si>
    <t>Richie Watkins</t>
  </si>
  <si>
    <t>Rinske Dimmendaal</t>
  </si>
  <si>
    <t>Roald Wikborg</t>
  </si>
  <si>
    <t>Rob Lewis</t>
  </si>
  <si>
    <t>Robert Jones</t>
  </si>
  <si>
    <t>Robert Madden</t>
  </si>
  <si>
    <t>Robert Massey-Ellis</t>
  </si>
  <si>
    <t>Robin Cainsdorf</t>
  </si>
  <si>
    <t>Rodolfo Costinha</t>
  </si>
  <si>
    <t>Ross Joyce</t>
  </si>
  <si>
    <t>Ruaridh Monroe</t>
  </si>
  <si>
    <t>Ryan Atkin</t>
  </si>
  <si>
    <t>Sam Allison</t>
  </si>
  <si>
    <t>Sam Mulhall</t>
  </si>
  <si>
    <t>Sam Purkiss</t>
  </si>
  <si>
    <t>Samuel Barrott</t>
  </si>
  <si>
    <t>Sandra Drajcković</t>
  </si>
  <si>
    <t>Sarah Dräppe</t>
  </si>
  <si>
    <t>Sarah Paillotet</t>
  </si>
  <si>
    <t>Scott Duncan</t>
  </si>
  <si>
    <t>Scott Jackson</t>
  </si>
  <si>
    <t>Scott McBeanie</t>
  </si>
  <si>
    <t>Scott Oldham</t>
  </si>
  <si>
    <t>Scott Simpson</t>
  </si>
  <si>
    <t>Scott Tallis</t>
  </si>
  <si>
    <t>Seb Stockbridge</t>
  </si>
  <si>
    <t>Sébastien Mittré</t>
  </si>
  <si>
    <t>Sena Gözüpak</t>
  </si>
  <si>
    <t>Sergey Piputkin</t>
  </si>
  <si>
    <t>Serwa Attram</t>
  </si>
  <si>
    <t>Shahzad Abu Shakra</t>
  </si>
  <si>
    <t>Sheamus McArthur</t>
  </si>
  <si>
    <t>Siem Decauwer</t>
  </si>
  <si>
    <t>Simon Hooper</t>
  </si>
  <si>
    <t>Simon Mather</t>
  </si>
  <si>
    <t>Skaidra Vējiņa</t>
  </si>
  <si>
    <t>Latvia</t>
  </si>
  <si>
    <t>Sofie Rettenbacher</t>
  </si>
  <si>
    <t>Stacey Fullicks</t>
  </si>
  <si>
    <t>Stefan Häsenecker</t>
  </si>
  <si>
    <t>Steffen Schwurbel</t>
  </si>
  <si>
    <t>Steven Hughes</t>
  </si>
  <si>
    <t>Suad Hajradinović</t>
  </si>
  <si>
    <t>Sung-Kwan Cho</t>
  </si>
  <si>
    <t>Sunny Gill</t>
  </si>
  <si>
    <t>Sven Solomonsson</t>
  </si>
  <si>
    <t>Tereza Bartonĕcová</t>
  </si>
  <si>
    <t>Thomas Bramall</t>
  </si>
  <si>
    <t>Thomas Kirk</t>
  </si>
  <si>
    <t>Thomas Parsons</t>
  </si>
  <si>
    <t>Thorvald Oedegaard</t>
  </si>
  <si>
    <t>Tilda Mustakari</t>
  </si>
  <si>
    <t>Tim Robinson</t>
  </si>
  <si>
    <t>Timothée Géroux</t>
  </si>
  <si>
    <t>Tom Nield</t>
  </si>
  <si>
    <t>Tom Reeves</t>
  </si>
  <si>
    <t>Tony Harrington</t>
  </si>
  <si>
    <t>Torjus Løken</t>
  </si>
  <si>
    <t>Trevor Kettle</t>
  </si>
  <si>
    <t>Vagiz Volkov</t>
  </si>
  <si>
    <t>Valente Larrazábal</t>
  </si>
  <si>
    <t>Viggo Toksvig</t>
  </si>
  <si>
    <t>Wayne Cartmel</t>
  </si>
  <si>
    <t>Wesley Vangorten</t>
  </si>
  <si>
    <t>Will Finnie</t>
  </si>
  <si>
    <t>Wilson Guiremes Sans</t>
  </si>
  <si>
    <t>Wilson Mountland</t>
  </si>
  <si>
    <t>Wouter Wiegerink</t>
  </si>
  <si>
    <t>Xavier Aguilar Ramírez</t>
  </si>
  <si>
    <t>Yasmin Saeed</t>
  </si>
  <si>
    <t>Yasuto Arakida</t>
  </si>
  <si>
    <t>Yoon-Fang Lee</t>
  </si>
  <si>
    <t>Yusri Kao</t>
  </si>
  <si>
    <t>Singapore</t>
  </si>
  <si>
    <t>Zachariasz Krzywicki</t>
  </si>
  <si>
    <t>Zamfir Izbașa</t>
  </si>
  <si>
    <t>Zhi-xiang Qun</t>
  </si>
  <si>
    <t>Al Jayeed Stadium</t>
  </si>
  <si>
    <t>Allianz Stadium</t>
  </si>
  <si>
    <t>Aloha Park</t>
  </si>
  <si>
    <t>Anfield</t>
  </si>
  <si>
    <t>Arena D’Oro</t>
  </si>
  <si>
    <t>Arena del Centenario</t>
  </si>
  <si>
    <t>Atatürk Olimpiyat Stadı</t>
  </si>
  <si>
    <t>Banc of California Stadium</t>
  </si>
  <si>
    <t>BC Place</t>
  </si>
  <si>
    <t>Carrow Road</t>
  </si>
  <si>
    <t>Cívitas Metropolitano</t>
  </si>
  <si>
    <t>Coliseum Alfonso Pérez</t>
  </si>
  <si>
    <t>Craven Cottage</t>
  </si>
  <si>
    <t>Crown Lane</t>
  </si>
  <si>
    <t>El Alcoraz</t>
  </si>
  <si>
    <t>El Grandioso</t>
  </si>
  <si>
    <t>Elland Road</t>
  </si>
  <si>
    <t>Emirates Stadium</t>
  </si>
  <si>
    <t>Estadio ABANCA-Balaídos</t>
  </si>
  <si>
    <t>Estadio Benito Villamarín</t>
  </si>
  <si>
    <t>Estadio Ciutat de València</t>
  </si>
  <si>
    <t>Estadio de Gran Canaria</t>
  </si>
  <si>
    <t>Estadio de la Cerámica</t>
  </si>
  <si>
    <t>Estadio de las Artes</t>
  </si>
  <si>
    <t>Estadio de Mendizorroza</t>
  </si>
  <si>
    <t>Estadio de Montilivi</t>
  </si>
  <si>
    <t>Estadio de Vallecas</t>
  </si>
  <si>
    <t>Estádio do Dragão</t>
  </si>
  <si>
    <t>Estádio do SL Benfica</t>
  </si>
  <si>
    <t>Estadio El Medio</t>
  </si>
  <si>
    <t>Estadio El Sadar</t>
  </si>
  <si>
    <t>Estadio José Zorrilla</t>
  </si>
  <si>
    <t>Estadio La Rosaleda</t>
  </si>
  <si>
    <t>Estadio LDA Ricardo E. Bochini</t>
  </si>
  <si>
    <t>Estadio Mestalla</t>
  </si>
  <si>
    <t>Estadio Nuevo Los Cármenes</t>
  </si>
  <si>
    <t>Estadio Presidente G.Lopes</t>
  </si>
  <si>
    <t>Estadio Presidente Perón</t>
  </si>
  <si>
    <t>Estadio San Mamés</t>
  </si>
  <si>
    <t>Euro Park</t>
  </si>
  <si>
    <t>FIFAe Stadium</t>
  </si>
  <si>
    <t>Fratton Park</t>
  </si>
  <si>
    <t>FUT Stadium</t>
  </si>
  <si>
    <t>Goodison Park</t>
  </si>
  <si>
    <t>Groupama Stadium</t>
  </si>
  <si>
    <t>Gtech Community Stadium</t>
  </si>
  <si>
    <t>Heinz von Heiden-Arena</t>
  </si>
  <si>
    <t>Home Deluxe Arena</t>
  </si>
  <si>
    <t>Johan Cruijff ArenA</t>
  </si>
  <si>
    <t>King Abdullah Sports City</t>
  </si>
  <si>
    <t>King Fahd Stadium</t>
  </si>
  <si>
    <t>King Power Stadium</t>
  </si>
  <si>
    <t>London Stadium</t>
  </si>
  <si>
    <t>Longville Stadium</t>
  </si>
  <si>
    <t>Lumen Field</t>
  </si>
  <si>
    <t>Max-Morlock-Stadion</t>
  </si>
  <si>
    <t>Mercedes-Benz Arena</t>
  </si>
  <si>
    <t>Mercedes-Benz Stadium</t>
  </si>
  <si>
    <t>Molineux Stadium</t>
  </si>
  <si>
    <t>Municipal de Butarque</t>
  </si>
  <si>
    <t>Municipal de Ipurua</t>
  </si>
  <si>
    <t>Nuevo Mirandilla</t>
  </si>
  <si>
    <t>Oktigann Park</t>
  </si>
  <si>
    <t>Old Trafford</t>
  </si>
  <si>
    <t>Providence Park</t>
  </si>
  <si>
    <t>Ramón Sánchez-Pizjuán</t>
  </si>
  <si>
    <t>RCDE Stadium</t>
  </si>
  <si>
    <t>Reale Arena</t>
  </si>
  <si>
    <t>San Siro</t>
  </si>
  <si>
    <t>SchücoArena</t>
  </si>
  <si>
    <t>Selhurst Park</t>
  </si>
  <si>
    <t>St. James’ Park</t>
  </si>
  <si>
    <t>Stadio Classico</t>
  </si>
  <si>
    <t>Stadion 23. Maj</t>
  </si>
  <si>
    <t>Stadion Europa</t>
  </si>
  <si>
    <t>Stadium of Light</t>
  </si>
  <si>
    <t>Stamford Bridge</t>
  </si>
  <si>
    <t>The Amex Stadium</t>
  </si>
  <si>
    <t>The City Ground</t>
  </si>
  <si>
    <t>Tottenham Hotspur Stadium</t>
  </si>
  <si>
    <t>Villa Park</t>
  </si>
  <si>
    <t>Visit Mallorca Estadi</t>
  </si>
  <si>
    <t>Vitality Stadium</t>
  </si>
  <si>
    <t>weatherType</t>
  </si>
  <si>
    <t>Fog</t>
  </si>
  <si>
    <t>Hail</t>
  </si>
  <si>
    <t>Thunderstorm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</si>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</sst>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4" formatCode="_(&quot;$&quot;* #,##0.00_);_(&quot;$&quot;* \(#,##0.00\);_(&quot;$&quot;* &quot;-&quot;??_);_(@_)"/>
    <numFmt numFmtId="164" formatCode="_([$€-2]\ * #,##0_);_([$€-2]\ * \(#,##0\);_([$€-2]\ * &quot;-&quot;??_);_(@_)"/>
    <numFmt numFmtId="165" formatCode="mm/dd/yyyy"/>
    <numFmt numFmtId="166" formatCode="_(&quot;$&quot;* #,##0_);_(&quot;$&quot;* \(#,##0\);_(&quot;$&quot;* &quot;-&quot;??_);_(@_)"/>
    <numFmt numFmtId="167" formatCode="0.0"/>
    <numFmt numFmtId="168" formatCode="[$-409]h:mm\ AM/PM;@"/>
  </numFmts>
  <fonts count="33">
    <font>
      <sz val="12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8"/>
      <name val="Arial"/>
      <family val="2"/>
      <scheme val="minor"/>
    </font>
    <font>
      <sz val="12"/>
      <color theme="1"/>
      <name val="Arial"/>
      <family val="2"/>
      <scheme val="minor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theme="1"/>
      <name val="Var(--ff-mono)"/>
    </font>
    <font>
      <sz val="10"/>
      <color theme="0"/>
      <name val="Arial"/>
      <family val="2"/>
    </font>
    <font>
      <b/>
      <sz val="10"/>
      <color rgb="FFFFFF00"/>
      <name val="Arial"/>
      <family val="2"/>
    </font>
    <font>
      <sz val="10"/>
      <color theme="1"/>
      <name val="Arial"/>
      <family val="2"/>
      <scheme val="major"/>
    </font>
    <font>
      <b/>
      <sz val="10"/>
      <name val="Arial"/>
      <family val="2"/>
    </font>
    <font>
      <sz val="10"/>
      <color rgb="FFFFFF00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color theme="0"/>
      <name val="Aptos Display"/>
      <family val="2"/>
    </font>
    <font>
      <b/>
      <sz val="10"/>
      <color rgb="FFFFFF00"/>
      <name val="Aptos Display"/>
      <family val="2"/>
    </font>
    <font>
      <b/>
      <sz val="10"/>
      <color rgb="FFFF0000"/>
      <name val="Aptos Display"/>
      <family val="2"/>
    </font>
    <font>
      <sz val="10"/>
      <name val="Aptos Display"/>
      <family val="2"/>
    </font>
    <font>
      <sz val="10"/>
      <color rgb="FF0070C0"/>
      <name val="Aptos Display"/>
      <family val="2"/>
    </font>
    <font>
      <sz val="10"/>
      <color theme="1"/>
      <name val="Aptos Display"/>
      <family val="2"/>
    </font>
    <font>
      <sz val="12"/>
      <color theme="1"/>
      <name val="Aptos Display"/>
      <family val="2"/>
    </font>
    <font>
      <b/>
      <sz val="10"/>
      <name val="Aptos Display"/>
      <family val="2"/>
    </font>
    <font>
      <sz val="10"/>
      <color rgb="FFFF0000"/>
      <name val="Aptos Display"/>
      <family val="2"/>
    </font>
    <font>
      <b/>
      <sz val="10"/>
      <color rgb="FF0070C0"/>
      <name val="Aptos Display"/>
      <family val="2"/>
    </font>
    <font>
      <sz val="10"/>
      <color theme="7"/>
      <name val="Aptos Display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medium">
        <color theme="1"/>
      </bottom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80">
    <xf numFmtId="0" fontId="0" fillId="0" borderId="0" xfId="0"/>
    <xf numFmtId="0" fontId="11" fillId="0" borderId="0" xfId="0" applyFont="1" applyAlignment="1">
      <alignment horizontal="left"/>
    </xf>
    <xf numFmtId="166" fontId="11" fillId="0" borderId="0" xfId="1" applyNumberFormat="1" applyFont="1" applyFill="1" applyAlignment="1">
      <alignment horizontal="left"/>
    </xf>
    <xf numFmtId="0" fontId="4" fillId="0" borderId="0" xfId="0" applyFont="1"/>
    <xf numFmtId="0" fontId="12" fillId="2" borderId="0" xfId="0" applyFont="1" applyFill="1" applyAlignment="1">
      <alignment horizontal="left"/>
    </xf>
    <xf numFmtId="0" fontId="11" fillId="0" borderId="0" xfId="0" applyFont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164" fontId="8" fillId="0" borderId="0" xfId="0" applyNumberFormat="1" applyFont="1" applyAlignment="1">
      <alignment horizontal="left"/>
    </xf>
    <xf numFmtId="164" fontId="11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164" fontId="9" fillId="0" borderId="0" xfId="0" applyNumberFormat="1" applyFont="1" applyAlignment="1">
      <alignment horizontal="left"/>
    </xf>
    <xf numFmtId="0" fontId="17" fillId="0" borderId="0" xfId="0" applyFont="1" applyAlignment="1">
      <alignment horizontal="left"/>
    </xf>
    <xf numFmtId="2" fontId="11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165" fontId="11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66" fontId="19" fillId="0" borderId="0" xfId="1" applyNumberFormat="1" applyFont="1" applyFill="1" applyAlignment="1">
      <alignment horizontal="left"/>
    </xf>
    <xf numFmtId="2" fontId="19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6" fontId="8" fillId="0" borderId="0" xfId="1" applyNumberFormat="1" applyFont="1" applyFill="1" applyAlignment="1">
      <alignment horizontal="left"/>
    </xf>
    <xf numFmtId="0" fontId="20" fillId="0" borderId="0" xfId="0" applyFont="1" applyAlignment="1">
      <alignment horizontal="left"/>
    </xf>
    <xf numFmtId="164" fontId="20" fillId="0" borderId="0" xfId="0" applyNumberFormat="1" applyFont="1" applyAlignment="1">
      <alignment horizontal="left"/>
    </xf>
    <xf numFmtId="166" fontId="20" fillId="0" borderId="0" xfId="0" applyNumberFormat="1" applyFont="1" applyAlignment="1">
      <alignment horizontal="left"/>
    </xf>
    <xf numFmtId="164" fontId="17" fillId="0" borderId="0" xfId="0" applyNumberFormat="1" applyFont="1" applyAlignment="1">
      <alignment horizontal="left"/>
    </xf>
    <xf numFmtId="166" fontId="17" fillId="0" borderId="0" xfId="1" applyNumberFormat="1" applyFont="1" applyFill="1" applyAlignment="1">
      <alignment horizontal="left"/>
    </xf>
    <xf numFmtId="0" fontId="16" fillId="0" borderId="0" xfId="0" applyFont="1" applyAlignment="1">
      <alignment horizontal="left"/>
    </xf>
    <xf numFmtId="0" fontId="11" fillId="0" borderId="0" xfId="0" applyFont="1"/>
    <xf numFmtId="0" fontId="19" fillId="0" borderId="1" xfId="0" applyFont="1" applyBorder="1" applyAlignment="1">
      <alignment horizontal="left"/>
    </xf>
    <xf numFmtId="0" fontId="15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1" fontId="17" fillId="0" borderId="0" xfId="0" applyNumberFormat="1" applyFont="1" applyAlignment="1">
      <alignment horizontal="left"/>
    </xf>
    <xf numFmtId="2" fontId="17" fillId="0" borderId="0" xfId="0" applyNumberFormat="1" applyFont="1" applyAlignment="1">
      <alignment horizontal="left"/>
    </xf>
    <xf numFmtId="0" fontId="8" fillId="0" borderId="5" xfId="0" applyFont="1" applyBorder="1" applyAlignment="1">
      <alignment horizontal="left"/>
    </xf>
    <xf numFmtId="0" fontId="2" fillId="0" borderId="0" xfId="0" applyFont="1"/>
    <xf numFmtId="0" fontId="8" fillId="0" borderId="2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3" fillId="0" borderId="0" xfId="0" applyFont="1" applyAlignment="1">
      <alignment vertical="center"/>
    </xf>
    <xf numFmtId="0" fontId="5" fillId="0" borderId="0" xfId="0" applyFont="1" applyAlignment="1">
      <alignment horizontal="left"/>
    </xf>
    <xf numFmtId="0" fontId="5" fillId="0" borderId="0" xfId="0" applyFont="1"/>
    <xf numFmtId="0" fontId="1" fillId="0" borderId="0" xfId="0" applyFont="1"/>
    <xf numFmtId="0" fontId="1" fillId="0" borderId="1" xfId="0" applyFont="1" applyBorder="1" applyAlignment="1">
      <alignment horizontal="left"/>
    </xf>
    <xf numFmtId="165" fontId="1" fillId="0" borderId="0" xfId="0" applyNumberFormat="1" applyFont="1" applyAlignment="1" applyProtection="1">
      <alignment horizontal="left"/>
      <protection locked="0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1" fontId="19" fillId="0" borderId="0" xfId="0" applyNumberFormat="1" applyFont="1" applyAlignment="1">
      <alignment horizontal="left"/>
    </xf>
    <xf numFmtId="165" fontId="22" fillId="0" borderId="0" xfId="0" applyNumberFormat="1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165" fontId="25" fillId="0" borderId="0" xfId="0" applyNumberFormat="1" applyFont="1" applyAlignment="1" applyProtection="1">
      <alignment horizontal="left"/>
      <protection locked="0"/>
    </xf>
    <xf numFmtId="0" fontId="25" fillId="0" borderId="0" xfId="0" applyFont="1" applyAlignment="1" applyProtection="1">
      <alignment horizontal="left"/>
      <protection locked="0"/>
    </xf>
    <xf numFmtId="167" fontId="25" fillId="0" borderId="0" xfId="0" applyNumberFormat="1" applyFont="1" applyAlignment="1" applyProtection="1">
      <alignment horizontal="left"/>
      <protection locked="0"/>
    </xf>
    <xf numFmtId="0" fontId="26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168" fontId="25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8" fillId="0" borderId="0" xfId="0" applyFont="1"/>
    <xf numFmtId="165" fontId="25" fillId="0" borderId="0" xfId="0" applyNumberFormat="1" applyFont="1" applyAlignment="1">
      <alignment horizontal="left"/>
    </xf>
    <xf numFmtId="0" fontId="27" fillId="0" borderId="0" xfId="0" applyFont="1"/>
    <xf numFmtId="0" fontId="29" fillId="2" borderId="0" xfId="0" applyFont="1" applyFill="1" applyAlignment="1">
      <alignment horizontal="right"/>
    </xf>
    <xf numFmtId="165" fontId="26" fillId="2" borderId="0" xfId="0" applyNumberFormat="1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30" fillId="2" borderId="0" xfId="0" applyFont="1" applyFill="1"/>
    <xf numFmtId="0" fontId="31" fillId="2" borderId="0" xfId="0" applyFont="1" applyFill="1" applyAlignment="1">
      <alignment horizontal="right"/>
    </xf>
    <xf numFmtId="0" fontId="26" fillId="2" borderId="0" xfId="0" applyFont="1" applyFill="1"/>
    <xf numFmtId="0" fontId="26" fillId="2" borderId="0" xfId="0" applyFont="1" applyFill="1" applyAlignment="1">
      <alignment horizontal="left"/>
    </xf>
    <xf numFmtId="0" fontId="25" fillId="2" borderId="0" xfId="0" applyFont="1" applyFill="1"/>
    <xf numFmtId="0" fontId="25" fillId="2" borderId="0" xfId="0" applyFont="1" applyFill="1" applyAlignment="1" applyProtection="1">
      <alignment horizontal="left"/>
      <protection locked="0"/>
    </xf>
    <xf numFmtId="165" fontId="25" fillId="2" borderId="0" xfId="0" applyNumberFormat="1" applyFont="1" applyFill="1" applyAlignment="1" applyProtection="1">
      <alignment horizontal="left"/>
      <protection locked="0"/>
    </xf>
    <xf numFmtId="165" fontId="25" fillId="2" borderId="0" xfId="0" applyNumberFormat="1" applyFont="1" applyFill="1" applyAlignment="1">
      <alignment horizontal="left"/>
    </xf>
    <xf numFmtId="0" fontId="32" fillId="2" borderId="0" xfId="0" applyFont="1" applyFill="1" applyAlignment="1">
      <alignment horizontal="left"/>
    </xf>
    <xf numFmtId="2" fontId="26" fillId="2" borderId="0" xfId="0" applyNumberFormat="1" applyFont="1" applyFill="1"/>
    <xf numFmtId="0" fontId="25" fillId="2" borderId="0" xfId="0" applyFont="1" applyFill="1" applyAlignment="1" applyProtection="1">
      <alignment horizontal="left"/>
      <protection locked="0"/>
    </xf>
  </cellXfs>
  <cellStyles count="2">
    <cellStyle name="Currency" xfId="1" builtinId="4"/>
    <cellStyle name="Normal" xfId="0" builtinId="0"/>
  </cellStyles>
  <dxfs count="275"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" formatCode="0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color rgb="FF00B050"/>
      </font>
    </dxf>
    <dxf>
      <font>
        <b val="0"/>
        <i val="0"/>
        <color rgb="FF00B050"/>
      </font>
    </dxf>
    <dxf>
      <fill>
        <patternFill>
          <bgColor rgb="FFFF8F8F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 outline="0">
        <left/>
        <right/>
        <top style="thin">
          <color theme="1"/>
        </top>
        <bottom style="thin">
          <color theme="1"/>
        </bottom>
      </border>
    </dxf>
    <dxf>
      <border outline="0">
        <top style="thin">
          <color theme="1"/>
        </top>
      </border>
    </dxf>
    <dxf>
      <border outline="0">
        <left style="thin">
          <color theme="1"/>
        </left>
        <right style="thin">
          <color theme="1"/>
        </right>
        <top style="medium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numFmt numFmtId="0" formatCode="General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ajor"/>
      </font>
      <fill>
        <patternFill patternType="none">
          <fgColor indexed="64"/>
          <bgColor auto="1"/>
        </patternFill>
      </fill>
      <alignment horizontal="left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mm/d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5" formatCode="mm/d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2" formatCode="0.00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2" formatCode="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>
          <bgColor theme="8" tint="0.79998168889431442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167" formatCode="0.0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numFmt numFmtId="0" formatCode="General"/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ill>
        <patternFill patternType="solid">
          <fgColor indexed="64"/>
          <bgColor theme="6" tint="0.79998168889431442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/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/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0" formatCode="General"/>
      <fill>
        <patternFill patternType="none"/>
      </fill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168" formatCode="[$-409]h:mm\ AM/PM;@"/>
      <fill>
        <patternFill patternType="none"/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numFmt numFmtId="165" formatCode="mm/dd/yyyy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0"/>
        <color auto="1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ptos Display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color theme="0" tint="-0.14996795556505021"/>
      </font>
      <fill>
        <patternFill>
          <bgColor theme="0" tint="-0.1499679555650502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_(&quot;$&quot;* #,##0_);_(&quot;$&quot;* \(#,##0\);_(&quot;$&quot;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66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6" formatCode="_(&quot;$&quot;* #,##0_);_(&quot;$&quot;* \(#,##0\);_(&quot;$&quot;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166" formatCode="_(&quot;$&quot;* #,##0_);_(&quot;$&quot;* \(#,##0\);_(&quot;$&quot;* &quot;-&quot;??_);_(@_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_([$€-2]\ * #,##0_);_([$€-2]\ * \(#,##0\);_([$€-2]\ 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[$€-2]\ * #,##0_);_([$€-2]\ * \(#,##0\);_([$€-2]\ * &quot;-&quot;??_);_(@_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_([$€-2]\ * #,##0_);_([$€-2]\ * \(#,##0\);_([$€-2]\ * &quot;-&quot;??_);_(@_)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_([$€-2]\ * #,##0_);_([$€-2]\ * \(#,##0\);_([$€-2]\ * &quot;-&quot;??_);_(@_)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rgb="FF0070C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color theme="0" tint="-0.14996795556505021"/>
      </font>
      <fill>
        <patternFill>
          <bgColor theme="0" tint="-0.14996795556505021"/>
        </patternFill>
      </fill>
    </dxf>
    <dxf>
      <fill>
        <patternFill patternType="solid">
          <bgColor theme="8" tint="0.79998168889431442"/>
        </patternFill>
      </fill>
    </dxf>
    <dxf>
      <font>
        <b/>
        <i val="0"/>
      </font>
    </dxf>
    <dxf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bgColor theme="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color rgb="FF0070C0"/>
      </font>
      <border>
        <left style="thin">
          <color auto="1"/>
        </left>
        <right style="thin">
          <color auto="1"/>
        </right>
        <top style="double">
          <color auto="1"/>
        </top>
        <bottom style="medium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color theme="0"/>
      </font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Custom Table Style 1" defaultPivotStyle="PivotStyleLight16">
    <tableStyle name="Custom Table Style 1" pivot="0" count="5" xr9:uid="{E5C93A22-CBF8-4417-837B-2BF11D4C85CC}">
      <tableStyleElement type="headerRow" dxfId="274"/>
      <tableStyleElement type="totalRow" dxfId="273"/>
      <tableStyleElement type="firstRowStripe" dxfId="272"/>
      <tableStyleElement type="secondRowStripe" dxfId="271"/>
      <tableStyleElement type="firstTotalCell" dxfId="270"/>
    </tableStyle>
  </tableStyles>
  <colors>
    <mruColors>
      <color rgb="FFFF7D7D"/>
      <color rgb="FFFF8F8F"/>
      <color rgb="FFFF5050"/>
      <color rgb="FFFF5D5D"/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0" i="0" u="none" strike="noStrike" kern="1200" cap="all" spc="15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solidFill>
                  <a:sysClr val="windowText" lastClr="000000"/>
                </a:solidFill>
              </a:rPr>
              <a:t>Attributes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cap="all" spc="15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87504818735178"/>
          <c:y val="0.17534262829283626"/>
          <c:w val="0.71875032808398953"/>
          <c:h val="0.7516340721410556"/>
        </c:manualLayout>
      </c:layout>
      <c:radarChart>
        <c:radarStyle val="filled"/>
        <c:varyColors val="0"/>
        <c:ser>
          <c:idx val="0"/>
          <c:order val="0"/>
          <c:tx>
            <c:v>Attributes</c:v>
          </c:tx>
          <c:spPr>
            <a:solidFill>
              <a:schemeClr val="dk1">
                <a:tint val="88500"/>
                <a:alpha val="50196"/>
              </a:schemeClr>
            </a:solidFill>
            <a:ln w="25400">
              <a:solidFill>
                <a:sysClr val="windowText" lastClr="000000"/>
              </a:solidFill>
              <a:prstDash val="solid"/>
            </a:ln>
            <a:effectLst/>
          </c:spPr>
          <c:dLbls>
            <c:dLbl>
              <c:idx val="0"/>
              <c:tx>
                <c:rich>
                  <a:bodyPr/>
                  <a:lstStyle/>
                  <a:p>
                    <a:fld id="{D3E2C854-E732-4197-A7BA-BDD13D9DC309}" type="CATEGORYNAME">
                      <a:rPr lang="en-US" b="1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  <a:p>
                    <a:fld id="{B46DCBFA-7DAA-420B-B6A2-FB0C2D89C905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B4CF-4C79-BF29-AD087F1DBE8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B53E915E-A2D8-48B6-9776-BEA4B40C1837}" type="CATEGORYNAME">
                      <a:rPr lang="en-US" b="1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  <a:p>
                    <a:fld id="{348546B6-DCB9-47A5-A503-86C6062EF40E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B4CF-4C79-BF29-AD087F1DBE8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5AD349C-45B9-4DBC-9F04-A8B7FAD00795}" type="CATEGORYNAME">
                      <a:rPr lang="en-US" b="1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  <a:p>
                    <a:fld id="{B37425DA-18D3-4C3D-8169-35D37EB4702A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B4CF-4C79-BF29-AD087F1DBE86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B3F23DE3-70C8-44D9-B728-7BD998ACB953}" type="CATEGORYNAME">
                      <a:rPr lang="en-US" b="1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  <a:p>
                    <a:fld id="{62EC78D1-03AE-42F3-8BED-4D70FC8B6EA7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B4CF-4C79-BF29-AD087F1DBE86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D0276D96-D77A-408C-A8E0-60D051517EEC}" type="CATEGORYNAME">
                      <a:rPr lang="en-US" b="1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  <a:p>
                    <a:fld id="{695281AA-4D1C-4246-AFD3-AD19DECD3E76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B4CF-4C79-BF29-AD087F1DBE86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7E30EA3-7AB1-401A-BE4D-4158A647F5F7}" type="CATEGORYNAME">
                      <a:rPr lang="en-US" b="1">
                        <a:solidFill>
                          <a:sysClr val="windowText" lastClr="000000"/>
                        </a:solidFill>
                      </a:rPr>
                      <a:pPr/>
                      <a:t>[CATEGORY NAME]</a:t>
                    </a:fld>
                    <a:endParaRPr lang="en-US" b="1" baseline="0">
                      <a:solidFill>
                        <a:sysClr val="windowText" lastClr="000000"/>
                      </a:solidFill>
                    </a:endParaRPr>
                  </a:p>
                  <a:p>
                    <a:fld id="{3E430925-CA29-4B92-866D-72695CA87C78}" type="VALUE">
                      <a:rPr lang="en-US"/>
                      <a:pPr/>
                      <a:t>[VALUE]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6-B4CF-4C79-BF29-AD087F1DBE8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rgbClr val="0070C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'(2) Vitals'!$K$1:$P$1</c:f>
              <c:strCache>
                <c:ptCount val="6"/>
                <c:pt idx="0">
                  <c:v>PAC</c:v>
                </c:pt>
                <c:pt idx="1">
                  <c:v>SHO</c:v>
                </c:pt>
                <c:pt idx="2">
                  <c:v>PAS</c:v>
                </c:pt>
                <c:pt idx="3">
                  <c:v>DRI</c:v>
                </c:pt>
                <c:pt idx="4">
                  <c:v>DEF</c:v>
                </c:pt>
                <c:pt idx="5">
                  <c:v>PHY</c:v>
                </c:pt>
              </c:strCache>
            </c:strRef>
          </c:cat>
          <c:val>
            <c:numRef>
              <c:f>'(2) Vitals'!$K$17:$P$17</c:f>
              <c:numCache>
                <c:formatCode>General</c:formatCode>
                <c:ptCount val="6"/>
                <c:pt idx="0">
                  <c:v>90</c:v>
                </c:pt>
                <c:pt idx="1">
                  <c:v>79</c:v>
                </c:pt>
                <c:pt idx="2">
                  <c:v>86</c:v>
                </c:pt>
                <c:pt idx="3">
                  <c:v>87</c:v>
                </c:pt>
                <c:pt idx="4">
                  <c:v>40</c:v>
                </c:pt>
                <c:pt idx="5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CF-4C79-BF29-AD087F1DBE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685360"/>
        <c:axId val="1483157520"/>
      </c:radarChart>
      <c:catAx>
        <c:axId val="14776853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483157520"/>
        <c:crosses val="autoZero"/>
        <c:auto val="1"/>
        <c:lblAlgn val="ctr"/>
        <c:lblOffset val="100"/>
        <c:noMultiLvlLbl val="0"/>
      </c:catAx>
      <c:valAx>
        <c:axId val="1483157520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1477685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ysClr val="windowText" lastClr="000000"/>
      </a:solidFill>
      <a:round/>
    </a:ln>
    <a:effectLst/>
  </c:spPr>
  <c:txPr>
    <a:bodyPr/>
    <a:lstStyle/>
    <a:p>
      <a:pPr>
        <a:defRPr sz="1000" b="0">
          <a:solidFill>
            <a:srgbClr val="0070C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50196"/>
        </a:schemeClr>
      </a:solidFill>
      <a:ln w="25400">
        <a:solidFill>
          <a:schemeClr val="phClr"/>
        </a:solidFill>
        <a:prstDash val="sysDot"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5400" cap="rnd" cmpd="sng" algn="ctr">
        <a:solidFill>
          <a:schemeClr val="phClr"/>
        </a:solidFill>
        <a:prstDash val="sysDot"/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27</xdr:row>
      <xdr:rowOff>0</xdr:rowOff>
    </xdr:from>
    <xdr:to>
      <xdr:col>4</xdr:col>
      <xdr:colOff>0</xdr:colOff>
      <xdr:row>45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45070AB7-C59B-43C4-9758-35E60B4D52C4}" autoFormatId="16" applyNumberFormats="0" applyBorderFormats="0" applyFontFormats="0" applyPatternFormats="0" applyAlignmentFormats="0" applyWidthHeightFormats="0">
  <queryTableRefresh nextId="24" unboundColumnsRight="12">
    <queryTableFields count="17">
      <queryTableField id="1" name="season" tableColumnId="1"/>
      <queryTableField id="5" name="team" tableColumnId="5"/>
      <queryTableField id="2" name="competition" tableColumnId="2"/>
      <queryTableField id="3" name="compType" tableColumnId="3"/>
      <queryTableField id="4" name="exhibition" tableColumnId="4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23" dataBound="0" tableColumnId="17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3651EF-9C8A-4AD1-9739-5938197953DB}" name="Vitals" displayName="Vitals" ref="A1:X17" totalsRowCount="1" headerRowDxfId="267" dataDxfId="266" totalsRowDxfId="265">
  <autoFilter ref="A1:X16" xr:uid="{F73651EF-9C8A-4AD1-9739-5938197953DB}">
    <filterColumn colId="0">
      <filters>
        <filter val="Past"/>
        <filter val="Present"/>
      </filters>
    </filterColumn>
  </autoFilter>
  <sortState xmlns:xlrd2="http://schemas.microsoft.com/office/spreadsheetml/2017/richdata2" ref="A2:X5">
    <sortCondition ref="B1:B16"/>
  </sortState>
  <tableColumns count="24">
    <tableColumn id="25" xr3:uid="{3E92DBA0-377C-48DE-90F3-EA6BFA44178C}" name="status" totalsRowLabel="Latest" dataDxfId="264" totalsRowDxfId="263">
      <calculatedColumnFormula array="1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calculatedColumnFormula>
    </tableColumn>
    <tableColumn id="1" xr3:uid="{924184A0-A616-4EE9-9882-2C67386D1564}" name="season" totalsRowFunction="custom" dataDxfId="262" totalsRowDxfId="261">
      <totalsRowFormula array="1">_xlfn._xlws.FILTER(Vitals[season], (Vitals[[age]:[age]] = MAX(Vitals[[age]:[age]])))</totalsRowFormula>
    </tableColumn>
    <tableColumn id="2" xr3:uid="{5497A49E-A842-4E1F-8513-B70F6C569C8F}" name="club" totalsRowFunction="custom" dataDxfId="260" totalsRowDxfId="259">
      <calculatedColumnFormula array="1">IFERROR(_xlfn.TEXTJOIN(" → ", TRUE, _xlfn.UNIQUE(_xlfn._xlws.FILTER(Fixtures[userTeam], (Fixtures[season] = Vitals[[#This Row],[season]])*(Fixtures[userTeamType] = "Club")))), "N/A")</calculatedColumnFormula>
      <totalsRowFormula array="1">_xlfn._xlws.FILTER(Vitals[club], (Vitals[[age]:[age]] = MAX(Vitals[[age]:[age]])))</totalsRowFormula>
    </tableColumn>
    <tableColumn id="3" xr3:uid="{F140C21F-A6B9-47B5-8D02-4D14A0195BFD}" name="age" totalsRowFunction="custom" dataDxfId="258" totalsRowDxfId="257">
      <calculatedColumnFormula>IF(Vitals[[#This Row],[status]] = "Future", "", IF(MONTH(birthDate) &lt; 7, LEFT(Vitals[[#This Row],[season]], 4) - YEAR(birthDate), RIGHT(Vitals[[#This Row],[season]], 4) - YEAR(birthDate)))</calculatedColumnFormula>
      <totalsRowFormula array="1">_xlfn._xlws.FILTER(Vitals[age], (Vitals[[age]:[age]]= MAX(Vitals[[age]:[age]])))</totalsRowFormula>
    </tableColumn>
    <tableColumn id="23" xr3:uid="{6F5164C9-4339-46EF-BF06-A1BC06ED2744}" name="position" totalsRowFunction="custom" dataDxfId="256" totalsRowDxfId="255">
      <totalsRowFormula array="1">_xlfn._xlws.FILTER(Vitals[position], (Vitals[[age]:[age]]= MAX(Vitals[[age]:[age]])))</totalsRowFormula>
    </tableColumn>
    <tableColumn id="24" xr3:uid="{AB6E58A2-76DD-4D13-866D-6C126585CDF2}" name="kitNumber" totalsRowFunction="custom" dataDxfId="254" totalsRowDxfId="253">
      <totalsRowFormula array="1">_xlfn._xlws.FILTER(Vitals[kitNumber], (Vitals[[age]:[age]]= MAX(Vitals[[age]:[age]])))</totalsRowFormula>
    </tableColumn>
    <tableColumn id="6" xr3:uid="{02E6AA3A-CF2E-4987-95DE-52739D20C3FE}" name="heightFeet" totalsRowFunction="custom" dataDxfId="252" totalsRowDxfId="251">
      <totalsRowFormula array="1">_xlfn._xlws.FILTER(Vitals[heightFeet], (Vitals[[age]:[age]]= MAX(Vitals[[age]:[age]])))</totalsRowFormula>
    </tableColumn>
    <tableColumn id="18" xr3:uid="{DF7907C0-EBE3-4C0F-9702-982013786874}" name="heightInches" totalsRowFunction="custom" dataDxfId="250" totalsRowDxfId="249">
      <totalsRowFormula array="1">_xlfn._xlws.FILTER(Vitals[heightInches], (Vitals[[age]:[age]]= MAX(Vitals[[age]:[age]])))</totalsRowFormula>
    </tableColumn>
    <tableColumn id="7" xr3:uid="{4A3A1C65-EF51-4D19-8179-AE7C72FCFCF8}" name="weightPounds" totalsRowFunction="custom" dataDxfId="248" totalsRowDxfId="247">
      <totalsRowFormula array="1">_xlfn._xlws.FILTER(Vitals[weightPounds], (Vitals[[age]:[age]]= MAX(Vitals[[age]:[age]])))</totalsRowFormula>
    </tableColumn>
    <tableColumn id="4" xr3:uid="{A1A09FB3-3A3B-4F7F-AFC4-720517EE1D52}" name="OVR" totalsRowFunction="custom" dataDxfId="246" totalsRowDxfId="245">
      <totalsRowFormula array="1">_xlfn._xlws.FILTER(Vitals[OVR], (Vitals[[age]:[age]]= MAX(Vitals[[age]:[age]])))</totalsRowFormula>
    </tableColumn>
    <tableColumn id="8" xr3:uid="{46CD8CC9-1E66-4BA3-9CEA-8635CDE2710F}" name="PAC" totalsRowFunction="custom" dataDxfId="244" totalsRowDxfId="243">
      <totalsRowFormula array="1">_xlfn._xlws.FILTER(Vitals[PAC], (Vitals[[age]:[age]]= MAX(Vitals[[age]:[age]])))</totalsRowFormula>
    </tableColumn>
    <tableColumn id="9" xr3:uid="{FD44E3FF-57F1-4EDC-B1BE-BA91DC4848C4}" name="SHO" totalsRowFunction="custom" dataDxfId="242" totalsRowDxfId="241">
      <totalsRowFormula array="1">_xlfn._xlws.FILTER(Vitals[SHO], (Vitals[[age]:[age]]= MAX(Vitals[[age]:[age]])))</totalsRowFormula>
    </tableColumn>
    <tableColumn id="10" xr3:uid="{872B3FF0-43FE-4F3E-ABE2-DF7CE8E8CE34}" name="PAS" totalsRowFunction="custom" dataDxfId="240" totalsRowDxfId="239">
      <totalsRowFormula array="1">_xlfn._xlws.FILTER(Vitals[PAS], (Vitals[[age]:[age]]= MAX(Vitals[[age]:[age]])))</totalsRowFormula>
    </tableColumn>
    <tableColumn id="11" xr3:uid="{7F86C72E-3E2A-451F-8CD4-1A7AB4EFD3D4}" name="DRI" totalsRowFunction="custom" dataDxfId="238" totalsRowDxfId="237">
      <totalsRowFormula array="1">_xlfn._xlws.FILTER(Vitals[DRI], (Vitals[[age]:[age]]= MAX(Vitals[[age]:[age]])))</totalsRowFormula>
    </tableColumn>
    <tableColumn id="12" xr3:uid="{2EFCC6CA-EC9C-45F7-851B-AB115027A6E1}" name="DEF" totalsRowFunction="custom" dataDxfId="236" totalsRowDxfId="235">
      <totalsRowFormula array="1">_xlfn._xlws.FILTER(Vitals[DEF], (Vitals[[age]:[age]]= MAX(Vitals[[age]:[age]])))</totalsRowFormula>
    </tableColumn>
    <tableColumn id="13" xr3:uid="{6957DC0D-0551-4B90-8C54-BF45D997F562}" name="PHY" totalsRowFunction="custom" dataDxfId="234" totalsRowDxfId="233">
      <totalsRowFormula array="1">_xlfn._xlws.FILTER(Vitals[PHY], (Vitals[[age]:[age]]= MAX(Vitals[[age]:[age]])))</totalsRowFormula>
    </tableColumn>
    <tableColumn id="14" xr3:uid="{D80C7C1E-319A-4252-BC3D-D8DF7F61E4B7}" name="skillMoves" totalsRowFunction="custom" dataDxfId="232" totalsRowDxfId="231">
      <totalsRowFormula array="1">_xlfn._xlws.FILTER(Vitals[skillMoves], (Vitals[[age]:[age]]= MAX(Vitals[[age]:[age]])))</totalsRowFormula>
    </tableColumn>
    <tableColumn id="15" xr3:uid="{37BC8576-B6DC-462B-9008-253A74217AA0}" name="weakFoot" totalsRowFunction="custom" dataDxfId="230" totalsRowDxfId="229">
      <totalsRowFormula array="1">_xlfn._xlws.FILTER(Vitals[weakFoot], (Vitals[[age]:[age]]= MAX(Vitals[[age]:[age]])))</totalsRowFormula>
    </tableColumn>
    <tableColumn id="26" xr3:uid="{50C5C1C7-578D-4F1D-A8AB-E78B70A1584A}" name="attackRate" totalsRowFunction="custom" dataDxfId="228" totalsRowDxfId="227">
      <totalsRowFormula array="1">_xlfn._xlws.FILTER(Vitals[attackRate], (Vitals[[age]:[age]]= MAX(Vitals[[age]:[age]])))</totalsRowFormula>
    </tableColumn>
    <tableColumn id="27" xr3:uid="{19B1041B-6A67-46BD-A317-5F9C46EACD2B}" name="defenseRate" totalsRowFunction="custom" dataDxfId="226" totalsRowDxfId="225">
      <totalsRowFormula array="1">_xlfn._xlws.FILTER(Vitals[defenseRate], (Vitals[[age]:[age]]= MAX(Vitals[[age]:[age]])))</totalsRowFormula>
    </tableColumn>
    <tableColumn id="19" xr3:uid="{0D3F7AD6-87AB-454F-9D3C-915472FE45DE}" name="weeklyWageEuro" totalsRowFunction="custom" dataDxfId="224" totalsRowDxfId="223">
      <totalsRowFormula array="1">_xlfn._xlws.FILTER(Vitals[weeklyWageEuro], (Vitals[[age]:[age]]= MAX(Vitals[[age]:[age]])))</totalsRowFormula>
    </tableColumn>
    <tableColumn id="16" xr3:uid="{3A887A14-F4AD-4BF9-A913-72EFF2C88918}" name="marketValueEuro" totalsRowFunction="custom" dataDxfId="222" totalsRowDxfId="221">
      <totalsRowFormula array="1">_xlfn._xlws.FILTER(Vitals[marketValueEuro], (Vitals[[age]:[age]]= MAX(Vitals[[age]:[age]])))</totalsRowFormula>
    </tableColumn>
    <tableColumn id="20" xr3:uid="{ABF5D33D-EF82-456E-BFEA-4EC9D7ECF60C}" name="weeklyWageUSD" totalsRowFunction="custom" dataDxfId="220" totalsRowDxfId="219" dataCellStyle="Currency">
      <calculatedColumnFormula>IFERROR(Vitals[[#This Row],[weeklyWageEuro]]*1.08, "N/A")</calculatedColumnFormula>
      <totalsRowFormula array="1">_xlfn._xlws.FILTER(Vitals[weeklyWageUSD], (Vitals[[age]:[age]]= MAX(Vitals[[age]:[age]])))</totalsRowFormula>
    </tableColumn>
    <tableColumn id="17" xr3:uid="{C19E969D-52E8-4162-9ABF-7B96CC8C5E0D}" name="marketValueUSD" totalsRowFunction="custom" dataDxfId="218" totalsRowDxfId="217" dataCellStyle="Currency">
      <calculatedColumnFormula>IFERROR(Vitals[[#This Row],[marketValueEuro]]*1.08, "N/A")</calculatedColumnFormula>
      <totalsRowFormula array="1">_xlfn._xlws.FILTER(Vitals[marketValueUSD], (Vitals[[age]:[age]]= MAX(Vitals[[age]:[age]])))</totalsRowFormula>
    </tableColumn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9953C4-72CF-452A-945B-FB502DD45E35}" name="Fixtures" displayName="Fixtures" ref="A1:AN1250" totalsRowShown="0" headerRowDxfId="215" dataDxfId="214">
  <autoFilter ref="A1:AN1250" xr:uid="{8E9953C4-72CF-452A-945B-FB502DD45E35}"/>
  <tableColumns count="40">
    <tableColumn id="1" xr3:uid="{DF30F117-491B-446D-8C84-CB14FB62BE6E}" name="date" dataDxfId="213"/>
    <tableColumn id="34" xr3:uid="{D435C876-85A5-4D7C-9F10-E83A1E0FFB09}" name="startTime" dataDxfId="212"/>
    <tableColumn id="38" xr3:uid="{D5ED3286-9E99-4349-AECB-365484F0A86E}" name="weather" dataDxfId="211"/>
    <tableColumn id="39" xr3:uid="{E9F9C951-F986-4F1F-967B-708A86CD2B46}" name="stadium" dataDxfId="210"/>
    <tableColumn id="41" xr3:uid="{EEA40759-774B-4D3E-A0BC-B40F5FCF6483}" name="referee" dataDxfId="209" totalsRowDxfId="208"/>
    <tableColumn id="6" xr3:uid="{20BE9EA5-0031-4A12-9666-5174525A9497}" name="competition" dataDxfId="207" totalsRowDxfId="206"/>
    <tableColumn id="2" xr3:uid="{09FAAFFF-641E-4021-9DE0-E006EAA14727}" name="homeTeam" dataDxfId="205"/>
    <tableColumn id="3" xr3:uid="{557BF131-CF2E-45DD-A7F8-EE159E9F7454}" name="awayTeam" dataDxfId="204" totalsRowDxfId="203"/>
    <tableColumn id="4" xr3:uid="{899E3FD5-8C26-4B7A-94C8-302137E595BD}" name="homeScore" dataDxfId="202" totalsRowDxfId="201"/>
    <tableColumn id="5" xr3:uid="{E83DBF79-570F-479B-874D-62F764BEBDB5}" name="awayScore" dataDxfId="200" totalsRowDxfId="199"/>
    <tableColumn id="15" xr3:uid="{15EAAA91-E190-49F4-9C4B-3ADA404B3DBF}" name="homePens" dataDxfId="198" totalsRowDxfId="197"/>
    <tableColumn id="19" xr3:uid="{B42C9D6B-404A-4524-8C6A-BD67CE004C82}" name="awayPens" dataDxfId="196" totalsRowDxfId="195"/>
    <tableColumn id="7" xr3:uid="{3A325ABE-74AF-4B43-B930-B77C0CED4E11}" name="G" dataDxfId="194" totalsRowDxfId="193"/>
    <tableColumn id="20" xr3:uid="{FB0CBB42-50DE-4EB7-A2B6-A7844119B17F}" name="A" dataDxfId="192" totalsRowDxfId="191"/>
    <tableColumn id="21" xr3:uid="{74DA2BD9-CC85-4AE8-953F-8BDD80206B92}" name="YC" dataDxfId="190" totalsRowDxfId="189"/>
    <tableColumn id="23" xr3:uid="{2C04DD62-3684-4800-A21A-B7B6FB8FFED6}" name="RC" dataDxfId="188" totalsRowDxfId="187"/>
    <tableColumn id="24" xr3:uid="{616E1F77-4512-4CCF-9998-6C250A592C30}" name="MR" dataDxfId="186" totalsRowDxfId="185"/>
    <tableColumn id="25" xr3:uid="{274F3C56-A408-4DEC-8FF8-5CCC0EBE790B}" name="MOTM" dataDxfId="184" totalsRowDxfId="183"/>
    <tableColumn id="22" xr3:uid="{5909EC20-554F-4F54-8B84-10D59E1137D1}" name="compType" dataDxfId="182" totalsRowDxfId="181">
      <calculatedColumnFormula array="1">_xlfn._xlws.FILTER(Competitions[compType], (Fixtures[[#This Row],[competition]] = Competitions[name]), "N/A")</calculatedColumnFormula>
    </tableColumn>
    <tableColumn id="8" xr3:uid="{FBF6EE9F-C5EC-431B-92D5-9CB4E9B2CCFB}" name="exhibition" dataDxfId="180" totalsRowDxfId="179">
      <calculatedColumnFormula array="1">_xlfn._xlws.FILTER(Competitions[exhibition], (Fixtures[[#This Row],[competition]] = Competitions[name]), "N/A")</calculatedColumnFormula>
    </tableColumn>
    <tableColumn id="33" xr3:uid="{3B90FA8D-FE4A-4539-8FE2-1E7A5169019F}" name="compID" dataDxfId="178" totalsRowDxfId="177">
      <calculatedColumnFormula array="1">_xlfn._xlws.FILTER(Competitions[compID], (Fixtures[[#This Row],[competition]] = Competitions[name]), "N/A")</calculatedColumnFormula>
    </tableColumn>
    <tableColumn id="27" xr3:uid="{D9CBCB90-10E2-4F49-8542-61A8E26DC1DA}" name="season" dataDxfId="176">
      <calculatedColumnFormula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calculatedColumnFormula>
    </tableColumn>
    <tableColumn id="36" xr3:uid="{D45CA4C7-E005-4FC1-8211-CEA7CA060E21}" name="userTeamID" dataDxfId="175">
      <calculatedColumnFormula array="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calculatedColumnFormula>
    </tableColumn>
    <tableColumn id="9" xr3:uid="{E796C3F3-30D8-4E8C-8E45-5A6E886D4DA2}" name="userTeam" dataDxfId="174">
      <calculatedColumnFormula array="1">_xlfn._xlws.FILTER(Teams[name], (Fixtures[[#This Row],[userTeamID]] = Teams[teamID]), "N/A")</calculatedColumnFormula>
    </tableColumn>
    <tableColumn id="30" xr3:uid="{EB527572-5D99-479F-9BE1-0CF57B0954C5}" name="userTeamType" dataDxfId="173">
      <calculatedColumnFormula array="1">_xlfn._xlws.FILTER(Teams[teamType], (Fixtures[[#This Row],[userTeamID]] = Teams[teamID]), "N/A")</calculatedColumnFormula>
    </tableColumn>
    <tableColumn id="11" xr3:uid="{F776FDB1-829B-4890-8711-2D753EB68ACA}" name="userSide" dataDxfId="172">
      <calculatedColumnFormula array="1">IF(Fixtures[[#This Row],[userTeamID]] = "N/A", "N/A", IF(SUM(COUNTIF(Fixtures[[#This Row],[homeTeam]], _xlfn._xlws.FILTER(Teams[name], (Fixtures[[#This Row],[userTeamID]] = Teams[teamID])*(Teams[relevant])))) &gt; 0, "H", "A"))</calculatedColumnFormula>
    </tableColumn>
    <tableColumn id="10" xr3:uid="{9A5EF474-DE3C-455B-889B-849688BA0FA2}" name="oppTeam" dataDxfId="171">
      <calculatedColumnFormula>IF(Fixtures[[#This Row],[userSide]] = "N/A", "N/A", IF(Fixtures[[#This Row],[userSide]] = "H", Fixtures[[#This Row],[awayTeam]], Fixtures[[#This Row],[homeTeam]]))</calculatedColumnFormula>
    </tableColumn>
    <tableColumn id="35" xr3:uid="{6CF087BE-1021-41F1-BA25-6131E2353D08}" name="oppTeamID" dataDxfId="170">
      <calculatedColumnFormula array="1">_xlfn._xlws.FILTER(Teams[teamID], Fixtures[[#This Row],[oppTeam]] = Teams[name], "N/A")</calculatedColumnFormula>
    </tableColumn>
    <tableColumn id="37" xr3:uid="{36ACF3DE-69B9-4996-8128-5F7BEEE48786}" name="oppTeamType" dataDxfId="169">
      <calculatedColumnFormula array="1">_xlfn._xlws.FILTER(Teams[teamType], Fixtures[[#This Row],[oppTeam]] = Teams[name], "N/A")</calculatedColumnFormula>
    </tableColumn>
    <tableColumn id="12" xr3:uid="{78FE9DAA-453B-4B22-B953-9367A0A2F7F7}" name="userScore" dataDxfId="168">
      <calculatedColumnFormula>IF(ISBLANK(Fixtures[[#This Row],[date]]), "N/A", IF(Fixtures[[#This Row],[userSide]]="H", Fixtures[[#This Row],[homeScore]], Fixtures[[#This Row],[awayScore]]))</calculatedColumnFormula>
    </tableColumn>
    <tableColumn id="13" xr3:uid="{9A8BD7DC-DF37-44D1-83DE-A754CC4A8D6A}" name="oppScore" dataDxfId="167">
      <calculatedColumnFormula>IF(ISBLANK(Fixtures[[#This Row],[date]]), "N/A", IF(Fixtures[[#This Row],[userScore]] = Fixtures[[#This Row],[homeScore]], Fixtures[[#This Row],[awayScore]], Fixtures[[#This Row],[homeScore]]))</calculatedColumnFormula>
    </tableColumn>
    <tableColumn id="29" xr3:uid="{E5B9000E-F4E0-48C2-A16B-60F707CF51C3}" name="penalties" dataDxfId="166">
      <calculatedColumnFormula>NOT(AND(ISBLANK(Fixtures[[#This Row],[homePens]]), ISBLANK(Fixtures[[#This Row],[awayPens]])))</calculatedColumnFormula>
    </tableColumn>
    <tableColumn id="17" xr3:uid="{35D2DCFA-EE66-47AA-A076-A705FE36551F}" name="userPens" dataDxfId="165">
      <calculatedColumnFormula>IF(Fixtures[[#This Row],[penalties]], IF(Fixtures[[#This Row],[userSide]]="H", Fixtures[[#This Row],[homePens]], Fixtures[[#This Row],[awayPens]]), "N/A")</calculatedColumnFormula>
    </tableColumn>
    <tableColumn id="16" xr3:uid="{E1DFD1F1-4411-4E8B-BC4F-347AE676181A}" name="oppPens" dataDxfId="164">
      <calculatedColumnFormula>IF(Fixtures[[#This Row],[penalties]], IF(Fixtures[[#This Row],[userPens]]=Fixtures[[#This Row],[homePens]],Fixtures[[#This Row],[awayPens]],Fixtures[[#This Row],[homePens]]), "N/A")</calculatedColumnFormula>
    </tableColumn>
    <tableColumn id="31" xr3:uid="{91D93836-825F-40A7-BC27-5893D9386D23}" name="APP" dataDxfId="163">
      <calculatedColumnFormula>COUNTBLANK(Fixtures[[#This Row],[G]:[MOTM]]) = 0</calculatedColumnFormula>
    </tableColumn>
    <tableColumn id="26" xr3:uid="{AA7728A4-B144-464E-9F1B-9D34BB7BD1A0}" name="INV" dataDxfId="162">
      <calculatedColumnFormula>IF(Fixtures[[#This Row],[APP]], Fixtures[[#This Row],[G]]+Fixtures[[#This Row],[A]], "N/A")</calculatedColumnFormula>
    </tableColumn>
    <tableColumn id="14" xr3:uid="{80264C5B-3075-47E1-AF2C-9CACE77AB164}" name="result" dataDxfId="161">
      <calculatedColumnFormula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calculatedColumnFormula>
    </tableColumn>
    <tableColumn id="18" xr3:uid="{F8CC3F13-23E9-42C7-86AA-11D4D9ADC637}" name="margin" dataDxfId="160">
      <calculatedColumnFormula>IF(Fixtures[[#This Row],[result]] = "N/A", "N/A", IF(Fixtures[[#This Row],[penalties]], ABS(Fixtures[[#This Row],[userPens]] - Fixtures[[#This Row],[oppPens]]), ABS(Fixtures[[#This Row],[userScore]] - Fixtures[[#This Row],[oppScore]])))</calculatedColumnFormula>
    </tableColumn>
    <tableColumn id="28" xr3:uid="{B67E2F47-1C84-48C1-9BB8-16CFD86A1C55}" name="label" dataDxfId="159">
      <calculatedColumnFormula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calculatedColumnFormula>
    </tableColumn>
    <tableColumn id="32" xr3:uid="{AC945622-0F70-4372-955B-4C85D8607E4E}" name="milestones" dataDxfId="158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7BED77-C690-49C8-B7B3-F5B886E200D1}" name="Stats" displayName="Stats" ref="A1:Q18" tableType="queryTable" totalsRowCount="1" headerRowDxfId="157" dataDxfId="156" totalsRowDxfId="155">
  <autoFilter ref="A1:Q17" xr:uid="{FB7BED77-C690-49C8-B7B3-F5B886E200D1}"/>
  <tableColumns count="17">
    <tableColumn id="1" xr3:uid="{1E5849F3-F415-4083-B644-6D0D20B5614B}" uniqueName="1" name="season" totalsRowLabel="Total" queryTableFieldId="1" dataDxfId="16" totalsRowDxfId="17"/>
    <tableColumn id="5" xr3:uid="{5FDC7992-2DA6-448B-A3EE-F324D2F8A887}" uniqueName="5" name="team" totalsRowFunction="custom" queryTableFieldId="5" dataDxfId="15" totalsRowDxfId="18">
      <totalsRowFormula array="1">SUM(IF(FREQUENCY(IF(SUBTOTAL(3,OFFSET(INDEX(Stats[team], 1),ROW(Stats[team])-ROW(INDEX(Stats[team], 1)),,1)), IF(Stats[team]&gt;"",MATCH("~"&amp;Stats[team],Stats[team]&amp;"",0))),ROW(Stats[team])-ROW(INDEX(Stats[team], 1))+1),1))</totalsRowFormula>
    </tableColumn>
    <tableColumn id="2" xr3:uid="{BFA8EF90-A27E-4A71-BF92-E54F29AD569B}" uniqueName="2" name="competition" totalsRowFunction="custom" queryTableFieldId="2" dataDxfId="14" totalsRowDxfId="19">
      <totalsRowFormula array="1">SUM(IF(FREQUENCY(IF(SUBTOTAL(3,OFFSET(INDEX(Stats[competition], 1),ROW(Stats[competition])-ROW(INDEX(Stats[competition], 1)),,1)), IF(Stats[competition]&gt;"",MATCH("~"&amp;Stats[competition],Stats[competition]&amp;"",0))),ROW(Stats[competition])-ROW(INDEX(Stats[competition], 1))+1),1))</totalsRowFormula>
    </tableColumn>
    <tableColumn id="3" xr3:uid="{4659A2A1-D7CC-4CAD-B680-F240CA7A7F0C}" uniqueName="3" name="compType" totalsRowFunction="custom" queryTableFieldId="3" dataDxfId="13" totalsRowDxfId="20">
      <totalsRowFormula array="1">SUM(IF(FREQUENCY(IF(SUBTOTAL(3,OFFSET(INDEX(Stats[compType], 1),ROW(Stats[compType])-ROW(INDEX(Stats[compType], 1)),,1)), IF(Stats[compType]&gt;"",MATCH("~"&amp;Stats[compType],Stats[compType]&amp;"",0))),ROW(Stats[compType])-ROW(INDEX(Stats[compType], 1))+1),1))</totalsRowFormula>
    </tableColumn>
    <tableColumn id="4" xr3:uid="{91A85340-6E2A-492C-8A1D-2361166B1562}" uniqueName="4" name="exhibition" totalsRowFunction="custom" queryTableFieldId="4" dataDxfId="12" totalsRowDxfId="21">
      <totalsRowFormula array="1">SUMPRODUCT(SUBTOTAL(3,OFFSET(Stats[exhibition],ROW(Stats[exhibition])-ROW(INDEX(Stats[exhibition], 1)),0,1)),--(Stats[exhibition]=TRUE))</totalsRowFormula>
    </tableColumn>
    <tableColumn id="6" xr3:uid="{CC0441C9-3B90-42DD-B57B-D387EE02172B}" uniqueName="6" name="APP" totalsRowFunction="sum" queryTableFieldId="6" dataDxfId="11" totalsRowDxfId="22">
      <calculatedColumnFormula>COUNTIFS(Fixtures[season], Stats[[#This Row],[season]], Fixtures[competition], Stats[[#This Row],[competition]], Fixtures[APP], TRUE)</calculatedColumnFormula>
    </tableColumn>
    <tableColumn id="7" xr3:uid="{4A62C8BD-1D1E-4BEB-862B-5DD2F795FFF0}" uniqueName="7" name="W" totalsRowFunction="sum" queryTableFieldId="7" dataDxfId="10" totalsRowDxfId="23">
      <calculatedColumnFormula>COUNTIFS(Fixtures[season], Stats[[#This Row],[season]], Fixtures[competition], Stats[[#This Row],[competition]], Fixtures[APP], TRUE, Fixtures[result], "W")</calculatedColumnFormula>
    </tableColumn>
    <tableColumn id="8" xr3:uid="{DB5A883C-7F4A-4565-9C1F-35F8B8CC5311}" uniqueName="8" name="D" totalsRowFunction="sum" queryTableFieldId="8" dataDxfId="9" totalsRowDxfId="24">
      <calculatedColumnFormula>COUNTIFS(Fixtures[season], Stats[[#This Row],[season]], Fixtures[competition], Stats[[#This Row],[competition]], Fixtures[APP], TRUE, Fixtures[result], "D")</calculatedColumnFormula>
    </tableColumn>
    <tableColumn id="9" xr3:uid="{D3E320EF-AB81-4264-882A-DC80B488AFDF}" uniqueName="9" name="L" totalsRowFunction="sum" queryTableFieldId="9" dataDxfId="8" totalsRowDxfId="25">
      <calculatedColumnFormula>COUNTIFS(Fixtures[season], Stats[[#This Row],[season]], Fixtures[competition], Stats[[#This Row],[competition]], Fixtures[APP], TRUE, Fixtures[result], "L")</calculatedColumnFormula>
    </tableColumn>
    <tableColumn id="10" xr3:uid="{ABBFC091-0458-4DC6-94E1-3C35F9AEAB0E}" uniqueName="10" name="G" totalsRowFunction="sum" queryTableFieldId="10" dataDxfId="7" totalsRowDxfId="26">
      <calculatedColumnFormula>SUMIFS(Fixtures[G], Fixtures[season], Stats[[#This Row],[season]], Fixtures[competition], Stats[[#This Row],[competition]], Fixtures[APP], TRUE)</calculatedColumnFormula>
    </tableColumn>
    <tableColumn id="11" xr3:uid="{91EFC18E-6248-41F7-AB27-F8733EB208E2}" uniqueName="11" name="A" totalsRowFunction="sum" queryTableFieldId="11" dataDxfId="6" totalsRowDxfId="27">
      <calculatedColumnFormula>SUMIFS(Fixtures[A], Fixtures[season], Stats[[#This Row],[season]], Fixtures[competition], Stats[[#This Row],[competition]], Fixtures[APP], TRUE)</calculatedColumnFormula>
    </tableColumn>
    <tableColumn id="12" xr3:uid="{415196D1-E0BB-44E4-819F-12310A9A7EE7}" uniqueName="12" name="INV" totalsRowFunction="sum" queryTableFieldId="12" dataDxfId="5" totalsRowDxfId="28">
      <calculatedColumnFormula>SUMIFS(Fixtures[INV], Fixtures[season], Stats[[#This Row],[season]], Fixtures[competition], Stats[[#This Row],[competition]], Fixtures[APP], TRUE)</calculatedColumnFormula>
    </tableColumn>
    <tableColumn id="13" xr3:uid="{75E8C50E-7337-4D63-8B5A-9A3C6E26BB73}" uniqueName="13" name="YC" totalsRowFunction="sum" queryTableFieldId="13" dataDxfId="4" totalsRowDxfId="29">
      <calculatedColumnFormula>SUMIFS(Fixtures[YC], Fixtures[season], Stats[[#This Row],[season]], Fixtures[competition], Stats[[#This Row],[competition]], Fixtures[APP], TRUE)</calculatedColumnFormula>
    </tableColumn>
    <tableColumn id="14" xr3:uid="{7974A2F4-5B7D-4479-8090-64D474CD3D47}" uniqueName="14" name="RC" totalsRowFunction="sum" queryTableFieldId="14" dataDxfId="3" totalsRowDxfId="30">
      <calculatedColumnFormula>SUMIFS(Fixtures[RC], Fixtures[season], Stats[[#This Row],[season]], Fixtures[competition], Stats[[#This Row],[competition]], Fixtures[APP], TRUE)</calculatedColumnFormula>
    </tableColumn>
    <tableColumn id="15" xr3:uid="{5A4A3C51-F3E1-4CDD-BF14-3F86ABAF39CF}" uniqueName="15" name="AVG" totalsRowFunction="custom" queryTableFieldId="15" dataDxfId="2" totalsRowDxfId="31">
      <calculatedColumnFormula>IFERROR(AVERAGEIFS(Fixtures[MR], Fixtures[season], Stats[[#This Row],[season]], Fixtures[competition], Stats[[#This Row],[competition]], Fixtures[APP], TRUE), "")</calculatedColumnFormula>
      <totalsRowFormula array="1">IFERROR(SUMPRODUCT(Stats[APP],SUBTOTAL(109,OFFSET(Stats[AVG],ROW(Stats[AVG])-MIN(ROW(Stats[AVG])),0,1)))/SUBTOTAL(109,Stats[APP]), "")</totalsRowFormula>
    </tableColumn>
    <tableColumn id="16" xr3:uid="{F0258A30-2B89-4DA8-859F-E36F9D9C0F15}" uniqueName="16" name="MOTM" totalsRowFunction="sum" queryTableFieldId="16" dataDxfId="1" totalsRowDxfId="32">
      <calculatedColumnFormula>COUNTIFS(Fixtures[season], Stats[[#This Row],[season]], Fixtures[competition], Stats[[#This Row],[competition]], Fixtures[APP], TRUE, Fixtures[MOTM], TRUE)</calculatedColumnFormula>
    </tableColumn>
    <tableColumn id="17" xr3:uid="{988C8579-9132-4738-917F-E2A59C7595E3}" uniqueName="17" name="result" totalsRowFunction="custom" queryTableFieldId="23" dataDxfId="0" totalsRowDxfId="33">
      <calculatedColumnFormula array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calculatedColumnFormula>
      <totalsRowFormula array="1">SUMPRODUCT(SUBTOTAL(3,OFFSET(Stats[result],ROW(Stats[result])-ROW(INDEX(Stats[result], 1)),0,1)),--(Stats[result]="Winner"))</totalsRowFormula>
    </tableColumn>
  </tableColumns>
  <tableStyleInfo name="Custom Table Style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B709E60-6685-4C9C-A4CD-DAA6ADF4FBAD}" name="Seasons" displayName="Seasons" ref="A1:R17" totalsRowCount="1" headerRowDxfId="152" dataDxfId="151" totalsRowDxfId="150">
  <autoFilter ref="A1:R16" xr:uid="{6B709E60-6685-4C9C-A4CD-DAA6ADF4FBAD}">
    <filterColumn colId="1">
      <filters>
        <filter val="Past"/>
        <filter val="Present"/>
      </filters>
    </filterColumn>
  </autoFilter>
  <sortState xmlns:xlrd2="http://schemas.microsoft.com/office/spreadsheetml/2017/richdata2" ref="A3:R4">
    <sortCondition ref="A1"/>
  </sortState>
  <tableColumns count="18">
    <tableColumn id="1" xr3:uid="{DD735747-CA90-4DEC-8977-D20D1FA08AF0}" name="season" totalsRowLabel="Total" dataDxfId="149" totalsRowDxfId="148"/>
    <tableColumn id="10" xr3:uid="{1666D49F-0245-4E35-8A5F-12A3B29F91C6}" name="status" dataDxfId="147" totalsRowDxfId="146">
      <calculatedColumnFormula array="1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calculatedColumnFormula>
    </tableColumn>
    <tableColumn id="2" xr3:uid="{D412EA5B-F1B8-4225-864C-C5BDC39128FB}" name="club" dataDxfId="145" totalsRowDxfId="144">
      <calculatedColumnFormula array="1">IFERROR(_xlfn.TEXTJOIN(" → ", TRUE, _xlfn.UNIQUE(_xlfn._xlws.FILTER(Fixtures[userTeam], (Fixtures[season] = Seasons[[#This Row],[season]])*(Fixtures[userTeamType] = "Club")))), "N/A")</calculatedColumnFormula>
    </tableColumn>
    <tableColumn id="6" xr3:uid="{F1A5801F-6F4A-46C8-B181-8A4AE1E3AB72}" name="APP" totalsRowFunction="sum" dataDxfId="143" totalsRowDxfId="142">
      <calculatedColumnFormula>IF(Seasons[[#This Row],[club]] = "N/A", "N/A", SUMIFS(Stats[APP], Stats[season], Seasons[[#This Row],[season]], Stats[team], Seasons[[#This Row],[club]], Stats[exhibition], FALSE))</calculatedColumnFormula>
    </tableColumn>
    <tableColumn id="3" xr3:uid="{B37F3C1C-BEA6-4B4E-B1FB-8F2AB99BAAAC}" name="W" totalsRowFunction="sum" dataDxfId="141" totalsRowDxfId="140">
      <calculatedColumnFormula>IF(Seasons[[#This Row],[club]] = "N/A", "N/A", SUMIFS(Stats[W], Stats[season], Seasons[[#This Row],[season]], Stats[team], Seasons[[#This Row],[club]], Stats[exhibition], FALSE))</calculatedColumnFormula>
    </tableColumn>
    <tableColumn id="4" xr3:uid="{F1AE4AFC-6DFA-4344-9DD0-80B28AE9A424}" name="D" totalsRowFunction="sum" dataDxfId="139" totalsRowDxfId="138">
      <calculatedColumnFormula>IF(Seasons[[#This Row],[club]] = "N/A", "N/A", SUMIFS(Stats[D], Stats[season], Seasons[[#This Row],[season]], Stats[team], Seasons[[#This Row],[club]], Stats[exhibition], FALSE))</calculatedColumnFormula>
    </tableColumn>
    <tableColumn id="5" xr3:uid="{B7A7FC3D-FA2D-48F7-ACAB-559974C20B22}" name="L" totalsRowFunction="sum" dataDxfId="137" totalsRowDxfId="136">
      <calculatedColumnFormula>IF(Seasons[[#This Row],[club]] = "N/A", "N/A", SUMIFS(Stats[L], Stats[season], Seasons[[#This Row],[season]], Stats[team], Seasons[[#This Row],[club]], Stats[exhibition], FALSE))</calculatedColumnFormula>
    </tableColumn>
    <tableColumn id="7" xr3:uid="{E2FBAAB3-14A9-47D4-94D0-6AA32AC3BE30}" name="G" totalsRowFunction="sum" dataDxfId="135" totalsRowDxfId="134">
      <calculatedColumnFormula>IF(Seasons[[#This Row],[club]] = "N/A", "N/A", SUMIFS(Stats[G], Stats[season], Seasons[[#This Row],[season]], Stats[team], Seasons[[#This Row],[club]], Stats[exhibition], FALSE))</calculatedColumnFormula>
    </tableColumn>
    <tableColumn id="8" xr3:uid="{990B66D8-E9B2-4CF4-8A95-57889AC4A933}" name="A" totalsRowFunction="sum" dataDxfId="133" totalsRowDxfId="132">
      <calculatedColumnFormula>IF(Seasons[[#This Row],[club]] = "N/A", "N/A", SUMIFS(Stats[A], Stats[season], Seasons[[#This Row],[season]], Stats[team], Seasons[[#This Row],[club]], Stats[exhibition], FALSE))</calculatedColumnFormula>
    </tableColumn>
    <tableColumn id="9" xr3:uid="{F3BBCA66-4878-455F-B25E-3C305E901EBE}" name="INV" totalsRowFunction="sum" dataDxfId="131" totalsRowDxfId="130">
      <calculatedColumnFormula>IF(Seasons[[#This Row],[club]] = "N/A", "N/A", SUMIFS(Stats[INV], Stats[season], Seasons[[#This Row],[season]], Stats[team], Seasons[[#This Row],[club]], Stats[exhibition], FALSE))</calculatedColumnFormula>
    </tableColumn>
    <tableColumn id="11" xr3:uid="{FCB24B51-D319-4BA9-8042-6A96967DF408}" name="YC" totalsRowFunction="sum" dataDxfId="129" totalsRowDxfId="128">
      <calculatedColumnFormula>IF(Seasons[[#This Row],[club]] = "N/A", "N/A", SUMIFS(Fixtures[YC], Fixtures[APP], TRUE, Fixtures[season], Seasons[[#This Row],[season]], Fixtures[exhibition], FALSE))</calculatedColumnFormula>
    </tableColumn>
    <tableColumn id="12" xr3:uid="{A6656605-5F92-4906-94B7-998B8E4CE505}" name="RC" totalsRowFunction="sum" dataDxfId="127" totalsRowDxfId="126">
      <calculatedColumnFormula>IF(Seasons[[#This Row],[club]] = "N/A", "N/A", SUMIFS(Fixtures[RC], Fixtures[APP], TRUE, Fixtures[season], Seasons[[#This Row],[season]], Fixtures[exhibition], FALSE))</calculatedColumnFormula>
    </tableColumn>
    <tableColumn id="13" xr3:uid="{D4A60400-6297-494B-9281-E467645735E8}" name="AVG" totalsRowFunction="custom" dataDxfId="125" totalsRowDxfId="124">
      <calculatedColumnFormula>IF(Seasons[[#This Row],[club]] = "N/A", "N/A", IFERROR(AVERAGEIFS(Fixtures[MR], Fixtures[season], Seasons[[#This Row],[season]], Fixtures[APP], TRUE, Fixtures[exhibition], FALSE), 0))</calculatedColumnFormula>
      <totalsRowFormula array="1">IFERROR(SUMPRODUCT(Seasons[APP],SUBTOTAL(109,OFFSET(Seasons[AVG],ROW(Seasons[AVG])-MIN(ROW(Seasons[AVG])),0,1)))/SUBTOTAL(109,Seasons[APP]), 0)</totalsRowFormula>
    </tableColumn>
    <tableColumn id="14" xr3:uid="{8AC3BF8D-736D-49E9-8239-EAD5811DE165}" name="MOTM" totalsRowFunction="sum" dataDxfId="123" totalsRowDxfId="122">
      <calculatedColumnFormula>IF(Seasons[[#This Row],[club]] = "N/A", "N/A", COUNTIFS(Fixtures[APP], TRUE, Fixtures[season], Seasons[[#This Row],[season]], Fixtures[exhibition], FALSE, Fixtures[MOTM], TRUE))</calculatedColumnFormula>
    </tableColumn>
    <tableColumn id="15" xr3:uid="{211D534B-49E3-42B6-B75B-CC89A8EECA31}" name="TOTW" totalsRowFunction="sum" dataDxfId="121" totalsRowDxfId="120"/>
    <tableColumn id="16" xr3:uid="{CA76E6EA-E279-4489-B74F-4ED250FBC59B}" name="POTM" totalsRowFunction="sum" dataDxfId="119" totalsRowDxfId="118"/>
    <tableColumn id="17" xr3:uid="{A769673B-EBE5-4C48-A20F-E49CA90CE926}" name="POTY" totalsRowFunction="custom" dataDxfId="117" totalsRowDxfId="116">
      <totalsRowFormula array="1">SUMPRODUCT(SUBTOTAL(3,OFFSET(Seasons[POTY],ROW(Seasons[POTY])-ROW(INDEX(Seasons[POTY], 1)),0,1)),--(Seasons[POTY]=TRUE))</totalsRowFormula>
    </tableColumn>
    <tableColumn id="22" xr3:uid="{209CCFA3-4BEA-4E0B-BD6F-282483D682A4}" name="titles" dataDxfId="115" totalsRowDxfId="114">
      <calculatedColumnFormula array="1">IF(Seasons[[#This Row],[club]] = "N/A", "N/A", _xlfn.TEXTJOIN(", ", TRUE, _xlfn._xlws.FILTER(Stats[competition],(Stats[season]=Seasons[[#This Row],[season]])*(Stats[result]="Winner"),"None")))</calculatedColumnFormula>
    </tableColumn>
  </tableColumns>
  <tableStyleInfo name="Custom Table Style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BDBBBE-0D21-4412-9EC2-A9391A177775}" name="Accomplishments" displayName="Accomplishments" ref="A1:H10" totalsRowShown="0" headerRowDxfId="113" dataDxfId="112">
  <autoFilter ref="A1:H10" xr:uid="{88BDBBBE-0D21-4412-9EC2-A9391A177775}"/>
  <tableColumns count="8">
    <tableColumn id="1" xr3:uid="{40FD81EF-5D14-4537-B4F9-F43970CC620F}" name="category" dataDxfId="111"/>
    <tableColumn id="2" xr3:uid="{DFD6B7D6-35B3-4933-A989-0071CF1A25FE}" name="description" dataDxfId="110"/>
    <tableColumn id="8" xr3:uid="{472E0E45-D562-46FB-9610-8EF5E257819A}" name="type" dataDxfId="109"/>
    <tableColumn id="3" xr3:uid="{5B54C0EF-0441-461F-ACAA-90A272D03C29}" name="allTime" dataDxfId="108"/>
    <tableColumn id="4" xr3:uid="{D0562C5F-C6F7-4F9E-9C8F-C7461DEA3189}" name="seasonHigh" dataDxfId="107"/>
    <tableColumn id="5" xr3:uid="{8419C73E-8124-4FD7-B521-B02BE7C5C444}" name="seasonAVG" dataDxfId="106"/>
    <tableColumn id="6" xr3:uid="{FD0B88A5-E8C2-4964-A519-6247C00614B0}" name="matchHigh" dataDxfId="105"/>
    <tableColumn id="7" xr3:uid="{1FADB83E-CE16-4D87-BD91-3E7DE8C3270B}" name="matchAVG" dataDxfId="104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D1A92A-E7F5-44D5-8D04-D5F27796FCEC}" name="Teams" displayName="Teams" ref="A1:S718" totalsRowShown="0" headerRowDxfId="102" dataDxfId="101">
  <autoFilter ref="A1:S718" xr:uid="{95D1A92A-E7F5-44D5-8D04-D5F27796FCEC}">
    <filterColumn colId="6">
      <filters>
        <filter val="TRUE"/>
      </filters>
    </filterColumn>
  </autoFilter>
  <sortState xmlns:xlrd2="http://schemas.microsoft.com/office/spreadsheetml/2017/richdata2" ref="A2:S718">
    <sortCondition ref="A1:A718"/>
  </sortState>
  <tableColumns count="19">
    <tableColumn id="1" xr3:uid="{BA46047F-81F8-45E4-866A-70F3471A1197}" name="name" dataDxfId="100"/>
    <tableColumn id="3" xr3:uid="{A227E3ED-0F0F-4871-93D6-FDD2045A4C67}" name="nation" dataDxfId="99"/>
    <tableColumn id="4" xr3:uid="{34BD647E-5D27-4D73-B5DB-40C6C4C9BB11}" name="teamType" dataDxfId="98"/>
    <tableColumn id="5" xr3:uid="{C1E15FEB-8112-4C0F-9A10-0CF1F7877941}" name="teamID" dataDxfId="97">
      <calculatedColumnFormula>UPPER(_xlfn.CONCAT(LEFT(Teams[[#This Row],[teamType]], 1), "-", LEFT(SUBSTITUTE(Teams[[#This Row],[nation]], "/", ""), 3), "-", SUBSTITUTE(SUBSTITUTE(SUBSTITUTE(Teams[[#This Row],[name]], ".", ""), " ", ""), "-", "")))</calculatedColumnFormula>
    </tableColumn>
    <tableColumn id="7" xr3:uid="{FDB14DEE-AC99-440E-BFB5-C22EB52B8BCB}" name="startDate" dataDxfId="96"/>
    <tableColumn id="8" xr3:uid="{955A1A37-5251-40C0-AA11-C81AA261D18B}" name="endDate" dataDxfId="95"/>
    <tableColumn id="10" xr3:uid="{C460E191-55F4-44D6-A680-2B45D406DDD6}" name="relevant" dataDxfId="94">
      <calculatedColumnFormula>COUNTBLANK(Teams[[#This Row],[startDate]:[endDate]]) &lt; 2</calculatedColumnFormula>
    </tableColumn>
    <tableColumn id="11" xr3:uid="{09D60AF7-CEA4-45A7-87B9-DC923DB4568A}" name="APP" dataDxfId="93">
      <calculatedColumnFormula>IF(Teams[[#This Row],[relevant]], COUNTIFS(Fixtures[userTeam], Teams[[#This Row],[name]], Fixtures[APP], TRUE), "")</calculatedColumnFormula>
    </tableColumn>
    <tableColumn id="12" xr3:uid="{2870D6BF-3606-4E70-A7DA-3B1AAD520725}" name="W" dataDxfId="92">
      <calculatedColumnFormula>IF(Teams[[#This Row],[relevant]], COUNTIFS(Fixtures[userTeam], Teams[[#This Row],[name]], Fixtures[result], "W", Fixtures[APP], TRUE), "")</calculatedColumnFormula>
    </tableColumn>
    <tableColumn id="13" xr3:uid="{B7AD3EE8-25D1-48AD-91B9-753157582541}" name="D" dataDxfId="91">
      <calculatedColumnFormula>IF(Teams[[#This Row],[relevant]], COUNTIFS(Fixtures[userTeam], Teams[[#This Row],[name]], Fixtures[result], "D", Fixtures[APP], TRUE), "")</calculatedColumnFormula>
    </tableColumn>
    <tableColumn id="14" xr3:uid="{97A029B4-7A48-499A-A28B-22C7E0FCDDC3}" name="L" dataDxfId="90">
      <calculatedColumnFormula>IF(Teams[[#This Row],[relevant]], COUNTIFS(Fixtures[userTeam], Teams[[#This Row],[name]], Fixtures[result], "L", Fixtures[APP], TRUE), "")</calculatedColumnFormula>
    </tableColumn>
    <tableColumn id="15" xr3:uid="{F3BDFD71-3466-4CCC-ACE5-216A492F02BC}" name="G" dataDxfId="89">
      <calculatedColumnFormula>IF(Teams[[#This Row],[relevant]], SUMIFS(Fixtures[G], Fixtures[userTeam], Teams[[#This Row],[name]]), "")</calculatedColumnFormula>
    </tableColumn>
    <tableColumn id="16" xr3:uid="{F3E712C0-BBD5-450B-9D5B-EDAEFB24CFDD}" name="A" dataDxfId="88">
      <calculatedColumnFormula>IF(Teams[[#This Row],[relevant]], SUMIFS(Fixtures[A], Fixtures[userTeam], Teams[[#This Row],[name]]), "")</calculatedColumnFormula>
    </tableColumn>
    <tableColumn id="17" xr3:uid="{FC57C34A-F0D8-423F-B534-A608986B1398}" name="INV" dataDxfId="87">
      <calculatedColumnFormula>IF(Teams[[#This Row],[relevant]], SUMIFS(Fixtures[INV], Fixtures[userTeam], Teams[[#This Row],[name]]), "")</calculatedColumnFormula>
    </tableColumn>
    <tableColumn id="18" xr3:uid="{43842424-9DAD-44E9-811C-574CD17388ED}" name="YC" dataDxfId="86">
      <calculatedColumnFormula>IF(Teams[[#This Row],[relevant]], SUMIFS(Fixtures[YC], Fixtures[userTeam], Teams[[#This Row],[name]]), "")</calculatedColumnFormula>
    </tableColumn>
    <tableColumn id="19" xr3:uid="{E8B8D075-F36B-4E10-ABAF-A0AE1F546094}" name="RC" dataDxfId="85">
      <calculatedColumnFormula>IF(Teams[[#This Row],[relevant]], SUMIFS(Fixtures[RC], Fixtures[userTeam], Teams[[#This Row],[name]]), "")</calculatedColumnFormula>
    </tableColumn>
    <tableColumn id="20" xr3:uid="{69D3FF01-F09D-4AD0-9C8C-888EEAE30575}" name="AVG" dataDxfId="84">
      <calculatedColumnFormula>IF(Teams[[#This Row],[relevant]], IF(ISERROR(AVERAGEIFS(Fixtures[MR], Fixtures[userTeam], Teams[[#This Row],[name]])), 0, AVERAGEIFS(Fixtures[MR], Fixtures[userTeam], Teams[[#This Row],[name]])), "")</calculatedColumnFormula>
    </tableColumn>
    <tableColumn id="21" xr3:uid="{E8C74FFE-E378-4E42-9E45-689154EF73D7}" name="MOTM" dataDxfId="83">
      <calculatedColumnFormula>IF(Teams[[#This Row],[relevant]], COUNTIFS(Fixtures[userTeam], Teams[[#This Row],[name]], Fixtures[MOTM], TRUE), "")</calculatedColumnFormula>
    </tableColumn>
    <tableColumn id="22" xr3:uid="{C7539EBC-6138-4101-83E6-582C277BFE8C}" name="titles" dataDxfId="82">
      <calculatedColumnFormula array="1">IF(Teams[[#This Row],[relevant]], _xlfn.TEXTJOIN(", ", TRUE, _xlfn._xlws.FILTER(Stats[competition]&amp;" ("&amp;Stats[season]&amp;")",(Stats[team]=Teams[[#This Row],[name]])*(Stats[result]="Winner"),"")), "")</calculatedColumnFormula>
    </tableColumn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DF6E802-0AC7-485A-BE2C-0F90A299F356}" name="Competitions" displayName="Competitions" ref="A1:U79" totalsRowShown="0" headerRowDxfId="81" dataDxfId="80">
  <autoFilter ref="A1:U79" xr:uid="{6DF6E802-0AC7-485A-BE2C-0F90A299F356}">
    <filterColumn colId="4">
      <filters>
        <filter val="TRUE"/>
      </filters>
    </filterColumn>
  </autoFilter>
  <sortState xmlns:xlrd2="http://schemas.microsoft.com/office/spreadsheetml/2017/richdata2" ref="A2:U79">
    <sortCondition ref="A1:A79"/>
  </sortState>
  <tableColumns count="21">
    <tableColumn id="1" xr3:uid="{2C95738C-6FED-4A24-8758-96DDAACD9066}" name="name" dataDxfId="79"/>
    <tableColumn id="2" xr3:uid="{F9865B50-7E27-4A41-AB2B-2ADDC313DB68}" name="compType" dataDxfId="78"/>
    <tableColumn id="3" xr3:uid="{4161E07A-50E7-4F64-B7D0-0926DEDC03F6}" name="exhibition" dataDxfId="77"/>
    <tableColumn id="5" xr3:uid="{DF618AB5-F738-4F86-B6D0-DE67595ADE1D}" name="compID" dataDxfId="76">
      <calculatedColumnFormula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calculatedColumnFormula>
    </tableColumn>
    <tableColumn id="21" xr3:uid="{F778D369-B7D1-4B61-B990-980D9762F2BA}" name="relevant" dataDxfId="75">
      <calculatedColumnFormula>COUNTIFS(Fixtures[compID], Competitions[[#This Row],[compID]], Fixtures[APP], TRUE) &gt; 0</calculatedColumnFormula>
    </tableColumn>
    <tableColumn id="4" xr3:uid="{551D8152-ADA7-4836-A5E2-DB2BD59C1126}" name="titles" dataDxfId="74">
      <calculatedColumnFormula>COUNTIF(Competitions[[#This Row],[2023/2024]:[2036/2037]], "Winner")</calculatedColumnFormula>
    </tableColumn>
    <tableColumn id="8" xr3:uid="{4ACF8F25-C873-4448-B53B-786D98B559E4}" name="2023/2024" dataDxfId="73"/>
    <tableColumn id="9" xr3:uid="{DA96E3E5-2F31-4148-ACB2-7A723185820E}" name="2024/2025" dataDxfId="72"/>
    <tableColumn id="10" xr3:uid="{F2327C12-608D-4F8A-A81E-F1F439171F39}" name="2025/2026" dataDxfId="71"/>
    <tableColumn id="11" xr3:uid="{B59E7B31-98A2-4AF9-9F34-029A3897EB24}" name="2026/2027" dataDxfId="70"/>
    <tableColumn id="12" xr3:uid="{D8308D1E-AFA6-4616-B5E5-38A6DFB6193D}" name="2027/2028" dataDxfId="69"/>
    <tableColumn id="22" xr3:uid="{5F212CF6-7CA4-4ED7-AB2A-02D1C7623A5E}" name="2028/2029" dataDxfId="68"/>
    <tableColumn id="13" xr3:uid="{80DC1923-5C22-42A9-A80F-F58082E02B7C}" name="2029/2030" dataDxfId="67"/>
    <tableColumn id="14" xr3:uid="{11DFA60A-FF41-447E-A2E9-872E7051A0BA}" name="2030/2031" dataDxfId="66"/>
    <tableColumn id="15" xr3:uid="{D94F5DFB-755B-4980-93B7-6A542792CED1}" name="2031/2032" dataDxfId="65"/>
    <tableColumn id="16" xr3:uid="{B1B0732E-44F8-43E9-B395-8A50FDE44738}" name="2032/2033" dataDxfId="64"/>
    <tableColumn id="17" xr3:uid="{10E32CE8-9419-4B55-9391-461D19708466}" name="2033/2034" dataDxfId="63"/>
    <tableColumn id="18" xr3:uid="{30346406-7ABB-47E8-8836-1BD28214EE39}" name="2034/2035" dataDxfId="62"/>
    <tableColumn id="19" xr3:uid="{AC7E8040-84A4-4C01-92D4-2492D4807CAC}" name="2035/2036" dataDxfId="61"/>
    <tableColumn id="20" xr3:uid="{4A7CD25D-1E4A-425E-89EA-AB38685BFD4F}" name="2036/2037" dataDxfId="60"/>
    <tableColumn id="23" xr3:uid="{D493918D-A06A-4852-9066-AABA6974B18B}" name="2037/2038" dataDxfId="59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6702208-8526-4BA9-A32C-E6002F122CE0}" name="Referees" displayName="Referees" ref="A1:G385" totalsRowShown="0" headerRowDxfId="58" dataDxfId="57">
  <autoFilter ref="A1:G385" xr:uid="{26702208-8526-4BA9-A32C-E6002F122CE0}"/>
  <tableColumns count="7">
    <tableColumn id="1" xr3:uid="{BD38A422-514F-4876-A257-D4A2D180B9BB}" name="name" dataDxfId="56"/>
    <tableColumn id="5" xr3:uid="{5E810DCE-B25C-46C2-BE55-3CD711AAA047}" name="nationality" dataDxfId="55"/>
    <tableColumn id="3" xr3:uid="{E9A2C9A4-D27B-4830-8652-3700BA6B0967}" name="cardStrictness" dataDxfId="54"/>
    <tableColumn id="4" xr3:uid="{DBCBD69B-FF48-429B-A88D-A35ACF71DDC3}" name="foulStrictness" dataDxfId="53"/>
    <tableColumn id="2" xr3:uid="{E447831D-3CBA-4A08-A9CA-D83EB07276DB}" name="real" dataDxfId="52"/>
    <tableColumn id="8" xr3:uid="{4EA0D487-1C58-476D-86BD-23E7AA4B1927}" name="relevant" dataDxfId="51">
      <calculatedColumnFormula>COUNTIFS(Fixtures[referee], Referees[[#This Row],[name]], Fixtures[APP], TRUE) &gt; 0</calculatedColumnFormula>
    </tableColumn>
    <tableColumn id="6" xr3:uid="{A70048BF-5082-47C6-8939-9FD1283F439C}" name="version" dataDxfId="50"/>
  </tableColumns>
  <tableStyleInfo name="Custom Table Style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E795462-F073-4B35-A961-3B8F65D73D23}" name="Stadiums" displayName="Stadiums" ref="A1:C140" totalsRowShown="0" headerRowDxfId="49" dataDxfId="47" headerRowBorderDxfId="48" tableBorderDxfId="46">
  <autoFilter ref="A1:C140" xr:uid="{CE795462-F073-4B35-A961-3B8F65D73D23}"/>
  <sortState xmlns:xlrd2="http://schemas.microsoft.com/office/spreadsheetml/2017/richdata2" ref="A2:C140">
    <sortCondition ref="A1:A140"/>
  </sortState>
  <tableColumns count="3">
    <tableColumn id="1" xr3:uid="{3510FAFD-8168-4119-BBFE-ED716C392C52}" name="name" dataDxfId="45"/>
    <tableColumn id="2" xr3:uid="{60B0EC89-F3B1-4721-B15D-B3762062CD2D}" name="real" dataDxfId="44"/>
    <tableColumn id="3" xr3:uid="{CE4836D7-8596-4780-9CB1-4C1CACC4DA11}" name="relevant" dataDxfId="43">
      <calculatedColumnFormula>COUNTIFS(Fixtures[stadium], Stadiums[[#This Row],[name]], Fixtures[APP], TRUE) &gt; 0</calculatedColumnFormula>
    </tableColumn>
  </tableColumns>
  <tableStyleInfo name="Custom Table Style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2DBA264-E5C9-4E68-8CD0-E5A08606F1D3}" name="Weather" displayName="Weather" ref="A1:A11" totalsRowShown="0" headerRowDxfId="42" dataDxfId="40" headerRowBorderDxfId="41" tableBorderDxfId="39" totalsRowBorderDxfId="38">
  <autoFilter ref="A1:A11" xr:uid="{12DBA264-E5C9-4E68-8CD0-E5A08606F1D3}"/>
  <tableColumns count="1">
    <tableColumn id="1" xr3:uid="{AA19D9EE-6AFF-4807-8483-F78C9185B50C}" name="weatherType" dataDxfId="37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11109-E973-554E-B11F-68FA5F427935}">
  <sheetPr codeName="Sheet1"/>
  <dimension ref="A2:H46"/>
  <sheetViews>
    <sheetView zoomScaleNormal="100" workbookViewId="0">
      <selection activeCell="B2" sqref="B2"/>
    </sheetView>
  </sheetViews>
  <sheetFormatPr baseColWidth="10" defaultColWidth="11" defaultRowHeight="13"/>
  <cols>
    <col min="1" max="1" width="9.85546875" style="66" bestFit="1" customWidth="1"/>
    <col min="2" max="3" width="11" style="68" customWidth="1"/>
    <col min="4" max="4" width="10.85546875" style="68" customWidth="1"/>
    <col min="5" max="5" width="15" style="69" bestFit="1" customWidth="1"/>
    <col min="6" max="6" width="11" style="73"/>
    <col min="7" max="7" width="0" style="68" hidden="1" customWidth="1"/>
    <col min="8" max="8" width="11" style="72"/>
    <col min="9" max="16384" width="11" style="68"/>
  </cols>
  <sheetData>
    <row r="2" spans="1:8">
      <c r="A2" s="66" t="s">
        <v>0</v>
      </c>
      <c r="B2" s="67">
        <f>IF(COUNTA(Fixtures[date]) &gt; 0, MAX(Fixtures[date]), DATE(2023, 7, 1))</f>
        <v>46203</v>
      </c>
      <c r="F2" s="66" t="s">
        <v>1</v>
      </c>
      <c r="G2" s="70" t="s">
        <v>2</v>
      </c>
      <c r="H2" s="71" t="str">
        <f ca="1">IF(INDEX(Accomplishments[allTime], MATCH(G2, Accomplishments[category], 0)) = 0, "", _xlfn.CONCAT(INDEX(Accomplishments[allTime], MATCH(G2, Accomplishments[category], 0)), " ", INDEX(Accomplishments[description], MATCH(G2, Accomplishments[category], 0)), IF(INDEX(Accomplishments[type], MATCH(G2, Accomplishments[category], 0)) = "award", " awards", ""), " all-time"))</f>
        <v>156 appearances all-time</v>
      </c>
    </row>
    <row r="3" spans="1:8">
      <c r="A3" s="66" t="s">
        <v>3</v>
      </c>
      <c r="B3" s="72" t="str">
        <f>Vitals[[#Totals],[season]]</f>
        <v>2025/2026</v>
      </c>
      <c r="C3" s="72"/>
      <c r="D3" s="72"/>
      <c r="F3" s="66"/>
      <c r="G3" s="70" t="s">
        <v>4</v>
      </c>
      <c r="H3" s="71" t="str">
        <f>IF(INDEX(Accomplishments[allTime], MATCH(G3, Accomplishments[category], 0)) = 0, "", _xlfn.CONCAT(INDEX(Accomplishments[allTime], MATCH(G3, Accomplishments[category], 0)), " ", INDEX(Accomplishments[description], MATCH(G3, Accomplishments[category], 0)), IF(INDEX(Accomplishments[type], MATCH(G3, Accomplishments[category], 0)) = "award", " awards", ""), " all-time"))</f>
        <v>87 wins all-time</v>
      </c>
    </row>
    <row r="4" spans="1:8">
      <c r="D4" s="73"/>
      <c r="F4" s="66"/>
      <c r="G4" s="70" t="s">
        <v>5</v>
      </c>
      <c r="H4" s="71" t="str">
        <f ca="1">IF(INDEX(Accomplishments[allTime], MATCH(G4, Accomplishments[category], 0)) = 0, "", _xlfn.CONCAT(INDEX(Accomplishments[allTime], MATCH(G4, Accomplishments[category], 0)), " ", INDEX(Accomplishments[description], MATCH(G4, Accomplishments[category], 0)), IF(INDEX(Accomplishments[type], MATCH(G4, Accomplishments[category], 0)) = "award", " awards", ""), " all-time"))</f>
        <v>37 goals all-time</v>
      </c>
    </row>
    <row r="5" spans="1:8">
      <c r="A5" s="66" t="s">
        <v>6</v>
      </c>
      <c r="B5" s="79" t="s">
        <v>7</v>
      </c>
      <c r="C5" s="79"/>
      <c r="D5" s="79"/>
      <c r="E5" s="69" t="str">
        <f>IF(ISBLANK(B5), " firstName is required", "")</f>
        <v/>
      </c>
      <c r="F5" s="66"/>
      <c r="G5" s="70" t="s">
        <v>8</v>
      </c>
      <c r="H5" s="71" t="str">
        <f ca="1">IF(INDEX(Accomplishments[allTime], MATCH(G5, Accomplishments[category], 0)) = 0, "", _xlfn.CONCAT(INDEX(Accomplishments[allTime], MATCH(G5, Accomplishments[category], 0)), " ", INDEX(Accomplishments[description], MATCH(G5, Accomplishments[category], 0)), IF(INDEX(Accomplishments[type], MATCH(G5, Accomplishments[category], 0)) = "award", " awards", ""), " all-time"))</f>
        <v>70 assists all-time</v>
      </c>
    </row>
    <row r="6" spans="1:8">
      <c r="A6" s="66" t="s">
        <v>9</v>
      </c>
      <c r="B6" s="79" t="s">
        <v>10</v>
      </c>
      <c r="C6" s="79"/>
      <c r="D6" s="79"/>
      <c r="E6" s="69" t="str">
        <f>IF(ISBLANK(B6), " lastName is required", "")</f>
        <v/>
      </c>
      <c r="F6" s="66"/>
      <c r="G6" s="70" t="s">
        <v>11</v>
      </c>
      <c r="H6" s="71" t="str">
        <f ca="1">IF(INDEX(Accomplishments[allTime], MATCH(G6, Accomplishments[category], 0)) = 0, "", _xlfn.CONCAT(INDEX(Accomplishments[allTime], MATCH(G6, Accomplishments[category], 0)), " ", INDEX(Accomplishments[description], MATCH(G6, Accomplishments[category], 0)), IF(INDEX(Accomplishments[type], MATCH(G6, Accomplishments[category], 0)) = "award", " awards", ""), " all-time"))</f>
        <v>107 goal involements all-time</v>
      </c>
    </row>
    <row r="7" spans="1:8">
      <c r="A7" s="66" t="s">
        <v>12</v>
      </c>
      <c r="B7" s="79" t="s">
        <v>13</v>
      </c>
      <c r="C7" s="79"/>
      <c r="D7" s="79"/>
      <c r="F7" s="66"/>
      <c r="G7" s="70" t="s">
        <v>14</v>
      </c>
      <c r="H7" s="71" t="str">
        <f ca="1">IF(INDEX(Accomplishments[allTime], MATCH(G7, Accomplishments[category], 0)) = 0, "", _xlfn.CONCAT(INDEX(Accomplishments[allTime], MATCH(G7, Accomplishments[category], 0)), " ", INDEX(Accomplishments[description], MATCH(G7, Accomplishments[category], 0)), IF(INDEX(Accomplishments[type], MATCH(G7, Accomplishments[category], 0)) = "award", " awards", ""), " all-time"))</f>
        <v>45 Man of the Match awards all-time</v>
      </c>
    </row>
    <row r="8" spans="1:8">
      <c r="A8" s="66" t="s">
        <v>15</v>
      </c>
      <c r="B8" s="79" t="s">
        <v>16</v>
      </c>
      <c r="C8" s="79"/>
      <c r="D8" s="79"/>
      <c r="E8" s="69" t="str">
        <f>IF(ISBLANK(B8), " nationality is required", "")</f>
        <v/>
      </c>
      <c r="F8" s="66"/>
      <c r="G8" s="70" t="s">
        <v>17</v>
      </c>
      <c r="H8" s="71" t="str">
        <f ca="1">IF(INDEX(Accomplishments[allTime], MATCH(G8, Accomplishments[category], 0)) = 0, "", _xlfn.CONCAT(INDEX(Accomplishments[allTime], MATCH(G8, Accomplishments[category], 0)), " ", INDEX(Accomplishments[description], MATCH(G8, Accomplishments[category], 0)), IF(INDEX(Accomplishments[type], MATCH(G8, Accomplishments[category], 0)) = "award", " awards", ""), " all-time"))</f>
        <v>19 Team of the Week awards all-time</v>
      </c>
    </row>
    <row r="9" spans="1:8">
      <c r="A9" s="66" t="s">
        <v>18</v>
      </c>
      <c r="B9" s="75">
        <v>38126</v>
      </c>
      <c r="C9" s="75"/>
      <c r="D9" s="75"/>
      <c r="E9" s="69" t="str">
        <f>IF(ISBLANK(B9), " birthDate is required", "")</f>
        <v/>
      </c>
      <c r="F9" s="66"/>
      <c r="G9" s="70" t="s">
        <v>19</v>
      </c>
      <c r="H9" s="71" t="str">
        <f ca="1">IF(INDEX(Accomplishments[allTime], MATCH(G9, Accomplishments[category], 0)) = 0, "", _xlfn.CONCAT(INDEX(Accomplishments[allTime], MATCH(G9, Accomplishments[category], 0)), " ", INDEX(Accomplishments[description], MATCH(G9, Accomplishments[category], 0)), IF(INDEX(Accomplishments[type], MATCH(G9, Accomplishments[category], 0)) = "award", " awards", ""), " all-time"))</f>
        <v/>
      </c>
    </row>
    <row r="10" spans="1:8">
      <c r="B10" s="76"/>
      <c r="D10" s="73"/>
      <c r="F10" s="66"/>
      <c r="G10" s="70" t="s">
        <v>20</v>
      </c>
      <c r="H10" s="71" t="str">
        <f ca="1">IF(INDEX(Accomplishments[allTime], MATCH(G10, Accomplishments[category], 0)) = 0, "", _xlfn.CONCAT(INDEX(Accomplishments[allTime], MATCH(G10, Accomplishments[category], 0)), " ", INDEX(Accomplishments[description], MATCH(G10, Accomplishments[category], 0)), IF(INDEX(Accomplishments[type], MATCH(G10, Accomplishments[category], 0)) = "award", " awards", ""), " all-time"))</f>
        <v/>
      </c>
    </row>
    <row r="11" spans="1:8">
      <c r="A11" s="66" t="s">
        <v>21</v>
      </c>
      <c r="B11" s="72">
        <f>IF(ISBLANK(birthDate), "", YEAR(asOfDate) - YEAR(birthDate) - IF(DATE(YEAR(birthDate), MONTH(asOfDate), DAY(asOfDate)) &lt; birthDate, 1, 0))</f>
        <v>22</v>
      </c>
      <c r="D11" s="73"/>
      <c r="F11" s="66"/>
      <c r="G11" s="70"/>
      <c r="H11" s="71"/>
    </row>
    <row r="12" spans="1:8">
      <c r="A12" s="66" t="s">
        <v>22</v>
      </c>
      <c r="B12" s="72" t="str">
        <f>_xlfn.CONCAT(Vitals[[#Totals],[heightFeet]], "' ", Vitals[[#Totals],[heightInches]], """")</f>
        <v>5' 11"</v>
      </c>
      <c r="D12" s="73"/>
      <c r="F12" s="66" t="s">
        <v>23</v>
      </c>
      <c r="G12" s="70" t="s">
        <v>2</v>
      </c>
      <c r="H12" s="71" t="str">
        <f ca="1">IF(INDEX(Accomplishments[seasonHigh], MATCH(G12, Accomplishments[category], 0)) = 0, "", _xlfn.CONCAT(INDEX(Accomplishments[seasonHigh], MATCH(G12, Accomplishments[category], 0)), " ", INDEX(Accomplishments[description], MATCH(G12, Accomplishments[category], 0)), IF(INDEX(Accomplishments[type], MATCH(G12, Accomplishments[category], 0)) = "award", " awards", ""), " for ", INDEX(Seasons[club], MATCH(INDEX(Accomplishments[seasonHigh], MATCH(G12, Accomplishments[category], 0)), INDIRECT("Seasons["&amp;G12&amp;"]"), 0)), " (", INDEX(Seasons[season], MATCH(INDEX(Accomplishments[seasonHigh], MATCH(G12, Accomplishments[category], 0)), INDIRECT("Seasons["&amp;G12&amp;"]"), 0)), ")"))</f>
        <v>59 appearances for KRC Genk (2023/2024)</v>
      </c>
    </row>
    <row r="13" spans="1:8">
      <c r="A13" s="66" t="s">
        <v>24</v>
      </c>
      <c r="B13" s="72" t="str">
        <f>_xlfn.CONCAT(Vitals[[#Totals],[weightPounds]], " lbs")</f>
        <v>174 lbs</v>
      </c>
      <c r="D13" s="73"/>
      <c r="F13" s="66"/>
      <c r="G13" s="70" t="s">
        <v>4</v>
      </c>
      <c r="H13" s="71" t="str">
        <f ca="1">IF(INDEX(Accomplishments[seasonHigh], MATCH(G13, Accomplishments[category], 0)) = 0, "", _xlfn.CONCAT(INDEX(Accomplishments[seasonHigh], MATCH(G13, Accomplishments[category], 0)), " ", INDEX(Accomplishments[description], MATCH(G13, Accomplishments[category], 0)), IF(INDEX(Accomplishments[type], MATCH(G13, Accomplishments[category], 0)) = "award", " awards", ""), " for ", INDEX(Seasons[club], MATCH(INDEX(Accomplishments[seasonHigh], MATCH(G13, Accomplishments[category], 0)), INDIRECT("Seasons["&amp;G13&amp;"]"), 0)), " (", INDEX(Seasons[season], MATCH(INDEX(Accomplishments[seasonHigh], MATCH(G13, Accomplishments[category], 0)), INDIRECT("Seasons["&amp;G13&amp;"]"), 0)), ")"))</f>
        <v>30 wins for KRC Genk (2023/2024)</v>
      </c>
    </row>
    <row r="14" spans="1:8">
      <c r="D14" s="73"/>
      <c r="F14" s="66"/>
      <c r="G14" s="70" t="s">
        <v>5</v>
      </c>
      <c r="H14" s="71" t="str">
        <f ca="1">IF(INDEX(Accomplishments[seasonHigh], MATCH(G14, Accomplishments[category], 0)) = 0, "", _xlfn.CONCAT(INDEX(Accomplishments[seasonHigh], MATCH(G14, Accomplishments[category], 0)), " ", INDEX(Accomplishments[description], MATCH(G14, Accomplishments[category], 0)), IF(INDEX(Accomplishments[type], MATCH(G14, Accomplishments[category], 0)) = "award", " awards", ""), " for ", INDEX(Seasons[club], MATCH(INDEX(Accomplishments[seasonHigh], MATCH(G14, Accomplishments[category], 0)), INDIRECT("Seasons["&amp;G14&amp;"]"), 0)), " (", INDEX(Seasons[season], MATCH(INDEX(Accomplishments[seasonHigh], MATCH(G14, Accomplishments[category], 0)), INDIRECT("Seasons["&amp;G14&amp;"]"), 0)), ")"))</f>
        <v>13 goals for KRC Genk (2023/2024)</v>
      </c>
    </row>
    <row r="15" spans="1:8">
      <c r="A15" s="66" t="s">
        <v>25</v>
      </c>
      <c r="B15" s="72" t="str">
        <f>Vitals[[#Totals],[club]]</f>
        <v>RB Leipzig</v>
      </c>
      <c r="C15" s="72"/>
      <c r="D15" s="72"/>
      <c r="F15" s="66"/>
      <c r="G15" s="70" t="s">
        <v>8</v>
      </c>
      <c r="H15" s="71" t="str">
        <f ca="1">IF(INDEX(Accomplishments[seasonHigh], MATCH(G15, Accomplishments[category], 0)) = 0, "", _xlfn.CONCAT(INDEX(Accomplishments[seasonHigh], MATCH(G15, Accomplishments[category], 0)), " ", INDEX(Accomplishments[description], MATCH(G15, Accomplishments[category], 0)), IF(INDEX(Accomplishments[type], MATCH(G15, Accomplishments[category], 0)) = "award", " awards", ""), " for ", INDEX(Seasons[club], MATCH(INDEX(Accomplishments[seasonHigh], MATCH(G15, Accomplishments[category], 0)), INDIRECT("Seasons["&amp;G15&amp;"]"), 0)), " (", INDEX(Seasons[season], MATCH(INDEX(Accomplishments[seasonHigh], MATCH(G15, Accomplishments[category], 0)), INDIRECT("Seasons["&amp;G15&amp;"]"), 0)), ")"))</f>
        <v>28 assists for KRC Genk (2023/2024)</v>
      </c>
    </row>
    <row r="16" spans="1:8">
      <c r="A16" s="66" t="s">
        <v>26</v>
      </c>
      <c r="B16" s="72" t="str">
        <f>Vitals[[#Totals],[position]]</f>
        <v>RAM</v>
      </c>
      <c r="C16" s="72"/>
      <c r="D16" s="71"/>
      <c r="F16" s="66"/>
      <c r="G16" s="70" t="s">
        <v>11</v>
      </c>
      <c r="H16" s="71" t="str">
        <f ca="1">IF(INDEX(Accomplishments[seasonHigh], MATCH(G16, Accomplishments[category], 0)) = 0, "", _xlfn.CONCAT(INDEX(Accomplishments[seasonHigh], MATCH(G16, Accomplishments[category], 0)), " ", INDEX(Accomplishments[description], MATCH(G16, Accomplishments[category], 0)), IF(INDEX(Accomplishments[type], MATCH(G16, Accomplishments[category], 0)) = "award", " awards", ""), " for ", INDEX(Seasons[club], MATCH(INDEX(Accomplishments[seasonHigh], MATCH(G16, Accomplishments[category], 0)), INDIRECT("Seasons["&amp;G16&amp;"]"), 0)), " (", INDEX(Seasons[season], MATCH(INDEX(Accomplishments[seasonHigh], MATCH(G16, Accomplishments[category], 0)), INDIRECT("Seasons["&amp;G16&amp;"]"), 0)), ")"))</f>
        <v>41 goal involements for KRC Genk (2023/2024)</v>
      </c>
    </row>
    <row r="17" spans="1:8">
      <c r="A17" s="66" t="s">
        <v>27</v>
      </c>
      <c r="B17" s="72">
        <f>IF(Vitals[[#Totals],[kitNumber]] = 0, "N/A", Vitals[[#Totals],[kitNumber]])</f>
        <v>19</v>
      </c>
      <c r="C17" s="72"/>
      <c r="D17" s="71"/>
      <c r="F17" s="66"/>
      <c r="G17" s="70" t="s">
        <v>14</v>
      </c>
      <c r="H17" s="71" t="str">
        <f ca="1">IF(INDEX(Accomplishments[seasonHigh], MATCH(G17, Accomplishments[category], 0)) = 0, "", _xlfn.CONCAT(INDEX(Accomplishments[seasonHigh], MATCH(G17, Accomplishments[category], 0)), " ", INDEX(Accomplishments[description], MATCH(G17, Accomplishments[category], 0)), IF(INDEX(Accomplishments[type], MATCH(G17, Accomplishments[category], 0)) = "award", " awards", ""), " for ", INDEX(Seasons[club], MATCH(INDEX(Accomplishments[seasonHigh], MATCH(G17, Accomplishments[category], 0)), INDIRECT("Seasons["&amp;G17&amp;"]"), 0)), " (", INDEX(Seasons[season], MATCH(INDEX(Accomplishments[seasonHigh], MATCH(G17, Accomplishments[category], 0)), INDIRECT("Seasons["&amp;G17&amp;"]"), 0)), ")"))</f>
        <v>19 Man of the Match awards for Burnley (2024/2025)</v>
      </c>
    </row>
    <row r="18" spans="1:8">
      <c r="B18" s="76"/>
      <c r="D18" s="73"/>
      <c r="F18" s="66"/>
      <c r="G18" s="70" t="s">
        <v>17</v>
      </c>
      <c r="H18" s="71" t="str">
        <f ca="1">IF(INDEX(Accomplishments[seasonHigh], MATCH(G18, Accomplishments[category], 0)) = 0, "", _xlfn.CONCAT(INDEX(Accomplishments[seasonHigh], MATCH(G18, Accomplishments[category], 0)), " ", INDEX(Accomplishments[description], MATCH(G18, Accomplishments[category], 0)), IF(INDEX(Accomplishments[type], MATCH(G18, Accomplishments[category], 0)) = "award", " awards", ""), " for ", INDEX(Seasons[club], MATCH(INDEX(Accomplishments[seasonHigh], MATCH(G18, Accomplishments[category], 0)), INDIRECT("Seasons["&amp;G18&amp;"]"), 0)), " (", INDEX(Seasons[season], MATCH(INDEX(Accomplishments[seasonHigh], MATCH(G18, Accomplishments[category], 0)), INDIRECT("Seasons["&amp;G18&amp;"]"), 0)), ")"))</f>
        <v>6 Team of the Week awards for RB Leipzig (2025/2026)</v>
      </c>
    </row>
    <row r="19" spans="1:8">
      <c r="A19" s="66" t="s">
        <v>28</v>
      </c>
      <c r="B19" s="72" t="str">
        <f>IF(Vitals[[#Totals],[weeklyWageUSD]], _xlfn.CONCAT("$ ", ROUND(Vitals[[#Totals],[weeklyWageUSD]]/10^3, 1), " K"), "N/A")</f>
        <v>$ 59.4 K</v>
      </c>
      <c r="D19" s="73"/>
      <c r="F19" s="66"/>
      <c r="G19" s="70" t="s">
        <v>19</v>
      </c>
      <c r="H19" s="71" t="str">
        <f ca="1">IF(INDEX(Accomplishments[seasonHigh], MATCH(G19, Accomplishments[category], 0)) = 0, "", _xlfn.CONCAT(INDEX(Accomplishments[seasonHigh], MATCH(G19, Accomplishments[category], 0)), " ", INDEX(Accomplishments[description], MATCH(G19, Accomplishments[category], 0)), IF(INDEX(Accomplishments[type], MATCH(G19, Accomplishments[category], 0)) = "award", " awards", ""), " for ", INDEX(Seasons[club], MATCH(INDEX(Accomplishments[seasonHigh], MATCH(G19, Accomplishments[category], 0)), INDIRECT("Seasons["&amp;G19&amp;"]"), 0)), " (", INDEX(Seasons[season], MATCH(INDEX(Accomplishments[seasonHigh], MATCH(G19, Accomplishments[category], 0)), INDIRECT("Seasons["&amp;G19&amp;"]"), 0)), ")"))</f>
        <v/>
      </c>
    </row>
    <row r="20" spans="1:8">
      <c r="A20" s="66" t="s">
        <v>29</v>
      </c>
      <c r="B20" s="72" t="str">
        <f>_xlfn.CONCAT("$ ", ROUND(Vitals[[#Totals],[marketValueUSD]]/10^6, 1), " M")</f>
        <v>$ 132.3 M</v>
      </c>
      <c r="D20" s="73"/>
      <c r="F20" s="66"/>
      <c r="G20" s="70"/>
      <c r="H20" s="71"/>
    </row>
    <row r="21" spans="1:8">
      <c r="F21" s="66" t="s">
        <v>30</v>
      </c>
      <c r="G21" s="70" t="s">
        <v>2</v>
      </c>
      <c r="H21" s="71" t="str">
        <f ca="1">IF(INDEX(Accomplishments[seasonAVG], MATCH(G21, Accomplishments[category], 0)) = 0, "", _xlfn.CONCAT(INDEX(Accomplishments[seasonAVG], MATCH(G21, Accomplishments[category], 0)), " ", INDEX(Accomplishments[description], MATCH(G12, Accomplishments[category], 0)),  IF(INDEX(Accomplishments[type], MATCH(G2, Accomplishments[category], 0)) = "award", " awards", ""), " per season"))</f>
        <v>51.3 appearances per season</v>
      </c>
    </row>
    <row r="22" spans="1:8">
      <c r="A22" s="66" t="s">
        <v>31</v>
      </c>
      <c r="B22" s="74" t="s">
        <v>32</v>
      </c>
      <c r="C22" s="74"/>
      <c r="D22" s="74"/>
      <c r="F22" s="66"/>
      <c r="G22" s="70" t="s">
        <v>4</v>
      </c>
      <c r="H22" s="71" t="str">
        <f ca="1">IF(INDEX(Accomplishments[seasonAVG], MATCH(G22, Accomplishments[category], 0)) = 0, "", _xlfn.CONCAT(INDEX(Accomplishments[seasonAVG], MATCH(G22, Accomplishments[category], 0)), " ", INDEX(Accomplishments[description], MATCH(G13, Accomplishments[category], 0)),  IF(INDEX(Accomplishments[type], MATCH(G3, Accomplishments[category], 0)) = "award", " awards", ""), " per season"))</f>
        <v>28.7 wins per season</v>
      </c>
    </row>
    <row r="23" spans="1:8">
      <c r="A23" s="66" t="s">
        <v>33</v>
      </c>
      <c r="B23" s="77" t="str">
        <f>REPT("✭", Vitals[[#Totals],[weakFoot]])</f>
        <v>✭✭✭✭</v>
      </c>
      <c r="F23" s="66"/>
      <c r="G23" s="70" t="s">
        <v>5</v>
      </c>
      <c r="H23" s="71" t="str">
        <f ca="1">IF(INDEX(Accomplishments[seasonAVG], MATCH(G23, Accomplishments[category], 0)) = 0, "", _xlfn.CONCAT(INDEX(Accomplishments[seasonAVG], MATCH(G23, Accomplishments[category], 0)), " ", INDEX(Accomplishments[description], MATCH(G14, Accomplishments[category], 0)),  IF(INDEX(Accomplishments[type], MATCH(G4, Accomplishments[category], 0)) = "award", " awards", ""), " per season"))</f>
        <v>12.3 goals per season</v>
      </c>
    </row>
    <row r="24" spans="1:8">
      <c r="A24" s="66" t="s">
        <v>34</v>
      </c>
      <c r="B24" s="72" t="str">
        <f>Vitals[[#Totals],[attackRate]]</f>
        <v>Medium</v>
      </c>
      <c r="F24" s="66"/>
      <c r="G24" s="70" t="s">
        <v>8</v>
      </c>
      <c r="H24" s="71" t="str">
        <f ca="1">IF(INDEX(Accomplishments[seasonAVG], MATCH(G24, Accomplishments[category], 0)) = 0, "", _xlfn.CONCAT(INDEX(Accomplishments[seasonAVG], MATCH(G24, Accomplishments[category], 0)), " ", INDEX(Accomplishments[description], MATCH(G15, Accomplishments[category], 0)),  IF(INDEX(Accomplishments[type], MATCH(G5, Accomplishments[category], 0)) = "award", " awards", ""), " per season"))</f>
        <v>23 assists per season</v>
      </c>
    </row>
    <row r="25" spans="1:8">
      <c r="A25" s="66" t="s">
        <v>35</v>
      </c>
      <c r="B25" s="72" t="str">
        <f>Vitals[[#Totals],[defenseRate]]</f>
        <v>Medium</v>
      </c>
      <c r="F25" s="66"/>
      <c r="G25" s="70" t="s">
        <v>11</v>
      </c>
      <c r="H25" s="71" t="str">
        <f ca="1">IF(INDEX(Accomplishments[seasonAVG], MATCH(G25, Accomplishments[category], 0)) = 0, "", _xlfn.CONCAT(INDEX(Accomplishments[seasonAVG], MATCH(G25, Accomplishments[category], 0)), " ", INDEX(Accomplishments[description], MATCH(G16, Accomplishments[category], 0)),  IF(INDEX(Accomplishments[type], MATCH(G6, Accomplishments[category], 0)) = "award", " awards", ""), " per season"))</f>
        <v>35.3 goal involements per season</v>
      </c>
    </row>
    <row r="26" spans="1:8">
      <c r="A26" s="66" t="s">
        <v>36</v>
      </c>
      <c r="B26" s="77" t="str">
        <f>REPT("✭", Vitals[[#Totals],[skillMoves]])</f>
        <v>✭✭✭✭✭</v>
      </c>
      <c r="F26" s="66"/>
      <c r="G26" s="70" t="s">
        <v>14</v>
      </c>
      <c r="H26" s="71" t="str">
        <f ca="1">IF(INDEX(Accomplishments[seasonAVG], MATCH(G26, Accomplishments[category], 0)) = 0, "", _xlfn.CONCAT(INDEX(Accomplishments[seasonAVG], MATCH(G26, Accomplishments[category], 0)), " ", INDEX(Accomplishments[description], MATCH(G17, Accomplishments[category], 0)),  IF(INDEX(Accomplishments[type], MATCH(G7, Accomplishments[category], 0)) = "award", " awards", ""), " per season"))</f>
        <v>15 Man of the Match awards per season</v>
      </c>
    </row>
    <row r="27" spans="1:8">
      <c r="F27" s="66"/>
      <c r="G27" s="70" t="s">
        <v>17</v>
      </c>
      <c r="H27" s="71" t="str">
        <f ca="1">IF(INDEX(Accomplishments[seasonAVG], MATCH(G27, Accomplishments[category], 0)) = 0, "", _xlfn.CONCAT(INDEX(Accomplishments[seasonAVG], MATCH(G27, Accomplishments[category], 0)), " ", INDEX(Accomplishments[description], MATCH(G18, Accomplishments[category], 0)),  IF(INDEX(Accomplishments[type], MATCH(G8, Accomplishments[category], 0)) = "award", " awards", ""), " per season"))</f>
        <v>4.8 Team of the Week awards per season</v>
      </c>
    </row>
    <row r="28" spans="1:8">
      <c r="F28" s="66"/>
      <c r="G28" s="70" t="s">
        <v>19</v>
      </c>
      <c r="H28" s="71" t="str">
        <f ca="1">IF(INDEX(Accomplishments[seasonAVG], MATCH(G28, Accomplishments[category], 0)) = 0, "", _xlfn.CONCAT(INDEX(Accomplishments[seasonAVG], MATCH(G28, Accomplishments[category], 0)), " ", INDEX(Accomplishments[description], MATCH(G19, Accomplishments[category], 0)),  IF(INDEX(Accomplishments[type], MATCH(G9, Accomplishments[category], 0)) = "award", " awards", ""), " per season"))</f>
        <v/>
      </c>
    </row>
    <row r="29" spans="1:8">
      <c r="F29" s="66"/>
      <c r="G29" s="70"/>
      <c r="H29" s="71"/>
    </row>
    <row r="30" spans="1:8">
      <c r="F30" s="66" t="s">
        <v>37</v>
      </c>
      <c r="G30" s="70" t="s">
        <v>5</v>
      </c>
      <c r="H30" s="71" t="str">
        <f ca="1">_xlfn.IFNA(IF(INDEX(Accomplishments[matchHigh], MATCH(G30, Accomplishments[category], 0)) = 0, "", _xlfn.CONCAT(INDEX(Accomplishments[matchHigh], MATCH(G30, Accomplishments[category], 0)), " ", INDEX(Accomplishments[description], MATCH(G30, Accomplishments[category], 0)), " for ", INDEX(Fixtures[userTeam], MATCH(INDEX(Accomplishments[matchHigh], MATCH(G30, Accomplishments[category], 0)), INDIRECT("Fixtures["&amp;G30&amp;"]"), 0)), " against ", INDEX(Fixtures[oppTeam], MATCH(INDEX(Accomplishments[matchHigh], MATCH(G30, Accomplishments[category], 0)), INDIRECT("Fixtures["&amp;G30&amp;"]"), 0)), " (", INDEX(Fixtures[userScore], MATCH(INDEX(Accomplishments[matchHigh], MATCH(G30, Accomplishments[category], 0)), INDIRECT("Fixtures["&amp;G30&amp;"]"), 0)), "-", INDEX(Fixtures[oppScore], MATCH(INDEX(Accomplishments[matchHigh], MATCH(G30, Accomplishments[category], 0)), INDIRECT("Fixtures["&amp;G30&amp;"]"), 0)), ") in the ", INDEX(Fixtures[competition], MATCH(INDEX(Accomplishments[matchHigh], MATCH(G30, Accomplishments[category], 0)), INDIRECT("Fixtures["&amp;G30&amp;"]"), 0)), " (", INDEX(Fixtures[season], MATCH(INDEX(Accomplishments[matchHigh], MATCH(G30, Accomplishments[category], 0)), INDIRECT("Fixtures["&amp;G30&amp;"]"), 0)), ")")), "")</f>
        <v>3 goals for Burnley against Southampton (4-0) in the EFL Championship (2024/2025)</v>
      </c>
    </row>
    <row r="31" spans="1:8">
      <c r="F31" s="66"/>
      <c r="G31" s="70" t="s">
        <v>8</v>
      </c>
      <c r="H31" s="71" t="str">
        <f ca="1">_xlfn.IFNA(IF(INDEX(Accomplishments[matchHigh], MATCH(G31, Accomplishments[category], 0)) = 0, "", _xlfn.CONCAT(INDEX(Accomplishments[matchHigh], MATCH(G31, Accomplishments[category], 0)), " ", INDEX(Accomplishments[description], MATCH(G31, Accomplishments[category], 0)), " for ", INDEX(Fixtures[userTeam], MATCH(INDEX(Accomplishments[matchHigh], MATCH(G31, Accomplishments[category], 0)), INDIRECT("Fixtures["&amp;G31&amp;"]"), 0)), " against ", INDEX(Fixtures[oppTeam], MATCH(INDEX(Accomplishments[matchHigh], MATCH(G31, Accomplishments[category], 0)), INDIRECT("Fixtures["&amp;G31&amp;"]"), 0)), " (", INDEX(Fixtures[userScore], MATCH(INDEX(Accomplishments[matchHigh], MATCH(G31, Accomplishments[category], 0)), INDIRECT("Fixtures["&amp;G31&amp;"]"), 0)), "-", INDEX(Fixtures[oppScore], MATCH(INDEX(Accomplishments[matchHigh], MATCH(G31, Accomplishments[category], 0)), INDIRECT("Fixtures["&amp;G31&amp;"]"), 0)), ") in the ", INDEX(Fixtures[competition], MATCH(INDEX(Accomplishments[matchHigh], MATCH(G31, Accomplishments[category], 0)), INDIRECT("Fixtures["&amp;G31&amp;"]"), 0)), " (", INDEX(Fixtures[season], MATCH(INDEX(Accomplishments[matchHigh], MATCH(G31, Accomplishments[category], 0)), INDIRECT("Fixtures["&amp;G31&amp;"]"), 0)), ")")), "")</f>
        <v>3 assists for KRC Genk against Ferencvárosi TC (4-0) in the UEFA Europa Conference League (2023/2024)</v>
      </c>
    </row>
    <row r="32" spans="1:8">
      <c r="F32" s="66"/>
      <c r="G32" s="70" t="s">
        <v>11</v>
      </c>
      <c r="H32" s="71" t="str">
        <f ca="1">_xlfn.IFNA(IF(INDEX(Accomplishments[matchHigh], MATCH(G32, Accomplishments[category], 0)) = 0, "", _xlfn.CONCAT(INDEX(Accomplishments[matchHigh], MATCH(G32, Accomplishments[category], 0)), " ", INDEX(Accomplishments[description], MATCH(G32, Accomplishments[category], 0)), " for ", INDEX(Fixtures[userTeam], MATCH(INDEX(Accomplishments[matchHigh], MATCH(G32, Accomplishments[category], 0)), INDIRECT("Fixtures["&amp;G32&amp;"]"), 0)), " against ", INDEX(Fixtures[oppTeam], MATCH(INDEX(Accomplishments[matchHigh], MATCH(G32, Accomplishments[category], 0)), INDIRECT("Fixtures["&amp;G32&amp;"]"), 0)), " (", INDEX(Fixtures[userScore], MATCH(INDEX(Accomplishments[matchHigh], MATCH(G32, Accomplishments[category], 0)), INDIRECT("Fixtures["&amp;G32&amp;"]"), 0)), "-", INDEX(Fixtures[oppScore], MATCH(INDEX(Accomplishments[matchHigh], MATCH(G32, Accomplishments[category], 0)), INDIRECT("Fixtures["&amp;G32&amp;"]"), 0)), ") in the ", INDEX(Fixtures[competition], MATCH(INDEX(Accomplishments[matchHigh], MATCH(G32, Accomplishments[category], 0)), INDIRECT("Fixtures["&amp;G32&amp;"]"), 0)), " (", INDEX(Fixtures[season], MATCH(INDEX(Accomplishments[matchHigh], MATCH(G32, Accomplishments[category], 0)), INDIRECT("Fixtures["&amp;G32&amp;"]"), 0)), ")")), "")</f>
        <v>4 goal involements for KRC Genk against Cercle Brugge (7-0) in the 1A Pro League (2023/2024)</v>
      </c>
    </row>
    <row r="33" spans="1:8">
      <c r="F33" s="66"/>
      <c r="G33" s="70"/>
      <c r="H33" s="71"/>
    </row>
    <row r="34" spans="1:8">
      <c r="F34" s="66" t="s">
        <v>38</v>
      </c>
      <c r="G34" s="70" t="s">
        <v>5</v>
      </c>
      <c r="H34" s="78" t="str">
        <f ca="1">IF(INDEX(Accomplishments[matchAVG], MATCH(G34, Accomplishments[category], 0)) = 0, "", _xlfn.CONCAT(INDEX(Accomplishments[matchAVG], MATCH(G34, Accomplishments[category], 0)), " ", INDEX(Accomplishments[description], MATCH(G34, Accomplishments[category], 0)), " per match"))</f>
        <v>0.2 goals per match</v>
      </c>
    </row>
    <row r="35" spans="1:8">
      <c r="F35" s="66"/>
      <c r="G35" s="70" t="s">
        <v>8</v>
      </c>
      <c r="H35" s="78" t="str">
        <f ca="1">IF(INDEX(Accomplishments[matchAVG], MATCH(G35, Accomplishments[category], 0)) = 0, "", _xlfn.CONCAT(INDEX(Accomplishments[matchAVG], MATCH(G35, Accomplishments[category], 0)), " ", INDEX(Accomplishments[description], MATCH(G35, Accomplishments[category], 0)), " per match"))</f>
        <v>0.4 assists per match</v>
      </c>
    </row>
    <row r="36" spans="1:8">
      <c r="F36" s="66"/>
      <c r="G36" s="70" t="s">
        <v>11</v>
      </c>
      <c r="H36" s="78" t="str">
        <f ca="1">IF(INDEX(Accomplishments[matchAVG], MATCH(G36, Accomplishments[category], 0)) = 0, "", _xlfn.CONCAT(INDEX(Accomplishments[matchAVG], MATCH(G36, Accomplishments[category], 0)), " ", INDEX(Accomplishments[description], MATCH(G36, Accomplishments[category], 0)), " per match"))</f>
        <v>0.7 goal involements per match</v>
      </c>
    </row>
    <row r="37" spans="1:8">
      <c r="F37" s="66"/>
      <c r="G37" s="70"/>
      <c r="H37" s="71"/>
    </row>
    <row r="38" spans="1:8">
      <c r="F38" s="66" t="s">
        <v>39</v>
      </c>
      <c r="G38" s="70"/>
      <c r="H38" s="71" t="str" cm="1">
        <f t="array" aca="1" ref="H38:H40" ca="1">IFERROR(_xlfn._xlws.FILTER(Stats[competition], Stats[result] = "Winner") &amp; " with " &amp; _xlfn._xlws.FILTER(Stats[team], Stats[result] = "Winner") &amp; " (" &amp; _xlfn._xlws.FILTER(Stats[season], Stats[result] = "Winner") &amp; ")", "")</f>
        <v>Croky Cup with KRC Genk (2023/2024)</v>
      </c>
    </row>
    <row r="39" spans="1:8">
      <c r="H39" s="72" t="str">
        <f ca="1"/>
        <v>Champions Trophy with Burnley (2024/2025)</v>
      </c>
    </row>
    <row r="40" spans="1:8">
      <c r="F40" s="68"/>
      <c r="H40" s="72" t="str">
        <f ca="1"/>
        <v>EFL Championship with Burnley (2024/2025)</v>
      </c>
    </row>
    <row r="46" spans="1:8">
      <c r="A46" s="68"/>
    </row>
  </sheetData>
  <dataConsolidate/>
  <mergeCells count="4">
    <mergeCell ref="B8:D8"/>
    <mergeCell ref="B5:D5"/>
    <mergeCell ref="B6:D6"/>
    <mergeCell ref="B7:D7"/>
  </mergeCells>
  <conditionalFormatting sqref="B5:D6 B8:D8 B9 B22">
    <cfRule type="containsBlanks" dxfId="36" priority="2">
      <formula>LEN(TRIM(B5))=0</formula>
    </cfRule>
  </conditionalFormatting>
  <dataValidations disablePrompts="1" count="2">
    <dataValidation type="list" allowBlank="1" showInputMessage="1" showErrorMessage="1" sqref="B22" xr:uid="{6EF488F9-6D85-4770-AE39-FF6C7BEEE36D}">
      <formula1>"Right, Left"</formula1>
    </dataValidation>
    <dataValidation type="date" allowBlank="1" showInputMessage="1" showErrorMessage="1" sqref="B9" xr:uid="{FDDF485B-AAFC-44E0-B1F0-DC0973B3A756}">
      <formula1>35431</formula1>
      <formula2>38352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ADF8-73D7-A149-953E-927AD1B0A876}">
  <sheetPr codeName="Sheet2"/>
  <dimension ref="A1:AC17"/>
  <sheetViews>
    <sheetView zoomScaleNormal="100" workbookViewId="0">
      <selection activeCell="G25" sqref="G25"/>
    </sheetView>
  </sheetViews>
  <sheetFormatPr baseColWidth="10" defaultColWidth="11" defaultRowHeight="16"/>
  <cols>
    <col min="1" max="1" width="6.5703125" bestFit="1" customWidth="1"/>
    <col min="2" max="2" width="7.42578125" style="1" bestFit="1" customWidth="1"/>
    <col min="3" max="3" width="7.7109375" style="1" bestFit="1" customWidth="1"/>
    <col min="4" max="4" width="5.28515625" style="1" bestFit="1" customWidth="1"/>
    <col min="5" max="5" width="8.140625" bestFit="1" customWidth="1"/>
    <col min="6" max="6" width="9.7109375" style="1" bestFit="1" customWidth="1"/>
    <col min="7" max="7" width="10.140625" style="3" bestFit="1" customWidth="1"/>
    <col min="8" max="8" width="11.5703125" style="3" bestFit="1" customWidth="1"/>
    <col min="9" max="9" width="12.5703125" style="3" bestFit="1" customWidth="1"/>
    <col min="10" max="10" width="5.7109375" style="1" bestFit="1" customWidth="1"/>
    <col min="11" max="11" width="5.5703125" style="1" bestFit="1" customWidth="1"/>
    <col min="12" max="12" width="5.7109375" style="1" bestFit="1" customWidth="1"/>
    <col min="13" max="13" width="5.5703125" style="1" bestFit="1" customWidth="1"/>
    <col min="14" max="14" width="5" style="1" bestFit="1" customWidth="1"/>
    <col min="15" max="15" width="5.28515625" style="1" bestFit="1" customWidth="1"/>
    <col min="16" max="16" width="5.42578125" style="1" bestFit="1" customWidth="1"/>
    <col min="17" max="17" width="9.7109375" style="1" bestFit="1" customWidth="1"/>
    <col min="18" max="18" width="9.42578125" style="1" bestFit="1" customWidth="1"/>
    <col min="19" max="19" width="10" style="1" bestFit="1" customWidth="1"/>
    <col min="20" max="20" width="11.28515625" style="1" bestFit="1" customWidth="1"/>
    <col min="21" max="21" width="15" style="1" bestFit="1" customWidth="1"/>
    <col min="22" max="22" width="15.7109375" style="1" bestFit="1" customWidth="1"/>
    <col min="23" max="23" width="14.7109375" style="1" bestFit="1" customWidth="1"/>
    <col min="24" max="24" width="15.5703125" style="1" bestFit="1" customWidth="1"/>
    <col min="25" max="25" width="12" style="3" bestFit="1" customWidth="1"/>
    <col min="26" max="27" width="13.7109375" style="10" customWidth="1"/>
    <col min="28" max="28" width="14.140625" style="11" customWidth="1"/>
    <col min="29" max="29" width="13.28515625" style="2" customWidth="1"/>
    <col min="30" max="16384" width="11" style="1"/>
  </cols>
  <sheetData>
    <row r="1" spans="1:29" s="6" customFormat="1" ht="13">
      <c r="A1" s="6" t="s">
        <v>40</v>
      </c>
      <c r="B1" s="6" t="s">
        <v>3</v>
      </c>
      <c r="C1" s="6" t="s">
        <v>25</v>
      </c>
      <c r="D1" s="6" t="s">
        <v>21</v>
      </c>
      <c r="E1" s="6" t="s">
        <v>26</v>
      </c>
      <c r="F1" s="6" t="s">
        <v>27</v>
      </c>
      <c r="G1" s="6" t="s">
        <v>41</v>
      </c>
      <c r="H1" s="6" t="s">
        <v>42</v>
      </c>
      <c r="I1" s="6" t="s">
        <v>43</v>
      </c>
      <c r="J1" s="6" t="s">
        <v>44</v>
      </c>
      <c r="K1" s="6" t="s">
        <v>45</v>
      </c>
      <c r="L1" s="6" t="s">
        <v>46</v>
      </c>
      <c r="M1" s="6" t="s">
        <v>47</v>
      </c>
      <c r="N1" s="6" t="s">
        <v>48</v>
      </c>
      <c r="O1" s="6" t="s">
        <v>49</v>
      </c>
      <c r="P1" s="6" t="s">
        <v>50</v>
      </c>
      <c r="Q1" s="7" t="s">
        <v>36</v>
      </c>
      <c r="R1" s="7" t="s">
        <v>33</v>
      </c>
      <c r="S1" s="7" t="s">
        <v>34</v>
      </c>
      <c r="T1" s="7" t="s">
        <v>35</v>
      </c>
      <c r="U1" s="7" t="s">
        <v>51</v>
      </c>
      <c r="V1" s="8" t="s">
        <v>52</v>
      </c>
      <c r="W1" s="7" t="s">
        <v>53</v>
      </c>
      <c r="X1" s="21" t="s">
        <v>54</v>
      </c>
    </row>
    <row r="2" spans="1:29" ht="13">
      <c r="A2" s="17" t="str" cm="1">
        <f t="array" ref="A2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Past</v>
      </c>
      <c r="B2" s="17" t="s">
        <v>55</v>
      </c>
      <c r="C2" s="17" t="str" cm="1">
        <f t="array" ref="C2">IFERROR(_xlfn.TEXTJOIN(" → ", TRUE, _xlfn.UNIQUE(_xlfn._xlws.FILTER(Fixtures[userTeam], (Fixtures[season] = Vitals[[#This Row],[season]])*(Fixtures[userTeamType] = "Club")))), "N/A")</f>
        <v>KRC Genk</v>
      </c>
      <c r="D2" s="17">
        <f>IF(Vitals[[#This Row],[status]] = "Future", "", IF(MONTH(birthDate) &lt; 7, LEFT(Vitals[[#This Row],[season]], 4) - YEAR(birthDate), RIGHT(Vitals[[#This Row],[season]], 4) - YEAR(birthDate)))</f>
        <v>19</v>
      </c>
      <c r="E2" s="1" t="s">
        <v>56</v>
      </c>
      <c r="F2" s="1">
        <v>91</v>
      </c>
      <c r="G2" s="1">
        <v>5</v>
      </c>
      <c r="H2" s="1">
        <v>11</v>
      </c>
      <c r="I2" s="1">
        <v>176</v>
      </c>
      <c r="J2" s="1">
        <v>68</v>
      </c>
      <c r="K2" s="1">
        <v>74</v>
      </c>
      <c r="L2" s="1">
        <v>59</v>
      </c>
      <c r="M2" s="1">
        <v>67</v>
      </c>
      <c r="N2" s="1">
        <v>69</v>
      </c>
      <c r="O2" s="1">
        <v>40</v>
      </c>
      <c r="P2" s="1">
        <v>67</v>
      </c>
      <c r="Q2" s="1">
        <v>3</v>
      </c>
      <c r="R2" s="1">
        <v>3</v>
      </c>
      <c r="S2" s="1" t="s">
        <v>57</v>
      </c>
      <c r="T2" s="1" t="s">
        <v>57</v>
      </c>
      <c r="U2" s="9">
        <v>2300</v>
      </c>
      <c r="V2" s="9">
        <v>5500000</v>
      </c>
      <c r="W2" s="18">
        <f>IFERROR(Vitals[[#This Row],[weeklyWageEuro]]*1.08, "N/A")</f>
        <v>2484</v>
      </c>
      <c r="X2" s="18">
        <f>IFERROR(Vitals[[#This Row],[marketValueEuro]]*1.08, "N/A")</f>
        <v>5940000</v>
      </c>
      <c r="Y2" s="10"/>
      <c r="AA2" s="11"/>
      <c r="AB2" s="2"/>
      <c r="AC2" s="1"/>
    </row>
    <row r="3" spans="1:29" ht="13">
      <c r="A3" s="17" t="str" cm="1">
        <f t="array" ref="A3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Past</v>
      </c>
      <c r="B3" s="17" t="s">
        <v>58</v>
      </c>
      <c r="C3" s="17" t="str" cm="1">
        <f t="array" ref="C3">IFERROR(_xlfn.TEXTJOIN(" → ", TRUE, _xlfn.UNIQUE(_xlfn._xlws.FILTER(Fixtures[userTeam], (Fixtures[season] = Vitals[[#This Row],[season]])*(Fixtures[userTeamType] = "Club")))), "N/A")</f>
        <v>Burnley</v>
      </c>
      <c r="D3" s="17">
        <f>IF(Vitals[[#This Row],[status]] = "Future", "", IF(MONTH(birthDate) &lt; 7, LEFT(Vitals[[#This Row],[season]], 4) - YEAR(birthDate), RIGHT(Vitals[[#This Row],[season]], 4) - YEAR(birthDate)))</f>
        <v>20</v>
      </c>
      <c r="E3" s="1" t="s">
        <v>56</v>
      </c>
      <c r="F3" s="1">
        <v>39</v>
      </c>
      <c r="G3" s="1">
        <v>5</v>
      </c>
      <c r="H3" s="1">
        <v>11</v>
      </c>
      <c r="I3" s="1">
        <v>174</v>
      </c>
      <c r="J3" s="1">
        <v>85</v>
      </c>
      <c r="K3" s="1">
        <v>84</v>
      </c>
      <c r="L3" s="1">
        <v>74</v>
      </c>
      <c r="M3" s="1">
        <v>83</v>
      </c>
      <c r="N3" s="1">
        <v>86</v>
      </c>
      <c r="O3" s="1">
        <v>40</v>
      </c>
      <c r="P3" s="1">
        <v>72</v>
      </c>
      <c r="Q3" s="1">
        <v>4</v>
      </c>
      <c r="R3" s="1">
        <v>3</v>
      </c>
      <c r="S3" s="1" t="s">
        <v>57</v>
      </c>
      <c r="T3" s="1" t="s">
        <v>57</v>
      </c>
      <c r="U3" s="9">
        <v>45000</v>
      </c>
      <c r="V3" s="9">
        <v>106500000</v>
      </c>
      <c r="W3" s="18">
        <f>IFERROR(Vitals[[#This Row],[weeklyWageEuro]]*1.08, "N/A")</f>
        <v>48600</v>
      </c>
      <c r="X3" s="18">
        <f>IFERROR(Vitals[[#This Row],[marketValueEuro]]*1.08, "N/A")</f>
        <v>115020000.00000001</v>
      </c>
      <c r="Y3" s="10"/>
      <c r="AA3" s="11"/>
      <c r="AB3" s="2"/>
      <c r="AC3" s="1"/>
    </row>
    <row r="4" spans="1:29" ht="13">
      <c r="A4" s="17" t="str" cm="1">
        <f t="array" ref="A4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Present</v>
      </c>
      <c r="B4" s="17" t="s">
        <v>59</v>
      </c>
      <c r="C4" s="17" t="str" cm="1">
        <f t="array" ref="C4">IFERROR(_xlfn.TEXTJOIN(" → ", TRUE, _xlfn.UNIQUE(_xlfn._xlws.FILTER(Fixtures[userTeam], (Fixtures[season] = Vitals[[#This Row],[season]])*(Fixtures[userTeamType] = "Club")))), "N/A")</f>
        <v>RB Leipzig</v>
      </c>
      <c r="D4" s="17">
        <f>IF(Vitals[[#This Row],[status]] = "Future", "", IF(MONTH(birthDate) &lt; 7, LEFT(Vitals[[#This Row],[season]], 4) - YEAR(birthDate), RIGHT(Vitals[[#This Row],[season]], 4) - YEAR(birthDate)))</f>
        <v>21</v>
      </c>
      <c r="E4" s="1" t="s">
        <v>60</v>
      </c>
      <c r="F4" s="1">
        <v>19</v>
      </c>
      <c r="G4" s="1">
        <v>5</v>
      </c>
      <c r="H4" s="1">
        <v>11</v>
      </c>
      <c r="I4" s="1">
        <v>174</v>
      </c>
      <c r="J4" s="1">
        <v>87</v>
      </c>
      <c r="K4" s="1">
        <v>90</v>
      </c>
      <c r="L4" s="1">
        <v>79</v>
      </c>
      <c r="M4" s="1">
        <v>86</v>
      </c>
      <c r="N4" s="1">
        <v>87</v>
      </c>
      <c r="O4" s="1">
        <v>40</v>
      </c>
      <c r="P4" s="1">
        <v>72</v>
      </c>
      <c r="Q4" s="1">
        <v>5</v>
      </c>
      <c r="R4" s="1">
        <v>4</v>
      </c>
      <c r="S4" s="1" t="s">
        <v>57</v>
      </c>
      <c r="T4" s="1" t="s">
        <v>57</v>
      </c>
      <c r="U4" s="9">
        <v>55000</v>
      </c>
      <c r="V4" s="9">
        <v>122500000</v>
      </c>
      <c r="W4" s="18">
        <f>IFERROR(Vitals[[#This Row],[weeklyWageEuro]]*1.08, "N/A")</f>
        <v>59400.000000000007</v>
      </c>
      <c r="X4" s="18">
        <f>IFERROR(Vitals[[#This Row],[marketValueEuro]]*1.08, "N/A")</f>
        <v>132300000.00000001</v>
      </c>
      <c r="Y4" s="10"/>
      <c r="AA4" s="11"/>
      <c r="AB4" s="2"/>
      <c r="AC4" s="1"/>
    </row>
    <row r="5" spans="1:29" ht="13">
      <c r="A5" s="17" t="str" cm="1">
        <f t="array" ref="A5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5" s="17" t="s">
        <v>61</v>
      </c>
      <c r="C5" s="17" t="str" cm="1">
        <f t="array" ref="C5">IFERROR(_xlfn.TEXTJOIN(" → ", TRUE, _xlfn.UNIQUE(_xlfn._xlws.FILTER(Fixtures[userTeam], (Fixtures[season] = Vitals[[#This Row],[season]])*(Fixtures[userTeamType] = "Club")))), "N/A")</f>
        <v>N/A</v>
      </c>
      <c r="D5" s="17" t="str">
        <f>IF(Vitals[[#This Row],[status]] = "Future", "", IF(MONTH(birthDate) &lt; 7, LEFT(Vitals[[#This Row],[season]], 4) - YEAR(birthDate), RIGHT(Vitals[[#This Row],[season]], 4) - YEAR(birthDate)))</f>
        <v/>
      </c>
      <c r="E5" s="1" t="s">
        <v>56</v>
      </c>
      <c r="F5" s="1">
        <v>19</v>
      </c>
      <c r="G5" s="1">
        <v>5</v>
      </c>
      <c r="H5" s="1">
        <v>11</v>
      </c>
      <c r="I5" s="1">
        <v>169</v>
      </c>
      <c r="J5" s="1">
        <v>90</v>
      </c>
      <c r="K5" s="1">
        <v>90</v>
      </c>
      <c r="L5" s="1">
        <v>80</v>
      </c>
      <c r="M5" s="1">
        <v>90</v>
      </c>
      <c r="N5" s="1">
        <v>91</v>
      </c>
      <c r="O5" s="1">
        <v>40</v>
      </c>
      <c r="P5" s="1">
        <v>73</v>
      </c>
      <c r="Q5" s="1">
        <v>5</v>
      </c>
      <c r="R5" s="1">
        <v>4</v>
      </c>
      <c r="S5" s="1" t="s">
        <v>57</v>
      </c>
      <c r="T5" s="1" t="s">
        <v>57</v>
      </c>
      <c r="U5" s="9">
        <v>66500</v>
      </c>
      <c r="V5" s="9">
        <v>158000000</v>
      </c>
      <c r="W5" s="18">
        <f>IFERROR(Vitals[[#This Row],[weeklyWageEuro]]*1.08, "N/A")</f>
        <v>71820</v>
      </c>
      <c r="X5" s="18">
        <f>IFERROR(Vitals[[#This Row],[marketValueEuro]]*1.08, "N/A")</f>
        <v>170640000</v>
      </c>
      <c r="Y5" s="10"/>
      <c r="AA5" s="11"/>
      <c r="AB5" s="2"/>
      <c r="AC5" s="1"/>
    </row>
    <row r="6" spans="1:29" ht="13" hidden="1">
      <c r="A6" s="17" t="str" cm="1">
        <f t="array" ref="A6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6" s="17" t="s">
        <v>62</v>
      </c>
      <c r="C6" s="17" t="str" cm="1">
        <f t="array" ref="C6">IFERROR(_xlfn.TEXTJOIN(" → ", TRUE, _xlfn.UNIQUE(_xlfn._xlws.FILTER(Fixtures[userTeam], (Fixtures[season] = Vitals[[#This Row],[season]])*(Fixtures[userTeamType] = "Club")))), "N/A")</f>
        <v>N/A</v>
      </c>
      <c r="D6" s="17" t="str">
        <f>IF(Vitals[[#This Row],[status]] = "Future", "", IF(MONTH(birthDate) &lt; 7, LEFT(Vitals[[#This Row],[season]], 4) - YEAR(birthDate), RIGHT(Vitals[[#This Row],[season]], 4) - YEAR(birthDate)))</f>
        <v/>
      </c>
      <c r="E6" s="1"/>
      <c r="G6" s="1"/>
      <c r="H6" s="1"/>
      <c r="I6" s="1"/>
      <c r="U6" s="9"/>
      <c r="V6" s="9"/>
      <c r="W6" s="18">
        <f>IFERROR(Vitals[[#This Row],[weeklyWageEuro]]*1.08, "N/A")</f>
        <v>0</v>
      </c>
      <c r="X6" s="18">
        <f>IFERROR(Vitals[[#This Row],[marketValueEuro]]*1.08, "N/A")</f>
        <v>0</v>
      </c>
      <c r="Y6" s="10"/>
      <c r="AA6" s="11"/>
      <c r="AB6" s="2"/>
      <c r="AC6" s="1"/>
    </row>
    <row r="7" spans="1:29" ht="13" hidden="1">
      <c r="A7" s="17" t="str" cm="1">
        <f t="array" ref="A7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7" s="17" t="s">
        <v>63</v>
      </c>
      <c r="C7" s="17" t="str" cm="1">
        <f t="array" ref="C7">IFERROR(_xlfn.TEXTJOIN(" → ", TRUE, _xlfn.UNIQUE(_xlfn._xlws.FILTER(Fixtures[userTeam], (Fixtures[season] = Vitals[[#This Row],[season]])*(Fixtures[userTeamType] = "Club")))), "N/A")</f>
        <v>N/A</v>
      </c>
      <c r="D7" s="17" t="str">
        <f>IF(Vitals[[#This Row],[status]] = "Future", "", IF(MONTH(birthDate) &lt; 7, LEFT(Vitals[[#This Row],[season]], 4) - YEAR(birthDate), RIGHT(Vitals[[#This Row],[season]], 4) - YEAR(birthDate)))</f>
        <v/>
      </c>
      <c r="E7" s="1"/>
      <c r="G7" s="1"/>
      <c r="H7" s="1"/>
      <c r="I7" s="1"/>
      <c r="U7" s="9"/>
      <c r="V7" s="9"/>
      <c r="W7" s="18">
        <f>IFERROR(Vitals[[#This Row],[weeklyWageEuro]]*1.08, "N/A")</f>
        <v>0</v>
      </c>
      <c r="X7" s="18">
        <f>IFERROR(Vitals[[#This Row],[marketValueEuro]]*1.08, "N/A")</f>
        <v>0</v>
      </c>
      <c r="Y7" s="10"/>
      <c r="AA7" s="11"/>
      <c r="AB7" s="2"/>
      <c r="AC7" s="1"/>
    </row>
    <row r="8" spans="1:29" ht="13" hidden="1">
      <c r="A8" s="17" t="str" cm="1">
        <f t="array" ref="A8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8" s="17" t="s">
        <v>64</v>
      </c>
      <c r="C8" s="17" t="str" cm="1">
        <f t="array" ref="C8">IFERROR(_xlfn.TEXTJOIN(" → ", TRUE, _xlfn.UNIQUE(_xlfn._xlws.FILTER(Fixtures[userTeam], (Fixtures[season] = Vitals[[#This Row],[season]])*(Fixtures[userTeamType] = "Club")))), "N/A")</f>
        <v>N/A</v>
      </c>
      <c r="D8" s="17" t="str">
        <f>IF(Vitals[[#This Row],[status]] = "Future", "", IF(MONTH(birthDate) &lt; 7, LEFT(Vitals[[#This Row],[season]], 4) - YEAR(birthDate), RIGHT(Vitals[[#This Row],[season]], 4) - YEAR(birthDate)))</f>
        <v/>
      </c>
      <c r="E8" s="1"/>
      <c r="G8" s="1"/>
      <c r="H8" s="1"/>
      <c r="I8" s="1"/>
      <c r="U8" s="9"/>
      <c r="V8" s="9"/>
      <c r="W8" s="18">
        <f>IFERROR(Vitals[[#This Row],[weeklyWageEuro]]*1.08, "N/A")</f>
        <v>0</v>
      </c>
      <c r="X8" s="18">
        <f>IFERROR(Vitals[[#This Row],[marketValueEuro]]*1.08, "N/A")</f>
        <v>0</v>
      </c>
      <c r="Y8" s="10"/>
      <c r="AA8" s="11"/>
      <c r="AB8" s="2"/>
      <c r="AC8" s="1"/>
    </row>
    <row r="9" spans="1:29" ht="13" hidden="1">
      <c r="A9" s="17" t="str" cm="1">
        <f t="array" ref="A9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9" s="17" t="s">
        <v>65</v>
      </c>
      <c r="C9" s="17" t="str" cm="1">
        <f t="array" ref="C9">IFERROR(_xlfn.TEXTJOIN(" → ", TRUE, _xlfn.UNIQUE(_xlfn._xlws.FILTER(Fixtures[userTeam], (Fixtures[season] = Vitals[[#This Row],[season]])*(Fixtures[userTeamType] = "Club")))), "N/A")</f>
        <v>N/A</v>
      </c>
      <c r="D9" s="17" t="str">
        <f>IF(Vitals[[#This Row],[status]] = "Future", "", IF(MONTH(birthDate) &lt; 7, LEFT(Vitals[[#This Row],[season]], 4) - YEAR(birthDate), RIGHT(Vitals[[#This Row],[season]], 4) - YEAR(birthDate)))</f>
        <v/>
      </c>
      <c r="E9" s="1"/>
      <c r="G9" s="1"/>
      <c r="H9" s="1"/>
      <c r="I9" s="1"/>
      <c r="U9" s="9"/>
      <c r="V9" s="9"/>
      <c r="W9" s="18">
        <f>IFERROR(Vitals[[#This Row],[weeklyWageEuro]]*1.08, "N/A")</f>
        <v>0</v>
      </c>
      <c r="X9" s="18">
        <f>IFERROR(Vitals[[#This Row],[marketValueEuro]]*1.08, "N/A")</f>
        <v>0</v>
      </c>
      <c r="Y9" s="10"/>
      <c r="AA9" s="11"/>
      <c r="AB9" s="2"/>
      <c r="AC9" s="1"/>
    </row>
    <row r="10" spans="1:29" ht="13" hidden="1">
      <c r="A10" s="17" t="str" cm="1">
        <f t="array" ref="A10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0" s="17" t="s">
        <v>66</v>
      </c>
      <c r="C10" s="17" t="str" cm="1">
        <f t="array" ref="C10">IFERROR(_xlfn.TEXTJOIN(" → ", TRUE, _xlfn.UNIQUE(_xlfn._xlws.FILTER(Fixtures[userTeam], (Fixtures[season] = Vitals[[#This Row],[season]])*(Fixtures[userTeamType] = "Club")))), "N/A")</f>
        <v>N/A</v>
      </c>
      <c r="D10" s="17" t="str">
        <f>IF(Vitals[[#This Row],[status]] = "Future", "", IF(MONTH(birthDate) &lt; 7, LEFT(Vitals[[#This Row],[season]], 4) - YEAR(birthDate), RIGHT(Vitals[[#This Row],[season]], 4) - YEAR(birthDate)))</f>
        <v/>
      </c>
      <c r="E10" s="1"/>
      <c r="G10" s="1"/>
      <c r="H10" s="1"/>
      <c r="I10" s="1"/>
      <c r="U10" s="9"/>
      <c r="V10" s="9"/>
      <c r="W10" s="18">
        <f>IFERROR(Vitals[[#This Row],[weeklyWageEuro]]*1.08, "N/A")</f>
        <v>0</v>
      </c>
      <c r="X10" s="18">
        <f>IFERROR(Vitals[[#This Row],[marketValueEuro]]*1.08, "N/A")</f>
        <v>0</v>
      </c>
      <c r="Y10" s="10"/>
      <c r="AA10" s="11"/>
      <c r="AB10" s="2"/>
      <c r="AC10" s="1"/>
    </row>
    <row r="11" spans="1:29" ht="13" hidden="1">
      <c r="A11" s="17" t="str" cm="1">
        <f t="array" ref="A11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1" s="17" t="s">
        <v>67</v>
      </c>
      <c r="C11" s="17" t="str" cm="1">
        <f t="array" ref="C11">IFERROR(_xlfn.TEXTJOIN(" → ", TRUE, _xlfn.UNIQUE(_xlfn._xlws.FILTER(Fixtures[userTeam], (Fixtures[season] = Vitals[[#This Row],[season]])*(Fixtures[userTeamType] = "Club")))), "N/A")</f>
        <v>N/A</v>
      </c>
      <c r="D11" s="17" t="str">
        <f>IF(Vitals[[#This Row],[status]] = "Future", "", IF(MONTH(birthDate) &lt; 7, LEFT(Vitals[[#This Row],[season]], 4) - YEAR(birthDate), RIGHT(Vitals[[#This Row],[season]], 4) - YEAR(birthDate)))</f>
        <v/>
      </c>
      <c r="E11" s="1"/>
      <c r="G11" s="1"/>
      <c r="H11" s="1"/>
      <c r="I11" s="1"/>
      <c r="U11" s="9"/>
      <c r="V11" s="9"/>
      <c r="W11" s="18">
        <f>IFERROR(Vitals[[#This Row],[weeklyWageEuro]]*1.08, "N/A")</f>
        <v>0</v>
      </c>
      <c r="X11" s="18">
        <f>IFERROR(Vitals[[#This Row],[marketValueEuro]]*1.08, "N/A")</f>
        <v>0</v>
      </c>
      <c r="Y11" s="10"/>
      <c r="AA11" s="11"/>
      <c r="AB11" s="2"/>
      <c r="AC11" s="1"/>
    </row>
    <row r="12" spans="1:29" ht="13" hidden="1">
      <c r="A12" s="17" t="str" cm="1">
        <f t="array" ref="A12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2" s="17" t="s">
        <v>68</v>
      </c>
      <c r="C12" s="17" t="str" cm="1">
        <f t="array" ref="C12">IFERROR(_xlfn.TEXTJOIN(" → ", TRUE, _xlfn.UNIQUE(_xlfn._xlws.FILTER(Fixtures[userTeam], (Fixtures[season] = Vitals[[#This Row],[season]])*(Fixtures[userTeamType] = "Club")))), "N/A")</f>
        <v>N/A</v>
      </c>
      <c r="D12" s="17" t="str">
        <f>IF(Vitals[[#This Row],[status]] = "Future", "", IF(MONTH(birthDate) &lt; 7, LEFT(Vitals[[#This Row],[season]], 4) - YEAR(birthDate), RIGHT(Vitals[[#This Row],[season]], 4) - YEAR(birthDate)))</f>
        <v/>
      </c>
      <c r="E12" s="1"/>
      <c r="G12" s="1"/>
      <c r="H12" s="1"/>
      <c r="I12" s="1"/>
      <c r="U12" s="9"/>
      <c r="V12" s="9"/>
      <c r="W12" s="18">
        <f>IFERROR(Vitals[[#This Row],[weeklyWageEuro]]*1.08, "N/A")</f>
        <v>0</v>
      </c>
      <c r="X12" s="18">
        <f>IFERROR(Vitals[[#This Row],[marketValueEuro]]*1.08, "N/A")</f>
        <v>0</v>
      </c>
      <c r="Y12" s="10"/>
      <c r="AA12" s="11"/>
      <c r="AB12" s="2"/>
      <c r="AC12" s="1"/>
    </row>
    <row r="13" spans="1:29" ht="13" hidden="1">
      <c r="A13" s="17" t="str" cm="1">
        <f t="array" ref="A13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3" s="17" t="s">
        <v>69</v>
      </c>
      <c r="C13" s="17" t="str" cm="1">
        <f t="array" ref="C13">IFERROR(_xlfn.TEXTJOIN(" → ", TRUE, _xlfn.UNIQUE(_xlfn._xlws.FILTER(Fixtures[userTeam], (Fixtures[season] = Vitals[[#This Row],[season]])*(Fixtures[userTeamType] = "Club")))), "N/A")</f>
        <v>N/A</v>
      </c>
      <c r="D13" s="17" t="str">
        <f>IF(Vitals[[#This Row],[status]] = "Future", "", IF(MONTH(birthDate) &lt; 7, LEFT(Vitals[[#This Row],[season]], 4) - YEAR(birthDate), RIGHT(Vitals[[#This Row],[season]], 4) - YEAR(birthDate)))</f>
        <v/>
      </c>
      <c r="E13" s="1"/>
      <c r="G13" s="1"/>
      <c r="H13" s="1"/>
      <c r="I13" s="1"/>
      <c r="U13" s="9"/>
      <c r="V13" s="9"/>
      <c r="W13" s="18">
        <f>IFERROR(Vitals[[#This Row],[weeklyWageEuro]]*1.08, "N/A")</f>
        <v>0</v>
      </c>
      <c r="X13" s="18">
        <f>IFERROR(Vitals[[#This Row],[marketValueEuro]]*1.08, "N/A")</f>
        <v>0</v>
      </c>
      <c r="Y13" s="10"/>
      <c r="AA13" s="11"/>
      <c r="AB13" s="2"/>
      <c r="AC13" s="1"/>
    </row>
    <row r="14" spans="1:29" ht="13" hidden="1">
      <c r="A14" s="17" t="str" cm="1">
        <f t="array" ref="A14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4" s="17" t="s">
        <v>70</v>
      </c>
      <c r="C14" s="17" t="str" cm="1">
        <f t="array" ref="C14">IFERROR(_xlfn.TEXTJOIN(" → ", TRUE, _xlfn.UNIQUE(_xlfn._xlws.FILTER(Fixtures[userTeam], (Fixtures[season] = Vitals[[#This Row],[season]])*(Fixtures[userTeamType] = "Club")))), "N/A")</f>
        <v>N/A</v>
      </c>
      <c r="D14" s="17" t="str">
        <f>IF(Vitals[[#This Row],[status]] = "Future", "", IF(MONTH(birthDate) &lt; 7, LEFT(Vitals[[#This Row],[season]], 4) - YEAR(birthDate), RIGHT(Vitals[[#This Row],[season]], 4) - YEAR(birthDate)))</f>
        <v/>
      </c>
      <c r="E14" s="1"/>
      <c r="G14" s="1"/>
      <c r="H14" s="1"/>
      <c r="I14" s="1"/>
      <c r="U14" s="9"/>
      <c r="V14" s="9"/>
      <c r="W14" s="18">
        <f>IFERROR(Vitals[[#This Row],[weeklyWageEuro]]*1.08, "N/A")</f>
        <v>0</v>
      </c>
      <c r="X14" s="18">
        <f>IFERROR(Vitals[[#This Row],[marketValueEuro]]*1.08, "N/A")</f>
        <v>0</v>
      </c>
      <c r="Y14" s="10"/>
      <c r="AA14" s="11"/>
      <c r="AB14" s="2"/>
      <c r="AC14" s="1"/>
    </row>
    <row r="15" spans="1:29" ht="13" hidden="1">
      <c r="A15" s="17" t="str" cm="1">
        <f t="array" ref="A15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5" s="17" t="s">
        <v>71</v>
      </c>
      <c r="C15" s="17" t="str" cm="1">
        <f t="array" ref="C15">IFERROR(_xlfn.TEXTJOIN(" → ", TRUE, _xlfn.UNIQUE(_xlfn._xlws.FILTER(Fixtures[userTeam], (Fixtures[season] = Vitals[[#This Row],[season]])*(Fixtures[userTeamType] = "Club")))), "N/A")</f>
        <v>N/A</v>
      </c>
      <c r="D15" s="17" t="str">
        <f>IF(Vitals[[#This Row],[status]] = "Future", "", IF(MONTH(birthDate) &lt; 7, LEFT(Vitals[[#This Row],[season]], 4) - YEAR(birthDate), RIGHT(Vitals[[#This Row],[season]], 4) - YEAR(birthDate)))</f>
        <v/>
      </c>
      <c r="E15" s="1"/>
      <c r="G15" s="1"/>
      <c r="H15" s="1"/>
      <c r="I15" s="1"/>
      <c r="U15" s="9"/>
      <c r="V15" s="9"/>
      <c r="W15" s="18">
        <f>IFERROR(Vitals[[#This Row],[weeklyWageEuro]]*1.08, "N/A")</f>
        <v>0</v>
      </c>
      <c r="X15" s="18">
        <f>IFERROR(Vitals[[#This Row],[marketValueEuro]]*1.08, "N/A")</f>
        <v>0</v>
      </c>
      <c r="Y15" s="10"/>
      <c r="AA15" s="11"/>
      <c r="AB15" s="2"/>
      <c r="AC15" s="1"/>
    </row>
    <row r="16" spans="1:29" ht="13" hidden="1">
      <c r="A16" s="17" t="str" cm="1">
        <f t="array" ref="A16">IF(COUNTA(Fixtures[date]) &gt; 0, IF(Vitals[[#This Row],[season]] = _xlfn._xlws.FILTER(Fixtures[season], (Fixtures[date] = asOfDate)), "Present", IF(Vitals[[#This Row],[season]] &lt; _xlfn._xlws.FILTER(Fixtures[season], (Fixtures[date] = asOfDate)), "Past", "Future")), IF(Vitals[[#This Row],[season]] = INDEX(Vitals[season], 1), "Present", "Future"))</f>
        <v>Future</v>
      </c>
      <c r="B16" s="17" t="s">
        <v>72</v>
      </c>
      <c r="C16" s="17" t="str" cm="1">
        <f t="array" ref="C16">IFERROR(_xlfn.TEXTJOIN(" → ", TRUE, _xlfn.UNIQUE(_xlfn._xlws.FILTER(Fixtures[userTeam], (Fixtures[season] = Vitals[[#This Row],[season]])*(Fixtures[userTeamType] = "Club")))), "N/A")</f>
        <v>N/A</v>
      </c>
      <c r="D16" s="17" t="str">
        <f>IF(Vitals[[#This Row],[status]] = "Future", "", IF(MONTH(birthDate) &lt; 7, LEFT(Vitals[[#This Row],[season]], 4) - YEAR(birthDate), RIGHT(Vitals[[#This Row],[season]], 4) - YEAR(birthDate)))</f>
        <v/>
      </c>
      <c r="E16" s="1"/>
      <c r="G16" s="1"/>
      <c r="H16" s="1"/>
      <c r="I16" s="1"/>
      <c r="U16" s="9"/>
      <c r="V16" s="9"/>
      <c r="W16" s="18">
        <f>IFERROR(Vitals[[#This Row],[weeklyWageEuro]]*1.08, "N/A")</f>
        <v>0</v>
      </c>
      <c r="X16" s="18">
        <f>IFERROR(Vitals[[#This Row],[marketValueEuro]]*1.08, "N/A")</f>
        <v>0</v>
      </c>
      <c r="Y16" s="10"/>
      <c r="AA16" s="11"/>
      <c r="AB16" s="2"/>
      <c r="AC16" s="1"/>
    </row>
    <row r="17" spans="1:28" s="12" customFormat="1" ht="13">
      <c r="A17" s="12" t="s">
        <v>73</v>
      </c>
      <c r="B17" s="22" t="str" cm="1">
        <f t="array" ref="B17">_xlfn._xlws.FILTER(Vitals[season], (Vitals[[age]:[age]] = MAX(Vitals[[age]:[age]])))</f>
        <v>2025/2026</v>
      </c>
      <c r="C17" s="22" t="str" cm="1">
        <f t="array" ref="C17">_xlfn._xlws.FILTER(Vitals[club], (Vitals[[age]:[age]] = MAX(Vitals[[age]:[age]])))</f>
        <v>RB Leipzig</v>
      </c>
      <c r="D17" s="22" cm="1">
        <f t="array" ref="D17">_xlfn._xlws.FILTER(Vitals[age], (Vitals[[age]:[age]]= MAX(Vitals[[age]:[age]])))</f>
        <v>21</v>
      </c>
      <c r="E17" s="22" t="str" cm="1">
        <f t="array" ref="E17">_xlfn._xlws.FILTER(Vitals[position], (Vitals[[age]:[age]]= MAX(Vitals[[age]:[age]])))</f>
        <v>RAM</v>
      </c>
      <c r="F17" s="22" cm="1">
        <f t="array" ref="F17">_xlfn._xlws.FILTER(Vitals[kitNumber], (Vitals[[age]:[age]]= MAX(Vitals[[age]:[age]])))</f>
        <v>19</v>
      </c>
      <c r="G17" s="22" cm="1">
        <f t="array" ref="G17">_xlfn._xlws.FILTER(Vitals[heightFeet], (Vitals[[age]:[age]]= MAX(Vitals[[age]:[age]])))</f>
        <v>5</v>
      </c>
      <c r="H17" s="22" cm="1">
        <f t="array" ref="H17">_xlfn._xlws.FILTER(Vitals[heightInches], (Vitals[[age]:[age]]= MAX(Vitals[[age]:[age]])))</f>
        <v>11</v>
      </c>
      <c r="I17" s="22" cm="1">
        <f t="array" ref="I17">_xlfn._xlws.FILTER(Vitals[weightPounds], (Vitals[[age]:[age]]= MAX(Vitals[[age]:[age]])))</f>
        <v>174</v>
      </c>
      <c r="J17" s="22" cm="1">
        <f t="array" ref="J17">_xlfn._xlws.FILTER(Vitals[OVR], (Vitals[[age]:[age]]= MAX(Vitals[[age]:[age]])))</f>
        <v>87</v>
      </c>
      <c r="K17" s="22" cm="1">
        <f t="array" ref="K17">_xlfn._xlws.FILTER(Vitals[PAC], (Vitals[[age]:[age]]= MAX(Vitals[[age]:[age]])))</f>
        <v>90</v>
      </c>
      <c r="L17" s="22" cm="1">
        <f t="array" ref="L17">_xlfn._xlws.FILTER(Vitals[SHO], (Vitals[[age]:[age]]= MAX(Vitals[[age]:[age]])))</f>
        <v>79</v>
      </c>
      <c r="M17" s="22" cm="1">
        <f t="array" ref="M17">_xlfn._xlws.FILTER(Vitals[PAS], (Vitals[[age]:[age]]= MAX(Vitals[[age]:[age]])))</f>
        <v>86</v>
      </c>
      <c r="N17" s="22" cm="1">
        <f t="array" ref="N17">_xlfn._xlws.FILTER(Vitals[DRI], (Vitals[[age]:[age]]= MAX(Vitals[[age]:[age]])))</f>
        <v>87</v>
      </c>
      <c r="O17" s="22" cm="1">
        <f t="array" ref="O17">_xlfn._xlws.FILTER(Vitals[DEF], (Vitals[[age]:[age]]= MAX(Vitals[[age]:[age]])))</f>
        <v>40</v>
      </c>
      <c r="P17" s="22" cm="1">
        <f t="array" ref="P17">_xlfn._xlws.FILTER(Vitals[PHY], (Vitals[[age]:[age]]= MAX(Vitals[[age]:[age]])))</f>
        <v>72</v>
      </c>
      <c r="Q17" s="22" cm="1">
        <f t="array" ref="Q17">_xlfn._xlws.FILTER(Vitals[skillMoves], (Vitals[[age]:[age]]= MAX(Vitals[[age]:[age]])))</f>
        <v>5</v>
      </c>
      <c r="R17" s="22" cm="1">
        <f t="array" ref="R17">_xlfn._xlws.FILTER(Vitals[weakFoot], (Vitals[[age]:[age]]= MAX(Vitals[[age]:[age]])))</f>
        <v>4</v>
      </c>
      <c r="S17" s="22" t="str" cm="1">
        <f t="array" ref="S17">_xlfn._xlws.FILTER(Vitals[attackRate], (Vitals[[age]:[age]]= MAX(Vitals[[age]:[age]])))</f>
        <v>Medium</v>
      </c>
      <c r="T17" s="22" t="str" cm="1">
        <f t="array" ref="T17">_xlfn._xlws.FILTER(Vitals[defenseRate], (Vitals[[age]:[age]]= MAX(Vitals[[age]:[age]])))</f>
        <v>Medium</v>
      </c>
      <c r="U17" s="23" cm="1">
        <f t="array" ref="U17">_xlfn._xlws.FILTER(Vitals[weeklyWageEuro], (Vitals[[age]:[age]]= MAX(Vitals[[age]:[age]])))</f>
        <v>55000</v>
      </c>
      <c r="V17" s="23" cm="1">
        <f t="array" ref="V17">_xlfn._xlws.FILTER(Vitals[marketValueEuro], (Vitals[[age]:[age]]= MAX(Vitals[[age]:[age]])))</f>
        <v>122500000</v>
      </c>
      <c r="W17" s="24" cm="1">
        <f t="array" ref="W17">_xlfn._xlws.FILTER(Vitals[weeklyWageUSD], (Vitals[[age]:[age]]= MAX(Vitals[[age]:[age]])))</f>
        <v>59400.000000000007</v>
      </c>
      <c r="X17" s="24" cm="1">
        <f t="array" ref="X17">_xlfn._xlws.FILTER(Vitals[marketValueUSD], (Vitals[[age]:[age]]= MAX(Vitals[[age]:[age]])))</f>
        <v>132300000.00000001</v>
      </c>
      <c r="AA17" s="25"/>
      <c r="AB17" s="26"/>
    </row>
  </sheetData>
  <phoneticPr fontId="6" type="noConversion"/>
  <conditionalFormatting sqref="M30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18:AC1048576 AB2:AB17">
    <cfRule type="colorScale" priority="4">
      <colorScale>
        <cfvo type="min"/>
        <cfvo type="max"/>
        <color rgb="FFFFEF9C"/>
        <color rgb="FF63BE7B"/>
      </colorScale>
    </cfRule>
  </conditionalFormatting>
  <conditionalFormatting sqref="E2:V16">
    <cfRule type="containsBlanks" dxfId="269" priority="44">
      <formula>LEN(TRIM(E2))=0</formula>
    </cfRule>
  </conditionalFormatting>
  <conditionalFormatting sqref="A2:X16">
    <cfRule type="expression" dxfId="268" priority="1" stopIfTrue="1">
      <formula>INDIRECT("Vitals[@status]") = "Future"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000A-57BC-404A-9E6D-37D208984146}">
  <sheetPr codeName="Sheet4"/>
  <dimension ref="A1:AN1250"/>
  <sheetViews>
    <sheetView zoomScaleNormal="100" workbookViewId="0">
      <pane ySplit="1" topLeftCell="A161" activePane="bottomLeft" state="frozen"/>
      <selection activeCell="I46" sqref="I46"/>
      <selection pane="bottomLeft" activeCell="G195" sqref="G195"/>
    </sheetView>
  </sheetViews>
  <sheetFormatPr baseColWidth="10" defaultColWidth="8" defaultRowHeight="15"/>
  <cols>
    <col min="1" max="1" width="8.140625" style="62" bestFit="1" customWidth="1"/>
    <col min="2" max="2" width="9.140625" style="62" bestFit="1" customWidth="1"/>
    <col min="3" max="3" width="8.28515625" style="62" bestFit="1" customWidth="1"/>
    <col min="4" max="4" width="20.42578125" style="62" bestFit="1" customWidth="1"/>
    <col min="5" max="5" width="16.7109375" style="59" bestFit="1" customWidth="1"/>
    <col min="6" max="6" width="22.7109375" style="59" bestFit="1" customWidth="1"/>
    <col min="7" max="7" width="14.140625" style="63" bestFit="1" customWidth="1"/>
    <col min="8" max="8" width="14.140625" style="64" bestFit="1" customWidth="1"/>
    <col min="9" max="9" width="10.7109375" style="59" bestFit="1" customWidth="1"/>
    <col min="10" max="10" width="10.42578125" style="59" bestFit="1" customWidth="1"/>
    <col min="11" max="11" width="10" style="62" bestFit="1" customWidth="1"/>
    <col min="12" max="12" width="9.7109375" style="59" bestFit="1" customWidth="1"/>
    <col min="13" max="13" width="3.7109375" style="59" bestFit="1" customWidth="1"/>
    <col min="14" max="14" width="3.5703125" style="62" bestFit="1" customWidth="1"/>
    <col min="15" max="15" width="4.42578125" style="59" bestFit="1" customWidth="1"/>
    <col min="16" max="16" width="4.5703125" style="59" bestFit="1" customWidth="1"/>
    <col min="17" max="17" width="4.7109375" style="59" bestFit="1" customWidth="1"/>
    <col min="18" max="18" width="7" style="59" bestFit="1" customWidth="1"/>
    <col min="19" max="19" width="17.42578125" style="59" bestFit="1" customWidth="1"/>
    <col min="20" max="20" width="9.7109375" style="59" bestFit="1" customWidth="1"/>
    <col min="21" max="21" width="32.140625" style="59" bestFit="1" customWidth="1"/>
    <col min="22" max="22" width="7.42578125" style="59" bestFit="1" customWidth="1"/>
    <col min="23" max="23" width="15.7109375" style="59" bestFit="1" customWidth="1"/>
    <col min="24" max="24" width="9.5703125" style="65" bestFit="1" customWidth="1"/>
    <col min="25" max="25" width="13" style="65" bestFit="1" customWidth="1"/>
    <col min="26" max="26" width="8.7109375" style="65" bestFit="1" customWidth="1"/>
    <col min="27" max="27" width="14.140625" style="62" bestFit="1" customWidth="1"/>
    <col min="28" max="28" width="21.7109375" style="62" bestFit="1" customWidth="1"/>
    <col min="29" max="29" width="12.7109375" style="62" bestFit="1" customWidth="1"/>
    <col min="30" max="30" width="9.7109375" style="62" bestFit="1" customWidth="1"/>
    <col min="31" max="31" width="9.28515625" style="65" bestFit="1" customWidth="1"/>
    <col min="32" max="32" width="9" style="65" bestFit="1" customWidth="1"/>
    <col min="33" max="33" width="9" style="59" bestFit="1" customWidth="1"/>
    <col min="34" max="34" width="8.7109375" style="62" bestFit="1" customWidth="1"/>
    <col min="35" max="35" width="5.5703125" style="62" bestFit="1" customWidth="1"/>
    <col min="36" max="36" width="5" style="62" bestFit="1" customWidth="1"/>
    <col min="37" max="37" width="6.42578125" style="59" bestFit="1" customWidth="1"/>
    <col min="38" max="38" width="7.5703125" style="59" bestFit="1" customWidth="1"/>
    <col min="39" max="39" width="63.140625" style="59" bestFit="1" customWidth="1"/>
    <col min="40" max="40" width="36.28515625" style="59" bestFit="1" customWidth="1"/>
    <col min="41" max="41" width="37.28515625" style="59" bestFit="1" customWidth="1"/>
    <col min="42" max="16384" width="8" style="59"/>
  </cols>
  <sheetData>
    <row r="1" spans="1:40" s="52" customFormat="1" ht="13">
      <c r="A1" s="51" t="s">
        <v>74</v>
      </c>
      <c r="B1" s="51" t="s">
        <v>75</v>
      </c>
      <c r="C1" s="51" t="s">
        <v>76</v>
      </c>
      <c r="D1" s="51" t="s">
        <v>77</v>
      </c>
      <c r="E1" s="52" t="s">
        <v>78</v>
      </c>
      <c r="F1" s="52" t="s">
        <v>79</v>
      </c>
      <c r="G1" s="52" t="s">
        <v>80</v>
      </c>
      <c r="H1" s="52" t="s">
        <v>81</v>
      </c>
      <c r="I1" s="52" t="s">
        <v>82</v>
      </c>
      <c r="J1" s="52" t="s">
        <v>83</v>
      </c>
      <c r="K1" s="52" t="s">
        <v>84</v>
      </c>
      <c r="L1" s="52" t="s">
        <v>85</v>
      </c>
      <c r="M1" s="52" t="s">
        <v>5</v>
      </c>
      <c r="N1" s="52" t="s">
        <v>8</v>
      </c>
      <c r="O1" s="53" t="s">
        <v>86</v>
      </c>
      <c r="P1" s="54" t="s">
        <v>87</v>
      </c>
      <c r="Q1" s="52" t="s">
        <v>88</v>
      </c>
      <c r="R1" s="52" t="s">
        <v>14</v>
      </c>
      <c r="S1" s="52" t="s">
        <v>89</v>
      </c>
      <c r="T1" s="52" t="s">
        <v>90</v>
      </c>
      <c r="U1" s="52" t="s">
        <v>91</v>
      </c>
      <c r="V1" s="52" t="s">
        <v>3</v>
      </c>
      <c r="W1" s="52" t="s">
        <v>92</v>
      </c>
      <c r="X1" s="52" t="s">
        <v>93</v>
      </c>
      <c r="Y1" s="52" t="s">
        <v>94</v>
      </c>
      <c r="Z1" s="52" t="s">
        <v>95</v>
      </c>
      <c r="AA1" s="52" t="s">
        <v>96</v>
      </c>
      <c r="AB1" s="52" t="s">
        <v>97</v>
      </c>
      <c r="AC1" s="52" t="s">
        <v>98</v>
      </c>
      <c r="AD1" s="52" t="s">
        <v>99</v>
      </c>
      <c r="AE1" s="52" t="s">
        <v>100</v>
      </c>
      <c r="AF1" s="52" t="s">
        <v>101</v>
      </c>
      <c r="AG1" s="52" t="s">
        <v>102</v>
      </c>
      <c r="AH1" s="52" t="s">
        <v>103</v>
      </c>
      <c r="AI1" s="52" t="s">
        <v>2</v>
      </c>
      <c r="AJ1" s="52" t="s">
        <v>11</v>
      </c>
      <c r="AK1" s="52" t="s">
        <v>104</v>
      </c>
      <c r="AL1" s="52" t="s">
        <v>105</v>
      </c>
      <c r="AM1" s="52" t="s">
        <v>106</v>
      </c>
      <c r="AN1" s="52" t="s">
        <v>107</v>
      </c>
    </row>
    <row r="2" spans="1:40" s="60" customFormat="1" ht="13">
      <c r="A2" s="55">
        <v>45114</v>
      </c>
      <c r="B2" s="55" t="s">
        <v>108</v>
      </c>
      <c r="C2" s="56" t="s">
        <v>108</v>
      </c>
      <c r="D2" s="56" t="s">
        <v>108</v>
      </c>
      <c r="E2" s="56" t="s">
        <v>108</v>
      </c>
      <c r="F2" s="56" t="s">
        <v>109</v>
      </c>
      <c r="G2" s="56" t="s">
        <v>110</v>
      </c>
      <c r="H2" s="56" t="s">
        <v>111</v>
      </c>
      <c r="I2" s="56">
        <v>0</v>
      </c>
      <c r="J2" s="56">
        <v>1</v>
      </c>
      <c r="K2" s="56"/>
      <c r="L2" s="56"/>
      <c r="M2" s="56">
        <v>0</v>
      </c>
      <c r="N2" s="56">
        <v>0</v>
      </c>
      <c r="O2" s="56">
        <v>0</v>
      </c>
      <c r="P2" s="56">
        <v>0</v>
      </c>
      <c r="Q2" s="57">
        <v>6.6</v>
      </c>
      <c r="R2" s="56" t="b">
        <v>0</v>
      </c>
      <c r="S2" s="58" t="str" cm="1">
        <f t="array" ref="S2">_xlfn._xlws.FILTER(Competitions[compType], (Fixtures[[#This Row],[competition]] = Competitions[name]), "N/A")</f>
        <v>Preseason Friendly</v>
      </c>
      <c r="T2" s="58" t="b" cm="1">
        <f t="array" ref="T2">_xlfn._xlws.FILTER(Competitions[exhibition], (Fixtures[[#This Row],[competition]] = Competitions[name]), "N/A")</f>
        <v>1</v>
      </c>
      <c r="U2" s="58" t="str" cm="1">
        <f t="array" ref="U2">_xlfn._xlws.FILTER(Competitions[compID], (Fixtures[[#This Row],[competition]] = Competitions[name]), "N/A")</f>
        <v>PF-EX-EUROPEANINTERNATIONALCUP</v>
      </c>
      <c r="V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" s="58" t="str" cm="1">
        <f t="array" ref="W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" s="58" t="str" cm="1">
        <f t="array" ref="X2">_xlfn._xlws.FILTER(Teams[name], (Fixtures[[#This Row],[userTeamID]] = Teams[teamID]), "N/A")</f>
        <v>KRC Genk</v>
      </c>
      <c r="Y2" s="58" t="str" cm="1">
        <f t="array" ref="Y2">_xlfn._xlws.FILTER(Teams[teamType], (Fixtures[[#This Row],[userTeamID]] = Teams[teamID]), "N/A")</f>
        <v>Club</v>
      </c>
      <c r="Z2" s="58" t="str" cm="1">
        <f t="array" ref="Z2">IF(Fixtures[[#This Row],[userTeamID]] = "N/A", "N/A", IF(SUM(COUNTIF(Fixtures[[#This Row],[homeTeam]], _xlfn._xlws.FILTER(Teams[name], (Fixtures[[#This Row],[userTeamID]] = Teams[teamID])*(Teams[relevant])))) &gt; 0, "H", "A"))</f>
        <v>H</v>
      </c>
      <c r="AA2" s="58" t="str">
        <f>IF(Fixtures[[#This Row],[userSide]] = "N/A", "N/A", IF(Fixtures[[#This Row],[userSide]] = "H", Fixtures[[#This Row],[awayTeam]], Fixtures[[#This Row],[homeTeam]]))</f>
        <v>Genoa</v>
      </c>
      <c r="AB2" s="58" t="str" cm="1">
        <f t="array" ref="AB2">_xlfn._xlws.FILTER(Teams[teamID], Fixtures[[#This Row],[oppTeam]] = Teams[name], "N/A")</f>
        <v>C-ITA-GENOA</v>
      </c>
      <c r="AC2" s="58" t="str" cm="1">
        <f t="array" ref="AC2">_xlfn._xlws.FILTER(Teams[teamType], Fixtures[[#This Row],[oppTeam]] = Teams[name], "N/A")</f>
        <v>Club</v>
      </c>
      <c r="AD2" s="58">
        <f>IF(ISBLANK(Fixtures[[#This Row],[date]]), "N/A", IF(Fixtures[[#This Row],[userSide]]="H", Fixtures[[#This Row],[homeScore]], Fixtures[[#This Row],[awayScore]]))</f>
        <v>0</v>
      </c>
      <c r="AE2" s="58">
        <f>IF(ISBLANK(Fixtures[[#This Row],[date]]), "N/A", IF(Fixtures[[#This Row],[userScore]] = Fixtures[[#This Row],[homeScore]], Fixtures[[#This Row],[awayScore]], Fixtures[[#This Row],[homeScore]]))</f>
        <v>1</v>
      </c>
      <c r="AF2" s="58" t="b">
        <f>NOT(AND(ISBLANK(Fixtures[[#This Row],[homePens]]), ISBLANK(Fixtures[[#This Row],[awayPens]])))</f>
        <v>0</v>
      </c>
      <c r="AG2" s="58" t="str">
        <f>IF(Fixtures[[#This Row],[penalties]], IF(Fixtures[[#This Row],[userSide]]="H", Fixtures[[#This Row],[homePens]], Fixtures[[#This Row],[awayPens]]), "N/A")</f>
        <v>N/A</v>
      </c>
      <c r="AH2" s="58" t="str">
        <f>IF(Fixtures[[#This Row],[penalties]], IF(Fixtures[[#This Row],[userPens]]=Fixtures[[#This Row],[homePens]],Fixtures[[#This Row],[awayPens]],Fixtures[[#This Row],[homePens]]), "N/A")</f>
        <v>N/A</v>
      </c>
      <c r="AI2" s="58" t="b">
        <f>COUNTBLANK(Fixtures[[#This Row],[G]:[MOTM]]) = 0</f>
        <v>1</v>
      </c>
      <c r="AJ2" s="58">
        <f>IF(Fixtures[[#This Row],[APP]], Fixtures[[#This Row],[G]]+Fixtures[[#This Row],[A]], "N/A")</f>
        <v>0</v>
      </c>
      <c r="AK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[2023-07-07] KRC Genk vs. Genoa (0-1) - European International Cup</v>
      </c>
      <c r="AN2" s="59" t="s">
        <v>112</v>
      </c>
    </row>
    <row r="3" spans="1:40" s="60" customFormat="1" ht="13">
      <c r="A3" s="55">
        <v>45118</v>
      </c>
      <c r="B3" s="55" t="s">
        <v>108</v>
      </c>
      <c r="C3" s="56" t="s">
        <v>108</v>
      </c>
      <c r="D3" s="56" t="s">
        <v>108</v>
      </c>
      <c r="E3" s="56" t="s">
        <v>108</v>
      </c>
      <c r="F3" s="56" t="s">
        <v>109</v>
      </c>
      <c r="G3" s="56" t="s">
        <v>113</v>
      </c>
      <c r="H3" s="56" t="s">
        <v>110</v>
      </c>
      <c r="I3" s="56">
        <v>1</v>
      </c>
      <c r="J3" s="56">
        <v>0</v>
      </c>
      <c r="K3" s="56"/>
      <c r="L3" s="56"/>
      <c r="M3" s="56">
        <v>0</v>
      </c>
      <c r="N3" s="56">
        <v>0</v>
      </c>
      <c r="O3" s="56">
        <v>0</v>
      </c>
      <c r="P3" s="56">
        <v>0</v>
      </c>
      <c r="Q3" s="57">
        <v>5.6</v>
      </c>
      <c r="R3" s="56" t="b">
        <v>0</v>
      </c>
      <c r="S3" s="58" t="str" cm="1">
        <f t="array" ref="S3">_xlfn._xlws.FILTER(Competitions[compType], (Fixtures[[#This Row],[competition]] = Competitions[name]), "N/A")</f>
        <v>Preseason Friendly</v>
      </c>
      <c r="T3" s="58" t="b" cm="1">
        <f t="array" ref="T3">_xlfn._xlws.FILTER(Competitions[exhibition], (Fixtures[[#This Row],[competition]] = Competitions[name]), "N/A")</f>
        <v>1</v>
      </c>
      <c r="U3" s="58" t="str" cm="1">
        <f t="array" ref="U3">_xlfn._xlws.FILTER(Competitions[compID], (Fixtures[[#This Row],[competition]] = Competitions[name]), "N/A")</f>
        <v>PF-EX-EUROPEANINTERNATIONALCUP</v>
      </c>
      <c r="V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" s="58" t="str" cm="1">
        <f t="array" ref="W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" s="58" t="str" cm="1">
        <f t="array" ref="X3">_xlfn._xlws.FILTER(Teams[name], (Fixtures[[#This Row],[userTeamID]] = Teams[teamID]), "N/A")</f>
        <v>KRC Genk</v>
      </c>
      <c r="Y3" s="58" t="str" cm="1">
        <f t="array" ref="Y3">_xlfn._xlws.FILTER(Teams[teamType], (Fixtures[[#This Row],[userTeamID]] = Teams[teamID]), "N/A")</f>
        <v>Club</v>
      </c>
      <c r="Z3" s="58" t="str" cm="1">
        <f t="array" ref="Z3">IF(Fixtures[[#This Row],[userTeamID]] = "N/A", "N/A", IF(SUM(COUNTIF(Fixtures[[#This Row],[homeTeam]], _xlfn._xlws.FILTER(Teams[name], (Fixtures[[#This Row],[userTeamID]] = Teams[teamID])*(Teams[relevant])))) &gt; 0, "H", "A"))</f>
        <v>A</v>
      </c>
      <c r="AA3" s="58" t="str">
        <f>IF(Fixtures[[#This Row],[userSide]] = "N/A", "N/A", IF(Fixtures[[#This Row],[userSide]] = "H", Fixtures[[#This Row],[awayTeam]], Fixtures[[#This Row],[homeTeam]]))</f>
        <v>SV Werder Bremen</v>
      </c>
      <c r="AB3" s="58" t="str" cm="1">
        <f t="array" ref="AB3">_xlfn._xlws.FILTER(Teams[teamID], Fixtures[[#This Row],[oppTeam]] = Teams[name], "N/A")</f>
        <v>C-GER-SVWERDERBREMEN</v>
      </c>
      <c r="AC3" s="58" t="str" cm="1">
        <f t="array" ref="AC3">_xlfn._xlws.FILTER(Teams[teamType], Fixtures[[#This Row],[oppTeam]] = Teams[name], "N/A")</f>
        <v>Club</v>
      </c>
      <c r="AD3" s="58">
        <f>IF(ISBLANK(Fixtures[[#This Row],[date]]), "N/A", IF(Fixtures[[#This Row],[userSide]]="H", Fixtures[[#This Row],[homeScore]], Fixtures[[#This Row],[awayScore]]))</f>
        <v>0</v>
      </c>
      <c r="AE3" s="58">
        <f>IF(ISBLANK(Fixtures[[#This Row],[date]]), "N/A", IF(Fixtures[[#This Row],[userScore]] = Fixtures[[#This Row],[homeScore]], Fixtures[[#This Row],[awayScore]], Fixtures[[#This Row],[homeScore]]))</f>
        <v>1</v>
      </c>
      <c r="AF3" s="58" t="b">
        <f>NOT(AND(ISBLANK(Fixtures[[#This Row],[homePens]]), ISBLANK(Fixtures[[#This Row],[awayPens]])))</f>
        <v>0</v>
      </c>
      <c r="AG3" s="58" t="str">
        <f>IF(Fixtures[[#This Row],[penalties]], IF(Fixtures[[#This Row],[userSide]]="H", Fixtures[[#This Row],[homePens]], Fixtures[[#This Row],[awayPens]]), "N/A")</f>
        <v>N/A</v>
      </c>
      <c r="AH3" s="58" t="str">
        <f>IF(Fixtures[[#This Row],[penalties]], IF(Fixtures[[#This Row],[userPens]]=Fixtures[[#This Row],[homePens]],Fixtures[[#This Row],[awayPens]],Fixtures[[#This Row],[homePens]]), "N/A")</f>
        <v>N/A</v>
      </c>
      <c r="AI3" s="58" t="b">
        <f>COUNTBLANK(Fixtures[[#This Row],[G]:[MOTM]]) = 0</f>
        <v>1</v>
      </c>
      <c r="AJ3" s="58">
        <f>IF(Fixtures[[#This Row],[APP]], Fixtures[[#This Row],[G]]+Fixtures[[#This Row],[A]], "N/A")</f>
        <v>0</v>
      </c>
      <c r="AK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3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[2023-07-11] SV Werder Bremen vs. KRC Genk (1-0) - European International Cup</v>
      </c>
      <c r="AN3" s="59"/>
    </row>
    <row r="4" spans="1:40" s="60" customFormat="1" ht="13">
      <c r="A4" s="55">
        <v>45122</v>
      </c>
      <c r="B4" s="55" t="s">
        <v>108</v>
      </c>
      <c r="C4" s="56" t="s">
        <v>108</v>
      </c>
      <c r="D4" s="56" t="s">
        <v>108</v>
      </c>
      <c r="E4" s="56" t="s">
        <v>108</v>
      </c>
      <c r="F4" s="56" t="s">
        <v>109</v>
      </c>
      <c r="G4" s="56" t="s">
        <v>110</v>
      </c>
      <c r="H4" s="56" t="s">
        <v>114</v>
      </c>
      <c r="I4" s="56">
        <v>0</v>
      </c>
      <c r="J4" s="56">
        <v>2</v>
      </c>
      <c r="K4" s="56"/>
      <c r="L4" s="56"/>
      <c r="M4" s="56">
        <v>0</v>
      </c>
      <c r="N4" s="56">
        <v>0</v>
      </c>
      <c r="O4" s="56">
        <v>0</v>
      </c>
      <c r="P4" s="56">
        <v>0</v>
      </c>
      <c r="Q4" s="57">
        <v>6.1</v>
      </c>
      <c r="R4" s="56" t="b">
        <v>0</v>
      </c>
      <c r="S4" s="58" t="str" cm="1">
        <f t="array" ref="S4">_xlfn._xlws.FILTER(Competitions[compType], (Fixtures[[#This Row],[competition]] = Competitions[name]), "N/A")</f>
        <v>Preseason Friendly</v>
      </c>
      <c r="T4" s="58" t="b" cm="1">
        <f t="array" ref="T4">_xlfn._xlws.FILTER(Competitions[exhibition], (Fixtures[[#This Row],[competition]] = Competitions[name]), "N/A")</f>
        <v>1</v>
      </c>
      <c r="U4" s="58" t="str" cm="1">
        <f t="array" ref="U4">_xlfn._xlws.FILTER(Competitions[compID], (Fixtures[[#This Row],[competition]] = Competitions[name]), "N/A")</f>
        <v>PF-EX-EUROPEANINTERNATIONALCUP</v>
      </c>
      <c r="V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" s="58" t="str" cm="1">
        <f t="array" ref="W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" s="58" t="str" cm="1">
        <f t="array" ref="X4">_xlfn._xlws.FILTER(Teams[name], (Fixtures[[#This Row],[userTeamID]] = Teams[teamID]), "N/A")</f>
        <v>KRC Genk</v>
      </c>
      <c r="Y4" s="58" t="str" cm="1">
        <f t="array" ref="Y4">_xlfn._xlws.FILTER(Teams[teamType], (Fixtures[[#This Row],[userTeamID]] = Teams[teamID]), "N/A")</f>
        <v>Club</v>
      </c>
      <c r="Z4" s="58" t="str" cm="1">
        <f t="array" ref="Z4">IF(Fixtures[[#This Row],[userTeamID]] = "N/A", "N/A", IF(SUM(COUNTIF(Fixtures[[#This Row],[homeTeam]], _xlfn._xlws.FILTER(Teams[name], (Fixtures[[#This Row],[userTeamID]] = Teams[teamID])*(Teams[relevant])))) &gt; 0, "H", "A"))</f>
        <v>H</v>
      </c>
      <c r="AA4" s="58" t="str">
        <f>IF(Fixtures[[#This Row],[userSide]] = "N/A", "N/A", IF(Fixtures[[#This Row],[userSide]] = "H", Fixtures[[#This Row],[awayTeam]], Fixtures[[#This Row],[homeTeam]]))</f>
        <v>FC Nantes</v>
      </c>
      <c r="AB4" s="58" t="str" cm="1">
        <f t="array" ref="AB4">_xlfn._xlws.FILTER(Teams[teamID], Fixtures[[#This Row],[oppTeam]] = Teams[name], "N/A")</f>
        <v>C-FRA-FCNANTES</v>
      </c>
      <c r="AC4" s="58" t="str" cm="1">
        <f t="array" ref="AC4">_xlfn._xlws.FILTER(Teams[teamType], Fixtures[[#This Row],[oppTeam]] = Teams[name], "N/A")</f>
        <v>Club</v>
      </c>
      <c r="AD4" s="58">
        <f>IF(ISBLANK(Fixtures[[#This Row],[date]]), "N/A", IF(Fixtures[[#This Row],[userSide]]="H", Fixtures[[#This Row],[homeScore]], Fixtures[[#This Row],[awayScore]]))</f>
        <v>0</v>
      </c>
      <c r="AE4" s="58">
        <f>IF(ISBLANK(Fixtures[[#This Row],[date]]), "N/A", IF(Fixtures[[#This Row],[userScore]] = Fixtures[[#This Row],[homeScore]], Fixtures[[#This Row],[awayScore]], Fixtures[[#This Row],[homeScore]]))</f>
        <v>2</v>
      </c>
      <c r="AF4" s="58" t="b">
        <f>NOT(AND(ISBLANK(Fixtures[[#This Row],[homePens]]), ISBLANK(Fixtures[[#This Row],[awayPens]])))</f>
        <v>0</v>
      </c>
      <c r="AG4" s="58" t="str">
        <f>IF(Fixtures[[#This Row],[penalties]], IF(Fixtures[[#This Row],[userSide]]="H", Fixtures[[#This Row],[homePens]], Fixtures[[#This Row],[awayPens]]), "N/A")</f>
        <v>N/A</v>
      </c>
      <c r="AH4" s="58" t="str">
        <f>IF(Fixtures[[#This Row],[penalties]], IF(Fixtures[[#This Row],[userPens]]=Fixtures[[#This Row],[homePens]],Fixtures[[#This Row],[awayPens]],Fixtures[[#This Row],[homePens]]), "N/A")</f>
        <v>N/A</v>
      </c>
      <c r="AI4" s="58" t="b">
        <f>COUNTBLANK(Fixtures[[#This Row],[G]:[MOTM]]) = 0</f>
        <v>1</v>
      </c>
      <c r="AJ4" s="58">
        <f>IF(Fixtures[[#This Row],[APP]], Fixtures[[#This Row],[G]]+Fixtures[[#This Row],[A]], "N/A")</f>
        <v>0</v>
      </c>
      <c r="AK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4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[2023-07-15] KRC Genk vs. FC Nantes (0-2) - European International Cup</v>
      </c>
      <c r="AN4" s="59"/>
    </row>
    <row r="5" spans="1:40" s="60" customFormat="1" ht="13">
      <c r="A5" s="55">
        <v>45130</v>
      </c>
      <c r="B5" s="55" t="s">
        <v>108</v>
      </c>
      <c r="C5" s="56" t="s">
        <v>108</v>
      </c>
      <c r="D5" s="56" t="s">
        <v>115</v>
      </c>
      <c r="E5" s="56" t="s">
        <v>108</v>
      </c>
      <c r="F5" s="56" t="s">
        <v>116</v>
      </c>
      <c r="G5" s="56" t="s">
        <v>110</v>
      </c>
      <c r="H5" s="56" t="s">
        <v>117</v>
      </c>
      <c r="I5" s="56">
        <v>0</v>
      </c>
      <c r="J5" s="56">
        <v>0</v>
      </c>
      <c r="K5" s="56"/>
      <c r="L5" s="56"/>
      <c r="M5" s="56">
        <v>0</v>
      </c>
      <c r="N5" s="56">
        <v>0</v>
      </c>
      <c r="O5" s="56">
        <v>0</v>
      </c>
      <c r="P5" s="56">
        <v>0</v>
      </c>
      <c r="Q5" s="57">
        <v>6.1</v>
      </c>
      <c r="R5" s="56" t="b">
        <v>0</v>
      </c>
      <c r="S5" s="58" t="str" cm="1">
        <f t="array" ref="S5">_xlfn._xlws.FILTER(Competitions[compType], (Fixtures[[#This Row],[competition]] = Competitions[name]), "N/A")</f>
        <v>Domestic League</v>
      </c>
      <c r="T5" s="58" t="b" cm="1">
        <f t="array" ref="T5">_xlfn._xlws.FILTER(Competitions[exhibition], (Fixtures[[#This Row],[competition]] = Competitions[name]), "N/A")</f>
        <v>0</v>
      </c>
      <c r="U5" s="58" t="str" cm="1">
        <f t="array" ref="U5">_xlfn._xlws.FILTER(Competitions[compID], (Fixtures[[#This Row],[competition]] = Competitions[name]), "N/A")</f>
        <v>DL-OF-1APROLEAGUE</v>
      </c>
      <c r="V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" s="58" t="str" cm="1">
        <f t="array" ref="W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" s="58" t="str" cm="1">
        <f t="array" ref="X5">_xlfn._xlws.FILTER(Teams[name], (Fixtures[[#This Row],[userTeamID]] = Teams[teamID]), "N/A")</f>
        <v>KRC Genk</v>
      </c>
      <c r="Y5" s="58" t="str" cm="1">
        <f t="array" ref="Y5">_xlfn._xlws.FILTER(Teams[teamType], (Fixtures[[#This Row],[userTeamID]] = Teams[teamID]), "N/A")</f>
        <v>Club</v>
      </c>
      <c r="Z5" s="58" t="str" cm="1">
        <f t="array" ref="Z5">IF(Fixtures[[#This Row],[userTeamID]] = "N/A", "N/A", IF(SUM(COUNTIF(Fixtures[[#This Row],[homeTeam]], _xlfn._xlws.FILTER(Teams[name], (Fixtures[[#This Row],[userTeamID]] = Teams[teamID])*(Teams[relevant])))) &gt; 0, "H", "A"))</f>
        <v>H</v>
      </c>
      <c r="AA5" s="58" t="str">
        <f>IF(Fixtures[[#This Row],[userSide]] = "N/A", "N/A", IF(Fixtures[[#This Row],[userSide]] = "H", Fixtures[[#This Row],[awayTeam]], Fixtures[[#This Row],[homeTeam]]))</f>
        <v>KAS Eupen</v>
      </c>
      <c r="AB5" s="58" t="str" cm="1">
        <f t="array" ref="AB5">_xlfn._xlws.FILTER(Teams[teamID], Fixtures[[#This Row],[oppTeam]] = Teams[name], "N/A")</f>
        <v>C-BEL-KASEUPEN</v>
      </c>
      <c r="AC5" s="58" t="str" cm="1">
        <f t="array" ref="AC5">_xlfn._xlws.FILTER(Teams[teamType], Fixtures[[#This Row],[oppTeam]] = Teams[name], "N/A")</f>
        <v>Club</v>
      </c>
      <c r="AD5" s="58">
        <f>IF(ISBLANK(Fixtures[[#This Row],[date]]), "N/A", IF(Fixtures[[#This Row],[userSide]]="H", Fixtures[[#This Row],[homeScore]], Fixtures[[#This Row],[awayScore]]))</f>
        <v>0</v>
      </c>
      <c r="AE5" s="58">
        <f>IF(ISBLANK(Fixtures[[#This Row],[date]]), "N/A", IF(Fixtures[[#This Row],[userScore]] = Fixtures[[#This Row],[homeScore]], Fixtures[[#This Row],[awayScore]], Fixtures[[#This Row],[homeScore]]))</f>
        <v>0</v>
      </c>
      <c r="AF5" s="58" t="b">
        <f>NOT(AND(ISBLANK(Fixtures[[#This Row],[homePens]]), ISBLANK(Fixtures[[#This Row],[awayPens]])))</f>
        <v>0</v>
      </c>
      <c r="AG5" s="58" t="str">
        <f>IF(Fixtures[[#This Row],[penalties]], IF(Fixtures[[#This Row],[userSide]]="H", Fixtures[[#This Row],[homePens]], Fixtures[[#This Row],[awayPens]]), "N/A")</f>
        <v>N/A</v>
      </c>
      <c r="AH5" s="58" t="str">
        <f>IF(Fixtures[[#This Row],[penalties]], IF(Fixtures[[#This Row],[userPens]]=Fixtures[[#This Row],[homePens]],Fixtures[[#This Row],[awayPens]],Fixtures[[#This Row],[homePens]]), "N/A")</f>
        <v>N/A</v>
      </c>
      <c r="AI5" s="58" t="b">
        <f>COUNTBLANK(Fixtures[[#This Row],[G]:[MOTM]]) = 0</f>
        <v>1</v>
      </c>
      <c r="AJ5" s="58">
        <f>IF(Fixtures[[#This Row],[APP]], Fixtures[[#This Row],[G]]+Fixtures[[#This Row],[A]], "N/A")</f>
        <v>0</v>
      </c>
      <c r="AK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5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[2023-07-23] KRC Genk vs. KAS Eupen (0-0) - 1A Pro League</v>
      </c>
      <c r="AN5" s="59" t="s">
        <v>118</v>
      </c>
    </row>
    <row r="6" spans="1:40" s="60" customFormat="1" ht="13">
      <c r="A6" s="55">
        <v>45136</v>
      </c>
      <c r="B6" s="55" t="s">
        <v>108</v>
      </c>
      <c r="C6" s="56" t="s">
        <v>108</v>
      </c>
      <c r="D6" s="56" t="s">
        <v>119</v>
      </c>
      <c r="E6" s="56" t="s">
        <v>108</v>
      </c>
      <c r="F6" s="56" t="s">
        <v>116</v>
      </c>
      <c r="G6" s="56" t="s">
        <v>120</v>
      </c>
      <c r="H6" s="56" t="s">
        <v>110</v>
      </c>
      <c r="I6" s="56">
        <v>2</v>
      </c>
      <c r="J6" s="56">
        <v>0</v>
      </c>
      <c r="K6" s="56"/>
      <c r="L6" s="56"/>
      <c r="M6" s="56">
        <v>0</v>
      </c>
      <c r="N6" s="56">
        <v>0</v>
      </c>
      <c r="O6" s="56">
        <v>0</v>
      </c>
      <c r="P6" s="56">
        <v>0</v>
      </c>
      <c r="Q6" s="57">
        <v>6.9</v>
      </c>
      <c r="R6" s="56" t="b">
        <v>0</v>
      </c>
      <c r="S6" s="58" t="str" cm="1">
        <f t="array" ref="S6">_xlfn._xlws.FILTER(Competitions[compType], (Fixtures[[#This Row],[competition]] = Competitions[name]), "N/A")</f>
        <v>Domestic League</v>
      </c>
      <c r="T6" s="58" t="b" cm="1">
        <f t="array" ref="T6">_xlfn._xlws.FILTER(Competitions[exhibition], (Fixtures[[#This Row],[competition]] = Competitions[name]), "N/A")</f>
        <v>0</v>
      </c>
      <c r="U6" s="58" t="str" cm="1">
        <f t="array" ref="U6">_xlfn._xlws.FILTER(Competitions[compID], (Fixtures[[#This Row],[competition]] = Competitions[name]), "N/A")</f>
        <v>DL-OF-1APROLEAGUE</v>
      </c>
      <c r="V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" s="58" t="str" cm="1">
        <f t="array" ref="W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" s="58" t="str" cm="1">
        <f t="array" ref="X6">_xlfn._xlws.FILTER(Teams[name], (Fixtures[[#This Row],[userTeamID]] = Teams[teamID]), "N/A")</f>
        <v>KRC Genk</v>
      </c>
      <c r="Y6" s="58" t="str" cm="1">
        <f t="array" ref="Y6">_xlfn._xlws.FILTER(Teams[teamType], (Fixtures[[#This Row],[userTeamID]] = Teams[teamID]), "N/A")</f>
        <v>Club</v>
      </c>
      <c r="Z6" s="58" t="str" cm="1">
        <f t="array" ref="Z6">IF(Fixtures[[#This Row],[userTeamID]] = "N/A", "N/A", IF(SUM(COUNTIF(Fixtures[[#This Row],[homeTeam]], _xlfn._xlws.FILTER(Teams[name], (Fixtures[[#This Row],[userTeamID]] = Teams[teamID])*(Teams[relevant])))) &gt; 0, "H", "A"))</f>
        <v>A</v>
      </c>
      <c r="AA6" s="58" t="str">
        <f>IF(Fixtures[[#This Row],[userSide]] = "N/A", "N/A", IF(Fixtures[[#This Row],[userSide]] = "H", Fixtures[[#This Row],[awayTeam]], Fixtures[[#This Row],[homeTeam]]))</f>
        <v>R. Union St.-G</v>
      </c>
      <c r="AB6" s="58" t="str" cm="1">
        <f t="array" ref="AB6">_xlfn._xlws.FILTER(Teams[teamID], Fixtures[[#This Row],[oppTeam]] = Teams[name], "N/A")</f>
        <v>C-BEL-RUNIONSTG</v>
      </c>
      <c r="AC6" s="58" t="str" cm="1">
        <f t="array" ref="AC6">_xlfn._xlws.FILTER(Teams[teamType], Fixtures[[#This Row],[oppTeam]] = Teams[name], "N/A")</f>
        <v>Club</v>
      </c>
      <c r="AD6" s="58">
        <f>IF(ISBLANK(Fixtures[[#This Row],[date]]), "N/A", IF(Fixtures[[#This Row],[userSide]]="H", Fixtures[[#This Row],[homeScore]], Fixtures[[#This Row],[awayScore]]))</f>
        <v>0</v>
      </c>
      <c r="AE6" s="58">
        <f>IF(ISBLANK(Fixtures[[#This Row],[date]]), "N/A", IF(Fixtures[[#This Row],[userScore]] = Fixtures[[#This Row],[homeScore]], Fixtures[[#This Row],[awayScore]], Fixtures[[#This Row],[homeScore]]))</f>
        <v>2</v>
      </c>
      <c r="AF6" s="58" t="b">
        <f>NOT(AND(ISBLANK(Fixtures[[#This Row],[homePens]]), ISBLANK(Fixtures[[#This Row],[awayPens]])))</f>
        <v>0</v>
      </c>
      <c r="AG6" s="58" t="str">
        <f>IF(Fixtures[[#This Row],[penalties]], IF(Fixtures[[#This Row],[userSide]]="H", Fixtures[[#This Row],[homePens]], Fixtures[[#This Row],[awayPens]]), "N/A")</f>
        <v>N/A</v>
      </c>
      <c r="AH6" s="58" t="str">
        <f>IF(Fixtures[[#This Row],[penalties]], IF(Fixtures[[#This Row],[userPens]]=Fixtures[[#This Row],[homePens]],Fixtures[[#This Row],[awayPens]],Fixtures[[#This Row],[homePens]]), "N/A")</f>
        <v>N/A</v>
      </c>
      <c r="AI6" s="58" t="b">
        <f>COUNTBLANK(Fixtures[[#This Row],[G]:[MOTM]]) = 0</f>
        <v>1</v>
      </c>
      <c r="AJ6" s="58">
        <f>IF(Fixtures[[#This Row],[APP]], Fixtures[[#This Row],[G]]+Fixtures[[#This Row],[A]], "N/A")</f>
        <v>0</v>
      </c>
      <c r="AK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6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[2023-07-29] R. Union St.-G vs. KRC Genk (2-0) - 1A Pro League</v>
      </c>
      <c r="AN6" s="59"/>
    </row>
    <row r="7" spans="1:40" s="60" customFormat="1" ht="13">
      <c r="A7" s="55">
        <v>45144</v>
      </c>
      <c r="B7" s="55" t="s">
        <v>108</v>
      </c>
      <c r="C7" s="56" t="s">
        <v>108</v>
      </c>
      <c r="D7" s="56" t="s">
        <v>115</v>
      </c>
      <c r="E7" s="56" t="s">
        <v>108</v>
      </c>
      <c r="F7" s="56" t="s">
        <v>116</v>
      </c>
      <c r="G7" s="56" t="s">
        <v>110</v>
      </c>
      <c r="H7" s="56" t="s">
        <v>121</v>
      </c>
      <c r="I7" s="56">
        <v>0</v>
      </c>
      <c r="J7" s="56">
        <v>1</v>
      </c>
      <c r="K7" s="56"/>
      <c r="L7" s="56"/>
      <c r="M7" s="56">
        <v>0</v>
      </c>
      <c r="N7" s="56">
        <v>0</v>
      </c>
      <c r="O7" s="56">
        <v>0</v>
      </c>
      <c r="P7" s="56">
        <v>0</v>
      </c>
      <c r="Q7" s="57">
        <v>6</v>
      </c>
      <c r="R7" s="56" t="b">
        <v>0</v>
      </c>
      <c r="S7" s="58" t="str" cm="1">
        <f t="array" ref="S7">_xlfn._xlws.FILTER(Competitions[compType], (Fixtures[[#This Row],[competition]] = Competitions[name]), "N/A")</f>
        <v>Domestic League</v>
      </c>
      <c r="T7" s="58" t="b" cm="1">
        <f t="array" ref="T7">_xlfn._xlws.FILTER(Competitions[exhibition], (Fixtures[[#This Row],[competition]] = Competitions[name]), "N/A")</f>
        <v>0</v>
      </c>
      <c r="U7" s="58" t="str" cm="1">
        <f t="array" ref="U7">_xlfn._xlws.FILTER(Competitions[compID], (Fixtures[[#This Row],[competition]] = Competitions[name]), "N/A")</f>
        <v>DL-OF-1APROLEAGUE</v>
      </c>
      <c r="V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7" s="58" t="str" cm="1">
        <f t="array" ref="W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7" s="58" t="str" cm="1">
        <f t="array" ref="X7">_xlfn._xlws.FILTER(Teams[name], (Fixtures[[#This Row],[userTeamID]] = Teams[teamID]), "N/A")</f>
        <v>KRC Genk</v>
      </c>
      <c r="Y7" s="58" t="str" cm="1">
        <f t="array" ref="Y7">_xlfn._xlws.FILTER(Teams[teamType], (Fixtures[[#This Row],[userTeamID]] = Teams[teamID]), "N/A")</f>
        <v>Club</v>
      </c>
      <c r="Z7" s="58" t="str" cm="1">
        <f t="array" ref="Z7">IF(Fixtures[[#This Row],[userTeamID]] = "N/A", "N/A", IF(SUM(COUNTIF(Fixtures[[#This Row],[homeTeam]], _xlfn._xlws.FILTER(Teams[name], (Fixtures[[#This Row],[userTeamID]] = Teams[teamID])*(Teams[relevant])))) &gt; 0, "H", "A"))</f>
        <v>H</v>
      </c>
      <c r="AA7" s="58" t="str">
        <f>IF(Fixtures[[#This Row],[userSide]] = "N/A", "N/A", IF(Fixtures[[#This Row],[userSide]] = "H", Fixtures[[#This Row],[awayTeam]], Fixtures[[#This Row],[homeTeam]]))</f>
        <v>KVC Westerlo</v>
      </c>
      <c r="AB7" s="58" t="str" cm="1">
        <f t="array" ref="AB7">_xlfn._xlws.FILTER(Teams[teamID], Fixtures[[#This Row],[oppTeam]] = Teams[name], "N/A")</f>
        <v>C-BEL-KVCWESTERLO</v>
      </c>
      <c r="AC7" s="58" t="str" cm="1">
        <f t="array" ref="AC7">_xlfn._xlws.FILTER(Teams[teamType], Fixtures[[#This Row],[oppTeam]] = Teams[name], "N/A")</f>
        <v>Club</v>
      </c>
      <c r="AD7" s="58">
        <f>IF(ISBLANK(Fixtures[[#This Row],[date]]), "N/A", IF(Fixtures[[#This Row],[userSide]]="H", Fixtures[[#This Row],[homeScore]], Fixtures[[#This Row],[awayScore]]))</f>
        <v>0</v>
      </c>
      <c r="AE7" s="58">
        <f>IF(ISBLANK(Fixtures[[#This Row],[date]]), "N/A", IF(Fixtures[[#This Row],[userScore]] = Fixtures[[#This Row],[homeScore]], Fixtures[[#This Row],[awayScore]], Fixtures[[#This Row],[homeScore]]))</f>
        <v>1</v>
      </c>
      <c r="AF7" s="58" t="b">
        <f>NOT(AND(ISBLANK(Fixtures[[#This Row],[homePens]]), ISBLANK(Fixtures[[#This Row],[awayPens]])))</f>
        <v>0</v>
      </c>
      <c r="AG7" s="58" t="str">
        <f>IF(Fixtures[[#This Row],[penalties]], IF(Fixtures[[#This Row],[userSide]]="H", Fixtures[[#This Row],[homePens]], Fixtures[[#This Row],[awayPens]]), "N/A")</f>
        <v>N/A</v>
      </c>
      <c r="AH7" s="58" t="str">
        <f>IF(Fixtures[[#This Row],[penalties]], IF(Fixtures[[#This Row],[userPens]]=Fixtures[[#This Row],[homePens]],Fixtures[[#This Row],[awayPens]],Fixtures[[#This Row],[homePens]]), "N/A")</f>
        <v>N/A</v>
      </c>
      <c r="AI7" s="58" t="b">
        <f>COUNTBLANK(Fixtures[[#This Row],[G]:[MOTM]]) = 0</f>
        <v>1</v>
      </c>
      <c r="AJ7" s="58">
        <f>IF(Fixtures[[#This Row],[APP]], Fixtures[[#This Row],[G]]+Fixtures[[#This Row],[A]], "N/A")</f>
        <v>0</v>
      </c>
      <c r="AK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[2023-08-06] KRC Genk vs. KVC Westerlo (0-1) - 1A Pro League</v>
      </c>
      <c r="AN7" s="59"/>
    </row>
    <row r="8" spans="1:40" s="60" customFormat="1" ht="13">
      <c r="A8" s="55">
        <v>45151</v>
      </c>
      <c r="B8" s="55" t="s">
        <v>108</v>
      </c>
      <c r="C8" s="56" t="s">
        <v>108</v>
      </c>
      <c r="D8" s="56" t="s">
        <v>108</v>
      </c>
      <c r="E8" s="56" t="s">
        <v>108</v>
      </c>
      <c r="F8" s="56" t="s">
        <v>116</v>
      </c>
      <c r="G8" s="56" t="s">
        <v>122</v>
      </c>
      <c r="H8" s="56" t="s">
        <v>110</v>
      </c>
      <c r="I8" s="56">
        <v>0</v>
      </c>
      <c r="J8" s="56">
        <v>1</v>
      </c>
      <c r="K8" s="56"/>
      <c r="L8" s="56"/>
      <c r="M8" s="56">
        <v>0</v>
      </c>
      <c r="N8" s="56">
        <v>0</v>
      </c>
      <c r="O8" s="56">
        <v>0</v>
      </c>
      <c r="P8" s="56">
        <v>0</v>
      </c>
      <c r="Q8" s="57">
        <v>5.8</v>
      </c>
      <c r="R8" s="56" t="b">
        <v>0</v>
      </c>
      <c r="S8" s="58" t="str" cm="1">
        <f t="array" ref="S8">_xlfn._xlws.FILTER(Competitions[compType], (Fixtures[[#This Row],[competition]] = Competitions[name]), "N/A")</f>
        <v>Domestic League</v>
      </c>
      <c r="T8" s="58" t="b" cm="1">
        <f t="array" ref="T8">_xlfn._xlws.FILTER(Competitions[exhibition], (Fixtures[[#This Row],[competition]] = Competitions[name]), "N/A")</f>
        <v>0</v>
      </c>
      <c r="U8" s="58" t="str" cm="1">
        <f t="array" ref="U8">_xlfn._xlws.FILTER(Competitions[compID], (Fixtures[[#This Row],[competition]] = Competitions[name]), "N/A")</f>
        <v>DL-OF-1APROLEAGUE</v>
      </c>
      <c r="V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8" s="58" t="str" cm="1">
        <f t="array" ref="W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8" s="58" t="str" cm="1">
        <f t="array" ref="X8">_xlfn._xlws.FILTER(Teams[name], (Fixtures[[#This Row],[userTeamID]] = Teams[teamID]), "N/A")</f>
        <v>KRC Genk</v>
      </c>
      <c r="Y8" s="58" t="str" cm="1">
        <f t="array" ref="Y8">_xlfn._xlws.FILTER(Teams[teamType], (Fixtures[[#This Row],[userTeamID]] = Teams[teamID]), "N/A")</f>
        <v>Club</v>
      </c>
      <c r="Z8" s="58" t="str" cm="1">
        <f t="array" ref="Z8">IF(Fixtures[[#This Row],[userTeamID]] = "N/A", "N/A", IF(SUM(COUNTIF(Fixtures[[#This Row],[homeTeam]], _xlfn._xlws.FILTER(Teams[name], (Fixtures[[#This Row],[userTeamID]] = Teams[teamID])*(Teams[relevant])))) &gt; 0, "H", "A"))</f>
        <v>A</v>
      </c>
      <c r="AA8" s="58" t="str">
        <f>IF(Fixtures[[#This Row],[userSide]] = "N/A", "N/A", IF(Fixtures[[#This Row],[userSide]] = "H", Fixtures[[#This Row],[awayTeam]], Fixtures[[#This Row],[homeTeam]]))</f>
        <v>RWD Molenbeek</v>
      </c>
      <c r="AB8" s="58" t="str" cm="1">
        <f t="array" ref="AB8">_xlfn._xlws.FILTER(Teams[teamID], Fixtures[[#This Row],[oppTeam]] = Teams[name], "N/A")</f>
        <v>C-BEL-RWDMOLENBEEK</v>
      </c>
      <c r="AC8" s="58" t="str" cm="1">
        <f t="array" ref="AC8">_xlfn._xlws.FILTER(Teams[teamType], Fixtures[[#This Row],[oppTeam]] = Teams[name], "N/A")</f>
        <v>Club</v>
      </c>
      <c r="AD8" s="58">
        <f>IF(ISBLANK(Fixtures[[#This Row],[date]]), "N/A", IF(Fixtures[[#This Row],[userSide]]="H", Fixtures[[#This Row],[homeScore]], Fixtures[[#This Row],[awayScore]]))</f>
        <v>1</v>
      </c>
      <c r="AE8" s="58">
        <f>IF(ISBLANK(Fixtures[[#This Row],[date]]), "N/A", IF(Fixtures[[#This Row],[userScore]] = Fixtures[[#This Row],[homeScore]], Fixtures[[#This Row],[awayScore]], Fixtures[[#This Row],[homeScore]]))</f>
        <v>0</v>
      </c>
      <c r="AF8" s="58" t="b">
        <f>NOT(AND(ISBLANK(Fixtures[[#This Row],[homePens]]), ISBLANK(Fixtures[[#This Row],[awayPens]])))</f>
        <v>0</v>
      </c>
      <c r="AG8" s="58" t="str">
        <f>IF(Fixtures[[#This Row],[penalties]], IF(Fixtures[[#This Row],[userSide]]="H", Fixtures[[#This Row],[homePens]], Fixtures[[#This Row],[awayPens]]), "N/A")</f>
        <v>N/A</v>
      </c>
      <c r="AH8" s="58" t="str">
        <f>IF(Fixtures[[#This Row],[penalties]], IF(Fixtures[[#This Row],[userPens]]=Fixtures[[#This Row],[homePens]],Fixtures[[#This Row],[awayPens]],Fixtures[[#This Row],[homePens]]), "N/A")</f>
        <v>N/A</v>
      </c>
      <c r="AI8" s="58" t="b">
        <f>COUNTBLANK(Fixtures[[#This Row],[G]:[MOTM]]) = 0</f>
        <v>1</v>
      </c>
      <c r="AJ8" s="58">
        <f>IF(Fixtures[[#This Row],[APP]], Fixtures[[#This Row],[G]]+Fixtures[[#This Row],[A]], "N/A")</f>
        <v>0</v>
      </c>
      <c r="AK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[2023-08-13] RWD Molenbeek vs. KRC Genk (0-1) - 1A Pro League</v>
      </c>
      <c r="AN8" s="59"/>
    </row>
    <row r="9" spans="1:40" s="60" customFormat="1" ht="13">
      <c r="A9" s="55">
        <v>45157</v>
      </c>
      <c r="B9" s="55" t="s">
        <v>108</v>
      </c>
      <c r="C9" s="56" t="s">
        <v>108</v>
      </c>
      <c r="D9" s="56" t="s">
        <v>115</v>
      </c>
      <c r="E9" s="56" t="s">
        <v>108</v>
      </c>
      <c r="F9" s="56" t="s">
        <v>116</v>
      </c>
      <c r="G9" s="56" t="s">
        <v>110</v>
      </c>
      <c r="H9" s="56" t="s">
        <v>123</v>
      </c>
      <c r="I9" s="56">
        <v>0</v>
      </c>
      <c r="J9" s="56">
        <v>1</v>
      </c>
      <c r="K9" s="56"/>
      <c r="L9" s="56"/>
      <c r="M9" s="56">
        <v>0</v>
      </c>
      <c r="N9" s="56">
        <v>0</v>
      </c>
      <c r="O9" s="56">
        <v>0</v>
      </c>
      <c r="P9" s="56">
        <v>0</v>
      </c>
      <c r="Q9" s="57">
        <v>6.1</v>
      </c>
      <c r="R9" s="56" t="b">
        <v>0</v>
      </c>
      <c r="S9" s="58" t="str" cm="1">
        <f t="array" ref="S9">_xlfn._xlws.FILTER(Competitions[compType], (Fixtures[[#This Row],[competition]] = Competitions[name]), "N/A")</f>
        <v>Domestic League</v>
      </c>
      <c r="T9" s="58" t="b" cm="1">
        <f t="array" ref="T9">_xlfn._xlws.FILTER(Competitions[exhibition], (Fixtures[[#This Row],[competition]] = Competitions[name]), "N/A")</f>
        <v>0</v>
      </c>
      <c r="U9" s="58" t="str" cm="1">
        <f t="array" ref="U9">_xlfn._xlws.FILTER(Competitions[compID], (Fixtures[[#This Row],[competition]] = Competitions[name]), "N/A")</f>
        <v>DL-OF-1APROLEAGUE</v>
      </c>
      <c r="V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9" s="58" t="str" cm="1">
        <f t="array" ref="W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9" s="58" t="str" cm="1">
        <f t="array" ref="X9">_xlfn._xlws.FILTER(Teams[name], (Fixtures[[#This Row],[userTeamID]] = Teams[teamID]), "N/A")</f>
        <v>KRC Genk</v>
      </c>
      <c r="Y9" s="58" t="str" cm="1">
        <f t="array" ref="Y9">_xlfn._xlws.FILTER(Teams[teamType], (Fixtures[[#This Row],[userTeamID]] = Teams[teamID]), "N/A")</f>
        <v>Club</v>
      </c>
      <c r="Z9" s="58" t="str" cm="1">
        <f t="array" ref="Z9">IF(Fixtures[[#This Row],[userTeamID]] = "N/A", "N/A", IF(SUM(COUNTIF(Fixtures[[#This Row],[homeTeam]], _xlfn._xlws.FILTER(Teams[name], (Fixtures[[#This Row],[userTeamID]] = Teams[teamID])*(Teams[relevant])))) &gt; 0, "H", "A"))</f>
        <v>H</v>
      </c>
      <c r="AA9" s="58" t="str">
        <f>IF(Fixtures[[#This Row],[userSide]] = "N/A", "N/A", IF(Fixtures[[#This Row],[userSide]] = "H", Fixtures[[#This Row],[awayTeam]], Fixtures[[#This Row],[homeTeam]]))</f>
        <v>Royal Antwerp FC</v>
      </c>
      <c r="AB9" s="58" t="str" cm="1">
        <f t="array" ref="AB9">_xlfn._xlws.FILTER(Teams[teamID], Fixtures[[#This Row],[oppTeam]] = Teams[name], "N/A")</f>
        <v>C-BEL-ROYALANTWERPFC</v>
      </c>
      <c r="AC9" s="58" t="str" cm="1">
        <f t="array" ref="AC9">_xlfn._xlws.FILTER(Teams[teamType], Fixtures[[#This Row],[oppTeam]] = Teams[name], "N/A")</f>
        <v>Club</v>
      </c>
      <c r="AD9" s="58">
        <f>IF(ISBLANK(Fixtures[[#This Row],[date]]), "N/A", IF(Fixtures[[#This Row],[userSide]]="H", Fixtures[[#This Row],[homeScore]], Fixtures[[#This Row],[awayScore]]))</f>
        <v>0</v>
      </c>
      <c r="AE9" s="58">
        <f>IF(ISBLANK(Fixtures[[#This Row],[date]]), "N/A", IF(Fixtures[[#This Row],[userScore]] = Fixtures[[#This Row],[homeScore]], Fixtures[[#This Row],[awayScore]], Fixtures[[#This Row],[homeScore]]))</f>
        <v>1</v>
      </c>
      <c r="AF9" s="58" t="b">
        <f>NOT(AND(ISBLANK(Fixtures[[#This Row],[homePens]]), ISBLANK(Fixtures[[#This Row],[awayPens]])))</f>
        <v>0</v>
      </c>
      <c r="AG9" s="58" t="str">
        <f>IF(Fixtures[[#This Row],[penalties]], IF(Fixtures[[#This Row],[userSide]]="H", Fixtures[[#This Row],[homePens]], Fixtures[[#This Row],[awayPens]]), "N/A")</f>
        <v>N/A</v>
      </c>
      <c r="AH9" s="58" t="str">
        <f>IF(Fixtures[[#This Row],[penalties]], IF(Fixtures[[#This Row],[userPens]]=Fixtures[[#This Row],[homePens]],Fixtures[[#This Row],[awayPens]],Fixtures[[#This Row],[homePens]]), "N/A")</f>
        <v>N/A</v>
      </c>
      <c r="AI9" s="58" t="b">
        <f>COUNTBLANK(Fixtures[[#This Row],[G]:[MOTM]]) = 0</f>
        <v>1</v>
      </c>
      <c r="AJ9" s="58">
        <f>IF(Fixtures[[#This Row],[APP]], Fixtures[[#This Row],[G]]+Fixtures[[#This Row],[A]], "N/A")</f>
        <v>0</v>
      </c>
      <c r="AK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9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[2023-08-19] KRC Genk vs. Royal Antwerp FC (0-1) - 1A Pro League</v>
      </c>
      <c r="AN9" s="59"/>
    </row>
    <row r="10" spans="1:40" s="60" customFormat="1" ht="13">
      <c r="A10" s="55">
        <v>45167</v>
      </c>
      <c r="B10" s="55" t="s">
        <v>108</v>
      </c>
      <c r="C10" s="56" t="s">
        <v>108</v>
      </c>
      <c r="D10" s="56" t="s">
        <v>108</v>
      </c>
      <c r="E10" s="56" t="s">
        <v>108</v>
      </c>
      <c r="F10" s="56" t="s">
        <v>116</v>
      </c>
      <c r="G10" s="56" t="s">
        <v>124</v>
      </c>
      <c r="H10" s="56" t="s">
        <v>110</v>
      </c>
      <c r="I10" s="56">
        <v>0</v>
      </c>
      <c r="J10" s="56">
        <v>2</v>
      </c>
      <c r="K10" s="56"/>
      <c r="L10" s="56"/>
      <c r="M10" s="56">
        <v>0</v>
      </c>
      <c r="N10" s="56">
        <v>1</v>
      </c>
      <c r="O10" s="56">
        <v>0</v>
      </c>
      <c r="P10" s="56">
        <v>0</v>
      </c>
      <c r="Q10" s="57">
        <v>7.7</v>
      </c>
      <c r="R10" s="56" t="b">
        <v>1</v>
      </c>
      <c r="S10" s="58" t="str" cm="1">
        <f t="array" ref="S10">_xlfn._xlws.FILTER(Competitions[compType], (Fixtures[[#This Row],[competition]] = Competitions[name]), "N/A")</f>
        <v>Domestic League</v>
      </c>
      <c r="T10" s="58" t="b" cm="1">
        <f t="array" ref="T10">_xlfn._xlws.FILTER(Competitions[exhibition], (Fixtures[[#This Row],[competition]] = Competitions[name]), "N/A")</f>
        <v>0</v>
      </c>
      <c r="U10" s="58" t="str" cm="1">
        <f t="array" ref="U10">_xlfn._xlws.FILTER(Competitions[compID], (Fixtures[[#This Row],[competition]] = Competitions[name]), "N/A")</f>
        <v>DL-OF-1APROLEAGUE</v>
      </c>
      <c r="V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0" s="58" t="str" cm="1">
        <f t="array" ref="W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0" s="58" t="str" cm="1">
        <f t="array" ref="X10">_xlfn._xlws.FILTER(Teams[name], (Fixtures[[#This Row],[userTeamID]] = Teams[teamID]), "N/A")</f>
        <v>KRC Genk</v>
      </c>
      <c r="Y10" s="58" t="str" cm="1">
        <f t="array" ref="Y10">_xlfn._xlws.FILTER(Teams[teamType], (Fixtures[[#This Row],[userTeamID]] = Teams[teamID]), "N/A")</f>
        <v>Club</v>
      </c>
      <c r="Z10" s="58" t="str" cm="1">
        <f t="array" ref="Z10">IF(Fixtures[[#This Row],[userTeamID]] = "N/A", "N/A", IF(SUM(COUNTIF(Fixtures[[#This Row],[homeTeam]], _xlfn._xlws.FILTER(Teams[name], (Fixtures[[#This Row],[userTeamID]] = Teams[teamID])*(Teams[relevant])))) &gt; 0, "H", "A"))</f>
        <v>A</v>
      </c>
      <c r="AA10" s="58" t="str">
        <f>IF(Fixtures[[#This Row],[userSide]] = "N/A", "N/A", IF(Fixtures[[#This Row],[userSide]] = "H", Fixtures[[#This Row],[awayTeam]], Fixtures[[#This Row],[homeTeam]]))</f>
        <v>Standard Liège</v>
      </c>
      <c r="AB10" s="58" t="str" cm="1">
        <f t="array" ref="AB10">_xlfn._xlws.FILTER(Teams[teamID], Fixtures[[#This Row],[oppTeam]] = Teams[name], "N/A")</f>
        <v>C-BEL-STANDARDLIÈGE</v>
      </c>
      <c r="AC10" s="58" t="str" cm="1">
        <f t="array" ref="AC10">_xlfn._xlws.FILTER(Teams[teamType], Fixtures[[#This Row],[oppTeam]] = Teams[name], "N/A")</f>
        <v>Club</v>
      </c>
      <c r="AD10" s="58">
        <f>IF(ISBLANK(Fixtures[[#This Row],[date]]), "N/A", IF(Fixtures[[#This Row],[userSide]]="H", Fixtures[[#This Row],[homeScore]], Fixtures[[#This Row],[awayScore]]))</f>
        <v>2</v>
      </c>
      <c r="AE10" s="58">
        <f>IF(ISBLANK(Fixtures[[#This Row],[date]]), "N/A", IF(Fixtures[[#This Row],[userScore]] = Fixtures[[#This Row],[homeScore]], Fixtures[[#This Row],[awayScore]], Fixtures[[#This Row],[homeScore]]))</f>
        <v>0</v>
      </c>
      <c r="AF10" s="58" t="b">
        <f>NOT(AND(ISBLANK(Fixtures[[#This Row],[homePens]]), ISBLANK(Fixtures[[#This Row],[awayPens]])))</f>
        <v>0</v>
      </c>
      <c r="AG10" s="58" t="str">
        <f>IF(Fixtures[[#This Row],[penalties]], IF(Fixtures[[#This Row],[userSide]]="H", Fixtures[[#This Row],[homePens]], Fixtures[[#This Row],[awayPens]]), "N/A")</f>
        <v>N/A</v>
      </c>
      <c r="AH10" s="58" t="str">
        <f>IF(Fixtures[[#This Row],[penalties]], IF(Fixtures[[#This Row],[userPens]]=Fixtures[[#This Row],[homePens]],Fixtures[[#This Row],[awayPens]],Fixtures[[#This Row],[homePens]]), "N/A")</f>
        <v>N/A</v>
      </c>
      <c r="AI10" s="58" t="b">
        <f>COUNTBLANK(Fixtures[[#This Row],[G]:[MOTM]]) = 0</f>
        <v>1</v>
      </c>
      <c r="AJ10" s="58">
        <f>IF(Fixtures[[#This Row],[APP]], Fixtures[[#This Row],[G]]+Fixtures[[#This Row],[A]], "N/A")</f>
        <v>1</v>
      </c>
      <c r="AK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[2023-08-29] Standard Liège vs. KRC Genk (0-2) - 1A Pro League</v>
      </c>
      <c r="AN10" s="59" t="s">
        <v>125</v>
      </c>
    </row>
    <row r="11" spans="1:40" s="60" customFormat="1" ht="13">
      <c r="A11" s="55">
        <v>45171</v>
      </c>
      <c r="B11" s="55" t="s">
        <v>108</v>
      </c>
      <c r="C11" s="56" t="s">
        <v>108</v>
      </c>
      <c r="D11" s="56" t="s">
        <v>115</v>
      </c>
      <c r="E11" s="56" t="s">
        <v>108</v>
      </c>
      <c r="F11" s="56" t="s">
        <v>116</v>
      </c>
      <c r="G11" s="56" t="s">
        <v>110</v>
      </c>
      <c r="H11" s="56" t="s">
        <v>126</v>
      </c>
      <c r="I11" s="56">
        <v>1</v>
      </c>
      <c r="J11" s="56">
        <v>0</v>
      </c>
      <c r="K11" s="56"/>
      <c r="L11" s="56"/>
      <c r="M11" s="56">
        <v>0</v>
      </c>
      <c r="N11" s="56">
        <v>1</v>
      </c>
      <c r="O11" s="56">
        <v>0</v>
      </c>
      <c r="P11" s="56">
        <v>0</v>
      </c>
      <c r="Q11" s="57">
        <v>8.4</v>
      </c>
      <c r="R11" s="56" t="b">
        <v>1</v>
      </c>
      <c r="S11" s="58" t="str" cm="1">
        <f t="array" ref="S11">_xlfn._xlws.FILTER(Competitions[compType], (Fixtures[[#This Row],[competition]] = Competitions[name]), "N/A")</f>
        <v>Domestic League</v>
      </c>
      <c r="T11" s="58" t="b" cm="1">
        <f t="array" ref="T11">_xlfn._xlws.FILTER(Competitions[exhibition], (Fixtures[[#This Row],[competition]] = Competitions[name]), "N/A")</f>
        <v>0</v>
      </c>
      <c r="U11" s="58" t="str" cm="1">
        <f t="array" ref="U11">_xlfn._xlws.FILTER(Competitions[compID], (Fixtures[[#This Row],[competition]] = Competitions[name]), "N/A")</f>
        <v>DL-OF-1APROLEAGUE</v>
      </c>
      <c r="V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1" s="58" t="str" cm="1">
        <f t="array" ref="W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1" s="58" t="str" cm="1">
        <f t="array" ref="X11">_xlfn._xlws.FILTER(Teams[name], (Fixtures[[#This Row],[userTeamID]] = Teams[teamID]), "N/A")</f>
        <v>KRC Genk</v>
      </c>
      <c r="Y11" s="58" t="str" cm="1">
        <f t="array" ref="Y11">_xlfn._xlws.FILTER(Teams[teamType], (Fixtures[[#This Row],[userTeamID]] = Teams[teamID]), "N/A")</f>
        <v>Club</v>
      </c>
      <c r="Z11" s="58" t="str" cm="1">
        <f t="array" ref="Z11">IF(Fixtures[[#This Row],[userTeamID]] = "N/A", "N/A", IF(SUM(COUNTIF(Fixtures[[#This Row],[homeTeam]], _xlfn._xlws.FILTER(Teams[name], (Fixtures[[#This Row],[userTeamID]] = Teams[teamID])*(Teams[relevant])))) &gt; 0, "H", "A"))</f>
        <v>H</v>
      </c>
      <c r="AA11" s="58" t="str">
        <f>IF(Fixtures[[#This Row],[userSide]] = "N/A", "N/A", IF(Fixtures[[#This Row],[userSide]] = "H", Fixtures[[#This Row],[awayTeam]], Fixtures[[#This Row],[homeTeam]]))</f>
        <v>OH Leuven</v>
      </c>
      <c r="AB11" s="58" t="str" cm="1">
        <f t="array" ref="AB11">_xlfn._xlws.FILTER(Teams[teamID], Fixtures[[#This Row],[oppTeam]] = Teams[name], "N/A")</f>
        <v>C-BEL-OHLEUVEN</v>
      </c>
      <c r="AC11" s="58" t="str" cm="1">
        <f t="array" ref="AC11">_xlfn._xlws.FILTER(Teams[teamType], Fixtures[[#This Row],[oppTeam]] = Teams[name], "N/A")</f>
        <v>Club</v>
      </c>
      <c r="AD11" s="58">
        <f>IF(ISBLANK(Fixtures[[#This Row],[date]]), "N/A", IF(Fixtures[[#This Row],[userSide]]="H", Fixtures[[#This Row],[homeScore]], Fixtures[[#This Row],[awayScore]]))</f>
        <v>1</v>
      </c>
      <c r="AE11" s="58">
        <f>IF(ISBLANK(Fixtures[[#This Row],[date]]), "N/A", IF(Fixtures[[#This Row],[userScore]] = Fixtures[[#This Row],[homeScore]], Fixtures[[#This Row],[awayScore]], Fixtures[[#This Row],[homeScore]]))</f>
        <v>0</v>
      </c>
      <c r="AF11" s="58" t="b">
        <f>NOT(AND(ISBLANK(Fixtures[[#This Row],[homePens]]), ISBLANK(Fixtures[[#This Row],[awayPens]])))</f>
        <v>0</v>
      </c>
      <c r="AG11" s="58" t="str">
        <f>IF(Fixtures[[#This Row],[penalties]], IF(Fixtures[[#This Row],[userSide]]="H", Fixtures[[#This Row],[homePens]], Fixtures[[#This Row],[awayPens]]), "N/A")</f>
        <v>N/A</v>
      </c>
      <c r="AH11" s="58" t="str">
        <f>IF(Fixtures[[#This Row],[penalties]], IF(Fixtures[[#This Row],[userPens]]=Fixtures[[#This Row],[homePens]],Fixtures[[#This Row],[awayPens]],Fixtures[[#This Row],[homePens]]), "N/A")</f>
        <v>N/A</v>
      </c>
      <c r="AI11" s="58" t="b">
        <f>COUNTBLANK(Fixtures[[#This Row],[G]:[MOTM]]) = 0</f>
        <v>1</v>
      </c>
      <c r="AJ11" s="58">
        <f>IF(Fixtures[[#This Row],[APP]], Fixtures[[#This Row],[G]]+Fixtures[[#This Row],[A]], "N/A")</f>
        <v>1</v>
      </c>
      <c r="AK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[2023-09-02] KRC Genk vs. OH Leuven (1-0) - 1A Pro League</v>
      </c>
      <c r="AN11" s="59"/>
    </row>
    <row r="12" spans="1:40" s="60" customFormat="1" ht="13">
      <c r="A12" s="55">
        <v>45178</v>
      </c>
      <c r="B12" s="55" t="s">
        <v>108</v>
      </c>
      <c r="C12" s="56" t="s">
        <v>108</v>
      </c>
      <c r="D12" s="56" t="s">
        <v>127</v>
      </c>
      <c r="E12" s="56" t="s">
        <v>108</v>
      </c>
      <c r="F12" s="56" t="s">
        <v>128</v>
      </c>
      <c r="G12" s="56" t="s">
        <v>16</v>
      </c>
      <c r="H12" s="56" t="s">
        <v>129</v>
      </c>
      <c r="I12" s="56">
        <v>0</v>
      </c>
      <c r="J12" s="56">
        <v>1</v>
      </c>
      <c r="K12" s="56"/>
      <c r="L12" s="56"/>
      <c r="M12" s="56">
        <v>0</v>
      </c>
      <c r="N12" s="56">
        <v>0</v>
      </c>
      <c r="O12" s="56">
        <v>0</v>
      </c>
      <c r="P12" s="56">
        <v>0</v>
      </c>
      <c r="Q12" s="57">
        <v>7.2</v>
      </c>
      <c r="R12" s="56" t="b">
        <v>0</v>
      </c>
      <c r="S12" s="58" t="str" cm="1">
        <f t="array" ref="S12">_xlfn._xlws.FILTER(Competitions[compType], (Fixtures[[#This Row],[competition]] = Competitions[name]), "N/A")</f>
        <v>International Friendly</v>
      </c>
      <c r="T12" s="58" t="b" cm="1">
        <f t="array" ref="T12">_xlfn._xlws.FILTER(Competitions[exhibition], (Fixtures[[#This Row],[competition]] = Competitions[name]), "N/A")</f>
        <v>1</v>
      </c>
      <c r="U12" s="58" t="str" cm="1">
        <f t="array" ref="U12">_xlfn._xlws.FILTER(Competitions[compID], (Fixtures[[#This Row],[competition]] = Competitions[name]), "N/A")</f>
        <v>IF-EX-INTERNATIONALFRIENDLY</v>
      </c>
      <c r="V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2" s="58" t="str" cm="1">
        <f t="array" ref="W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2" s="58" t="str" cm="1">
        <f t="array" ref="X12">_xlfn._xlws.FILTER(Teams[name], (Fixtures[[#This Row],[userTeamID]] = Teams[teamID]), "N/A")</f>
        <v>United States</v>
      </c>
      <c r="Y12" s="58" t="str" cm="1">
        <f t="array" ref="Y12">_xlfn._xlws.FILTER(Teams[teamType], (Fixtures[[#This Row],[userTeamID]] = Teams[teamID]), "N/A")</f>
        <v>National</v>
      </c>
      <c r="Z12" s="58" t="str" cm="1">
        <f t="array" ref="Z12">IF(Fixtures[[#This Row],[userTeamID]] = "N/A", "N/A", IF(SUM(COUNTIF(Fixtures[[#This Row],[homeTeam]], _xlfn._xlws.FILTER(Teams[name], (Fixtures[[#This Row],[userTeamID]] = Teams[teamID])*(Teams[relevant])))) &gt; 0, "H", "A"))</f>
        <v>H</v>
      </c>
      <c r="AA12" s="58" t="str">
        <f>IF(Fixtures[[#This Row],[userSide]] = "N/A", "N/A", IF(Fixtures[[#This Row],[userSide]] = "H", Fixtures[[#This Row],[awayTeam]], Fixtures[[#This Row],[homeTeam]]))</f>
        <v>Qatar</v>
      </c>
      <c r="AB12" s="58" t="str" cm="1">
        <f t="array" ref="AB12">_xlfn._xlws.FILTER(Teams[teamID], Fixtures[[#This Row],[oppTeam]] = Teams[name], "N/A")</f>
        <v>N-QAT-QATAR</v>
      </c>
      <c r="AC12" s="58" t="str" cm="1">
        <f t="array" ref="AC12">_xlfn._xlws.FILTER(Teams[teamType], Fixtures[[#This Row],[oppTeam]] = Teams[name], "N/A")</f>
        <v>National</v>
      </c>
      <c r="AD12" s="58">
        <f>IF(ISBLANK(Fixtures[[#This Row],[date]]), "N/A", IF(Fixtures[[#This Row],[userSide]]="H", Fixtures[[#This Row],[homeScore]], Fixtures[[#This Row],[awayScore]]))</f>
        <v>0</v>
      </c>
      <c r="AE12" s="58">
        <f>IF(ISBLANK(Fixtures[[#This Row],[date]]), "N/A", IF(Fixtures[[#This Row],[userScore]] = Fixtures[[#This Row],[homeScore]], Fixtures[[#This Row],[awayScore]], Fixtures[[#This Row],[homeScore]]))</f>
        <v>1</v>
      </c>
      <c r="AF12" s="58" t="b">
        <f>NOT(AND(ISBLANK(Fixtures[[#This Row],[homePens]]), ISBLANK(Fixtures[[#This Row],[awayPens]])))</f>
        <v>0</v>
      </c>
      <c r="AG12" s="58" t="str">
        <f>IF(Fixtures[[#This Row],[penalties]], IF(Fixtures[[#This Row],[userSide]]="H", Fixtures[[#This Row],[homePens]], Fixtures[[#This Row],[awayPens]]), "N/A")</f>
        <v>N/A</v>
      </c>
      <c r="AH12" s="58" t="str">
        <f>IF(Fixtures[[#This Row],[penalties]], IF(Fixtures[[#This Row],[userPens]]=Fixtures[[#This Row],[homePens]],Fixtures[[#This Row],[awayPens]],Fixtures[[#This Row],[homePens]]), "N/A")</f>
        <v>N/A</v>
      </c>
      <c r="AI12" s="58" t="b">
        <f>COUNTBLANK(Fixtures[[#This Row],[G]:[MOTM]]) = 0</f>
        <v>1</v>
      </c>
      <c r="AJ12" s="58">
        <f>IF(Fixtures[[#This Row],[APP]], Fixtures[[#This Row],[G]]+Fixtures[[#This Row],[A]], "N/A")</f>
        <v>0</v>
      </c>
      <c r="AK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[2023-09-09] United States vs. Qatar (0-1) - International Friendly</v>
      </c>
      <c r="AN12" s="59" t="s">
        <v>130</v>
      </c>
    </row>
    <row r="13" spans="1:40" s="60" customFormat="1" ht="13">
      <c r="A13" s="55">
        <v>45181</v>
      </c>
      <c r="B13" s="55" t="s">
        <v>108</v>
      </c>
      <c r="C13" s="56" t="s">
        <v>108</v>
      </c>
      <c r="D13" s="56" t="s">
        <v>108</v>
      </c>
      <c r="E13" s="56" t="s">
        <v>108</v>
      </c>
      <c r="F13" s="56" t="s">
        <v>128</v>
      </c>
      <c r="G13" s="56" t="s">
        <v>131</v>
      </c>
      <c r="H13" s="56" t="s">
        <v>16</v>
      </c>
      <c r="I13" s="56">
        <v>0</v>
      </c>
      <c r="J13" s="56">
        <v>0</v>
      </c>
      <c r="K13" s="56"/>
      <c r="L13" s="56"/>
      <c r="M13" s="56">
        <v>0</v>
      </c>
      <c r="N13" s="56">
        <v>0</v>
      </c>
      <c r="O13" s="56">
        <v>0</v>
      </c>
      <c r="P13" s="56">
        <v>0</v>
      </c>
      <c r="Q13" s="57">
        <v>6.2</v>
      </c>
      <c r="R13" s="56" t="b">
        <v>0</v>
      </c>
      <c r="S13" s="58" t="str" cm="1">
        <f t="array" ref="S13">_xlfn._xlws.FILTER(Competitions[compType], (Fixtures[[#This Row],[competition]] = Competitions[name]), "N/A")</f>
        <v>International Friendly</v>
      </c>
      <c r="T13" s="58" t="b" cm="1">
        <f t="array" ref="T13">_xlfn._xlws.FILTER(Competitions[exhibition], (Fixtures[[#This Row],[competition]] = Competitions[name]), "N/A")</f>
        <v>1</v>
      </c>
      <c r="U13" s="58" t="str" cm="1">
        <f t="array" ref="U13">_xlfn._xlws.FILTER(Competitions[compID], (Fixtures[[#This Row],[competition]] = Competitions[name]), "N/A")</f>
        <v>IF-EX-INTERNATIONALFRIENDLY</v>
      </c>
      <c r="V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3" s="58" t="str" cm="1">
        <f t="array" ref="W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3" s="58" t="str" cm="1">
        <f t="array" ref="X13">_xlfn._xlws.FILTER(Teams[name], (Fixtures[[#This Row],[userTeamID]] = Teams[teamID]), "N/A")</f>
        <v>United States</v>
      </c>
      <c r="Y13" s="58" t="str" cm="1">
        <f t="array" ref="Y13">_xlfn._xlws.FILTER(Teams[teamType], (Fixtures[[#This Row],[userTeamID]] = Teams[teamID]), "N/A")</f>
        <v>National</v>
      </c>
      <c r="Z13" s="58" t="str" cm="1">
        <f t="array" ref="Z13">IF(Fixtures[[#This Row],[userTeamID]] = "N/A", "N/A", IF(SUM(COUNTIF(Fixtures[[#This Row],[homeTeam]], _xlfn._xlws.FILTER(Teams[name], (Fixtures[[#This Row],[userTeamID]] = Teams[teamID])*(Teams[relevant])))) &gt; 0, "H", "A"))</f>
        <v>A</v>
      </c>
      <c r="AA13" s="58" t="str">
        <f>IF(Fixtures[[#This Row],[userSide]] = "N/A", "N/A", IF(Fixtures[[#This Row],[userSide]] = "H", Fixtures[[#This Row],[awayTeam]], Fixtures[[#This Row],[homeTeam]]))</f>
        <v>Argentina</v>
      </c>
      <c r="AB13" s="58" t="str" cm="1">
        <f t="array" ref="AB13">_xlfn._xlws.FILTER(Teams[teamID], Fixtures[[#This Row],[oppTeam]] = Teams[name], "N/A")</f>
        <v>N-ARG-ARGENTINA</v>
      </c>
      <c r="AC13" s="58" t="str" cm="1">
        <f t="array" ref="AC13">_xlfn._xlws.FILTER(Teams[teamType], Fixtures[[#This Row],[oppTeam]] = Teams[name], "N/A")</f>
        <v>National</v>
      </c>
      <c r="AD13" s="58">
        <f>IF(ISBLANK(Fixtures[[#This Row],[date]]), "N/A", IF(Fixtures[[#This Row],[userSide]]="H", Fixtures[[#This Row],[homeScore]], Fixtures[[#This Row],[awayScore]]))</f>
        <v>0</v>
      </c>
      <c r="AE13" s="58">
        <f>IF(ISBLANK(Fixtures[[#This Row],[date]]), "N/A", IF(Fixtures[[#This Row],[userScore]] = Fixtures[[#This Row],[homeScore]], Fixtures[[#This Row],[awayScore]], Fixtures[[#This Row],[homeScore]]))</f>
        <v>0</v>
      </c>
      <c r="AF13" s="58" t="b">
        <f>NOT(AND(ISBLANK(Fixtures[[#This Row],[homePens]]), ISBLANK(Fixtures[[#This Row],[awayPens]])))</f>
        <v>0</v>
      </c>
      <c r="AG13" s="58" t="str">
        <f>IF(Fixtures[[#This Row],[penalties]], IF(Fixtures[[#This Row],[userSide]]="H", Fixtures[[#This Row],[homePens]], Fixtures[[#This Row],[awayPens]]), "N/A")</f>
        <v>N/A</v>
      </c>
      <c r="AH13" s="58" t="str">
        <f>IF(Fixtures[[#This Row],[penalties]], IF(Fixtures[[#This Row],[userPens]]=Fixtures[[#This Row],[homePens]],Fixtures[[#This Row],[awayPens]],Fixtures[[#This Row],[homePens]]), "N/A")</f>
        <v>N/A</v>
      </c>
      <c r="AI13" s="58" t="b">
        <f>COUNTBLANK(Fixtures[[#This Row],[G]:[MOTM]]) = 0</f>
        <v>1</v>
      </c>
      <c r="AJ13" s="58">
        <f>IF(Fixtures[[#This Row],[APP]], Fixtures[[#This Row],[G]]+Fixtures[[#This Row],[A]], "N/A")</f>
        <v>0</v>
      </c>
      <c r="AK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3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[2023-09-12] Argentina vs. United States (0-0) - International Friendly</v>
      </c>
      <c r="AN13" s="59"/>
    </row>
    <row r="14" spans="1:40" s="60" customFormat="1" ht="13">
      <c r="A14" s="55">
        <v>45185</v>
      </c>
      <c r="B14" s="55" t="s">
        <v>108</v>
      </c>
      <c r="C14" s="56" t="s">
        <v>108</v>
      </c>
      <c r="D14" s="56" t="s">
        <v>115</v>
      </c>
      <c r="E14" s="56" t="s">
        <v>108</v>
      </c>
      <c r="F14" s="56" t="s">
        <v>116</v>
      </c>
      <c r="G14" s="56" t="s">
        <v>110</v>
      </c>
      <c r="H14" s="56" t="s">
        <v>132</v>
      </c>
      <c r="I14" s="56">
        <v>2</v>
      </c>
      <c r="J14" s="56">
        <v>0</v>
      </c>
      <c r="K14" s="56"/>
      <c r="L14" s="56"/>
      <c r="M14" s="56">
        <v>1</v>
      </c>
      <c r="N14" s="56">
        <v>0</v>
      </c>
      <c r="O14" s="56">
        <v>0</v>
      </c>
      <c r="P14" s="56">
        <v>0</v>
      </c>
      <c r="Q14" s="57">
        <v>7.4</v>
      </c>
      <c r="R14" s="56" t="b">
        <v>0</v>
      </c>
      <c r="S14" s="58" t="str" cm="1">
        <f t="array" ref="S14">_xlfn._xlws.FILTER(Competitions[compType], (Fixtures[[#This Row],[competition]] = Competitions[name]), "N/A")</f>
        <v>Domestic League</v>
      </c>
      <c r="T14" s="58" t="b" cm="1">
        <f t="array" ref="T14">_xlfn._xlws.FILTER(Competitions[exhibition], (Fixtures[[#This Row],[competition]] = Competitions[name]), "N/A")</f>
        <v>0</v>
      </c>
      <c r="U14" s="58" t="str" cm="1">
        <f t="array" ref="U14">_xlfn._xlws.FILTER(Competitions[compID], (Fixtures[[#This Row],[competition]] = Competitions[name]), "N/A")</f>
        <v>DL-OF-1APROLEAGUE</v>
      </c>
      <c r="V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4" s="58" t="str" cm="1">
        <f t="array" ref="W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4" s="58" t="str" cm="1">
        <f t="array" ref="X14">_xlfn._xlws.FILTER(Teams[name], (Fixtures[[#This Row],[userTeamID]] = Teams[teamID]), "N/A")</f>
        <v>KRC Genk</v>
      </c>
      <c r="Y14" s="58" t="str" cm="1">
        <f t="array" ref="Y14">_xlfn._xlws.FILTER(Teams[teamType], (Fixtures[[#This Row],[userTeamID]] = Teams[teamID]), "N/A")</f>
        <v>Club</v>
      </c>
      <c r="Z14" s="58" t="str" cm="1">
        <f t="array" ref="Z14">IF(Fixtures[[#This Row],[userTeamID]] = "N/A", "N/A", IF(SUM(COUNTIF(Fixtures[[#This Row],[homeTeam]], _xlfn._xlws.FILTER(Teams[name], (Fixtures[[#This Row],[userTeamID]] = Teams[teamID])*(Teams[relevant])))) &gt; 0, "H", "A"))</f>
        <v>H</v>
      </c>
      <c r="AA14" s="58" t="str">
        <f>IF(Fixtures[[#This Row],[userSide]] = "N/A", "N/A", IF(Fixtures[[#This Row],[userSide]] = "H", Fixtures[[#This Row],[awayTeam]], Fixtures[[#This Row],[homeTeam]]))</f>
        <v>STVV</v>
      </c>
      <c r="AB14" s="58" t="str" cm="1">
        <f t="array" ref="AB14">_xlfn._xlws.FILTER(Teams[teamID], Fixtures[[#This Row],[oppTeam]] = Teams[name], "N/A")</f>
        <v>C-BEL-STVV</v>
      </c>
      <c r="AC14" s="58" t="str" cm="1">
        <f t="array" ref="AC14">_xlfn._xlws.FILTER(Teams[teamType], Fixtures[[#This Row],[oppTeam]] = Teams[name], "N/A")</f>
        <v>Club</v>
      </c>
      <c r="AD14" s="58">
        <f>IF(ISBLANK(Fixtures[[#This Row],[date]]), "N/A", IF(Fixtures[[#This Row],[userSide]]="H", Fixtures[[#This Row],[homeScore]], Fixtures[[#This Row],[awayScore]]))</f>
        <v>2</v>
      </c>
      <c r="AE14" s="58">
        <f>IF(ISBLANK(Fixtures[[#This Row],[date]]), "N/A", IF(Fixtures[[#This Row],[userScore]] = Fixtures[[#This Row],[homeScore]], Fixtures[[#This Row],[awayScore]], Fixtures[[#This Row],[homeScore]]))</f>
        <v>0</v>
      </c>
      <c r="AF14" s="58" t="b">
        <f>NOT(AND(ISBLANK(Fixtures[[#This Row],[homePens]]), ISBLANK(Fixtures[[#This Row],[awayPens]])))</f>
        <v>0</v>
      </c>
      <c r="AG14" s="58" t="str">
        <f>IF(Fixtures[[#This Row],[penalties]], IF(Fixtures[[#This Row],[userSide]]="H", Fixtures[[#This Row],[homePens]], Fixtures[[#This Row],[awayPens]]), "N/A")</f>
        <v>N/A</v>
      </c>
      <c r="AH14" s="58" t="str">
        <f>IF(Fixtures[[#This Row],[penalties]], IF(Fixtures[[#This Row],[userPens]]=Fixtures[[#This Row],[homePens]],Fixtures[[#This Row],[awayPens]],Fixtures[[#This Row],[homePens]]), "N/A")</f>
        <v>N/A</v>
      </c>
      <c r="AI14" s="58" t="b">
        <f>COUNTBLANK(Fixtures[[#This Row],[G]:[MOTM]]) = 0</f>
        <v>1</v>
      </c>
      <c r="AJ14" s="58">
        <f>IF(Fixtures[[#This Row],[APP]], Fixtures[[#This Row],[G]]+Fixtures[[#This Row],[A]], "N/A")</f>
        <v>1</v>
      </c>
      <c r="AK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4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[2023-09-16] KRC Genk vs. STVV (2-0) - 1A Pro League</v>
      </c>
      <c r="AN14" s="59" t="s">
        <v>133</v>
      </c>
    </row>
    <row r="15" spans="1:40" s="60" customFormat="1" ht="13">
      <c r="A15" s="55">
        <v>45190</v>
      </c>
      <c r="B15" s="55" t="s">
        <v>108</v>
      </c>
      <c r="C15" s="56" t="s">
        <v>108</v>
      </c>
      <c r="D15" s="56" t="s">
        <v>115</v>
      </c>
      <c r="E15" s="56" t="s">
        <v>108</v>
      </c>
      <c r="F15" s="56" t="s">
        <v>134</v>
      </c>
      <c r="G15" s="56" t="s">
        <v>110</v>
      </c>
      <c r="H15" s="56" t="s">
        <v>135</v>
      </c>
      <c r="I15" s="56">
        <v>5</v>
      </c>
      <c r="J15" s="56">
        <v>1</v>
      </c>
      <c r="K15" s="56"/>
      <c r="L15" s="56"/>
      <c r="M15" s="56">
        <v>0</v>
      </c>
      <c r="N15" s="56">
        <v>1</v>
      </c>
      <c r="O15" s="56">
        <v>0</v>
      </c>
      <c r="P15" s="56">
        <v>0</v>
      </c>
      <c r="Q15" s="57">
        <v>8.5</v>
      </c>
      <c r="R15" s="56" t="b">
        <v>0</v>
      </c>
      <c r="S15" s="58" t="str" cm="1">
        <f t="array" ref="S15">_xlfn._xlws.FILTER(Competitions[compType], (Fixtures[[#This Row],[competition]] = Competitions[name]), "N/A")</f>
        <v>Continental Cup</v>
      </c>
      <c r="T15" s="58" t="b" cm="1">
        <f t="array" ref="T15">_xlfn._xlws.FILTER(Competitions[exhibition], (Fixtures[[#This Row],[competition]] = Competitions[name]), "N/A")</f>
        <v>0</v>
      </c>
      <c r="U15" s="58" t="str" cm="1">
        <f t="array" ref="U15">_xlfn._xlws.FILTER(Competitions[compID], (Fixtures[[#This Row],[competition]] = Competitions[name]), "N/A")</f>
        <v>CC-OF-UEFAEUROPACONFERENCELEAGUE</v>
      </c>
      <c r="V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5" s="58" t="str" cm="1">
        <f t="array" ref="W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5" s="58" t="str" cm="1">
        <f t="array" ref="X15">_xlfn._xlws.FILTER(Teams[name], (Fixtures[[#This Row],[userTeamID]] = Teams[teamID]), "N/A")</f>
        <v>KRC Genk</v>
      </c>
      <c r="Y15" s="58" t="str" cm="1">
        <f t="array" ref="Y15">_xlfn._xlws.FILTER(Teams[teamType], (Fixtures[[#This Row],[userTeamID]] = Teams[teamID]), "N/A")</f>
        <v>Club</v>
      </c>
      <c r="Z15" s="58" t="str" cm="1">
        <f t="array" ref="Z15">IF(Fixtures[[#This Row],[userTeamID]] = "N/A", "N/A", IF(SUM(COUNTIF(Fixtures[[#This Row],[homeTeam]], _xlfn._xlws.FILTER(Teams[name], (Fixtures[[#This Row],[userTeamID]] = Teams[teamID])*(Teams[relevant])))) &gt; 0, "H", "A"))</f>
        <v>H</v>
      </c>
      <c r="AA15" s="58" t="str">
        <f>IF(Fixtures[[#This Row],[userSide]] = "N/A", "N/A", IF(Fixtures[[#This Row],[userSide]] = "H", Fixtures[[#This Row],[awayTeam]], Fixtures[[#This Row],[homeTeam]]))</f>
        <v>St. Pats</v>
      </c>
      <c r="AB15" s="58" t="str" cm="1">
        <f t="array" ref="AB15">_xlfn._xlws.FILTER(Teams[teamID], Fixtures[[#This Row],[oppTeam]] = Teams[name], "N/A")</f>
        <v>C-IRE-STPATS</v>
      </c>
      <c r="AC15" s="58" t="str" cm="1">
        <f t="array" ref="AC15">_xlfn._xlws.FILTER(Teams[teamType], Fixtures[[#This Row],[oppTeam]] = Teams[name], "N/A")</f>
        <v>Club</v>
      </c>
      <c r="AD15" s="58">
        <f>IF(ISBLANK(Fixtures[[#This Row],[date]]), "N/A", IF(Fixtures[[#This Row],[userSide]]="H", Fixtures[[#This Row],[homeScore]], Fixtures[[#This Row],[awayScore]]))</f>
        <v>5</v>
      </c>
      <c r="AE15" s="58">
        <f>IF(ISBLANK(Fixtures[[#This Row],[date]]), "N/A", IF(Fixtures[[#This Row],[userScore]] = Fixtures[[#This Row],[homeScore]], Fixtures[[#This Row],[awayScore]], Fixtures[[#This Row],[homeScore]]))</f>
        <v>1</v>
      </c>
      <c r="AF15" s="58" t="b">
        <f>NOT(AND(ISBLANK(Fixtures[[#This Row],[homePens]]), ISBLANK(Fixtures[[#This Row],[awayPens]])))</f>
        <v>0</v>
      </c>
      <c r="AG15" s="58" t="str">
        <f>IF(Fixtures[[#This Row],[penalties]], IF(Fixtures[[#This Row],[userSide]]="H", Fixtures[[#This Row],[homePens]], Fixtures[[#This Row],[awayPens]]), "N/A")</f>
        <v>N/A</v>
      </c>
      <c r="AH15" s="58" t="str">
        <f>IF(Fixtures[[#This Row],[penalties]], IF(Fixtures[[#This Row],[userPens]]=Fixtures[[#This Row],[homePens]],Fixtures[[#This Row],[awayPens]],Fixtures[[#This Row],[homePens]]), "N/A")</f>
        <v>N/A</v>
      </c>
      <c r="AI15" s="58" t="b">
        <f>COUNTBLANK(Fixtures[[#This Row],[G]:[MOTM]]) = 0</f>
        <v>1</v>
      </c>
      <c r="AJ15" s="58">
        <f>IF(Fixtures[[#This Row],[APP]], Fixtures[[#This Row],[G]]+Fixtures[[#This Row],[A]], "N/A")</f>
        <v>1</v>
      </c>
      <c r="AK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5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[2023-09-21] KRC Genk vs. St. Pats (5-1) - UEFA Europa Conference League</v>
      </c>
      <c r="AN15" s="59"/>
    </row>
    <row r="16" spans="1:40" s="60" customFormat="1" ht="13">
      <c r="A16" s="55">
        <v>45193</v>
      </c>
      <c r="B16" s="55" t="s">
        <v>108</v>
      </c>
      <c r="C16" s="56" t="s">
        <v>108</v>
      </c>
      <c r="D16" s="56" t="s">
        <v>108</v>
      </c>
      <c r="E16" s="56" t="s">
        <v>108</v>
      </c>
      <c r="F16" s="56" t="s">
        <v>116</v>
      </c>
      <c r="G16" s="56" t="s">
        <v>136</v>
      </c>
      <c r="H16" s="56" t="s">
        <v>110</v>
      </c>
      <c r="I16" s="56">
        <v>0</v>
      </c>
      <c r="J16" s="56">
        <v>2</v>
      </c>
      <c r="K16" s="56"/>
      <c r="L16" s="56"/>
      <c r="M16" s="56">
        <v>0</v>
      </c>
      <c r="N16" s="56">
        <v>0</v>
      </c>
      <c r="O16" s="56">
        <v>0</v>
      </c>
      <c r="P16" s="56">
        <v>0</v>
      </c>
      <c r="Q16" s="57">
        <v>7.4</v>
      </c>
      <c r="R16" s="56" t="b">
        <v>0</v>
      </c>
      <c r="S16" s="58" t="str" cm="1">
        <f t="array" ref="S16">_xlfn._xlws.FILTER(Competitions[compType], (Fixtures[[#This Row],[competition]] = Competitions[name]), "N/A")</f>
        <v>Domestic League</v>
      </c>
      <c r="T16" s="58" t="b" cm="1">
        <f t="array" ref="T16">_xlfn._xlws.FILTER(Competitions[exhibition], (Fixtures[[#This Row],[competition]] = Competitions[name]), "N/A")</f>
        <v>0</v>
      </c>
      <c r="U16" s="58" t="str" cm="1">
        <f t="array" ref="U16">_xlfn._xlws.FILTER(Competitions[compID], (Fixtures[[#This Row],[competition]] = Competitions[name]), "N/A")</f>
        <v>DL-OF-1APROLEAGUE</v>
      </c>
      <c r="V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6" s="58" t="str" cm="1">
        <f t="array" ref="W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6" s="58" t="str" cm="1">
        <f t="array" ref="X16">_xlfn._xlws.FILTER(Teams[name], (Fixtures[[#This Row],[userTeamID]] = Teams[teamID]), "N/A")</f>
        <v>KRC Genk</v>
      </c>
      <c r="Y16" s="58" t="str" cm="1">
        <f t="array" ref="Y16">_xlfn._xlws.FILTER(Teams[teamType], (Fixtures[[#This Row],[userTeamID]] = Teams[teamID]), "N/A")</f>
        <v>Club</v>
      </c>
      <c r="Z16" s="58" t="str" cm="1">
        <f t="array" ref="Z16">IF(Fixtures[[#This Row],[userTeamID]] = "N/A", "N/A", IF(SUM(COUNTIF(Fixtures[[#This Row],[homeTeam]], _xlfn._xlws.FILTER(Teams[name], (Fixtures[[#This Row],[userTeamID]] = Teams[teamID])*(Teams[relevant])))) &gt; 0, "H", "A"))</f>
        <v>A</v>
      </c>
      <c r="AA16" s="58" t="str">
        <f>IF(Fixtures[[#This Row],[userSide]] = "N/A", "N/A", IF(Fixtures[[#This Row],[userSide]] = "H", Fixtures[[#This Row],[awayTeam]], Fixtures[[#This Row],[homeTeam]]))</f>
        <v>Cercle Brugge</v>
      </c>
      <c r="AB16" s="58" t="str" cm="1">
        <f t="array" ref="AB16">_xlfn._xlws.FILTER(Teams[teamID], Fixtures[[#This Row],[oppTeam]] = Teams[name], "N/A")</f>
        <v>C-BEL-CERCLEBRUGGE</v>
      </c>
      <c r="AC16" s="58" t="str" cm="1">
        <f t="array" ref="AC16">_xlfn._xlws.FILTER(Teams[teamType], Fixtures[[#This Row],[oppTeam]] = Teams[name], "N/A")</f>
        <v>Club</v>
      </c>
      <c r="AD16" s="58">
        <f>IF(ISBLANK(Fixtures[[#This Row],[date]]), "N/A", IF(Fixtures[[#This Row],[userSide]]="H", Fixtures[[#This Row],[homeScore]], Fixtures[[#This Row],[awayScore]]))</f>
        <v>2</v>
      </c>
      <c r="AE16" s="58">
        <f>IF(ISBLANK(Fixtures[[#This Row],[date]]), "N/A", IF(Fixtures[[#This Row],[userScore]] = Fixtures[[#This Row],[homeScore]], Fixtures[[#This Row],[awayScore]], Fixtures[[#This Row],[homeScore]]))</f>
        <v>0</v>
      </c>
      <c r="AF16" s="58" t="b">
        <f>NOT(AND(ISBLANK(Fixtures[[#This Row],[homePens]]), ISBLANK(Fixtures[[#This Row],[awayPens]])))</f>
        <v>0</v>
      </c>
      <c r="AG16" s="58" t="str">
        <f>IF(Fixtures[[#This Row],[penalties]], IF(Fixtures[[#This Row],[userSide]]="H", Fixtures[[#This Row],[homePens]], Fixtures[[#This Row],[awayPens]]), "N/A")</f>
        <v>N/A</v>
      </c>
      <c r="AH16" s="58" t="str">
        <f>IF(Fixtures[[#This Row],[penalties]], IF(Fixtures[[#This Row],[userPens]]=Fixtures[[#This Row],[homePens]],Fixtures[[#This Row],[awayPens]],Fixtures[[#This Row],[homePens]]), "N/A")</f>
        <v>N/A</v>
      </c>
      <c r="AI16" s="58" t="b">
        <f>COUNTBLANK(Fixtures[[#This Row],[G]:[MOTM]]) = 0</f>
        <v>1</v>
      </c>
      <c r="AJ16" s="58">
        <f>IF(Fixtures[[#This Row],[APP]], Fixtures[[#This Row],[G]]+Fixtures[[#This Row],[A]], "N/A")</f>
        <v>0</v>
      </c>
      <c r="AK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6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[2023-09-24] Cercle Brugge vs. KRC Genk (0-2) - 1A Pro League</v>
      </c>
      <c r="AN16" s="59" t="s">
        <v>137</v>
      </c>
    </row>
    <row r="17" spans="1:40" s="60" customFormat="1" ht="13">
      <c r="A17" s="55">
        <v>45199</v>
      </c>
      <c r="B17" s="55" t="s">
        <v>108</v>
      </c>
      <c r="C17" s="56" t="s">
        <v>108</v>
      </c>
      <c r="D17" s="56" t="s">
        <v>115</v>
      </c>
      <c r="E17" s="56" t="s">
        <v>108</v>
      </c>
      <c r="F17" s="56" t="s">
        <v>116</v>
      </c>
      <c r="G17" s="56" t="s">
        <v>110</v>
      </c>
      <c r="H17" s="56" t="s">
        <v>138</v>
      </c>
      <c r="I17" s="56">
        <v>1</v>
      </c>
      <c r="J17" s="56">
        <v>0</v>
      </c>
      <c r="K17" s="56"/>
      <c r="L17" s="56"/>
      <c r="M17" s="56">
        <v>1</v>
      </c>
      <c r="N17" s="56">
        <v>0</v>
      </c>
      <c r="O17" s="56">
        <v>0</v>
      </c>
      <c r="P17" s="56">
        <v>0</v>
      </c>
      <c r="Q17" s="57">
        <v>7.3</v>
      </c>
      <c r="R17" s="56" t="b">
        <v>1</v>
      </c>
      <c r="S17" s="58" t="str" cm="1">
        <f t="array" ref="S17">_xlfn._xlws.FILTER(Competitions[compType], (Fixtures[[#This Row],[competition]] = Competitions[name]), "N/A")</f>
        <v>Domestic League</v>
      </c>
      <c r="T17" s="58" t="b" cm="1">
        <f t="array" ref="T17">_xlfn._xlws.FILTER(Competitions[exhibition], (Fixtures[[#This Row],[competition]] = Competitions[name]), "N/A")</f>
        <v>0</v>
      </c>
      <c r="U17" s="58" t="str" cm="1">
        <f t="array" ref="U17">_xlfn._xlws.FILTER(Competitions[compID], (Fixtures[[#This Row],[competition]] = Competitions[name]), "N/A")</f>
        <v>DL-OF-1APROLEAGUE</v>
      </c>
      <c r="V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7" s="58" t="str" cm="1">
        <f t="array" ref="W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7" s="58" t="str" cm="1">
        <f t="array" ref="X17">_xlfn._xlws.FILTER(Teams[name], (Fixtures[[#This Row],[userTeamID]] = Teams[teamID]), "N/A")</f>
        <v>KRC Genk</v>
      </c>
      <c r="Y17" s="58" t="str" cm="1">
        <f t="array" ref="Y17">_xlfn._xlws.FILTER(Teams[teamType], (Fixtures[[#This Row],[userTeamID]] = Teams[teamID]), "N/A")</f>
        <v>Club</v>
      </c>
      <c r="Z17" s="58" t="str" cm="1">
        <f t="array" ref="Z17">IF(Fixtures[[#This Row],[userTeamID]] = "N/A", "N/A", IF(SUM(COUNTIF(Fixtures[[#This Row],[homeTeam]], _xlfn._xlws.FILTER(Teams[name], (Fixtures[[#This Row],[userTeamID]] = Teams[teamID])*(Teams[relevant])))) &gt; 0, "H", "A"))</f>
        <v>H</v>
      </c>
      <c r="AA17" s="58" t="str">
        <f>IF(Fixtures[[#This Row],[userSide]] = "N/A", "N/A", IF(Fixtures[[#This Row],[userSide]] = "H", Fixtures[[#This Row],[awayTeam]], Fixtures[[#This Row],[homeTeam]]))</f>
        <v>KV Kortrijk</v>
      </c>
      <c r="AB17" s="58" t="str" cm="1">
        <f t="array" ref="AB17">_xlfn._xlws.FILTER(Teams[teamID], Fixtures[[#This Row],[oppTeam]] = Teams[name], "N/A")</f>
        <v>C-BEL-KVKORTRIJK</v>
      </c>
      <c r="AC17" s="58" t="str" cm="1">
        <f t="array" ref="AC17">_xlfn._xlws.FILTER(Teams[teamType], Fixtures[[#This Row],[oppTeam]] = Teams[name], "N/A")</f>
        <v>Club</v>
      </c>
      <c r="AD17" s="58">
        <f>IF(ISBLANK(Fixtures[[#This Row],[date]]), "N/A", IF(Fixtures[[#This Row],[userSide]]="H", Fixtures[[#This Row],[homeScore]], Fixtures[[#This Row],[awayScore]]))</f>
        <v>1</v>
      </c>
      <c r="AE17" s="58">
        <f>IF(ISBLANK(Fixtures[[#This Row],[date]]), "N/A", IF(Fixtures[[#This Row],[userScore]] = Fixtures[[#This Row],[homeScore]], Fixtures[[#This Row],[awayScore]], Fixtures[[#This Row],[homeScore]]))</f>
        <v>0</v>
      </c>
      <c r="AF17" s="58" t="b">
        <f>NOT(AND(ISBLANK(Fixtures[[#This Row],[homePens]]), ISBLANK(Fixtures[[#This Row],[awayPens]])))</f>
        <v>0</v>
      </c>
      <c r="AG17" s="58" t="str">
        <f>IF(Fixtures[[#This Row],[penalties]], IF(Fixtures[[#This Row],[userSide]]="H", Fixtures[[#This Row],[homePens]], Fixtures[[#This Row],[awayPens]]), "N/A")</f>
        <v>N/A</v>
      </c>
      <c r="AH17" s="58" t="str">
        <f>IF(Fixtures[[#This Row],[penalties]], IF(Fixtures[[#This Row],[userPens]]=Fixtures[[#This Row],[homePens]],Fixtures[[#This Row],[awayPens]],Fixtures[[#This Row],[homePens]]), "N/A")</f>
        <v>N/A</v>
      </c>
      <c r="AI17" s="58" t="b">
        <f>COUNTBLANK(Fixtures[[#This Row],[G]:[MOTM]]) = 0</f>
        <v>1</v>
      </c>
      <c r="AJ17" s="58">
        <f>IF(Fixtures[[#This Row],[APP]], Fixtures[[#This Row],[G]]+Fixtures[[#This Row],[A]], "N/A")</f>
        <v>1</v>
      </c>
      <c r="AK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[2023-09-30] KRC Genk vs. KV Kortrijk (1-0) - 1A Pro League</v>
      </c>
      <c r="AN17" s="59"/>
    </row>
    <row r="18" spans="1:40" s="60" customFormat="1" ht="13">
      <c r="A18" s="55">
        <v>45204</v>
      </c>
      <c r="B18" s="55" t="s">
        <v>108</v>
      </c>
      <c r="C18" s="56" t="s">
        <v>108</v>
      </c>
      <c r="D18" s="56" t="s">
        <v>108</v>
      </c>
      <c r="E18" s="56" t="s">
        <v>108</v>
      </c>
      <c r="F18" s="56" t="s">
        <v>134</v>
      </c>
      <c r="G18" s="56" t="s">
        <v>139</v>
      </c>
      <c r="H18" s="56" t="s">
        <v>110</v>
      </c>
      <c r="I18" s="56">
        <v>3</v>
      </c>
      <c r="J18" s="56">
        <v>1</v>
      </c>
      <c r="K18" s="56"/>
      <c r="L18" s="56"/>
      <c r="M18" s="56">
        <v>0</v>
      </c>
      <c r="N18" s="56">
        <v>0</v>
      </c>
      <c r="O18" s="56">
        <v>0</v>
      </c>
      <c r="P18" s="56">
        <v>0</v>
      </c>
      <c r="Q18" s="57">
        <v>5.9</v>
      </c>
      <c r="R18" s="56" t="b">
        <v>0</v>
      </c>
      <c r="S18" s="58" t="str" cm="1">
        <f t="array" ref="S18">_xlfn._xlws.FILTER(Competitions[compType], (Fixtures[[#This Row],[competition]] = Competitions[name]), "N/A")</f>
        <v>Continental Cup</v>
      </c>
      <c r="T18" s="58" t="b" cm="1">
        <f t="array" ref="T18">_xlfn._xlws.FILTER(Competitions[exhibition], (Fixtures[[#This Row],[competition]] = Competitions[name]), "N/A")</f>
        <v>0</v>
      </c>
      <c r="U18" s="58" t="str" cm="1">
        <f t="array" ref="U18">_xlfn._xlws.FILTER(Competitions[compID], (Fixtures[[#This Row],[competition]] = Competitions[name]), "N/A")</f>
        <v>CC-OF-UEFAEUROPACONFERENCELEAGUE</v>
      </c>
      <c r="V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8" s="58" t="str" cm="1">
        <f t="array" ref="W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8" s="58" t="str" cm="1">
        <f t="array" ref="X18">_xlfn._xlws.FILTER(Teams[name], (Fixtures[[#This Row],[userTeamID]] = Teams[teamID]), "N/A")</f>
        <v>KRC Genk</v>
      </c>
      <c r="Y18" s="58" t="str" cm="1">
        <f t="array" ref="Y18">_xlfn._xlws.FILTER(Teams[teamType], (Fixtures[[#This Row],[userTeamID]] = Teams[teamID]), "N/A")</f>
        <v>Club</v>
      </c>
      <c r="Z18" s="58" t="str" cm="1">
        <f t="array" ref="Z18">IF(Fixtures[[#This Row],[userTeamID]] = "N/A", "N/A", IF(SUM(COUNTIF(Fixtures[[#This Row],[homeTeam]], _xlfn._xlws.FILTER(Teams[name], (Fixtures[[#This Row],[userTeamID]] = Teams[teamID])*(Teams[relevant])))) &gt; 0, "H", "A"))</f>
        <v>A</v>
      </c>
      <c r="AA18" s="58" t="str">
        <f>IF(Fixtures[[#This Row],[userSide]] = "N/A", "N/A", IF(Fixtures[[#This Row],[userSide]] = "H", Fixtures[[#This Row],[awayTeam]], Fixtures[[#This Row],[homeTeam]]))</f>
        <v>Fiorentina</v>
      </c>
      <c r="AB18" s="58" t="str" cm="1">
        <f t="array" ref="AB18">_xlfn._xlws.FILTER(Teams[teamID], Fixtures[[#This Row],[oppTeam]] = Teams[name], "N/A")</f>
        <v>C-ITA-FIORENTINA</v>
      </c>
      <c r="AC18" s="58" t="str" cm="1">
        <f t="array" ref="AC18">_xlfn._xlws.FILTER(Teams[teamType], Fixtures[[#This Row],[oppTeam]] = Teams[name], "N/A")</f>
        <v>Club</v>
      </c>
      <c r="AD18" s="58">
        <f>IF(ISBLANK(Fixtures[[#This Row],[date]]), "N/A", IF(Fixtures[[#This Row],[userSide]]="H", Fixtures[[#This Row],[homeScore]], Fixtures[[#This Row],[awayScore]]))</f>
        <v>1</v>
      </c>
      <c r="AE18" s="58">
        <f>IF(ISBLANK(Fixtures[[#This Row],[date]]), "N/A", IF(Fixtures[[#This Row],[userScore]] = Fixtures[[#This Row],[homeScore]], Fixtures[[#This Row],[awayScore]], Fixtures[[#This Row],[homeScore]]))</f>
        <v>3</v>
      </c>
      <c r="AF18" s="58" t="b">
        <f>NOT(AND(ISBLANK(Fixtures[[#This Row],[homePens]]), ISBLANK(Fixtures[[#This Row],[awayPens]])))</f>
        <v>0</v>
      </c>
      <c r="AG18" s="58" t="str">
        <f>IF(Fixtures[[#This Row],[penalties]], IF(Fixtures[[#This Row],[userSide]]="H", Fixtures[[#This Row],[homePens]], Fixtures[[#This Row],[awayPens]]), "N/A")</f>
        <v>N/A</v>
      </c>
      <c r="AH18" s="58" t="str">
        <f>IF(Fixtures[[#This Row],[penalties]], IF(Fixtures[[#This Row],[userPens]]=Fixtures[[#This Row],[homePens]],Fixtures[[#This Row],[awayPens]],Fixtures[[#This Row],[homePens]]), "N/A")</f>
        <v>N/A</v>
      </c>
      <c r="AI18" s="58" t="b">
        <f>COUNTBLANK(Fixtures[[#This Row],[G]:[MOTM]]) = 0</f>
        <v>1</v>
      </c>
      <c r="AJ18" s="58">
        <f>IF(Fixtures[[#This Row],[APP]], Fixtures[[#This Row],[G]]+Fixtures[[#This Row],[A]], "N/A")</f>
        <v>0</v>
      </c>
      <c r="AK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8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[2023-10-05] Fiorentina vs. KRC Genk (3-1) - UEFA Europa Conference League</v>
      </c>
      <c r="AN18" s="59"/>
    </row>
    <row r="19" spans="1:40" s="60" customFormat="1" ht="13">
      <c r="A19" s="55">
        <v>45207</v>
      </c>
      <c r="B19" s="55" t="s">
        <v>108</v>
      </c>
      <c r="C19" s="56" t="s">
        <v>108</v>
      </c>
      <c r="D19" s="56" t="s">
        <v>108</v>
      </c>
      <c r="E19" s="56" t="s">
        <v>108</v>
      </c>
      <c r="F19" s="56" t="s">
        <v>116</v>
      </c>
      <c r="G19" s="56" t="s">
        <v>140</v>
      </c>
      <c r="H19" s="56" t="s">
        <v>110</v>
      </c>
      <c r="I19" s="56">
        <v>1</v>
      </c>
      <c r="J19" s="56">
        <v>1</v>
      </c>
      <c r="K19" s="56"/>
      <c r="L19" s="56"/>
      <c r="M19" s="56">
        <v>1</v>
      </c>
      <c r="N19" s="56">
        <v>0</v>
      </c>
      <c r="O19" s="56">
        <v>0</v>
      </c>
      <c r="P19" s="56">
        <v>0</v>
      </c>
      <c r="Q19" s="57">
        <v>7.2</v>
      </c>
      <c r="R19" s="56" t="b">
        <v>0</v>
      </c>
      <c r="S19" s="58" t="str" cm="1">
        <f t="array" ref="S19">_xlfn._xlws.FILTER(Competitions[compType], (Fixtures[[#This Row],[competition]] = Competitions[name]), "N/A")</f>
        <v>Domestic League</v>
      </c>
      <c r="T19" s="58" t="b" cm="1">
        <f t="array" ref="T19">_xlfn._xlws.FILTER(Competitions[exhibition], (Fixtures[[#This Row],[competition]] = Competitions[name]), "N/A")</f>
        <v>0</v>
      </c>
      <c r="U19" s="58" t="str" cm="1">
        <f t="array" ref="U19">_xlfn._xlws.FILTER(Competitions[compID], (Fixtures[[#This Row],[competition]] = Competitions[name]), "N/A")</f>
        <v>DL-OF-1APROLEAGUE</v>
      </c>
      <c r="V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19" s="58" t="str" cm="1">
        <f t="array" ref="W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19" s="58" t="str" cm="1">
        <f t="array" ref="X19">_xlfn._xlws.FILTER(Teams[name], (Fixtures[[#This Row],[userTeamID]] = Teams[teamID]), "N/A")</f>
        <v>KRC Genk</v>
      </c>
      <c r="Y19" s="58" t="str" cm="1">
        <f t="array" ref="Y19">_xlfn._xlws.FILTER(Teams[teamType], (Fixtures[[#This Row],[userTeamID]] = Teams[teamID]), "N/A")</f>
        <v>Club</v>
      </c>
      <c r="Z19" s="58" t="str" cm="1">
        <f t="array" ref="Z19">IF(Fixtures[[#This Row],[userTeamID]] = "N/A", "N/A", IF(SUM(COUNTIF(Fixtures[[#This Row],[homeTeam]], _xlfn._xlws.FILTER(Teams[name], (Fixtures[[#This Row],[userTeamID]] = Teams[teamID])*(Teams[relevant])))) &gt; 0, "H", "A"))</f>
        <v>A</v>
      </c>
      <c r="AA19" s="58" t="str">
        <f>IF(Fixtures[[#This Row],[userSide]] = "N/A", "N/A", IF(Fixtures[[#This Row],[userSide]] = "H", Fixtures[[#This Row],[awayTeam]], Fixtures[[#This Row],[homeTeam]]))</f>
        <v>KV Mechelen</v>
      </c>
      <c r="AB19" s="58" t="str" cm="1">
        <f t="array" ref="AB19">_xlfn._xlws.FILTER(Teams[teamID], Fixtures[[#This Row],[oppTeam]] = Teams[name], "N/A")</f>
        <v>C-BEL-KVMECHELEN</v>
      </c>
      <c r="AC19" s="58" t="str" cm="1">
        <f t="array" ref="AC19">_xlfn._xlws.FILTER(Teams[teamType], Fixtures[[#This Row],[oppTeam]] = Teams[name], "N/A")</f>
        <v>Club</v>
      </c>
      <c r="AD19" s="58">
        <f>IF(ISBLANK(Fixtures[[#This Row],[date]]), "N/A", IF(Fixtures[[#This Row],[userSide]]="H", Fixtures[[#This Row],[homeScore]], Fixtures[[#This Row],[awayScore]]))</f>
        <v>1</v>
      </c>
      <c r="AE19" s="58">
        <f>IF(ISBLANK(Fixtures[[#This Row],[date]]), "N/A", IF(Fixtures[[#This Row],[userScore]] = Fixtures[[#This Row],[homeScore]], Fixtures[[#This Row],[awayScore]], Fixtures[[#This Row],[homeScore]]))</f>
        <v>1</v>
      </c>
      <c r="AF19" s="58" t="b">
        <f>NOT(AND(ISBLANK(Fixtures[[#This Row],[homePens]]), ISBLANK(Fixtures[[#This Row],[awayPens]])))</f>
        <v>0</v>
      </c>
      <c r="AG19" s="58" t="str">
        <f>IF(Fixtures[[#This Row],[penalties]], IF(Fixtures[[#This Row],[userSide]]="H", Fixtures[[#This Row],[homePens]], Fixtures[[#This Row],[awayPens]]), "N/A")</f>
        <v>N/A</v>
      </c>
      <c r="AH19" s="58" t="str">
        <f>IF(Fixtures[[#This Row],[penalties]], IF(Fixtures[[#This Row],[userPens]]=Fixtures[[#This Row],[homePens]],Fixtures[[#This Row],[awayPens]],Fixtures[[#This Row],[homePens]]), "N/A")</f>
        <v>N/A</v>
      </c>
      <c r="AI19" s="58" t="b">
        <f>COUNTBLANK(Fixtures[[#This Row],[G]:[MOTM]]) = 0</f>
        <v>1</v>
      </c>
      <c r="AJ19" s="58">
        <f>IF(Fixtures[[#This Row],[APP]], Fixtures[[#This Row],[G]]+Fixtures[[#This Row],[A]], "N/A")</f>
        <v>1</v>
      </c>
      <c r="AK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[2023-10-08] KV Mechelen vs. KRC Genk (1-1) - 1A Pro League</v>
      </c>
      <c r="AN19" s="59"/>
    </row>
    <row r="20" spans="1:40" s="60" customFormat="1" ht="13">
      <c r="A20" s="55">
        <v>45212</v>
      </c>
      <c r="B20" s="55" t="s">
        <v>108</v>
      </c>
      <c r="C20" s="56" t="s">
        <v>108</v>
      </c>
      <c r="D20" s="56" t="s">
        <v>141</v>
      </c>
      <c r="E20" s="56" t="s">
        <v>108</v>
      </c>
      <c r="F20" s="56" t="s">
        <v>128</v>
      </c>
      <c r="G20" s="56" t="s">
        <v>142</v>
      </c>
      <c r="H20" s="56" t="s">
        <v>16</v>
      </c>
      <c r="I20" s="56">
        <v>0</v>
      </c>
      <c r="J20" s="56">
        <v>1</v>
      </c>
      <c r="K20" s="56"/>
      <c r="L20" s="56"/>
      <c r="M20" s="56">
        <v>0</v>
      </c>
      <c r="N20" s="56">
        <v>1</v>
      </c>
      <c r="O20" s="56">
        <v>0</v>
      </c>
      <c r="P20" s="56">
        <v>0</v>
      </c>
      <c r="Q20" s="57">
        <v>7</v>
      </c>
      <c r="R20" s="56" t="b">
        <v>0</v>
      </c>
      <c r="S20" s="58" t="str" cm="1">
        <f t="array" ref="S20">_xlfn._xlws.FILTER(Competitions[compType], (Fixtures[[#This Row],[competition]] = Competitions[name]), "N/A")</f>
        <v>International Friendly</v>
      </c>
      <c r="T20" s="58" t="b" cm="1">
        <f t="array" ref="T20">_xlfn._xlws.FILTER(Competitions[exhibition], (Fixtures[[#This Row],[competition]] = Competitions[name]), "N/A")</f>
        <v>1</v>
      </c>
      <c r="U20" s="58" t="str" cm="1">
        <f t="array" ref="U20">_xlfn._xlws.FILTER(Competitions[compID], (Fixtures[[#This Row],[competition]] = Competitions[name]), "N/A")</f>
        <v>IF-EX-INTERNATIONALFRIENDLY</v>
      </c>
      <c r="V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0" s="58" t="str" cm="1">
        <f t="array" ref="W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20" s="58" t="str" cm="1">
        <f t="array" ref="X20">_xlfn._xlws.FILTER(Teams[name], (Fixtures[[#This Row],[userTeamID]] = Teams[teamID]), "N/A")</f>
        <v>United States</v>
      </c>
      <c r="Y20" s="58" t="str" cm="1">
        <f t="array" ref="Y20">_xlfn._xlws.FILTER(Teams[teamType], (Fixtures[[#This Row],[userTeamID]] = Teams[teamID]), "N/A")</f>
        <v>National</v>
      </c>
      <c r="Z20" s="58" t="str" cm="1">
        <f t="array" ref="Z20">IF(Fixtures[[#This Row],[userTeamID]] = "N/A", "N/A", IF(SUM(COUNTIF(Fixtures[[#This Row],[homeTeam]], _xlfn._xlws.FILTER(Teams[name], (Fixtures[[#This Row],[userTeamID]] = Teams[teamID])*(Teams[relevant])))) &gt; 0, "H", "A"))</f>
        <v>A</v>
      </c>
      <c r="AA20" s="58" t="str">
        <f>IF(Fixtures[[#This Row],[userSide]] = "N/A", "N/A", IF(Fixtures[[#This Row],[userSide]] = "H", Fixtures[[#This Row],[awayTeam]], Fixtures[[#This Row],[homeTeam]]))</f>
        <v>Finland</v>
      </c>
      <c r="AB20" s="58" t="str" cm="1">
        <f t="array" ref="AB20">_xlfn._xlws.FILTER(Teams[teamID], Fixtures[[#This Row],[oppTeam]] = Teams[name], "N/A")</f>
        <v>N-FIN-FINLAND</v>
      </c>
      <c r="AC20" s="58" t="str" cm="1">
        <f t="array" ref="AC20">_xlfn._xlws.FILTER(Teams[teamType], Fixtures[[#This Row],[oppTeam]] = Teams[name], "N/A")</f>
        <v>National</v>
      </c>
      <c r="AD20" s="58">
        <f>IF(ISBLANK(Fixtures[[#This Row],[date]]), "N/A", IF(Fixtures[[#This Row],[userSide]]="H", Fixtures[[#This Row],[homeScore]], Fixtures[[#This Row],[awayScore]]))</f>
        <v>1</v>
      </c>
      <c r="AE20" s="58">
        <f>IF(ISBLANK(Fixtures[[#This Row],[date]]), "N/A", IF(Fixtures[[#This Row],[userScore]] = Fixtures[[#This Row],[homeScore]], Fixtures[[#This Row],[awayScore]], Fixtures[[#This Row],[homeScore]]))</f>
        <v>0</v>
      </c>
      <c r="AF20" s="58" t="b">
        <f>NOT(AND(ISBLANK(Fixtures[[#This Row],[homePens]]), ISBLANK(Fixtures[[#This Row],[awayPens]])))</f>
        <v>0</v>
      </c>
      <c r="AG20" s="58" t="str">
        <f>IF(Fixtures[[#This Row],[penalties]], IF(Fixtures[[#This Row],[userSide]]="H", Fixtures[[#This Row],[homePens]], Fixtures[[#This Row],[awayPens]]), "N/A")</f>
        <v>N/A</v>
      </c>
      <c r="AH20" s="58" t="str">
        <f>IF(Fixtures[[#This Row],[penalties]], IF(Fixtures[[#This Row],[userPens]]=Fixtures[[#This Row],[homePens]],Fixtures[[#This Row],[awayPens]],Fixtures[[#This Row],[homePens]]), "N/A")</f>
        <v>N/A</v>
      </c>
      <c r="AI20" s="58" t="b">
        <f>COUNTBLANK(Fixtures[[#This Row],[G]:[MOTM]]) = 0</f>
        <v>1</v>
      </c>
      <c r="AJ20" s="58">
        <f>IF(Fixtures[[#This Row],[APP]], Fixtures[[#This Row],[G]]+Fixtures[[#This Row],[A]], "N/A")</f>
        <v>1</v>
      </c>
      <c r="AK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2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[2023-10-13] Finland vs. United States (0-1) - International Friendly</v>
      </c>
      <c r="AN20" s="59" t="s">
        <v>143</v>
      </c>
    </row>
    <row r="21" spans="1:40" s="60" customFormat="1" ht="13">
      <c r="A21" s="55">
        <v>45216</v>
      </c>
      <c r="B21" s="55" t="s">
        <v>108</v>
      </c>
      <c r="C21" s="56" t="s">
        <v>108</v>
      </c>
      <c r="D21" s="56" t="s">
        <v>127</v>
      </c>
      <c r="E21" s="56" t="s">
        <v>108</v>
      </c>
      <c r="F21" s="56" t="s">
        <v>128</v>
      </c>
      <c r="G21" s="56" t="s">
        <v>16</v>
      </c>
      <c r="H21" s="56" t="s">
        <v>144</v>
      </c>
      <c r="I21" s="56">
        <v>0</v>
      </c>
      <c r="J21" s="56">
        <v>1</v>
      </c>
      <c r="K21" s="56"/>
      <c r="L21" s="56"/>
      <c r="M21" s="56">
        <v>0</v>
      </c>
      <c r="N21" s="56">
        <v>0</v>
      </c>
      <c r="O21" s="56">
        <v>0</v>
      </c>
      <c r="P21" s="56">
        <v>0</v>
      </c>
      <c r="Q21" s="57">
        <v>6.6</v>
      </c>
      <c r="R21" s="56" t="b">
        <v>0</v>
      </c>
      <c r="S21" s="58" t="str" cm="1">
        <f t="array" ref="S21">_xlfn._xlws.FILTER(Competitions[compType], (Fixtures[[#This Row],[competition]] = Competitions[name]), "N/A")</f>
        <v>International Friendly</v>
      </c>
      <c r="T21" s="58" t="b" cm="1">
        <f t="array" ref="T21">_xlfn._xlws.FILTER(Competitions[exhibition], (Fixtures[[#This Row],[competition]] = Competitions[name]), "N/A")</f>
        <v>1</v>
      </c>
      <c r="U21" s="58" t="str" cm="1">
        <f t="array" ref="U21">_xlfn._xlws.FILTER(Competitions[compID], (Fixtures[[#This Row],[competition]] = Competitions[name]), "N/A")</f>
        <v>IF-EX-INTERNATIONALFRIENDLY</v>
      </c>
      <c r="V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1" s="58" t="str" cm="1">
        <f t="array" ref="W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21" s="58" t="str" cm="1">
        <f t="array" ref="X21">_xlfn._xlws.FILTER(Teams[name], (Fixtures[[#This Row],[userTeamID]] = Teams[teamID]), "N/A")</f>
        <v>United States</v>
      </c>
      <c r="Y21" s="58" t="str" cm="1">
        <f t="array" ref="Y21">_xlfn._xlws.FILTER(Teams[teamType], (Fixtures[[#This Row],[userTeamID]] = Teams[teamID]), "N/A")</f>
        <v>National</v>
      </c>
      <c r="Z21" s="58" t="str" cm="1">
        <f t="array" ref="Z21">IF(Fixtures[[#This Row],[userTeamID]] = "N/A", "N/A", IF(SUM(COUNTIF(Fixtures[[#This Row],[homeTeam]], _xlfn._xlws.FILTER(Teams[name], (Fixtures[[#This Row],[userTeamID]] = Teams[teamID])*(Teams[relevant])))) &gt; 0, "H", "A"))</f>
        <v>H</v>
      </c>
      <c r="AA21" s="58" t="str">
        <f>IF(Fixtures[[#This Row],[userSide]] = "N/A", "N/A", IF(Fixtures[[#This Row],[userSide]] = "H", Fixtures[[#This Row],[awayTeam]], Fixtures[[#This Row],[homeTeam]]))</f>
        <v>Belgium</v>
      </c>
      <c r="AB21" s="58" t="str" cm="1">
        <f t="array" ref="AB21">_xlfn._xlws.FILTER(Teams[teamID], Fixtures[[#This Row],[oppTeam]] = Teams[name], "N/A")</f>
        <v>N-BEL-BELGIUM</v>
      </c>
      <c r="AC21" s="58" t="str" cm="1">
        <f t="array" ref="AC21">_xlfn._xlws.FILTER(Teams[teamType], Fixtures[[#This Row],[oppTeam]] = Teams[name], "N/A")</f>
        <v>National</v>
      </c>
      <c r="AD21" s="58">
        <f>IF(ISBLANK(Fixtures[[#This Row],[date]]), "N/A", IF(Fixtures[[#This Row],[userSide]]="H", Fixtures[[#This Row],[homeScore]], Fixtures[[#This Row],[awayScore]]))</f>
        <v>0</v>
      </c>
      <c r="AE21" s="58">
        <f>IF(ISBLANK(Fixtures[[#This Row],[date]]), "N/A", IF(Fixtures[[#This Row],[userScore]] = Fixtures[[#This Row],[homeScore]], Fixtures[[#This Row],[awayScore]], Fixtures[[#This Row],[homeScore]]))</f>
        <v>1</v>
      </c>
      <c r="AF21" s="58" t="b">
        <f>NOT(AND(ISBLANK(Fixtures[[#This Row],[homePens]]), ISBLANK(Fixtures[[#This Row],[awayPens]])))</f>
        <v>0</v>
      </c>
      <c r="AG21" s="58" t="str">
        <f>IF(Fixtures[[#This Row],[penalties]], IF(Fixtures[[#This Row],[userSide]]="H", Fixtures[[#This Row],[homePens]], Fixtures[[#This Row],[awayPens]]), "N/A")</f>
        <v>N/A</v>
      </c>
      <c r="AH21" s="58" t="str">
        <f>IF(Fixtures[[#This Row],[penalties]], IF(Fixtures[[#This Row],[userPens]]=Fixtures[[#This Row],[homePens]],Fixtures[[#This Row],[awayPens]],Fixtures[[#This Row],[homePens]]), "N/A")</f>
        <v>N/A</v>
      </c>
      <c r="AI21" s="58" t="b">
        <f>COUNTBLANK(Fixtures[[#This Row],[G]:[MOTM]]) = 0</f>
        <v>1</v>
      </c>
      <c r="AJ21" s="58">
        <f>IF(Fixtures[[#This Row],[APP]], Fixtures[[#This Row],[G]]+Fixtures[[#This Row],[A]], "N/A")</f>
        <v>0</v>
      </c>
      <c r="AK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2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[2023-10-17] United States vs. Belgium (0-1) - International Friendly</v>
      </c>
      <c r="AN21" s="59"/>
    </row>
    <row r="22" spans="1:40" s="60" customFormat="1" ht="13">
      <c r="A22" s="55">
        <v>45221</v>
      </c>
      <c r="B22" s="55" t="s">
        <v>108</v>
      </c>
      <c r="C22" s="56" t="s">
        <v>108</v>
      </c>
      <c r="D22" s="56" t="s">
        <v>115</v>
      </c>
      <c r="E22" s="56" t="s">
        <v>108</v>
      </c>
      <c r="F22" s="56" t="s">
        <v>116</v>
      </c>
      <c r="G22" s="56" t="s">
        <v>110</v>
      </c>
      <c r="H22" s="56" t="s">
        <v>145</v>
      </c>
      <c r="I22" s="56">
        <v>2</v>
      </c>
      <c r="J22" s="56">
        <v>2</v>
      </c>
      <c r="K22" s="56"/>
      <c r="L22" s="56"/>
      <c r="M22" s="56">
        <v>0</v>
      </c>
      <c r="N22" s="56">
        <v>0</v>
      </c>
      <c r="O22" s="56">
        <v>0</v>
      </c>
      <c r="P22" s="56">
        <v>0</v>
      </c>
      <c r="Q22" s="57">
        <v>6.9</v>
      </c>
      <c r="R22" s="56" t="b">
        <v>0</v>
      </c>
      <c r="S22" s="58" t="str" cm="1">
        <f t="array" ref="S22">_xlfn._xlws.FILTER(Competitions[compType], (Fixtures[[#This Row],[competition]] = Competitions[name]), "N/A")</f>
        <v>Domestic League</v>
      </c>
      <c r="T22" s="58" t="b" cm="1">
        <f t="array" ref="T22">_xlfn._xlws.FILTER(Competitions[exhibition], (Fixtures[[#This Row],[competition]] = Competitions[name]), "N/A")</f>
        <v>0</v>
      </c>
      <c r="U22" s="58" t="str" cm="1">
        <f t="array" ref="U22">_xlfn._xlws.FILTER(Competitions[compID], (Fixtures[[#This Row],[competition]] = Competitions[name]), "N/A")</f>
        <v>DL-OF-1APROLEAGUE</v>
      </c>
      <c r="V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2" s="58" t="str" cm="1">
        <f t="array" ref="W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2" s="58" t="str" cm="1">
        <f t="array" ref="X22">_xlfn._xlws.FILTER(Teams[name], (Fixtures[[#This Row],[userTeamID]] = Teams[teamID]), "N/A")</f>
        <v>KRC Genk</v>
      </c>
      <c r="Y22" s="58" t="str" cm="1">
        <f t="array" ref="Y22">_xlfn._xlws.FILTER(Teams[teamType], (Fixtures[[#This Row],[userTeamID]] = Teams[teamID]), "N/A")</f>
        <v>Club</v>
      </c>
      <c r="Z22" s="58" t="str" cm="1">
        <f t="array" ref="Z22">IF(Fixtures[[#This Row],[userTeamID]] = "N/A", "N/A", IF(SUM(COUNTIF(Fixtures[[#This Row],[homeTeam]], _xlfn._xlws.FILTER(Teams[name], (Fixtures[[#This Row],[userTeamID]] = Teams[teamID])*(Teams[relevant])))) &gt; 0, "H", "A"))</f>
        <v>H</v>
      </c>
      <c r="AA22" s="58" t="str">
        <f>IF(Fixtures[[#This Row],[userSide]] = "N/A", "N/A", IF(Fixtures[[#This Row],[userSide]] = "H", Fixtures[[#This Row],[awayTeam]], Fixtures[[#This Row],[homeTeam]]))</f>
        <v>KAA Gent</v>
      </c>
      <c r="AB22" s="58" t="str" cm="1">
        <f t="array" ref="AB22">_xlfn._xlws.FILTER(Teams[teamID], Fixtures[[#This Row],[oppTeam]] = Teams[name], "N/A")</f>
        <v>C-BEL-KAAGENT</v>
      </c>
      <c r="AC22" s="58" t="str" cm="1">
        <f t="array" ref="AC22">_xlfn._xlws.FILTER(Teams[teamType], Fixtures[[#This Row],[oppTeam]] = Teams[name], "N/A")</f>
        <v>Club</v>
      </c>
      <c r="AD22" s="58">
        <f>IF(ISBLANK(Fixtures[[#This Row],[date]]), "N/A", IF(Fixtures[[#This Row],[userSide]]="H", Fixtures[[#This Row],[homeScore]], Fixtures[[#This Row],[awayScore]]))</f>
        <v>2</v>
      </c>
      <c r="AE22" s="58">
        <f>IF(ISBLANK(Fixtures[[#This Row],[date]]), "N/A", IF(Fixtures[[#This Row],[userScore]] = Fixtures[[#This Row],[homeScore]], Fixtures[[#This Row],[awayScore]], Fixtures[[#This Row],[homeScore]]))</f>
        <v>2</v>
      </c>
      <c r="AF22" s="58" t="b">
        <f>NOT(AND(ISBLANK(Fixtures[[#This Row],[homePens]]), ISBLANK(Fixtures[[#This Row],[awayPens]])))</f>
        <v>0</v>
      </c>
      <c r="AG22" s="58" t="str">
        <f>IF(Fixtures[[#This Row],[penalties]], IF(Fixtures[[#This Row],[userSide]]="H", Fixtures[[#This Row],[homePens]], Fixtures[[#This Row],[awayPens]]), "N/A")</f>
        <v>N/A</v>
      </c>
      <c r="AH22" s="58" t="str">
        <f>IF(Fixtures[[#This Row],[penalties]], IF(Fixtures[[#This Row],[userPens]]=Fixtures[[#This Row],[homePens]],Fixtures[[#This Row],[awayPens]],Fixtures[[#This Row],[homePens]]), "N/A")</f>
        <v>N/A</v>
      </c>
      <c r="AI22" s="58" t="b">
        <f>COUNTBLANK(Fixtures[[#This Row],[G]:[MOTM]]) = 0</f>
        <v>1</v>
      </c>
      <c r="AJ22" s="58">
        <f>IF(Fixtures[[#This Row],[APP]], Fixtures[[#This Row],[G]]+Fixtures[[#This Row],[A]], "N/A")</f>
        <v>0</v>
      </c>
      <c r="AK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22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[2023-10-22] KRC Genk vs. KAA Gent (2-2) - 1A Pro League</v>
      </c>
      <c r="AN22" s="59"/>
    </row>
    <row r="23" spans="1:40" s="60" customFormat="1" ht="13">
      <c r="A23" s="55">
        <v>45225</v>
      </c>
      <c r="B23" s="55" t="s">
        <v>108</v>
      </c>
      <c r="C23" s="56" t="s">
        <v>108</v>
      </c>
      <c r="D23" s="56" t="s">
        <v>115</v>
      </c>
      <c r="E23" s="56" t="s">
        <v>108</v>
      </c>
      <c r="F23" s="56" t="s">
        <v>134</v>
      </c>
      <c r="G23" s="56" t="s">
        <v>110</v>
      </c>
      <c r="H23" s="56" t="s">
        <v>146</v>
      </c>
      <c r="I23" s="56">
        <v>1</v>
      </c>
      <c r="J23" s="56">
        <v>3</v>
      </c>
      <c r="K23" s="56"/>
      <c r="L23" s="56"/>
      <c r="M23" s="56">
        <v>1</v>
      </c>
      <c r="N23" s="56">
        <v>0</v>
      </c>
      <c r="O23" s="56">
        <v>0</v>
      </c>
      <c r="P23" s="56">
        <v>0</v>
      </c>
      <c r="Q23" s="57">
        <v>7.3</v>
      </c>
      <c r="R23" s="56" t="b">
        <v>0</v>
      </c>
      <c r="S23" s="58" t="str" cm="1">
        <f t="array" ref="S23">_xlfn._xlws.FILTER(Competitions[compType], (Fixtures[[#This Row],[competition]] = Competitions[name]), "N/A")</f>
        <v>Continental Cup</v>
      </c>
      <c r="T23" s="58" t="b" cm="1">
        <f t="array" ref="T23">_xlfn._xlws.FILTER(Competitions[exhibition], (Fixtures[[#This Row],[competition]] = Competitions[name]), "N/A")</f>
        <v>0</v>
      </c>
      <c r="U23" s="58" t="str" cm="1">
        <f t="array" ref="U23">_xlfn._xlws.FILTER(Competitions[compID], (Fixtures[[#This Row],[competition]] = Competitions[name]), "N/A")</f>
        <v>CC-OF-UEFAEUROPACONFERENCELEAGUE</v>
      </c>
      <c r="V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3" s="58" t="str" cm="1">
        <f t="array" ref="W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3" s="58" t="str" cm="1">
        <f t="array" ref="X23">_xlfn._xlws.FILTER(Teams[name], (Fixtures[[#This Row],[userTeamID]] = Teams[teamID]), "N/A")</f>
        <v>KRC Genk</v>
      </c>
      <c r="Y23" s="58" t="str" cm="1">
        <f t="array" ref="Y23">_xlfn._xlws.FILTER(Teams[teamType], (Fixtures[[#This Row],[userTeamID]] = Teams[teamID]), "N/A")</f>
        <v>Club</v>
      </c>
      <c r="Z23" s="58" t="str" cm="1">
        <f t="array" ref="Z23">IF(Fixtures[[#This Row],[userTeamID]] = "N/A", "N/A", IF(SUM(COUNTIF(Fixtures[[#This Row],[homeTeam]], _xlfn._xlws.FILTER(Teams[name], (Fixtures[[#This Row],[userTeamID]] = Teams[teamID])*(Teams[relevant])))) &gt; 0, "H", "A"))</f>
        <v>H</v>
      </c>
      <c r="AA23" s="58" t="str">
        <f>IF(Fixtures[[#This Row],[userSide]] = "N/A", "N/A", IF(Fixtures[[#This Row],[userSide]] = "H", Fixtures[[#This Row],[awayTeam]], Fixtures[[#This Row],[homeTeam]]))</f>
        <v>Ferencvárosi TC</v>
      </c>
      <c r="AB23" s="58" t="str" cm="1">
        <f t="array" ref="AB23">_xlfn._xlws.FILTER(Teams[teamID], Fixtures[[#This Row],[oppTeam]] = Teams[name], "N/A")</f>
        <v>C-HUN-FERENCVÁROSITC</v>
      </c>
      <c r="AC23" s="58" t="str" cm="1">
        <f t="array" ref="AC23">_xlfn._xlws.FILTER(Teams[teamType], Fixtures[[#This Row],[oppTeam]] = Teams[name], "N/A")</f>
        <v>Club</v>
      </c>
      <c r="AD23" s="58">
        <f>IF(ISBLANK(Fixtures[[#This Row],[date]]), "N/A", IF(Fixtures[[#This Row],[userSide]]="H", Fixtures[[#This Row],[homeScore]], Fixtures[[#This Row],[awayScore]]))</f>
        <v>1</v>
      </c>
      <c r="AE23" s="58">
        <f>IF(ISBLANK(Fixtures[[#This Row],[date]]), "N/A", IF(Fixtures[[#This Row],[userScore]] = Fixtures[[#This Row],[homeScore]], Fixtures[[#This Row],[awayScore]], Fixtures[[#This Row],[homeScore]]))</f>
        <v>3</v>
      </c>
      <c r="AF23" s="58" t="b">
        <f>NOT(AND(ISBLANK(Fixtures[[#This Row],[homePens]]), ISBLANK(Fixtures[[#This Row],[awayPens]])))</f>
        <v>0</v>
      </c>
      <c r="AG23" s="58" t="str">
        <f>IF(Fixtures[[#This Row],[penalties]], IF(Fixtures[[#This Row],[userSide]]="H", Fixtures[[#This Row],[homePens]], Fixtures[[#This Row],[awayPens]]), "N/A")</f>
        <v>N/A</v>
      </c>
      <c r="AH23" s="58" t="str">
        <f>IF(Fixtures[[#This Row],[penalties]], IF(Fixtures[[#This Row],[userPens]]=Fixtures[[#This Row],[homePens]],Fixtures[[#This Row],[awayPens]],Fixtures[[#This Row],[homePens]]), "N/A")</f>
        <v>N/A</v>
      </c>
      <c r="AI23" s="58" t="b">
        <f>COUNTBLANK(Fixtures[[#This Row],[G]:[MOTM]]) = 0</f>
        <v>1</v>
      </c>
      <c r="AJ23" s="58">
        <f>IF(Fixtures[[#This Row],[APP]], Fixtures[[#This Row],[G]]+Fixtures[[#This Row],[A]], "N/A")</f>
        <v>1</v>
      </c>
      <c r="AK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23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[2023-10-26] KRC Genk vs. Ferencvárosi TC (1-3) - UEFA Europa Conference League</v>
      </c>
      <c r="AN23" s="59"/>
    </row>
    <row r="24" spans="1:40" s="60" customFormat="1" ht="13">
      <c r="A24" s="55">
        <v>45228</v>
      </c>
      <c r="B24" s="55" t="s">
        <v>108</v>
      </c>
      <c r="C24" s="56" t="s">
        <v>108</v>
      </c>
      <c r="D24" s="56" t="s">
        <v>147</v>
      </c>
      <c r="E24" s="56" t="s">
        <v>108</v>
      </c>
      <c r="F24" s="56" t="s">
        <v>116</v>
      </c>
      <c r="G24" s="56" t="s">
        <v>148</v>
      </c>
      <c r="H24" s="56" t="s">
        <v>110</v>
      </c>
      <c r="I24" s="56">
        <v>1</v>
      </c>
      <c r="J24" s="56">
        <v>1</v>
      </c>
      <c r="K24" s="56"/>
      <c r="L24" s="56"/>
      <c r="M24" s="56">
        <v>1</v>
      </c>
      <c r="N24" s="56">
        <v>0</v>
      </c>
      <c r="O24" s="56">
        <v>0</v>
      </c>
      <c r="P24" s="56">
        <v>0</v>
      </c>
      <c r="Q24" s="57">
        <v>7.2</v>
      </c>
      <c r="R24" s="56" t="b">
        <v>0</v>
      </c>
      <c r="S24" s="58" t="str" cm="1">
        <f t="array" ref="S24">_xlfn._xlws.FILTER(Competitions[compType], (Fixtures[[#This Row],[competition]] = Competitions[name]), "N/A")</f>
        <v>Domestic League</v>
      </c>
      <c r="T24" s="58" t="b" cm="1">
        <f t="array" ref="T24">_xlfn._xlws.FILTER(Competitions[exhibition], (Fixtures[[#This Row],[competition]] = Competitions[name]), "N/A")</f>
        <v>0</v>
      </c>
      <c r="U24" s="58" t="str" cm="1">
        <f t="array" ref="U24">_xlfn._xlws.FILTER(Competitions[compID], (Fixtures[[#This Row],[competition]] = Competitions[name]), "N/A")</f>
        <v>DL-OF-1APROLEAGUE</v>
      </c>
      <c r="V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4" s="58" t="str" cm="1">
        <f t="array" ref="W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4" s="58" t="str" cm="1">
        <f t="array" ref="X24">_xlfn._xlws.FILTER(Teams[name], (Fixtures[[#This Row],[userTeamID]] = Teams[teamID]), "N/A")</f>
        <v>KRC Genk</v>
      </c>
      <c r="Y24" s="58" t="str" cm="1">
        <f t="array" ref="Y24">_xlfn._xlws.FILTER(Teams[teamType], (Fixtures[[#This Row],[userTeamID]] = Teams[teamID]), "N/A")</f>
        <v>Club</v>
      </c>
      <c r="Z24" s="58" t="str" cm="1">
        <f t="array" ref="Z24">IF(Fixtures[[#This Row],[userTeamID]] = "N/A", "N/A", IF(SUM(COUNTIF(Fixtures[[#This Row],[homeTeam]], _xlfn._xlws.FILTER(Teams[name], (Fixtures[[#This Row],[userTeamID]] = Teams[teamID])*(Teams[relevant])))) &gt; 0, "H", "A"))</f>
        <v>A</v>
      </c>
      <c r="AA24" s="58" t="str">
        <f>IF(Fixtures[[#This Row],[userSide]] = "N/A", "N/A", IF(Fixtures[[#This Row],[userSide]] = "H", Fixtures[[#This Row],[awayTeam]], Fixtures[[#This Row],[homeTeam]]))</f>
        <v>RSC Anderlecht</v>
      </c>
      <c r="AB24" s="58" t="str" cm="1">
        <f t="array" ref="AB24">_xlfn._xlws.FILTER(Teams[teamID], Fixtures[[#This Row],[oppTeam]] = Teams[name], "N/A")</f>
        <v>C-BEL-RSCANDERLECHT</v>
      </c>
      <c r="AC24" s="58" t="str" cm="1">
        <f t="array" ref="AC24">_xlfn._xlws.FILTER(Teams[teamType], Fixtures[[#This Row],[oppTeam]] = Teams[name], "N/A")</f>
        <v>Club</v>
      </c>
      <c r="AD24" s="58">
        <f>IF(ISBLANK(Fixtures[[#This Row],[date]]), "N/A", IF(Fixtures[[#This Row],[userSide]]="H", Fixtures[[#This Row],[homeScore]], Fixtures[[#This Row],[awayScore]]))</f>
        <v>1</v>
      </c>
      <c r="AE24" s="58">
        <f>IF(ISBLANK(Fixtures[[#This Row],[date]]), "N/A", IF(Fixtures[[#This Row],[userScore]] = Fixtures[[#This Row],[homeScore]], Fixtures[[#This Row],[awayScore]], Fixtures[[#This Row],[homeScore]]))</f>
        <v>1</v>
      </c>
      <c r="AF24" s="58" t="b">
        <f>NOT(AND(ISBLANK(Fixtures[[#This Row],[homePens]]), ISBLANK(Fixtures[[#This Row],[awayPens]])))</f>
        <v>0</v>
      </c>
      <c r="AG24" s="58" t="str">
        <f>IF(Fixtures[[#This Row],[penalties]], IF(Fixtures[[#This Row],[userSide]]="H", Fixtures[[#This Row],[homePens]], Fixtures[[#This Row],[awayPens]]), "N/A")</f>
        <v>N/A</v>
      </c>
      <c r="AH24" s="58" t="str">
        <f>IF(Fixtures[[#This Row],[penalties]], IF(Fixtures[[#This Row],[userPens]]=Fixtures[[#This Row],[homePens]],Fixtures[[#This Row],[awayPens]],Fixtures[[#This Row],[homePens]]), "N/A")</f>
        <v>N/A</v>
      </c>
      <c r="AI24" s="58" t="b">
        <f>COUNTBLANK(Fixtures[[#This Row],[G]:[MOTM]]) = 0</f>
        <v>1</v>
      </c>
      <c r="AJ24" s="58">
        <f>IF(Fixtures[[#This Row],[APP]], Fixtures[[#This Row],[G]]+Fixtures[[#This Row],[A]], "N/A")</f>
        <v>1</v>
      </c>
      <c r="AK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24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[2023-10-29] RSC Anderlecht vs. KRC Genk (1-1) - 1A Pro League</v>
      </c>
      <c r="AN24" s="59"/>
    </row>
    <row r="25" spans="1:40" s="60" customFormat="1" ht="13">
      <c r="A25" s="55">
        <v>45233</v>
      </c>
      <c r="B25" s="55" t="s">
        <v>108</v>
      </c>
      <c r="C25" s="56" t="s">
        <v>108</v>
      </c>
      <c r="D25" s="56" t="s">
        <v>115</v>
      </c>
      <c r="E25" s="56" t="s">
        <v>108</v>
      </c>
      <c r="F25" s="56" t="s">
        <v>116</v>
      </c>
      <c r="G25" s="56" t="s">
        <v>110</v>
      </c>
      <c r="H25" s="56" t="s">
        <v>149</v>
      </c>
      <c r="I25" s="56">
        <v>2</v>
      </c>
      <c r="J25" s="56">
        <v>2</v>
      </c>
      <c r="K25" s="56"/>
      <c r="L25" s="56"/>
      <c r="M25" s="56">
        <v>0</v>
      </c>
      <c r="N25" s="56">
        <v>2</v>
      </c>
      <c r="O25" s="56">
        <v>0</v>
      </c>
      <c r="P25" s="56">
        <v>0</v>
      </c>
      <c r="Q25" s="57">
        <v>8.4</v>
      </c>
      <c r="R25" s="56" t="b">
        <v>1</v>
      </c>
      <c r="S25" s="58" t="str" cm="1">
        <f t="array" ref="S25">_xlfn._xlws.FILTER(Competitions[compType], (Fixtures[[#This Row],[competition]] = Competitions[name]), "N/A")</f>
        <v>Domestic League</v>
      </c>
      <c r="T25" s="58" t="b" cm="1">
        <f t="array" ref="T25">_xlfn._xlws.FILTER(Competitions[exhibition], (Fixtures[[#This Row],[competition]] = Competitions[name]), "N/A")</f>
        <v>0</v>
      </c>
      <c r="U25" s="58" t="str" cm="1">
        <f t="array" ref="U25">_xlfn._xlws.FILTER(Competitions[compID], (Fixtures[[#This Row],[competition]] = Competitions[name]), "N/A")</f>
        <v>DL-OF-1APROLEAGUE</v>
      </c>
      <c r="V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5" s="58" t="str" cm="1">
        <f t="array" ref="W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5" s="58" t="str" cm="1">
        <f t="array" ref="X25">_xlfn._xlws.FILTER(Teams[name], (Fixtures[[#This Row],[userTeamID]] = Teams[teamID]), "N/A")</f>
        <v>KRC Genk</v>
      </c>
      <c r="Y25" s="58" t="str" cm="1">
        <f t="array" ref="Y25">_xlfn._xlws.FILTER(Teams[teamType], (Fixtures[[#This Row],[userTeamID]] = Teams[teamID]), "N/A")</f>
        <v>Club</v>
      </c>
      <c r="Z25" s="58" t="str" cm="1">
        <f t="array" ref="Z25">IF(Fixtures[[#This Row],[userTeamID]] = "N/A", "N/A", IF(SUM(COUNTIF(Fixtures[[#This Row],[homeTeam]], _xlfn._xlws.FILTER(Teams[name], (Fixtures[[#This Row],[userTeamID]] = Teams[teamID])*(Teams[relevant])))) &gt; 0, "H", "A"))</f>
        <v>H</v>
      </c>
      <c r="AA25" s="58" t="str">
        <f>IF(Fixtures[[#This Row],[userSide]] = "N/A", "N/A", IF(Fixtures[[#This Row],[userSide]] = "H", Fixtures[[#This Row],[awayTeam]], Fixtures[[#This Row],[homeTeam]]))</f>
        <v>Sp. Charleroi</v>
      </c>
      <c r="AB25" s="58" t="str" cm="1">
        <f t="array" ref="AB25">_xlfn._xlws.FILTER(Teams[teamID], Fixtures[[#This Row],[oppTeam]] = Teams[name], "N/A")</f>
        <v>C-BEL-SPCHARLEROI</v>
      </c>
      <c r="AC25" s="58" t="str" cm="1">
        <f t="array" ref="AC25">_xlfn._xlws.FILTER(Teams[teamType], Fixtures[[#This Row],[oppTeam]] = Teams[name], "N/A")</f>
        <v>Club</v>
      </c>
      <c r="AD25" s="58">
        <f>IF(ISBLANK(Fixtures[[#This Row],[date]]), "N/A", IF(Fixtures[[#This Row],[userSide]]="H", Fixtures[[#This Row],[homeScore]], Fixtures[[#This Row],[awayScore]]))</f>
        <v>2</v>
      </c>
      <c r="AE25" s="58">
        <f>IF(ISBLANK(Fixtures[[#This Row],[date]]), "N/A", IF(Fixtures[[#This Row],[userScore]] = Fixtures[[#This Row],[homeScore]], Fixtures[[#This Row],[awayScore]], Fixtures[[#This Row],[homeScore]]))</f>
        <v>2</v>
      </c>
      <c r="AF25" s="58" t="b">
        <f>NOT(AND(ISBLANK(Fixtures[[#This Row],[homePens]]), ISBLANK(Fixtures[[#This Row],[awayPens]])))</f>
        <v>0</v>
      </c>
      <c r="AG25" s="58" t="str">
        <f>IF(Fixtures[[#This Row],[penalties]], IF(Fixtures[[#This Row],[userSide]]="H", Fixtures[[#This Row],[homePens]], Fixtures[[#This Row],[awayPens]]), "N/A")</f>
        <v>N/A</v>
      </c>
      <c r="AH25" s="58" t="str">
        <f>IF(Fixtures[[#This Row],[penalties]], IF(Fixtures[[#This Row],[userPens]]=Fixtures[[#This Row],[homePens]],Fixtures[[#This Row],[awayPens]],Fixtures[[#This Row],[homePens]]), "N/A")</f>
        <v>N/A</v>
      </c>
      <c r="AI25" s="58" t="b">
        <f>COUNTBLANK(Fixtures[[#This Row],[G]:[MOTM]]) = 0</f>
        <v>1</v>
      </c>
      <c r="AJ25" s="58">
        <f>IF(Fixtures[[#This Row],[APP]], Fixtures[[#This Row],[G]]+Fixtures[[#This Row],[A]], "N/A")</f>
        <v>2</v>
      </c>
      <c r="AK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25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[2023-11-03] KRC Genk vs. Sp. Charleroi (2-2) - 1A Pro League</v>
      </c>
      <c r="AN25" s="59"/>
    </row>
    <row r="26" spans="1:40" s="60" customFormat="1" ht="13">
      <c r="A26" s="55">
        <v>45239</v>
      </c>
      <c r="B26" s="55" t="s">
        <v>108</v>
      </c>
      <c r="C26" s="56" t="s">
        <v>108</v>
      </c>
      <c r="D26" s="56" t="s">
        <v>108</v>
      </c>
      <c r="E26" s="56" t="s">
        <v>108</v>
      </c>
      <c r="F26" s="56" t="s">
        <v>134</v>
      </c>
      <c r="G26" s="56" t="s">
        <v>146</v>
      </c>
      <c r="H26" s="56" t="s">
        <v>110</v>
      </c>
      <c r="I26" s="56">
        <v>0</v>
      </c>
      <c r="J26" s="56">
        <v>4</v>
      </c>
      <c r="K26" s="56"/>
      <c r="L26" s="56"/>
      <c r="M26" s="56">
        <v>0</v>
      </c>
      <c r="N26" s="56">
        <v>3</v>
      </c>
      <c r="O26" s="56">
        <v>0</v>
      </c>
      <c r="P26" s="56">
        <v>0</v>
      </c>
      <c r="Q26" s="57">
        <v>8.6</v>
      </c>
      <c r="R26" s="56" t="b">
        <v>0</v>
      </c>
      <c r="S26" s="58" t="str" cm="1">
        <f t="array" ref="S26">_xlfn._xlws.FILTER(Competitions[compType], (Fixtures[[#This Row],[competition]] = Competitions[name]), "N/A")</f>
        <v>Continental Cup</v>
      </c>
      <c r="T26" s="58" t="b" cm="1">
        <f t="array" ref="T26">_xlfn._xlws.FILTER(Competitions[exhibition], (Fixtures[[#This Row],[competition]] = Competitions[name]), "N/A")</f>
        <v>0</v>
      </c>
      <c r="U26" s="58" t="str" cm="1">
        <f t="array" ref="U26">_xlfn._xlws.FILTER(Competitions[compID], (Fixtures[[#This Row],[competition]] = Competitions[name]), "N/A")</f>
        <v>CC-OF-UEFAEUROPACONFERENCELEAGUE</v>
      </c>
      <c r="V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6" s="58" t="str" cm="1">
        <f t="array" ref="W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6" s="58" t="str" cm="1">
        <f t="array" ref="X26">_xlfn._xlws.FILTER(Teams[name], (Fixtures[[#This Row],[userTeamID]] = Teams[teamID]), "N/A")</f>
        <v>KRC Genk</v>
      </c>
      <c r="Y26" s="58" t="str" cm="1">
        <f t="array" ref="Y26">_xlfn._xlws.FILTER(Teams[teamType], (Fixtures[[#This Row],[userTeamID]] = Teams[teamID]), "N/A")</f>
        <v>Club</v>
      </c>
      <c r="Z26" s="58" t="str" cm="1">
        <f t="array" ref="Z26">IF(Fixtures[[#This Row],[userTeamID]] = "N/A", "N/A", IF(SUM(COUNTIF(Fixtures[[#This Row],[homeTeam]], _xlfn._xlws.FILTER(Teams[name], (Fixtures[[#This Row],[userTeamID]] = Teams[teamID])*(Teams[relevant])))) &gt; 0, "H", "A"))</f>
        <v>A</v>
      </c>
      <c r="AA26" s="58" t="str">
        <f>IF(Fixtures[[#This Row],[userSide]] = "N/A", "N/A", IF(Fixtures[[#This Row],[userSide]] = "H", Fixtures[[#This Row],[awayTeam]], Fixtures[[#This Row],[homeTeam]]))</f>
        <v>Ferencvárosi TC</v>
      </c>
      <c r="AB26" s="58" t="str" cm="1">
        <f t="array" ref="AB26">_xlfn._xlws.FILTER(Teams[teamID], Fixtures[[#This Row],[oppTeam]] = Teams[name], "N/A")</f>
        <v>C-HUN-FERENCVÁROSITC</v>
      </c>
      <c r="AC26" s="58" t="str" cm="1">
        <f t="array" ref="AC26">_xlfn._xlws.FILTER(Teams[teamType], Fixtures[[#This Row],[oppTeam]] = Teams[name], "N/A")</f>
        <v>Club</v>
      </c>
      <c r="AD26" s="58">
        <f>IF(ISBLANK(Fixtures[[#This Row],[date]]), "N/A", IF(Fixtures[[#This Row],[userSide]]="H", Fixtures[[#This Row],[homeScore]], Fixtures[[#This Row],[awayScore]]))</f>
        <v>4</v>
      </c>
      <c r="AE26" s="58">
        <f>IF(ISBLANK(Fixtures[[#This Row],[date]]), "N/A", IF(Fixtures[[#This Row],[userScore]] = Fixtures[[#This Row],[homeScore]], Fixtures[[#This Row],[awayScore]], Fixtures[[#This Row],[homeScore]]))</f>
        <v>0</v>
      </c>
      <c r="AF26" s="58" t="b">
        <f>NOT(AND(ISBLANK(Fixtures[[#This Row],[homePens]]), ISBLANK(Fixtures[[#This Row],[awayPens]])))</f>
        <v>0</v>
      </c>
      <c r="AG26" s="58" t="str">
        <f>IF(Fixtures[[#This Row],[penalties]], IF(Fixtures[[#This Row],[userSide]]="H", Fixtures[[#This Row],[homePens]], Fixtures[[#This Row],[awayPens]]), "N/A")</f>
        <v>N/A</v>
      </c>
      <c r="AH26" s="58" t="str">
        <f>IF(Fixtures[[#This Row],[penalties]], IF(Fixtures[[#This Row],[userPens]]=Fixtures[[#This Row],[homePens]],Fixtures[[#This Row],[awayPens]],Fixtures[[#This Row],[homePens]]), "N/A")</f>
        <v>N/A</v>
      </c>
      <c r="AI26" s="58" t="b">
        <f>COUNTBLANK(Fixtures[[#This Row],[G]:[MOTM]]) = 0</f>
        <v>1</v>
      </c>
      <c r="AJ26" s="58">
        <f>IF(Fixtures[[#This Row],[APP]], Fixtures[[#This Row],[G]]+Fixtures[[#This Row],[A]], "N/A")</f>
        <v>3</v>
      </c>
      <c r="AK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26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[2023-11-09] Ferencvárosi TC vs. KRC Genk (0-4) - UEFA Europa Conference League</v>
      </c>
      <c r="AN26" s="59"/>
    </row>
    <row r="27" spans="1:40" s="60" customFormat="1" ht="13">
      <c r="A27" s="55">
        <v>45242</v>
      </c>
      <c r="B27" s="55" t="s">
        <v>108</v>
      </c>
      <c r="C27" s="56" t="s">
        <v>108</v>
      </c>
      <c r="D27" s="56" t="s">
        <v>108</v>
      </c>
      <c r="E27" s="56" t="s">
        <v>108</v>
      </c>
      <c r="F27" s="56" t="s">
        <v>116</v>
      </c>
      <c r="G27" s="56" t="s">
        <v>150</v>
      </c>
      <c r="H27" s="56" t="s">
        <v>110</v>
      </c>
      <c r="I27" s="56">
        <v>1</v>
      </c>
      <c r="J27" s="56">
        <v>0</v>
      </c>
      <c r="K27" s="56"/>
      <c r="L27" s="56"/>
      <c r="M27" s="56">
        <v>0</v>
      </c>
      <c r="N27" s="56">
        <v>0</v>
      </c>
      <c r="O27" s="56">
        <v>0</v>
      </c>
      <c r="P27" s="56">
        <v>0</v>
      </c>
      <c r="Q27" s="57">
        <v>6</v>
      </c>
      <c r="R27" s="56" t="b">
        <v>0</v>
      </c>
      <c r="S27" s="58" t="str" cm="1">
        <f t="array" ref="S27">_xlfn._xlws.FILTER(Competitions[compType], (Fixtures[[#This Row],[competition]] = Competitions[name]), "N/A")</f>
        <v>Domestic League</v>
      </c>
      <c r="T27" s="58" t="b" cm="1">
        <f t="array" ref="T27">_xlfn._xlws.FILTER(Competitions[exhibition], (Fixtures[[#This Row],[competition]] = Competitions[name]), "N/A")</f>
        <v>0</v>
      </c>
      <c r="U27" s="58" t="str" cm="1">
        <f t="array" ref="U27">_xlfn._xlws.FILTER(Competitions[compID], (Fixtures[[#This Row],[competition]] = Competitions[name]), "N/A")</f>
        <v>DL-OF-1APROLEAGUE</v>
      </c>
      <c r="V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7" s="58" t="str" cm="1">
        <f t="array" ref="W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27" s="58" t="str" cm="1">
        <f t="array" ref="X27">_xlfn._xlws.FILTER(Teams[name], (Fixtures[[#This Row],[userTeamID]] = Teams[teamID]), "N/A")</f>
        <v>KRC Genk</v>
      </c>
      <c r="Y27" s="58" t="str" cm="1">
        <f t="array" ref="Y27">_xlfn._xlws.FILTER(Teams[teamType], (Fixtures[[#This Row],[userTeamID]] = Teams[teamID]), "N/A")</f>
        <v>Club</v>
      </c>
      <c r="Z27" s="58" t="str" cm="1">
        <f t="array" ref="Z27">IF(Fixtures[[#This Row],[userTeamID]] = "N/A", "N/A", IF(SUM(COUNTIF(Fixtures[[#This Row],[homeTeam]], _xlfn._xlws.FILTER(Teams[name], (Fixtures[[#This Row],[userTeamID]] = Teams[teamID])*(Teams[relevant])))) &gt; 0, "H", "A"))</f>
        <v>A</v>
      </c>
      <c r="AA27" s="58" t="str">
        <f>IF(Fixtures[[#This Row],[userSide]] = "N/A", "N/A", IF(Fixtures[[#This Row],[userSide]] = "H", Fixtures[[#This Row],[awayTeam]], Fixtures[[#This Row],[homeTeam]]))</f>
        <v>Club Brugge</v>
      </c>
      <c r="AB27" s="58" t="str" cm="1">
        <f t="array" ref="AB27">_xlfn._xlws.FILTER(Teams[teamID], Fixtures[[#This Row],[oppTeam]] = Teams[name], "N/A")</f>
        <v>C-BEL-CLUBBRUGGE</v>
      </c>
      <c r="AC27" s="58" t="str" cm="1">
        <f t="array" ref="AC27">_xlfn._xlws.FILTER(Teams[teamType], Fixtures[[#This Row],[oppTeam]] = Teams[name], "N/A")</f>
        <v>Club</v>
      </c>
      <c r="AD27" s="58">
        <f>IF(ISBLANK(Fixtures[[#This Row],[date]]), "N/A", IF(Fixtures[[#This Row],[userSide]]="H", Fixtures[[#This Row],[homeScore]], Fixtures[[#This Row],[awayScore]]))</f>
        <v>0</v>
      </c>
      <c r="AE27" s="58">
        <f>IF(ISBLANK(Fixtures[[#This Row],[date]]), "N/A", IF(Fixtures[[#This Row],[userScore]] = Fixtures[[#This Row],[homeScore]], Fixtures[[#This Row],[awayScore]], Fixtures[[#This Row],[homeScore]]))</f>
        <v>1</v>
      </c>
      <c r="AF27" s="58" t="b">
        <f>NOT(AND(ISBLANK(Fixtures[[#This Row],[homePens]]), ISBLANK(Fixtures[[#This Row],[awayPens]])))</f>
        <v>0</v>
      </c>
      <c r="AG27" s="58" t="str">
        <f>IF(Fixtures[[#This Row],[penalties]], IF(Fixtures[[#This Row],[userSide]]="H", Fixtures[[#This Row],[homePens]], Fixtures[[#This Row],[awayPens]]), "N/A")</f>
        <v>N/A</v>
      </c>
      <c r="AH27" s="58" t="str">
        <f>IF(Fixtures[[#This Row],[penalties]], IF(Fixtures[[#This Row],[userPens]]=Fixtures[[#This Row],[homePens]],Fixtures[[#This Row],[awayPens]],Fixtures[[#This Row],[homePens]]), "N/A")</f>
        <v>N/A</v>
      </c>
      <c r="AI27" s="58" t="b">
        <f>COUNTBLANK(Fixtures[[#This Row],[G]:[MOTM]]) = 0</f>
        <v>1</v>
      </c>
      <c r="AJ27" s="58">
        <f>IF(Fixtures[[#This Row],[APP]], Fixtures[[#This Row],[G]]+Fixtures[[#This Row],[A]], "N/A")</f>
        <v>0</v>
      </c>
      <c r="AK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2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[2023-11-12] Club Brugge vs. KRC Genk (1-0) - 1A Pro League</v>
      </c>
      <c r="AN27" s="59"/>
    </row>
    <row r="28" spans="1:40" s="60" customFormat="1" ht="13">
      <c r="A28" s="55">
        <v>45247</v>
      </c>
      <c r="B28" s="55" t="s">
        <v>108</v>
      </c>
      <c r="C28" s="56" t="s">
        <v>108</v>
      </c>
      <c r="D28" s="56" t="s">
        <v>151</v>
      </c>
      <c r="E28" s="56" t="s">
        <v>108</v>
      </c>
      <c r="F28" s="56" t="s">
        <v>128</v>
      </c>
      <c r="G28" s="56" t="s">
        <v>152</v>
      </c>
      <c r="H28" s="56" t="s">
        <v>16</v>
      </c>
      <c r="I28" s="56">
        <v>2</v>
      </c>
      <c r="J28" s="56">
        <v>2</v>
      </c>
      <c r="K28" s="56"/>
      <c r="L28" s="56"/>
      <c r="M28" s="56">
        <v>0</v>
      </c>
      <c r="N28" s="56">
        <v>1</v>
      </c>
      <c r="O28" s="56">
        <v>0</v>
      </c>
      <c r="P28" s="56">
        <v>0</v>
      </c>
      <c r="Q28" s="57">
        <v>7.8</v>
      </c>
      <c r="R28" s="56" t="b">
        <v>1</v>
      </c>
      <c r="S28" s="58" t="str" cm="1">
        <f t="array" ref="S28">_xlfn._xlws.FILTER(Competitions[compType], (Fixtures[[#This Row],[competition]] = Competitions[name]), "N/A")</f>
        <v>International Friendly</v>
      </c>
      <c r="T28" s="58" t="b" cm="1">
        <f t="array" ref="T28">_xlfn._xlws.FILTER(Competitions[exhibition], (Fixtures[[#This Row],[competition]] = Competitions[name]), "N/A")</f>
        <v>1</v>
      </c>
      <c r="U28" s="58" t="str" cm="1">
        <f t="array" ref="U28">_xlfn._xlws.FILTER(Competitions[compID], (Fixtures[[#This Row],[competition]] = Competitions[name]), "N/A")</f>
        <v>IF-EX-INTERNATIONALFRIENDLY</v>
      </c>
      <c r="V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8" s="58" t="str" cm="1">
        <f t="array" ref="W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28" s="58" t="str" cm="1">
        <f t="array" ref="X28">_xlfn._xlws.FILTER(Teams[name], (Fixtures[[#This Row],[userTeamID]] = Teams[teamID]), "N/A")</f>
        <v>United States</v>
      </c>
      <c r="Y28" s="58" t="str" cm="1">
        <f t="array" ref="Y28">_xlfn._xlws.FILTER(Teams[teamType], (Fixtures[[#This Row],[userTeamID]] = Teams[teamID]), "N/A")</f>
        <v>National</v>
      </c>
      <c r="Z28" s="58" t="str" cm="1">
        <f t="array" ref="Z28">IF(Fixtures[[#This Row],[userTeamID]] = "N/A", "N/A", IF(SUM(COUNTIF(Fixtures[[#This Row],[homeTeam]], _xlfn._xlws.FILTER(Teams[name], (Fixtures[[#This Row],[userTeamID]] = Teams[teamID])*(Teams[relevant])))) &gt; 0, "H", "A"))</f>
        <v>A</v>
      </c>
      <c r="AA28" s="58" t="str">
        <f>IF(Fixtures[[#This Row],[userSide]] = "N/A", "N/A", IF(Fixtures[[#This Row],[userSide]] = "H", Fixtures[[#This Row],[awayTeam]], Fixtures[[#This Row],[homeTeam]]))</f>
        <v>England</v>
      </c>
      <c r="AB28" s="58" t="str" cm="1">
        <f t="array" ref="AB28">_xlfn._xlws.FILTER(Teams[teamID], Fixtures[[#This Row],[oppTeam]] = Teams[name], "N/A")</f>
        <v>N-ENG-ENGLAND</v>
      </c>
      <c r="AC28" s="58" t="str" cm="1">
        <f t="array" ref="AC28">_xlfn._xlws.FILTER(Teams[teamType], Fixtures[[#This Row],[oppTeam]] = Teams[name], "N/A")</f>
        <v>National</v>
      </c>
      <c r="AD28" s="58">
        <f>IF(ISBLANK(Fixtures[[#This Row],[date]]), "N/A", IF(Fixtures[[#This Row],[userSide]]="H", Fixtures[[#This Row],[homeScore]], Fixtures[[#This Row],[awayScore]]))</f>
        <v>2</v>
      </c>
      <c r="AE28" s="58">
        <f>IF(ISBLANK(Fixtures[[#This Row],[date]]), "N/A", IF(Fixtures[[#This Row],[userScore]] = Fixtures[[#This Row],[homeScore]], Fixtures[[#This Row],[awayScore]], Fixtures[[#This Row],[homeScore]]))</f>
        <v>2</v>
      </c>
      <c r="AF28" s="58" t="b">
        <f>NOT(AND(ISBLANK(Fixtures[[#This Row],[homePens]]), ISBLANK(Fixtures[[#This Row],[awayPens]])))</f>
        <v>0</v>
      </c>
      <c r="AG28" s="58" t="str">
        <f>IF(Fixtures[[#This Row],[penalties]], IF(Fixtures[[#This Row],[userSide]]="H", Fixtures[[#This Row],[homePens]], Fixtures[[#This Row],[awayPens]]), "N/A")</f>
        <v>N/A</v>
      </c>
      <c r="AH28" s="58" t="str">
        <f>IF(Fixtures[[#This Row],[penalties]], IF(Fixtures[[#This Row],[userPens]]=Fixtures[[#This Row],[homePens]],Fixtures[[#This Row],[awayPens]],Fixtures[[#This Row],[homePens]]), "N/A")</f>
        <v>N/A</v>
      </c>
      <c r="AI28" s="58" t="b">
        <f>COUNTBLANK(Fixtures[[#This Row],[G]:[MOTM]]) = 0</f>
        <v>1</v>
      </c>
      <c r="AJ28" s="58">
        <f>IF(Fixtures[[#This Row],[APP]], Fixtures[[#This Row],[G]]+Fixtures[[#This Row],[A]], "N/A")</f>
        <v>1</v>
      </c>
      <c r="AK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2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[2023-11-17] England vs. United States (2-2) - International Friendly</v>
      </c>
      <c r="AN28" s="59" t="s">
        <v>153</v>
      </c>
    </row>
    <row r="29" spans="1:40" s="60" customFormat="1" ht="13">
      <c r="A29" s="55">
        <v>45251</v>
      </c>
      <c r="B29" s="55" t="s">
        <v>108</v>
      </c>
      <c r="C29" s="56" t="s">
        <v>108</v>
      </c>
      <c r="D29" s="56" t="s">
        <v>108</v>
      </c>
      <c r="E29" s="56" t="s">
        <v>108</v>
      </c>
      <c r="F29" s="56" t="s">
        <v>128</v>
      </c>
      <c r="G29" s="56" t="s">
        <v>154</v>
      </c>
      <c r="H29" s="56" t="s">
        <v>16</v>
      </c>
      <c r="I29" s="56">
        <v>1</v>
      </c>
      <c r="J29" s="56">
        <v>1</v>
      </c>
      <c r="K29" s="56"/>
      <c r="L29" s="56"/>
      <c r="M29" s="56">
        <v>0</v>
      </c>
      <c r="N29" s="56">
        <v>0</v>
      </c>
      <c r="O29" s="56">
        <v>0</v>
      </c>
      <c r="P29" s="56">
        <v>0</v>
      </c>
      <c r="Q29" s="57">
        <v>6.5</v>
      </c>
      <c r="R29" s="56" t="b">
        <v>0</v>
      </c>
      <c r="S29" s="58" t="str" cm="1">
        <f t="array" ref="S29">_xlfn._xlws.FILTER(Competitions[compType], (Fixtures[[#This Row],[competition]] = Competitions[name]), "N/A")</f>
        <v>International Friendly</v>
      </c>
      <c r="T29" s="58" t="b" cm="1">
        <f t="array" ref="T29">_xlfn._xlws.FILTER(Competitions[exhibition], (Fixtures[[#This Row],[competition]] = Competitions[name]), "N/A")</f>
        <v>1</v>
      </c>
      <c r="U29" s="58" t="str" cm="1">
        <f t="array" ref="U29">_xlfn._xlws.FILTER(Competitions[compID], (Fixtures[[#This Row],[competition]] = Competitions[name]), "N/A")</f>
        <v>IF-EX-INTERNATIONALFRIENDLY</v>
      </c>
      <c r="V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29" s="58" t="str" cm="1">
        <f t="array" ref="W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29" s="58" t="str" cm="1">
        <f t="array" ref="X29">_xlfn._xlws.FILTER(Teams[name], (Fixtures[[#This Row],[userTeamID]] = Teams[teamID]), "N/A")</f>
        <v>United States</v>
      </c>
      <c r="Y29" s="58" t="str" cm="1">
        <f t="array" ref="Y29">_xlfn._xlws.FILTER(Teams[teamType], (Fixtures[[#This Row],[userTeamID]] = Teams[teamID]), "N/A")</f>
        <v>National</v>
      </c>
      <c r="Z29" s="58" t="str" cm="1">
        <f t="array" ref="Z29">IF(Fixtures[[#This Row],[userTeamID]] = "N/A", "N/A", IF(SUM(COUNTIF(Fixtures[[#This Row],[homeTeam]], _xlfn._xlws.FILTER(Teams[name], (Fixtures[[#This Row],[userTeamID]] = Teams[teamID])*(Teams[relevant])))) &gt; 0, "H", "A"))</f>
        <v>A</v>
      </c>
      <c r="AA29" s="58" t="str">
        <f>IF(Fixtures[[#This Row],[userSide]] = "N/A", "N/A", IF(Fixtures[[#This Row],[userSide]] = "H", Fixtures[[#This Row],[awayTeam]], Fixtures[[#This Row],[homeTeam]]))</f>
        <v>Ghana</v>
      </c>
      <c r="AB29" s="58" t="str" cm="1">
        <f t="array" ref="AB29">_xlfn._xlws.FILTER(Teams[teamID], Fixtures[[#This Row],[oppTeam]] = Teams[name], "N/A")</f>
        <v>N-GHA-GHANA</v>
      </c>
      <c r="AC29" s="58" t="str" cm="1">
        <f t="array" ref="AC29">_xlfn._xlws.FILTER(Teams[teamType], Fixtures[[#This Row],[oppTeam]] = Teams[name], "N/A")</f>
        <v>National</v>
      </c>
      <c r="AD29" s="58">
        <f>IF(ISBLANK(Fixtures[[#This Row],[date]]), "N/A", IF(Fixtures[[#This Row],[userSide]]="H", Fixtures[[#This Row],[homeScore]], Fixtures[[#This Row],[awayScore]]))</f>
        <v>1</v>
      </c>
      <c r="AE29" s="58">
        <f>IF(ISBLANK(Fixtures[[#This Row],[date]]), "N/A", IF(Fixtures[[#This Row],[userScore]] = Fixtures[[#This Row],[homeScore]], Fixtures[[#This Row],[awayScore]], Fixtures[[#This Row],[homeScore]]))</f>
        <v>1</v>
      </c>
      <c r="AF29" s="58" t="b">
        <f>NOT(AND(ISBLANK(Fixtures[[#This Row],[homePens]]), ISBLANK(Fixtures[[#This Row],[awayPens]])))</f>
        <v>0</v>
      </c>
      <c r="AG29" s="58" t="str">
        <f>IF(Fixtures[[#This Row],[penalties]], IF(Fixtures[[#This Row],[userSide]]="H", Fixtures[[#This Row],[homePens]], Fixtures[[#This Row],[awayPens]]), "N/A")</f>
        <v>N/A</v>
      </c>
      <c r="AH29" s="58" t="str">
        <f>IF(Fixtures[[#This Row],[penalties]], IF(Fixtures[[#This Row],[userPens]]=Fixtures[[#This Row],[homePens]],Fixtures[[#This Row],[awayPens]],Fixtures[[#This Row],[homePens]]), "N/A")</f>
        <v>N/A</v>
      </c>
      <c r="AI29" s="58" t="b">
        <f>COUNTBLANK(Fixtures[[#This Row],[G]:[MOTM]]) = 0</f>
        <v>1</v>
      </c>
      <c r="AJ29" s="58">
        <f>IF(Fixtures[[#This Row],[APP]], Fixtures[[#This Row],[G]]+Fixtures[[#This Row],[A]], "N/A")</f>
        <v>0</v>
      </c>
      <c r="AK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2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[2023-11-21] Ghana vs. United States (1-1) - International Friendly</v>
      </c>
      <c r="AN29" s="59"/>
    </row>
    <row r="30" spans="1:40" s="60" customFormat="1" ht="13">
      <c r="A30" s="55">
        <v>45256</v>
      </c>
      <c r="B30" s="55" t="s">
        <v>108</v>
      </c>
      <c r="C30" s="56" t="s">
        <v>108</v>
      </c>
      <c r="D30" s="56" t="s">
        <v>108</v>
      </c>
      <c r="E30" s="56" t="s">
        <v>108</v>
      </c>
      <c r="F30" s="56" t="s">
        <v>116</v>
      </c>
      <c r="G30" s="56" t="s">
        <v>132</v>
      </c>
      <c r="H30" s="56" t="s">
        <v>110</v>
      </c>
      <c r="I30" s="56">
        <v>2</v>
      </c>
      <c r="J30" s="56">
        <v>6</v>
      </c>
      <c r="K30" s="56"/>
      <c r="L30" s="56"/>
      <c r="M30" s="56">
        <v>1</v>
      </c>
      <c r="N30" s="56">
        <v>1</v>
      </c>
      <c r="O30" s="56">
        <v>0</v>
      </c>
      <c r="P30" s="56">
        <v>0</v>
      </c>
      <c r="Q30" s="57">
        <v>8.9</v>
      </c>
      <c r="R30" s="56" t="b">
        <v>0</v>
      </c>
      <c r="S30" s="58" t="str" cm="1">
        <f t="array" ref="S30">_xlfn._xlws.FILTER(Competitions[compType], (Fixtures[[#This Row],[competition]] = Competitions[name]), "N/A")</f>
        <v>Domestic League</v>
      </c>
      <c r="T30" s="58" t="b" cm="1">
        <f t="array" ref="T30">_xlfn._xlws.FILTER(Competitions[exhibition], (Fixtures[[#This Row],[competition]] = Competitions[name]), "N/A")</f>
        <v>0</v>
      </c>
      <c r="U30" s="58" t="str" cm="1">
        <f t="array" ref="U30">_xlfn._xlws.FILTER(Competitions[compID], (Fixtures[[#This Row],[competition]] = Competitions[name]), "N/A")</f>
        <v>DL-OF-1APROLEAGUE</v>
      </c>
      <c r="V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0" s="58" t="str" cm="1">
        <f t="array" ref="W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0" s="58" t="str" cm="1">
        <f t="array" ref="X30">_xlfn._xlws.FILTER(Teams[name], (Fixtures[[#This Row],[userTeamID]] = Teams[teamID]), "N/A")</f>
        <v>KRC Genk</v>
      </c>
      <c r="Y30" s="58" t="str" cm="1">
        <f t="array" ref="Y30">_xlfn._xlws.FILTER(Teams[teamType], (Fixtures[[#This Row],[userTeamID]] = Teams[teamID]), "N/A")</f>
        <v>Club</v>
      </c>
      <c r="Z30" s="58" t="str" cm="1">
        <f t="array" ref="Z30">IF(Fixtures[[#This Row],[userTeamID]] = "N/A", "N/A", IF(SUM(COUNTIF(Fixtures[[#This Row],[homeTeam]], _xlfn._xlws.FILTER(Teams[name], (Fixtures[[#This Row],[userTeamID]] = Teams[teamID])*(Teams[relevant])))) &gt; 0, "H", "A"))</f>
        <v>A</v>
      </c>
      <c r="AA30" s="58" t="str">
        <f>IF(Fixtures[[#This Row],[userSide]] = "N/A", "N/A", IF(Fixtures[[#This Row],[userSide]] = "H", Fixtures[[#This Row],[awayTeam]], Fixtures[[#This Row],[homeTeam]]))</f>
        <v>STVV</v>
      </c>
      <c r="AB30" s="58" t="str" cm="1">
        <f t="array" ref="AB30">_xlfn._xlws.FILTER(Teams[teamID], Fixtures[[#This Row],[oppTeam]] = Teams[name], "N/A")</f>
        <v>C-BEL-STVV</v>
      </c>
      <c r="AC30" s="58" t="str" cm="1">
        <f t="array" ref="AC30">_xlfn._xlws.FILTER(Teams[teamType], Fixtures[[#This Row],[oppTeam]] = Teams[name], "N/A")</f>
        <v>Club</v>
      </c>
      <c r="AD30" s="58">
        <f>IF(ISBLANK(Fixtures[[#This Row],[date]]), "N/A", IF(Fixtures[[#This Row],[userSide]]="H", Fixtures[[#This Row],[homeScore]], Fixtures[[#This Row],[awayScore]]))</f>
        <v>6</v>
      </c>
      <c r="AE30" s="58">
        <f>IF(ISBLANK(Fixtures[[#This Row],[date]]), "N/A", IF(Fixtures[[#This Row],[userScore]] = Fixtures[[#This Row],[homeScore]], Fixtures[[#This Row],[awayScore]], Fixtures[[#This Row],[homeScore]]))</f>
        <v>2</v>
      </c>
      <c r="AF30" s="58" t="b">
        <f>NOT(AND(ISBLANK(Fixtures[[#This Row],[homePens]]), ISBLANK(Fixtures[[#This Row],[awayPens]])))</f>
        <v>0</v>
      </c>
      <c r="AG30" s="58" t="str">
        <f>IF(Fixtures[[#This Row],[penalties]], IF(Fixtures[[#This Row],[userSide]]="H", Fixtures[[#This Row],[homePens]], Fixtures[[#This Row],[awayPens]]), "N/A")</f>
        <v>N/A</v>
      </c>
      <c r="AH30" s="58" t="str">
        <f>IF(Fixtures[[#This Row],[penalties]], IF(Fixtures[[#This Row],[userPens]]=Fixtures[[#This Row],[homePens]],Fixtures[[#This Row],[awayPens]],Fixtures[[#This Row],[homePens]]), "N/A")</f>
        <v>N/A</v>
      </c>
      <c r="AI30" s="58" t="b">
        <f>COUNTBLANK(Fixtures[[#This Row],[G]:[MOTM]]) = 0</f>
        <v>1</v>
      </c>
      <c r="AJ30" s="58">
        <f>IF(Fixtures[[#This Row],[APP]], Fixtures[[#This Row],[G]]+Fixtures[[#This Row],[A]], "N/A")</f>
        <v>2</v>
      </c>
      <c r="AK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0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[2023-11-26] STVV vs. KRC Genk (2-6) - 1A Pro League</v>
      </c>
      <c r="AN30" s="59"/>
    </row>
    <row r="31" spans="1:40" s="60" customFormat="1" ht="13">
      <c r="A31" s="55">
        <v>45260</v>
      </c>
      <c r="B31" s="55" t="s">
        <v>108</v>
      </c>
      <c r="C31" s="56" t="s">
        <v>108</v>
      </c>
      <c r="D31" s="56" t="s">
        <v>108</v>
      </c>
      <c r="E31" s="56" t="s">
        <v>108</v>
      </c>
      <c r="F31" s="56" t="s">
        <v>134</v>
      </c>
      <c r="G31" s="56" t="s">
        <v>135</v>
      </c>
      <c r="H31" s="56" t="s">
        <v>110</v>
      </c>
      <c r="I31" s="56">
        <v>1</v>
      </c>
      <c r="J31" s="56">
        <v>2</v>
      </c>
      <c r="K31" s="56"/>
      <c r="L31" s="56"/>
      <c r="M31" s="56">
        <v>0</v>
      </c>
      <c r="N31" s="56">
        <v>0</v>
      </c>
      <c r="O31" s="56">
        <v>0</v>
      </c>
      <c r="P31" s="56">
        <v>0</v>
      </c>
      <c r="Q31" s="57">
        <v>7.7</v>
      </c>
      <c r="R31" s="56" t="b">
        <v>0</v>
      </c>
      <c r="S31" s="58" t="str" cm="1">
        <f t="array" ref="S31">_xlfn._xlws.FILTER(Competitions[compType], (Fixtures[[#This Row],[competition]] = Competitions[name]), "N/A")</f>
        <v>Continental Cup</v>
      </c>
      <c r="T31" s="58" t="b" cm="1">
        <f t="array" ref="T31">_xlfn._xlws.FILTER(Competitions[exhibition], (Fixtures[[#This Row],[competition]] = Competitions[name]), "N/A")</f>
        <v>0</v>
      </c>
      <c r="U31" s="58" t="str" cm="1">
        <f t="array" ref="U31">_xlfn._xlws.FILTER(Competitions[compID], (Fixtures[[#This Row],[competition]] = Competitions[name]), "N/A")</f>
        <v>CC-OF-UEFAEUROPACONFERENCELEAGUE</v>
      </c>
      <c r="V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1" s="58" t="str" cm="1">
        <f t="array" ref="W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1" s="58" t="str" cm="1">
        <f t="array" ref="X31">_xlfn._xlws.FILTER(Teams[name], (Fixtures[[#This Row],[userTeamID]] = Teams[teamID]), "N/A")</f>
        <v>KRC Genk</v>
      </c>
      <c r="Y31" s="58" t="str" cm="1">
        <f t="array" ref="Y31">_xlfn._xlws.FILTER(Teams[teamType], (Fixtures[[#This Row],[userTeamID]] = Teams[teamID]), "N/A")</f>
        <v>Club</v>
      </c>
      <c r="Z31" s="58" t="str" cm="1">
        <f t="array" ref="Z31">IF(Fixtures[[#This Row],[userTeamID]] = "N/A", "N/A", IF(SUM(COUNTIF(Fixtures[[#This Row],[homeTeam]], _xlfn._xlws.FILTER(Teams[name], (Fixtures[[#This Row],[userTeamID]] = Teams[teamID])*(Teams[relevant])))) &gt; 0, "H", "A"))</f>
        <v>A</v>
      </c>
      <c r="AA31" s="58" t="str">
        <f>IF(Fixtures[[#This Row],[userSide]] = "N/A", "N/A", IF(Fixtures[[#This Row],[userSide]] = "H", Fixtures[[#This Row],[awayTeam]], Fixtures[[#This Row],[homeTeam]]))</f>
        <v>St. Pats</v>
      </c>
      <c r="AB31" s="58" t="str" cm="1">
        <f t="array" ref="AB31">_xlfn._xlws.FILTER(Teams[teamID], Fixtures[[#This Row],[oppTeam]] = Teams[name], "N/A")</f>
        <v>C-IRE-STPATS</v>
      </c>
      <c r="AC31" s="58" t="str" cm="1">
        <f t="array" ref="AC31">_xlfn._xlws.FILTER(Teams[teamType], Fixtures[[#This Row],[oppTeam]] = Teams[name], "N/A")</f>
        <v>Club</v>
      </c>
      <c r="AD31" s="58">
        <f>IF(ISBLANK(Fixtures[[#This Row],[date]]), "N/A", IF(Fixtures[[#This Row],[userSide]]="H", Fixtures[[#This Row],[homeScore]], Fixtures[[#This Row],[awayScore]]))</f>
        <v>2</v>
      </c>
      <c r="AE31" s="58">
        <f>IF(ISBLANK(Fixtures[[#This Row],[date]]), "N/A", IF(Fixtures[[#This Row],[userScore]] = Fixtures[[#This Row],[homeScore]], Fixtures[[#This Row],[awayScore]], Fixtures[[#This Row],[homeScore]]))</f>
        <v>1</v>
      </c>
      <c r="AF31" s="58" t="b">
        <f>NOT(AND(ISBLANK(Fixtures[[#This Row],[homePens]]), ISBLANK(Fixtures[[#This Row],[awayPens]])))</f>
        <v>0</v>
      </c>
      <c r="AG31" s="58" t="str">
        <f>IF(Fixtures[[#This Row],[penalties]], IF(Fixtures[[#This Row],[userSide]]="H", Fixtures[[#This Row],[homePens]], Fixtures[[#This Row],[awayPens]]), "N/A")</f>
        <v>N/A</v>
      </c>
      <c r="AH31" s="58" t="str">
        <f>IF(Fixtures[[#This Row],[penalties]], IF(Fixtures[[#This Row],[userPens]]=Fixtures[[#This Row],[homePens]],Fixtures[[#This Row],[awayPens]],Fixtures[[#This Row],[homePens]]), "N/A")</f>
        <v>N/A</v>
      </c>
      <c r="AI31" s="58" t="b">
        <f>COUNTBLANK(Fixtures[[#This Row],[G]:[MOTM]]) = 0</f>
        <v>1</v>
      </c>
      <c r="AJ31" s="58">
        <f>IF(Fixtures[[#This Row],[APP]], Fixtures[[#This Row],[G]]+Fixtures[[#This Row],[A]], "N/A")</f>
        <v>0</v>
      </c>
      <c r="AK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[2023-11-30] St. Pats vs. KRC Genk (1-2) - UEFA Europa Conference League</v>
      </c>
      <c r="AN31" s="59"/>
    </row>
    <row r="32" spans="1:40" s="60" customFormat="1" ht="13">
      <c r="A32" s="55">
        <v>45263</v>
      </c>
      <c r="B32" s="55" t="s">
        <v>108</v>
      </c>
      <c r="C32" s="56" t="s">
        <v>108</v>
      </c>
      <c r="D32" s="56" t="s">
        <v>108</v>
      </c>
      <c r="E32" s="56" t="s">
        <v>108</v>
      </c>
      <c r="F32" s="56" t="s">
        <v>116</v>
      </c>
      <c r="G32" s="56" t="s">
        <v>126</v>
      </c>
      <c r="H32" s="56" t="s">
        <v>110</v>
      </c>
      <c r="I32" s="56">
        <v>1</v>
      </c>
      <c r="J32" s="56">
        <v>4</v>
      </c>
      <c r="K32" s="56"/>
      <c r="L32" s="56"/>
      <c r="M32" s="56">
        <v>0</v>
      </c>
      <c r="N32" s="56">
        <v>0</v>
      </c>
      <c r="O32" s="56">
        <v>0</v>
      </c>
      <c r="P32" s="56">
        <v>0</v>
      </c>
      <c r="Q32" s="57">
        <v>7.3</v>
      </c>
      <c r="R32" s="56" t="b">
        <v>0</v>
      </c>
      <c r="S32" s="58" t="str" cm="1">
        <f t="array" ref="S32">_xlfn._xlws.FILTER(Competitions[compType], (Fixtures[[#This Row],[competition]] = Competitions[name]), "N/A")</f>
        <v>Domestic League</v>
      </c>
      <c r="T32" s="58" t="b" cm="1">
        <f t="array" ref="T32">_xlfn._xlws.FILTER(Competitions[exhibition], (Fixtures[[#This Row],[competition]] = Competitions[name]), "N/A")</f>
        <v>0</v>
      </c>
      <c r="U32" s="58" t="str" cm="1">
        <f t="array" ref="U32">_xlfn._xlws.FILTER(Competitions[compID], (Fixtures[[#This Row],[competition]] = Competitions[name]), "N/A")</f>
        <v>DL-OF-1APROLEAGUE</v>
      </c>
      <c r="V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2" s="58" t="str" cm="1">
        <f t="array" ref="W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2" s="58" t="str" cm="1">
        <f t="array" ref="X32">_xlfn._xlws.FILTER(Teams[name], (Fixtures[[#This Row],[userTeamID]] = Teams[teamID]), "N/A")</f>
        <v>KRC Genk</v>
      </c>
      <c r="Y32" s="58" t="str" cm="1">
        <f t="array" ref="Y32">_xlfn._xlws.FILTER(Teams[teamType], (Fixtures[[#This Row],[userTeamID]] = Teams[teamID]), "N/A")</f>
        <v>Club</v>
      </c>
      <c r="Z32" s="58" t="str" cm="1">
        <f t="array" ref="Z32">IF(Fixtures[[#This Row],[userTeamID]] = "N/A", "N/A", IF(SUM(COUNTIF(Fixtures[[#This Row],[homeTeam]], _xlfn._xlws.FILTER(Teams[name], (Fixtures[[#This Row],[userTeamID]] = Teams[teamID])*(Teams[relevant])))) &gt; 0, "H", "A"))</f>
        <v>A</v>
      </c>
      <c r="AA32" s="58" t="str">
        <f>IF(Fixtures[[#This Row],[userSide]] = "N/A", "N/A", IF(Fixtures[[#This Row],[userSide]] = "H", Fixtures[[#This Row],[awayTeam]], Fixtures[[#This Row],[homeTeam]]))</f>
        <v>OH Leuven</v>
      </c>
      <c r="AB32" s="58" t="str" cm="1">
        <f t="array" ref="AB32">_xlfn._xlws.FILTER(Teams[teamID], Fixtures[[#This Row],[oppTeam]] = Teams[name], "N/A")</f>
        <v>C-BEL-OHLEUVEN</v>
      </c>
      <c r="AC32" s="58" t="str" cm="1">
        <f t="array" ref="AC32">_xlfn._xlws.FILTER(Teams[teamType], Fixtures[[#This Row],[oppTeam]] = Teams[name], "N/A")</f>
        <v>Club</v>
      </c>
      <c r="AD32" s="58">
        <f>IF(ISBLANK(Fixtures[[#This Row],[date]]), "N/A", IF(Fixtures[[#This Row],[userSide]]="H", Fixtures[[#This Row],[homeScore]], Fixtures[[#This Row],[awayScore]]))</f>
        <v>4</v>
      </c>
      <c r="AE32" s="58">
        <f>IF(ISBLANK(Fixtures[[#This Row],[date]]), "N/A", IF(Fixtures[[#This Row],[userScore]] = Fixtures[[#This Row],[homeScore]], Fixtures[[#This Row],[awayScore]], Fixtures[[#This Row],[homeScore]]))</f>
        <v>1</v>
      </c>
      <c r="AF32" s="58" t="b">
        <f>NOT(AND(ISBLANK(Fixtures[[#This Row],[homePens]]), ISBLANK(Fixtures[[#This Row],[awayPens]])))</f>
        <v>0</v>
      </c>
      <c r="AG32" s="58" t="str">
        <f>IF(Fixtures[[#This Row],[penalties]], IF(Fixtures[[#This Row],[userSide]]="H", Fixtures[[#This Row],[homePens]], Fixtures[[#This Row],[awayPens]]), "N/A")</f>
        <v>N/A</v>
      </c>
      <c r="AH32" s="58" t="str">
        <f>IF(Fixtures[[#This Row],[penalties]], IF(Fixtures[[#This Row],[userPens]]=Fixtures[[#This Row],[homePens]],Fixtures[[#This Row],[awayPens]],Fixtures[[#This Row],[homePens]]), "N/A")</f>
        <v>N/A</v>
      </c>
      <c r="AI32" s="58" t="b">
        <f>COUNTBLANK(Fixtures[[#This Row],[G]:[MOTM]]) = 0</f>
        <v>1</v>
      </c>
      <c r="AJ32" s="58">
        <f>IF(Fixtures[[#This Row],[APP]], Fixtures[[#This Row],[G]]+Fixtures[[#This Row],[A]], "N/A")</f>
        <v>0</v>
      </c>
      <c r="AK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2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[2023-12-03] OH Leuven vs. KRC Genk (1-4) - 1A Pro League</v>
      </c>
      <c r="AN32" s="59"/>
    </row>
    <row r="33" spans="1:40" s="60" customFormat="1" ht="13">
      <c r="A33" s="55">
        <v>45266</v>
      </c>
      <c r="B33" s="55" t="s">
        <v>108</v>
      </c>
      <c r="C33" s="56" t="s">
        <v>108</v>
      </c>
      <c r="D33" s="56" t="s">
        <v>108</v>
      </c>
      <c r="E33" s="56" t="s">
        <v>108</v>
      </c>
      <c r="F33" s="56" t="s">
        <v>155</v>
      </c>
      <c r="G33" s="56" t="s">
        <v>126</v>
      </c>
      <c r="H33" s="56" t="s">
        <v>110</v>
      </c>
      <c r="I33" s="56">
        <v>0</v>
      </c>
      <c r="J33" s="56">
        <v>5</v>
      </c>
      <c r="K33" s="56"/>
      <c r="L33" s="56"/>
      <c r="M33" s="56">
        <v>1</v>
      </c>
      <c r="N33" s="56">
        <v>1</v>
      </c>
      <c r="O33" s="56">
        <v>0</v>
      </c>
      <c r="P33" s="56">
        <v>0</v>
      </c>
      <c r="Q33" s="57">
        <v>8.6</v>
      </c>
      <c r="R33" s="56" t="b">
        <v>0</v>
      </c>
      <c r="S33" s="58" t="str" cm="1">
        <f t="array" ref="S33">_xlfn._xlws.FILTER(Competitions[compType], (Fixtures[[#This Row],[competition]] = Competitions[name]), "N/A")</f>
        <v>Domestic Cup</v>
      </c>
      <c r="T33" s="58" t="b" cm="1">
        <f t="array" ref="T33">_xlfn._xlws.FILTER(Competitions[exhibition], (Fixtures[[#This Row],[competition]] = Competitions[name]), "N/A")</f>
        <v>0</v>
      </c>
      <c r="U33" s="58" t="str" cm="1">
        <f t="array" ref="U33">_xlfn._xlws.FILTER(Competitions[compID], (Fixtures[[#This Row],[competition]] = Competitions[name]), "N/A")</f>
        <v>DC-OF-CROKYCUP</v>
      </c>
      <c r="V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3" s="58" t="str" cm="1">
        <f t="array" ref="W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3" s="58" t="str" cm="1">
        <f t="array" ref="X33">_xlfn._xlws.FILTER(Teams[name], (Fixtures[[#This Row],[userTeamID]] = Teams[teamID]), "N/A")</f>
        <v>KRC Genk</v>
      </c>
      <c r="Y33" s="58" t="str" cm="1">
        <f t="array" ref="Y33">_xlfn._xlws.FILTER(Teams[teamType], (Fixtures[[#This Row],[userTeamID]] = Teams[teamID]), "N/A")</f>
        <v>Club</v>
      </c>
      <c r="Z33" s="58" t="str" cm="1">
        <f t="array" ref="Z33">IF(Fixtures[[#This Row],[userTeamID]] = "N/A", "N/A", IF(SUM(COUNTIF(Fixtures[[#This Row],[homeTeam]], _xlfn._xlws.FILTER(Teams[name], (Fixtures[[#This Row],[userTeamID]] = Teams[teamID])*(Teams[relevant])))) &gt; 0, "H", "A"))</f>
        <v>A</v>
      </c>
      <c r="AA33" s="58" t="str">
        <f>IF(Fixtures[[#This Row],[userSide]] = "N/A", "N/A", IF(Fixtures[[#This Row],[userSide]] = "H", Fixtures[[#This Row],[awayTeam]], Fixtures[[#This Row],[homeTeam]]))</f>
        <v>OH Leuven</v>
      </c>
      <c r="AB33" s="58" t="str" cm="1">
        <f t="array" ref="AB33">_xlfn._xlws.FILTER(Teams[teamID], Fixtures[[#This Row],[oppTeam]] = Teams[name], "N/A")</f>
        <v>C-BEL-OHLEUVEN</v>
      </c>
      <c r="AC33" s="58" t="str" cm="1">
        <f t="array" ref="AC33">_xlfn._xlws.FILTER(Teams[teamType], Fixtures[[#This Row],[oppTeam]] = Teams[name], "N/A")</f>
        <v>Club</v>
      </c>
      <c r="AD33" s="58">
        <f>IF(ISBLANK(Fixtures[[#This Row],[date]]), "N/A", IF(Fixtures[[#This Row],[userSide]]="H", Fixtures[[#This Row],[homeScore]], Fixtures[[#This Row],[awayScore]]))</f>
        <v>5</v>
      </c>
      <c r="AE33" s="58">
        <f>IF(ISBLANK(Fixtures[[#This Row],[date]]), "N/A", IF(Fixtures[[#This Row],[userScore]] = Fixtures[[#This Row],[homeScore]], Fixtures[[#This Row],[awayScore]], Fixtures[[#This Row],[homeScore]]))</f>
        <v>0</v>
      </c>
      <c r="AF33" s="58" t="b">
        <f>NOT(AND(ISBLANK(Fixtures[[#This Row],[homePens]]), ISBLANK(Fixtures[[#This Row],[awayPens]])))</f>
        <v>0</v>
      </c>
      <c r="AG33" s="58" t="str">
        <f>IF(Fixtures[[#This Row],[penalties]], IF(Fixtures[[#This Row],[userSide]]="H", Fixtures[[#This Row],[homePens]], Fixtures[[#This Row],[awayPens]]), "N/A")</f>
        <v>N/A</v>
      </c>
      <c r="AH33" s="58" t="str">
        <f>IF(Fixtures[[#This Row],[penalties]], IF(Fixtures[[#This Row],[userPens]]=Fixtures[[#This Row],[homePens]],Fixtures[[#This Row],[awayPens]],Fixtures[[#This Row],[homePens]]), "N/A")</f>
        <v>N/A</v>
      </c>
      <c r="AI33" s="58" t="b">
        <f>COUNTBLANK(Fixtures[[#This Row],[G]:[MOTM]]) = 0</f>
        <v>1</v>
      </c>
      <c r="AJ33" s="58">
        <f>IF(Fixtures[[#This Row],[APP]], Fixtures[[#This Row],[G]]+Fixtures[[#This Row],[A]], "N/A")</f>
        <v>2</v>
      </c>
      <c r="AK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3" s="58">
        <f>IF(Fixtures[[#This Row],[result]] = "N/A", "N/A", IF(Fixtures[[#This Row],[penalties]], ABS(Fixtures[[#This Row],[userPens]] - Fixtures[[#This Row],[oppPens]]), ABS(Fixtures[[#This Row],[userScore]] - Fixtures[[#This Row],[oppScore]])))</f>
        <v>5</v>
      </c>
      <c r="AM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[2023-12-06] OH Leuven vs. KRC Genk (0-5) - Croky Cup</v>
      </c>
      <c r="AN33" s="59"/>
    </row>
    <row r="34" spans="1:40" s="60" customFormat="1" ht="13">
      <c r="A34" s="55">
        <v>45269</v>
      </c>
      <c r="B34" s="55" t="s">
        <v>108</v>
      </c>
      <c r="C34" s="56" t="s">
        <v>108</v>
      </c>
      <c r="D34" s="56" t="s">
        <v>108</v>
      </c>
      <c r="E34" s="56" t="s">
        <v>108</v>
      </c>
      <c r="F34" s="56" t="s">
        <v>116</v>
      </c>
      <c r="G34" s="56" t="s">
        <v>138</v>
      </c>
      <c r="H34" s="56" t="s">
        <v>110</v>
      </c>
      <c r="I34" s="56">
        <v>0</v>
      </c>
      <c r="J34" s="56">
        <v>1</v>
      </c>
      <c r="K34" s="56"/>
      <c r="L34" s="56"/>
      <c r="M34" s="56">
        <v>0</v>
      </c>
      <c r="N34" s="56">
        <v>0</v>
      </c>
      <c r="O34" s="56">
        <v>0</v>
      </c>
      <c r="P34" s="56">
        <v>0</v>
      </c>
      <c r="Q34" s="57">
        <v>7.2</v>
      </c>
      <c r="R34" s="56" t="b">
        <v>0</v>
      </c>
      <c r="S34" s="58" t="str" cm="1">
        <f t="array" ref="S34">_xlfn._xlws.FILTER(Competitions[compType], (Fixtures[[#This Row],[competition]] = Competitions[name]), "N/A")</f>
        <v>Domestic League</v>
      </c>
      <c r="T34" s="58" t="b" cm="1">
        <f t="array" ref="T34">_xlfn._xlws.FILTER(Competitions[exhibition], (Fixtures[[#This Row],[competition]] = Competitions[name]), "N/A")</f>
        <v>0</v>
      </c>
      <c r="U34" s="58" t="str" cm="1">
        <f t="array" ref="U34">_xlfn._xlws.FILTER(Competitions[compID], (Fixtures[[#This Row],[competition]] = Competitions[name]), "N/A")</f>
        <v>DL-OF-1APROLEAGUE</v>
      </c>
      <c r="V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4" s="58" t="str" cm="1">
        <f t="array" ref="W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4" s="58" t="str" cm="1">
        <f t="array" ref="X34">_xlfn._xlws.FILTER(Teams[name], (Fixtures[[#This Row],[userTeamID]] = Teams[teamID]), "N/A")</f>
        <v>KRC Genk</v>
      </c>
      <c r="Y34" s="58" t="str" cm="1">
        <f t="array" ref="Y34">_xlfn._xlws.FILTER(Teams[teamType], (Fixtures[[#This Row],[userTeamID]] = Teams[teamID]), "N/A")</f>
        <v>Club</v>
      </c>
      <c r="Z34" s="58" t="str" cm="1">
        <f t="array" ref="Z34">IF(Fixtures[[#This Row],[userTeamID]] = "N/A", "N/A", IF(SUM(COUNTIF(Fixtures[[#This Row],[homeTeam]], _xlfn._xlws.FILTER(Teams[name], (Fixtures[[#This Row],[userTeamID]] = Teams[teamID])*(Teams[relevant])))) &gt; 0, "H", "A"))</f>
        <v>A</v>
      </c>
      <c r="AA34" s="58" t="str">
        <f>IF(Fixtures[[#This Row],[userSide]] = "N/A", "N/A", IF(Fixtures[[#This Row],[userSide]] = "H", Fixtures[[#This Row],[awayTeam]], Fixtures[[#This Row],[homeTeam]]))</f>
        <v>KV Kortrijk</v>
      </c>
      <c r="AB34" s="58" t="str" cm="1">
        <f t="array" ref="AB34">_xlfn._xlws.FILTER(Teams[teamID], Fixtures[[#This Row],[oppTeam]] = Teams[name], "N/A")</f>
        <v>C-BEL-KVKORTRIJK</v>
      </c>
      <c r="AC34" s="58" t="str" cm="1">
        <f t="array" ref="AC34">_xlfn._xlws.FILTER(Teams[teamType], Fixtures[[#This Row],[oppTeam]] = Teams[name], "N/A")</f>
        <v>Club</v>
      </c>
      <c r="AD34" s="58">
        <f>IF(ISBLANK(Fixtures[[#This Row],[date]]), "N/A", IF(Fixtures[[#This Row],[userSide]]="H", Fixtures[[#This Row],[homeScore]], Fixtures[[#This Row],[awayScore]]))</f>
        <v>1</v>
      </c>
      <c r="AE34" s="58">
        <f>IF(ISBLANK(Fixtures[[#This Row],[date]]), "N/A", IF(Fixtures[[#This Row],[userScore]] = Fixtures[[#This Row],[homeScore]], Fixtures[[#This Row],[awayScore]], Fixtures[[#This Row],[homeScore]]))</f>
        <v>0</v>
      </c>
      <c r="AF34" s="58" t="b">
        <f>NOT(AND(ISBLANK(Fixtures[[#This Row],[homePens]]), ISBLANK(Fixtures[[#This Row],[awayPens]])))</f>
        <v>0</v>
      </c>
      <c r="AG34" s="58" t="str">
        <f>IF(Fixtures[[#This Row],[penalties]], IF(Fixtures[[#This Row],[userSide]]="H", Fixtures[[#This Row],[homePens]], Fixtures[[#This Row],[awayPens]]), "N/A")</f>
        <v>N/A</v>
      </c>
      <c r="AH34" s="58" t="str">
        <f>IF(Fixtures[[#This Row],[penalties]], IF(Fixtures[[#This Row],[userPens]]=Fixtures[[#This Row],[homePens]],Fixtures[[#This Row],[awayPens]],Fixtures[[#This Row],[homePens]]), "N/A")</f>
        <v>N/A</v>
      </c>
      <c r="AI34" s="58" t="b">
        <f>COUNTBLANK(Fixtures[[#This Row],[G]:[MOTM]]) = 0</f>
        <v>1</v>
      </c>
      <c r="AJ34" s="58">
        <f>IF(Fixtures[[#This Row],[APP]], Fixtures[[#This Row],[G]]+Fixtures[[#This Row],[A]], "N/A")</f>
        <v>0</v>
      </c>
      <c r="AK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[2023-12-09] KV Kortrijk vs. KRC Genk (0-1) - 1A Pro League</v>
      </c>
      <c r="AN34" s="59"/>
    </row>
    <row r="35" spans="1:40" s="60" customFormat="1" ht="13">
      <c r="A35" s="55">
        <v>45274</v>
      </c>
      <c r="B35" s="55" t="s">
        <v>108</v>
      </c>
      <c r="C35" s="56" t="s">
        <v>108</v>
      </c>
      <c r="D35" s="56" t="s">
        <v>115</v>
      </c>
      <c r="E35" s="56" t="s">
        <v>108</v>
      </c>
      <c r="F35" s="56" t="s">
        <v>134</v>
      </c>
      <c r="G35" s="56" t="s">
        <v>110</v>
      </c>
      <c r="H35" s="56" t="s">
        <v>139</v>
      </c>
      <c r="I35" s="56">
        <v>1</v>
      </c>
      <c r="J35" s="56">
        <v>0</v>
      </c>
      <c r="K35" s="56"/>
      <c r="L35" s="56"/>
      <c r="M35" s="56">
        <v>0</v>
      </c>
      <c r="N35" s="56">
        <v>0</v>
      </c>
      <c r="O35" s="56">
        <v>0</v>
      </c>
      <c r="P35" s="56">
        <v>0</v>
      </c>
      <c r="Q35" s="57">
        <v>7.4</v>
      </c>
      <c r="R35" s="56" t="b">
        <v>0</v>
      </c>
      <c r="S35" s="58" t="str" cm="1">
        <f t="array" ref="S35">_xlfn._xlws.FILTER(Competitions[compType], (Fixtures[[#This Row],[competition]] = Competitions[name]), "N/A")</f>
        <v>Continental Cup</v>
      </c>
      <c r="T35" s="58" t="b" cm="1">
        <f t="array" ref="T35">_xlfn._xlws.FILTER(Competitions[exhibition], (Fixtures[[#This Row],[competition]] = Competitions[name]), "N/A")</f>
        <v>0</v>
      </c>
      <c r="U35" s="58" t="str" cm="1">
        <f t="array" ref="U35">_xlfn._xlws.FILTER(Competitions[compID], (Fixtures[[#This Row],[competition]] = Competitions[name]), "N/A")</f>
        <v>CC-OF-UEFAEUROPACONFERENCELEAGUE</v>
      </c>
      <c r="V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5" s="58" t="str" cm="1">
        <f t="array" ref="W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5" s="58" t="str" cm="1">
        <f t="array" ref="X35">_xlfn._xlws.FILTER(Teams[name], (Fixtures[[#This Row],[userTeamID]] = Teams[teamID]), "N/A")</f>
        <v>KRC Genk</v>
      </c>
      <c r="Y35" s="58" t="str" cm="1">
        <f t="array" ref="Y35">_xlfn._xlws.FILTER(Teams[teamType], (Fixtures[[#This Row],[userTeamID]] = Teams[teamID]), "N/A")</f>
        <v>Club</v>
      </c>
      <c r="Z35" s="58" t="str" cm="1">
        <f t="array" ref="Z35">IF(Fixtures[[#This Row],[userTeamID]] = "N/A", "N/A", IF(SUM(COUNTIF(Fixtures[[#This Row],[homeTeam]], _xlfn._xlws.FILTER(Teams[name], (Fixtures[[#This Row],[userTeamID]] = Teams[teamID])*(Teams[relevant])))) &gt; 0, "H", "A"))</f>
        <v>H</v>
      </c>
      <c r="AA35" s="58" t="str">
        <f>IF(Fixtures[[#This Row],[userSide]] = "N/A", "N/A", IF(Fixtures[[#This Row],[userSide]] = "H", Fixtures[[#This Row],[awayTeam]], Fixtures[[#This Row],[homeTeam]]))</f>
        <v>Fiorentina</v>
      </c>
      <c r="AB35" s="58" t="str" cm="1">
        <f t="array" ref="AB35">_xlfn._xlws.FILTER(Teams[teamID], Fixtures[[#This Row],[oppTeam]] = Teams[name], "N/A")</f>
        <v>C-ITA-FIORENTINA</v>
      </c>
      <c r="AC35" s="58" t="str" cm="1">
        <f t="array" ref="AC35">_xlfn._xlws.FILTER(Teams[teamType], Fixtures[[#This Row],[oppTeam]] = Teams[name], "N/A")</f>
        <v>Club</v>
      </c>
      <c r="AD35" s="58">
        <f>IF(ISBLANK(Fixtures[[#This Row],[date]]), "N/A", IF(Fixtures[[#This Row],[userSide]]="H", Fixtures[[#This Row],[homeScore]], Fixtures[[#This Row],[awayScore]]))</f>
        <v>1</v>
      </c>
      <c r="AE35" s="58">
        <f>IF(ISBLANK(Fixtures[[#This Row],[date]]), "N/A", IF(Fixtures[[#This Row],[userScore]] = Fixtures[[#This Row],[homeScore]], Fixtures[[#This Row],[awayScore]], Fixtures[[#This Row],[homeScore]]))</f>
        <v>0</v>
      </c>
      <c r="AF35" s="58" t="b">
        <f>NOT(AND(ISBLANK(Fixtures[[#This Row],[homePens]]), ISBLANK(Fixtures[[#This Row],[awayPens]])))</f>
        <v>0</v>
      </c>
      <c r="AG35" s="58" t="str">
        <f>IF(Fixtures[[#This Row],[penalties]], IF(Fixtures[[#This Row],[userSide]]="H", Fixtures[[#This Row],[homePens]], Fixtures[[#This Row],[awayPens]]), "N/A")</f>
        <v>N/A</v>
      </c>
      <c r="AH35" s="58" t="str">
        <f>IF(Fixtures[[#This Row],[penalties]], IF(Fixtures[[#This Row],[userPens]]=Fixtures[[#This Row],[homePens]],Fixtures[[#This Row],[awayPens]],Fixtures[[#This Row],[homePens]]), "N/A")</f>
        <v>N/A</v>
      </c>
      <c r="AI35" s="58" t="b">
        <f>COUNTBLANK(Fixtures[[#This Row],[G]:[MOTM]]) = 0</f>
        <v>1</v>
      </c>
      <c r="AJ35" s="58">
        <f>IF(Fixtures[[#This Row],[APP]], Fixtures[[#This Row],[G]]+Fixtures[[#This Row],[A]], "N/A")</f>
        <v>0</v>
      </c>
      <c r="AK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[2023-12-14] KRC Genk vs. Fiorentina (1-0) - UEFA Europa Conference League</v>
      </c>
      <c r="AN35" s="59"/>
    </row>
    <row r="36" spans="1:40" s="60" customFormat="1" ht="13">
      <c r="A36" s="55">
        <v>45277</v>
      </c>
      <c r="B36" s="55" t="s">
        <v>108</v>
      </c>
      <c r="C36" s="56" t="s">
        <v>108</v>
      </c>
      <c r="D36" s="56" t="s">
        <v>115</v>
      </c>
      <c r="E36" s="56" t="s">
        <v>108</v>
      </c>
      <c r="F36" s="56" t="s">
        <v>116</v>
      </c>
      <c r="G36" s="56" t="s">
        <v>110</v>
      </c>
      <c r="H36" s="56" t="s">
        <v>136</v>
      </c>
      <c r="I36" s="56">
        <v>7</v>
      </c>
      <c r="J36" s="56">
        <v>0</v>
      </c>
      <c r="K36" s="56"/>
      <c r="L36" s="56"/>
      <c r="M36" s="56">
        <v>1</v>
      </c>
      <c r="N36" s="56">
        <v>3</v>
      </c>
      <c r="O36" s="56">
        <v>0</v>
      </c>
      <c r="P36" s="56">
        <v>0</v>
      </c>
      <c r="Q36" s="57">
        <v>9.3000000000000007</v>
      </c>
      <c r="R36" s="56" t="b">
        <v>0</v>
      </c>
      <c r="S36" s="58" t="str" cm="1">
        <f t="array" ref="S36">_xlfn._xlws.FILTER(Competitions[compType], (Fixtures[[#This Row],[competition]] = Competitions[name]), "N/A")</f>
        <v>Domestic League</v>
      </c>
      <c r="T36" s="58" t="b" cm="1">
        <f t="array" ref="T36">_xlfn._xlws.FILTER(Competitions[exhibition], (Fixtures[[#This Row],[competition]] = Competitions[name]), "N/A")</f>
        <v>0</v>
      </c>
      <c r="U36" s="58" t="str" cm="1">
        <f t="array" ref="U36">_xlfn._xlws.FILTER(Competitions[compID], (Fixtures[[#This Row],[competition]] = Competitions[name]), "N/A")</f>
        <v>DL-OF-1APROLEAGUE</v>
      </c>
      <c r="V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6" s="58" t="str" cm="1">
        <f t="array" ref="W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6" s="58" t="str" cm="1">
        <f t="array" ref="X36">_xlfn._xlws.FILTER(Teams[name], (Fixtures[[#This Row],[userTeamID]] = Teams[teamID]), "N/A")</f>
        <v>KRC Genk</v>
      </c>
      <c r="Y36" s="58" t="str" cm="1">
        <f t="array" ref="Y36">_xlfn._xlws.FILTER(Teams[teamType], (Fixtures[[#This Row],[userTeamID]] = Teams[teamID]), "N/A")</f>
        <v>Club</v>
      </c>
      <c r="Z36" s="58" t="str" cm="1">
        <f t="array" ref="Z36">IF(Fixtures[[#This Row],[userTeamID]] = "N/A", "N/A", IF(SUM(COUNTIF(Fixtures[[#This Row],[homeTeam]], _xlfn._xlws.FILTER(Teams[name], (Fixtures[[#This Row],[userTeamID]] = Teams[teamID])*(Teams[relevant])))) &gt; 0, "H", "A"))</f>
        <v>H</v>
      </c>
      <c r="AA36" s="58" t="str">
        <f>IF(Fixtures[[#This Row],[userSide]] = "N/A", "N/A", IF(Fixtures[[#This Row],[userSide]] = "H", Fixtures[[#This Row],[awayTeam]], Fixtures[[#This Row],[homeTeam]]))</f>
        <v>Cercle Brugge</v>
      </c>
      <c r="AB36" s="58" t="str" cm="1">
        <f t="array" ref="AB36">_xlfn._xlws.FILTER(Teams[teamID], Fixtures[[#This Row],[oppTeam]] = Teams[name], "N/A")</f>
        <v>C-BEL-CERCLEBRUGGE</v>
      </c>
      <c r="AC36" s="58" t="str" cm="1">
        <f t="array" ref="AC36">_xlfn._xlws.FILTER(Teams[teamType], Fixtures[[#This Row],[oppTeam]] = Teams[name], "N/A")</f>
        <v>Club</v>
      </c>
      <c r="AD36" s="58">
        <f>IF(ISBLANK(Fixtures[[#This Row],[date]]), "N/A", IF(Fixtures[[#This Row],[userSide]]="H", Fixtures[[#This Row],[homeScore]], Fixtures[[#This Row],[awayScore]]))</f>
        <v>7</v>
      </c>
      <c r="AE36" s="58">
        <f>IF(ISBLANK(Fixtures[[#This Row],[date]]), "N/A", IF(Fixtures[[#This Row],[userScore]] = Fixtures[[#This Row],[homeScore]], Fixtures[[#This Row],[awayScore]], Fixtures[[#This Row],[homeScore]]))</f>
        <v>0</v>
      </c>
      <c r="AF36" s="58" t="b">
        <f>NOT(AND(ISBLANK(Fixtures[[#This Row],[homePens]]), ISBLANK(Fixtures[[#This Row],[awayPens]])))</f>
        <v>0</v>
      </c>
      <c r="AG36" s="58" t="str">
        <f>IF(Fixtures[[#This Row],[penalties]], IF(Fixtures[[#This Row],[userSide]]="H", Fixtures[[#This Row],[homePens]], Fixtures[[#This Row],[awayPens]]), "N/A")</f>
        <v>N/A</v>
      </c>
      <c r="AH36" s="58" t="str">
        <f>IF(Fixtures[[#This Row],[penalties]], IF(Fixtures[[#This Row],[userPens]]=Fixtures[[#This Row],[homePens]],Fixtures[[#This Row],[awayPens]],Fixtures[[#This Row],[homePens]]), "N/A")</f>
        <v>N/A</v>
      </c>
      <c r="AI36" s="58" t="b">
        <f>COUNTBLANK(Fixtures[[#This Row],[G]:[MOTM]]) = 0</f>
        <v>1</v>
      </c>
      <c r="AJ36" s="58">
        <f>IF(Fixtures[[#This Row],[APP]], Fixtures[[#This Row],[G]]+Fixtures[[#This Row],[A]], "N/A")</f>
        <v>4</v>
      </c>
      <c r="AK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6" s="58">
        <f>IF(Fixtures[[#This Row],[result]] = "N/A", "N/A", IF(Fixtures[[#This Row],[penalties]], ABS(Fixtures[[#This Row],[userPens]] - Fixtures[[#This Row],[oppPens]]), ABS(Fixtures[[#This Row],[userScore]] - Fixtures[[#This Row],[oppScore]])))</f>
        <v>7</v>
      </c>
      <c r="AM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[2023-12-17] KRC Genk vs. Cercle Brugge (7-0) - 1A Pro League</v>
      </c>
      <c r="AN36" s="59"/>
    </row>
    <row r="37" spans="1:40" s="60" customFormat="1" ht="13">
      <c r="A37" s="55">
        <v>45280</v>
      </c>
      <c r="B37" s="55" t="s">
        <v>108</v>
      </c>
      <c r="C37" s="56" t="s">
        <v>108</v>
      </c>
      <c r="D37" s="56" t="s">
        <v>115</v>
      </c>
      <c r="E37" s="56" t="s">
        <v>108</v>
      </c>
      <c r="F37" s="56" t="s">
        <v>155</v>
      </c>
      <c r="G37" s="56" t="s">
        <v>136</v>
      </c>
      <c r="H37" s="56" t="s">
        <v>110</v>
      </c>
      <c r="I37" s="56">
        <v>2</v>
      </c>
      <c r="J37" s="56">
        <v>2</v>
      </c>
      <c r="K37" s="56">
        <v>6</v>
      </c>
      <c r="L37" s="56">
        <v>7</v>
      </c>
      <c r="M37" s="56">
        <v>0</v>
      </c>
      <c r="N37" s="56">
        <v>0</v>
      </c>
      <c r="O37" s="56">
        <v>0</v>
      </c>
      <c r="P37" s="56">
        <v>0</v>
      </c>
      <c r="Q37" s="57">
        <v>6.9</v>
      </c>
      <c r="R37" s="56" t="b">
        <v>0</v>
      </c>
      <c r="S37" s="58" t="str" cm="1">
        <f t="array" ref="S37">_xlfn._xlws.FILTER(Competitions[compType], (Fixtures[[#This Row],[competition]] = Competitions[name]), "N/A")</f>
        <v>Domestic Cup</v>
      </c>
      <c r="T37" s="58" t="b" cm="1">
        <f t="array" ref="T37">_xlfn._xlws.FILTER(Competitions[exhibition], (Fixtures[[#This Row],[competition]] = Competitions[name]), "N/A")</f>
        <v>0</v>
      </c>
      <c r="U37" s="58" t="str" cm="1">
        <f t="array" ref="U37">_xlfn._xlws.FILTER(Competitions[compID], (Fixtures[[#This Row],[competition]] = Competitions[name]), "N/A")</f>
        <v>DC-OF-CROKYCUP</v>
      </c>
      <c r="V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7" s="58" t="str" cm="1">
        <f t="array" ref="W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7" s="58" t="str" cm="1">
        <f t="array" ref="X37">_xlfn._xlws.FILTER(Teams[name], (Fixtures[[#This Row],[userTeamID]] = Teams[teamID]), "N/A")</f>
        <v>KRC Genk</v>
      </c>
      <c r="Y37" s="58" t="str" cm="1">
        <f t="array" ref="Y37">_xlfn._xlws.FILTER(Teams[teamType], (Fixtures[[#This Row],[userTeamID]] = Teams[teamID]), "N/A")</f>
        <v>Club</v>
      </c>
      <c r="Z37" s="58" t="str" cm="1">
        <f t="array" ref="Z37">IF(Fixtures[[#This Row],[userTeamID]] = "N/A", "N/A", IF(SUM(COUNTIF(Fixtures[[#This Row],[homeTeam]], _xlfn._xlws.FILTER(Teams[name], (Fixtures[[#This Row],[userTeamID]] = Teams[teamID])*(Teams[relevant])))) &gt; 0, "H", "A"))</f>
        <v>A</v>
      </c>
      <c r="AA37" s="58" t="str">
        <f>IF(Fixtures[[#This Row],[userSide]] = "N/A", "N/A", IF(Fixtures[[#This Row],[userSide]] = "H", Fixtures[[#This Row],[awayTeam]], Fixtures[[#This Row],[homeTeam]]))</f>
        <v>Cercle Brugge</v>
      </c>
      <c r="AB37" s="58" t="str" cm="1">
        <f t="array" ref="AB37">_xlfn._xlws.FILTER(Teams[teamID], Fixtures[[#This Row],[oppTeam]] = Teams[name], "N/A")</f>
        <v>C-BEL-CERCLEBRUGGE</v>
      </c>
      <c r="AC37" s="58" t="str" cm="1">
        <f t="array" ref="AC37">_xlfn._xlws.FILTER(Teams[teamType], Fixtures[[#This Row],[oppTeam]] = Teams[name], "N/A")</f>
        <v>Club</v>
      </c>
      <c r="AD37" s="58">
        <f>IF(ISBLANK(Fixtures[[#This Row],[date]]), "N/A", IF(Fixtures[[#This Row],[userSide]]="H", Fixtures[[#This Row],[homeScore]], Fixtures[[#This Row],[awayScore]]))</f>
        <v>2</v>
      </c>
      <c r="AE37" s="58">
        <f>IF(ISBLANK(Fixtures[[#This Row],[date]]), "N/A", IF(Fixtures[[#This Row],[userScore]] = Fixtures[[#This Row],[homeScore]], Fixtures[[#This Row],[awayScore]], Fixtures[[#This Row],[homeScore]]))</f>
        <v>2</v>
      </c>
      <c r="AF37" s="58" t="b">
        <f>NOT(AND(ISBLANK(Fixtures[[#This Row],[homePens]]), ISBLANK(Fixtures[[#This Row],[awayPens]])))</f>
        <v>1</v>
      </c>
      <c r="AG37" s="58">
        <f>IF(Fixtures[[#This Row],[penalties]], IF(Fixtures[[#This Row],[userSide]]="H", Fixtures[[#This Row],[homePens]], Fixtures[[#This Row],[awayPens]]), "N/A")</f>
        <v>7</v>
      </c>
      <c r="AH37" s="58">
        <f>IF(Fixtures[[#This Row],[penalties]], IF(Fixtures[[#This Row],[userPens]]=Fixtures[[#This Row],[homePens]],Fixtures[[#This Row],[awayPens]],Fixtures[[#This Row],[homePens]]), "N/A")</f>
        <v>6</v>
      </c>
      <c r="AI37" s="58" t="b">
        <f>COUNTBLANK(Fixtures[[#This Row],[G]:[MOTM]]) = 0</f>
        <v>1</v>
      </c>
      <c r="AJ37" s="58">
        <f>IF(Fixtures[[#This Row],[APP]], Fixtures[[#This Row],[G]]+Fixtures[[#This Row],[A]], "N/A")</f>
        <v>0</v>
      </c>
      <c r="AK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[2023-12-20] Cercle Brugge vs. KRC Genk (2-2) [6-7][P] - Croky Cup</v>
      </c>
      <c r="AN37" s="59"/>
    </row>
    <row r="38" spans="1:40" s="60" customFormat="1" ht="13">
      <c r="A38" s="55">
        <v>45283</v>
      </c>
      <c r="B38" s="55" t="s">
        <v>108</v>
      </c>
      <c r="C38" s="56" t="s">
        <v>108</v>
      </c>
      <c r="D38" s="56" t="s">
        <v>115</v>
      </c>
      <c r="E38" s="56" t="s">
        <v>108</v>
      </c>
      <c r="F38" s="56" t="s">
        <v>116</v>
      </c>
      <c r="G38" s="56" t="s">
        <v>110</v>
      </c>
      <c r="H38" s="56" t="s">
        <v>124</v>
      </c>
      <c r="I38" s="56">
        <v>3</v>
      </c>
      <c r="J38" s="56">
        <v>1</v>
      </c>
      <c r="K38" s="56"/>
      <c r="L38" s="56"/>
      <c r="M38" s="56">
        <v>0</v>
      </c>
      <c r="N38" s="56">
        <v>2</v>
      </c>
      <c r="O38" s="56">
        <v>0</v>
      </c>
      <c r="P38" s="56">
        <v>0</v>
      </c>
      <c r="Q38" s="57">
        <v>8.1</v>
      </c>
      <c r="R38" s="56" t="b">
        <v>0</v>
      </c>
      <c r="S38" s="58" t="str" cm="1">
        <f t="array" ref="S38">_xlfn._xlws.FILTER(Competitions[compType], (Fixtures[[#This Row],[competition]] = Competitions[name]), "N/A")</f>
        <v>Domestic League</v>
      </c>
      <c r="T38" s="58" t="b" cm="1">
        <f t="array" ref="T38">_xlfn._xlws.FILTER(Competitions[exhibition], (Fixtures[[#This Row],[competition]] = Competitions[name]), "N/A")</f>
        <v>0</v>
      </c>
      <c r="U38" s="58" t="str" cm="1">
        <f t="array" ref="U38">_xlfn._xlws.FILTER(Competitions[compID], (Fixtures[[#This Row],[competition]] = Competitions[name]), "N/A")</f>
        <v>DL-OF-1APROLEAGUE</v>
      </c>
      <c r="V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8" s="58" t="str" cm="1">
        <f t="array" ref="W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8" s="58" t="str" cm="1">
        <f t="array" ref="X38">_xlfn._xlws.FILTER(Teams[name], (Fixtures[[#This Row],[userTeamID]] = Teams[teamID]), "N/A")</f>
        <v>KRC Genk</v>
      </c>
      <c r="Y38" s="58" t="str" cm="1">
        <f t="array" ref="Y38">_xlfn._xlws.FILTER(Teams[teamType], (Fixtures[[#This Row],[userTeamID]] = Teams[teamID]), "N/A")</f>
        <v>Club</v>
      </c>
      <c r="Z38" s="58" t="str" cm="1">
        <f t="array" ref="Z38">IF(Fixtures[[#This Row],[userTeamID]] = "N/A", "N/A", IF(SUM(COUNTIF(Fixtures[[#This Row],[homeTeam]], _xlfn._xlws.FILTER(Teams[name], (Fixtures[[#This Row],[userTeamID]] = Teams[teamID])*(Teams[relevant])))) &gt; 0, "H", "A"))</f>
        <v>H</v>
      </c>
      <c r="AA38" s="58" t="str">
        <f>IF(Fixtures[[#This Row],[userSide]] = "N/A", "N/A", IF(Fixtures[[#This Row],[userSide]] = "H", Fixtures[[#This Row],[awayTeam]], Fixtures[[#This Row],[homeTeam]]))</f>
        <v>Standard Liège</v>
      </c>
      <c r="AB38" s="58" t="str" cm="1">
        <f t="array" ref="AB38">_xlfn._xlws.FILTER(Teams[teamID], Fixtures[[#This Row],[oppTeam]] = Teams[name], "N/A")</f>
        <v>C-BEL-STANDARDLIÈGE</v>
      </c>
      <c r="AC38" s="58" t="str" cm="1">
        <f t="array" ref="AC38">_xlfn._xlws.FILTER(Teams[teamType], Fixtures[[#This Row],[oppTeam]] = Teams[name], "N/A")</f>
        <v>Club</v>
      </c>
      <c r="AD38" s="58">
        <f>IF(ISBLANK(Fixtures[[#This Row],[date]]), "N/A", IF(Fixtures[[#This Row],[userSide]]="H", Fixtures[[#This Row],[homeScore]], Fixtures[[#This Row],[awayScore]]))</f>
        <v>3</v>
      </c>
      <c r="AE38" s="58">
        <f>IF(ISBLANK(Fixtures[[#This Row],[date]]), "N/A", IF(Fixtures[[#This Row],[userScore]] = Fixtures[[#This Row],[homeScore]], Fixtures[[#This Row],[awayScore]], Fixtures[[#This Row],[homeScore]]))</f>
        <v>1</v>
      </c>
      <c r="AF38" s="58" t="b">
        <f>NOT(AND(ISBLANK(Fixtures[[#This Row],[homePens]]), ISBLANK(Fixtures[[#This Row],[awayPens]])))</f>
        <v>0</v>
      </c>
      <c r="AG38" s="58" t="str">
        <f>IF(Fixtures[[#This Row],[penalties]], IF(Fixtures[[#This Row],[userSide]]="H", Fixtures[[#This Row],[homePens]], Fixtures[[#This Row],[awayPens]]), "N/A")</f>
        <v>N/A</v>
      </c>
      <c r="AH38" s="58" t="str">
        <f>IF(Fixtures[[#This Row],[penalties]], IF(Fixtures[[#This Row],[userPens]]=Fixtures[[#This Row],[homePens]],Fixtures[[#This Row],[awayPens]],Fixtures[[#This Row],[homePens]]), "N/A")</f>
        <v>N/A</v>
      </c>
      <c r="AI38" s="58" t="b">
        <f>COUNTBLANK(Fixtures[[#This Row],[G]:[MOTM]]) = 0</f>
        <v>1</v>
      </c>
      <c r="AJ38" s="58">
        <f>IF(Fixtures[[#This Row],[APP]], Fixtures[[#This Row],[G]]+Fixtures[[#This Row],[A]], "N/A")</f>
        <v>2</v>
      </c>
      <c r="AK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38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[2023-12-23] KRC Genk vs. Standard Liège (3-1) - 1A Pro League</v>
      </c>
      <c r="AN38" s="59"/>
    </row>
    <row r="39" spans="1:40" s="60" customFormat="1" ht="13">
      <c r="A39" s="55">
        <v>45287</v>
      </c>
      <c r="B39" s="55" t="s">
        <v>108</v>
      </c>
      <c r="C39" s="56" t="s">
        <v>108</v>
      </c>
      <c r="D39" s="56" t="s">
        <v>156</v>
      </c>
      <c r="E39" s="56" t="s">
        <v>108</v>
      </c>
      <c r="F39" s="56" t="s">
        <v>116</v>
      </c>
      <c r="G39" s="56" t="s">
        <v>123</v>
      </c>
      <c r="H39" s="56" t="s">
        <v>110</v>
      </c>
      <c r="I39" s="56">
        <v>3</v>
      </c>
      <c r="J39" s="56">
        <v>2</v>
      </c>
      <c r="K39" s="56"/>
      <c r="L39" s="56"/>
      <c r="M39" s="56">
        <v>0</v>
      </c>
      <c r="N39" s="56">
        <v>1</v>
      </c>
      <c r="O39" s="56">
        <v>0</v>
      </c>
      <c r="P39" s="56">
        <v>0</v>
      </c>
      <c r="Q39" s="57">
        <v>6.9</v>
      </c>
      <c r="R39" s="56" t="b">
        <v>0</v>
      </c>
      <c r="S39" s="58" t="str" cm="1">
        <f t="array" ref="S39">_xlfn._xlws.FILTER(Competitions[compType], (Fixtures[[#This Row],[competition]] = Competitions[name]), "N/A")</f>
        <v>Domestic League</v>
      </c>
      <c r="T39" s="58" t="b" cm="1">
        <f t="array" ref="T39">_xlfn._xlws.FILTER(Competitions[exhibition], (Fixtures[[#This Row],[competition]] = Competitions[name]), "N/A")</f>
        <v>0</v>
      </c>
      <c r="U39" s="58" t="str" cm="1">
        <f t="array" ref="U39">_xlfn._xlws.FILTER(Competitions[compID], (Fixtures[[#This Row],[competition]] = Competitions[name]), "N/A")</f>
        <v>DL-OF-1APROLEAGUE</v>
      </c>
      <c r="V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39" s="58" t="str" cm="1">
        <f t="array" ref="W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39" s="58" t="str" cm="1">
        <f t="array" ref="X39">_xlfn._xlws.FILTER(Teams[name], (Fixtures[[#This Row],[userTeamID]] = Teams[teamID]), "N/A")</f>
        <v>KRC Genk</v>
      </c>
      <c r="Y39" s="58" t="str" cm="1">
        <f t="array" ref="Y39">_xlfn._xlws.FILTER(Teams[teamType], (Fixtures[[#This Row],[userTeamID]] = Teams[teamID]), "N/A")</f>
        <v>Club</v>
      </c>
      <c r="Z39" s="58" t="str" cm="1">
        <f t="array" ref="Z39">IF(Fixtures[[#This Row],[userTeamID]] = "N/A", "N/A", IF(SUM(COUNTIF(Fixtures[[#This Row],[homeTeam]], _xlfn._xlws.FILTER(Teams[name], (Fixtures[[#This Row],[userTeamID]] = Teams[teamID])*(Teams[relevant])))) &gt; 0, "H", "A"))</f>
        <v>A</v>
      </c>
      <c r="AA39" s="58" t="str">
        <f>IF(Fixtures[[#This Row],[userSide]] = "N/A", "N/A", IF(Fixtures[[#This Row],[userSide]] = "H", Fixtures[[#This Row],[awayTeam]], Fixtures[[#This Row],[homeTeam]]))</f>
        <v>Royal Antwerp FC</v>
      </c>
      <c r="AB39" s="58" t="str" cm="1">
        <f t="array" ref="AB39">_xlfn._xlws.FILTER(Teams[teamID], Fixtures[[#This Row],[oppTeam]] = Teams[name], "N/A")</f>
        <v>C-BEL-ROYALANTWERPFC</v>
      </c>
      <c r="AC39" s="58" t="str" cm="1">
        <f t="array" ref="AC39">_xlfn._xlws.FILTER(Teams[teamType], Fixtures[[#This Row],[oppTeam]] = Teams[name], "N/A")</f>
        <v>Club</v>
      </c>
      <c r="AD39" s="58">
        <f>IF(ISBLANK(Fixtures[[#This Row],[date]]), "N/A", IF(Fixtures[[#This Row],[userSide]]="H", Fixtures[[#This Row],[homeScore]], Fixtures[[#This Row],[awayScore]]))</f>
        <v>2</v>
      </c>
      <c r="AE39" s="58">
        <f>IF(ISBLANK(Fixtures[[#This Row],[date]]), "N/A", IF(Fixtures[[#This Row],[userScore]] = Fixtures[[#This Row],[homeScore]], Fixtures[[#This Row],[awayScore]], Fixtures[[#This Row],[homeScore]]))</f>
        <v>3</v>
      </c>
      <c r="AF39" s="58" t="b">
        <f>NOT(AND(ISBLANK(Fixtures[[#This Row],[homePens]]), ISBLANK(Fixtures[[#This Row],[awayPens]])))</f>
        <v>0</v>
      </c>
      <c r="AG39" s="58" t="str">
        <f>IF(Fixtures[[#This Row],[penalties]], IF(Fixtures[[#This Row],[userSide]]="H", Fixtures[[#This Row],[homePens]], Fixtures[[#This Row],[awayPens]]), "N/A")</f>
        <v>N/A</v>
      </c>
      <c r="AH39" s="58" t="str">
        <f>IF(Fixtures[[#This Row],[penalties]], IF(Fixtures[[#This Row],[userPens]]=Fixtures[[#This Row],[homePens]],Fixtures[[#This Row],[awayPens]],Fixtures[[#This Row],[homePens]]), "N/A")</f>
        <v>N/A</v>
      </c>
      <c r="AI39" s="58" t="b">
        <f>COUNTBLANK(Fixtures[[#This Row],[G]:[MOTM]]) = 0</f>
        <v>1</v>
      </c>
      <c r="AJ39" s="58">
        <f>IF(Fixtures[[#This Row],[APP]], Fixtures[[#This Row],[G]]+Fixtures[[#This Row],[A]], "N/A")</f>
        <v>1</v>
      </c>
      <c r="AK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39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[2023-12-27] Royal Antwerp FC vs. KRC Genk (3-2) - 1A Pro League</v>
      </c>
      <c r="AN39" s="59"/>
    </row>
    <row r="40" spans="1:40" s="60" customFormat="1" ht="13">
      <c r="A40" s="55">
        <v>45304</v>
      </c>
      <c r="B40" s="55" t="s">
        <v>108</v>
      </c>
      <c r="C40" s="56" t="s">
        <v>108</v>
      </c>
      <c r="D40" s="56" t="s">
        <v>157</v>
      </c>
      <c r="E40" s="56" t="s">
        <v>108</v>
      </c>
      <c r="F40" s="56" t="s">
        <v>116</v>
      </c>
      <c r="G40" s="56" t="s">
        <v>145</v>
      </c>
      <c r="H40" s="56" t="s">
        <v>110</v>
      </c>
      <c r="I40" s="56">
        <v>0</v>
      </c>
      <c r="J40" s="56">
        <v>1</v>
      </c>
      <c r="K40" s="56"/>
      <c r="L40" s="56"/>
      <c r="M40" s="56">
        <v>0</v>
      </c>
      <c r="N40" s="56">
        <v>0</v>
      </c>
      <c r="O40" s="56">
        <v>0</v>
      </c>
      <c r="P40" s="56">
        <v>0</v>
      </c>
      <c r="Q40" s="57">
        <v>7</v>
      </c>
      <c r="R40" s="56" t="b">
        <v>0</v>
      </c>
      <c r="S40" s="58" t="str" cm="1">
        <f t="array" ref="S40">_xlfn._xlws.FILTER(Competitions[compType], (Fixtures[[#This Row],[competition]] = Competitions[name]), "N/A")</f>
        <v>Domestic League</v>
      </c>
      <c r="T40" s="58" t="b" cm="1">
        <f t="array" ref="T40">_xlfn._xlws.FILTER(Competitions[exhibition], (Fixtures[[#This Row],[competition]] = Competitions[name]), "N/A")</f>
        <v>0</v>
      </c>
      <c r="U40" s="58" t="str" cm="1">
        <f t="array" ref="U40">_xlfn._xlws.FILTER(Competitions[compID], (Fixtures[[#This Row],[competition]] = Competitions[name]), "N/A")</f>
        <v>DL-OF-1APROLEAGUE</v>
      </c>
      <c r="V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0" s="58" t="str" cm="1">
        <f t="array" ref="W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0" s="58" t="str" cm="1">
        <f t="array" ref="X40">_xlfn._xlws.FILTER(Teams[name], (Fixtures[[#This Row],[userTeamID]] = Teams[teamID]), "N/A")</f>
        <v>KRC Genk</v>
      </c>
      <c r="Y40" s="58" t="str" cm="1">
        <f t="array" ref="Y40">_xlfn._xlws.FILTER(Teams[teamType], (Fixtures[[#This Row],[userTeamID]] = Teams[teamID]), "N/A")</f>
        <v>Club</v>
      </c>
      <c r="Z40" s="58" t="str" cm="1">
        <f t="array" ref="Z40">IF(Fixtures[[#This Row],[userTeamID]] = "N/A", "N/A", IF(SUM(COUNTIF(Fixtures[[#This Row],[homeTeam]], _xlfn._xlws.FILTER(Teams[name], (Fixtures[[#This Row],[userTeamID]] = Teams[teamID])*(Teams[relevant])))) &gt; 0, "H", "A"))</f>
        <v>A</v>
      </c>
      <c r="AA40" s="58" t="str">
        <f>IF(Fixtures[[#This Row],[userSide]] = "N/A", "N/A", IF(Fixtures[[#This Row],[userSide]] = "H", Fixtures[[#This Row],[awayTeam]], Fixtures[[#This Row],[homeTeam]]))</f>
        <v>KAA Gent</v>
      </c>
      <c r="AB40" s="58" t="str" cm="1">
        <f t="array" ref="AB40">_xlfn._xlws.FILTER(Teams[teamID], Fixtures[[#This Row],[oppTeam]] = Teams[name], "N/A")</f>
        <v>C-BEL-KAAGENT</v>
      </c>
      <c r="AC40" s="58" t="str" cm="1">
        <f t="array" ref="AC40">_xlfn._xlws.FILTER(Teams[teamType], Fixtures[[#This Row],[oppTeam]] = Teams[name], "N/A")</f>
        <v>Club</v>
      </c>
      <c r="AD40" s="58">
        <f>IF(ISBLANK(Fixtures[[#This Row],[date]]), "N/A", IF(Fixtures[[#This Row],[userSide]]="H", Fixtures[[#This Row],[homeScore]], Fixtures[[#This Row],[awayScore]]))</f>
        <v>1</v>
      </c>
      <c r="AE40" s="58">
        <f>IF(ISBLANK(Fixtures[[#This Row],[date]]), "N/A", IF(Fixtures[[#This Row],[userScore]] = Fixtures[[#This Row],[homeScore]], Fixtures[[#This Row],[awayScore]], Fixtures[[#This Row],[homeScore]]))</f>
        <v>0</v>
      </c>
      <c r="AF40" s="58" t="b">
        <f>NOT(AND(ISBLANK(Fixtures[[#This Row],[homePens]]), ISBLANK(Fixtures[[#This Row],[awayPens]])))</f>
        <v>0</v>
      </c>
      <c r="AG40" s="58" t="str">
        <f>IF(Fixtures[[#This Row],[penalties]], IF(Fixtures[[#This Row],[userSide]]="H", Fixtures[[#This Row],[homePens]], Fixtures[[#This Row],[awayPens]]), "N/A")</f>
        <v>N/A</v>
      </c>
      <c r="AH40" s="58" t="str">
        <f>IF(Fixtures[[#This Row],[penalties]], IF(Fixtures[[#This Row],[userPens]]=Fixtures[[#This Row],[homePens]],Fixtures[[#This Row],[awayPens]],Fixtures[[#This Row],[homePens]]), "N/A")</f>
        <v>N/A</v>
      </c>
      <c r="AI40" s="58" t="b">
        <f>COUNTBLANK(Fixtures[[#This Row],[G]:[MOTM]]) = 0</f>
        <v>1</v>
      </c>
      <c r="AJ40" s="58">
        <f>IF(Fixtures[[#This Row],[APP]], Fixtures[[#This Row],[G]]+Fixtures[[#This Row],[A]], "N/A")</f>
        <v>0</v>
      </c>
      <c r="AK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[2024-01-13] KAA Gent vs. KRC Genk (0-1) - 1A Pro League</v>
      </c>
      <c r="AN40" s="59"/>
    </row>
    <row r="41" spans="1:40" s="60" customFormat="1" ht="13">
      <c r="A41" s="55">
        <v>45312</v>
      </c>
      <c r="B41" s="55" t="s">
        <v>108</v>
      </c>
      <c r="C41" s="56" t="s">
        <v>108</v>
      </c>
      <c r="D41" s="56" t="s">
        <v>115</v>
      </c>
      <c r="E41" s="56" t="s">
        <v>108</v>
      </c>
      <c r="F41" s="56" t="s">
        <v>116</v>
      </c>
      <c r="G41" s="56" t="s">
        <v>110</v>
      </c>
      <c r="H41" s="56" t="s">
        <v>140</v>
      </c>
      <c r="I41" s="56">
        <v>2</v>
      </c>
      <c r="J41" s="56">
        <v>1</v>
      </c>
      <c r="K41" s="56"/>
      <c r="L41" s="56"/>
      <c r="M41" s="56">
        <v>0</v>
      </c>
      <c r="N41" s="56">
        <v>1</v>
      </c>
      <c r="O41" s="56">
        <v>0</v>
      </c>
      <c r="P41" s="56">
        <v>0</v>
      </c>
      <c r="Q41" s="57">
        <v>6.6</v>
      </c>
      <c r="R41" s="56" t="b">
        <v>0</v>
      </c>
      <c r="S41" s="58" t="str" cm="1">
        <f t="array" ref="S41">_xlfn._xlws.FILTER(Competitions[compType], (Fixtures[[#This Row],[competition]] = Competitions[name]), "N/A")</f>
        <v>Domestic League</v>
      </c>
      <c r="T41" s="58" t="b" cm="1">
        <f t="array" ref="T41">_xlfn._xlws.FILTER(Competitions[exhibition], (Fixtures[[#This Row],[competition]] = Competitions[name]), "N/A")</f>
        <v>0</v>
      </c>
      <c r="U41" s="58" t="str" cm="1">
        <f t="array" ref="U41">_xlfn._xlws.FILTER(Competitions[compID], (Fixtures[[#This Row],[competition]] = Competitions[name]), "N/A")</f>
        <v>DL-OF-1APROLEAGUE</v>
      </c>
      <c r="V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1" s="58" t="str" cm="1">
        <f t="array" ref="W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1" s="58" t="str" cm="1">
        <f t="array" ref="X41">_xlfn._xlws.FILTER(Teams[name], (Fixtures[[#This Row],[userTeamID]] = Teams[teamID]), "N/A")</f>
        <v>KRC Genk</v>
      </c>
      <c r="Y41" s="58" t="str" cm="1">
        <f t="array" ref="Y41">_xlfn._xlws.FILTER(Teams[teamType], (Fixtures[[#This Row],[userTeamID]] = Teams[teamID]), "N/A")</f>
        <v>Club</v>
      </c>
      <c r="Z41" s="58" t="str" cm="1">
        <f t="array" ref="Z41">IF(Fixtures[[#This Row],[userTeamID]] = "N/A", "N/A", IF(SUM(COUNTIF(Fixtures[[#This Row],[homeTeam]], _xlfn._xlws.FILTER(Teams[name], (Fixtures[[#This Row],[userTeamID]] = Teams[teamID])*(Teams[relevant])))) &gt; 0, "H", "A"))</f>
        <v>H</v>
      </c>
      <c r="AA41" s="58" t="str">
        <f>IF(Fixtures[[#This Row],[userSide]] = "N/A", "N/A", IF(Fixtures[[#This Row],[userSide]] = "H", Fixtures[[#This Row],[awayTeam]], Fixtures[[#This Row],[homeTeam]]))</f>
        <v>KV Mechelen</v>
      </c>
      <c r="AB41" s="58" t="str" cm="1">
        <f t="array" ref="AB41">_xlfn._xlws.FILTER(Teams[teamID], Fixtures[[#This Row],[oppTeam]] = Teams[name], "N/A")</f>
        <v>C-BEL-KVMECHELEN</v>
      </c>
      <c r="AC41" s="58" t="str" cm="1">
        <f t="array" ref="AC41">_xlfn._xlws.FILTER(Teams[teamType], Fixtures[[#This Row],[oppTeam]] = Teams[name], "N/A")</f>
        <v>Club</v>
      </c>
      <c r="AD41" s="58">
        <f>IF(ISBLANK(Fixtures[[#This Row],[date]]), "N/A", IF(Fixtures[[#This Row],[userSide]]="H", Fixtures[[#This Row],[homeScore]], Fixtures[[#This Row],[awayScore]]))</f>
        <v>2</v>
      </c>
      <c r="AE41" s="58">
        <f>IF(ISBLANK(Fixtures[[#This Row],[date]]), "N/A", IF(Fixtures[[#This Row],[userScore]] = Fixtures[[#This Row],[homeScore]], Fixtures[[#This Row],[awayScore]], Fixtures[[#This Row],[homeScore]]))</f>
        <v>1</v>
      </c>
      <c r="AF41" s="58" t="b">
        <f>NOT(AND(ISBLANK(Fixtures[[#This Row],[homePens]]), ISBLANK(Fixtures[[#This Row],[awayPens]])))</f>
        <v>0</v>
      </c>
      <c r="AG41" s="58" t="str">
        <f>IF(Fixtures[[#This Row],[penalties]], IF(Fixtures[[#This Row],[userSide]]="H", Fixtures[[#This Row],[homePens]], Fixtures[[#This Row],[awayPens]]), "N/A")</f>
        <v>N/A</v>
      </c>
      <c r="AH41" s="58" t="str">
        <f>IF(Fixtures[[#This Row],[penalties]], IF(Fixtures[[#This Row],[userPens]]=Fixtures[[#This Row],[homePens]],Fixtures[[#This Row],[awayPens]],Fixtures[[#This Row],[homePens]]), "N/A")</f>
        <v>N/A</v>
      </c>
      <c r="AI41" s="58" t="b">
        <f>COUNTBLANK(Fixtures[[#This Row],[G]:[MOTM]]) = 0</f>
        <v>1</v>
      </c>
      <c r="AJ41" s="58">
        <f>IF(Fixtures[[#This Row],[APP]], Fixtures[[#This Row],[G]]+Fixtures[[#This Row],[A]], "N/A")</f>
        <v>1</v>
      </c>
      <c r="AK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[2024-01-21] KRC Genk vs. KV Mechelen (2-1) - 1A Pro League</v>
      </c>
      <c r="AN41" s="59"/>
    </row>
    <row r="42" spans="1:40" s="60" customFormat="1" ht="13">
      <c r="A42" s="55">
        <v>45315</v>
      </c>
      <c r="B42" s="55" t="s">
        <v>108</v>
      </c>
      <c r="C42" s="56" t="s">
        <v>108</v>
      </c>
      <c r="D42" s="56" t="s">
        <v>115</v>
      </c>
      <c r="E42" s="56" t="s">
        <v>108</v>
      </c>
      <c r="F42" s="56" t="s">
        <v>116</v>
      </c>
      <c r="G42" s="56" t="s">
        <v>110</v>
      </c>
      <c r="H42" s="56" t="s">
        <v>122</v>
      </c>
      <c r="I42" s="56">
        <v>0</v>
      </c>
      <c r="J42" s="56">
        <v>1</v>
      </c>
      <c r="K42" s="56"/>
      <c r="L42" s="56"/>
      <c r="M42" s="56">
        <v>0</v>
      </c>
      <c r="N42" s="56">
        <v>0</v>
      </c>
      <c r="O42" s="56">
        <v>0</v>
      </c>
      <c r="P42" s="56">
        <v>0</v>
      </c>
      <c r="Q42" s="57">
        <v>6.7</v>
      </c>
      <c r="R42" s="56" t="b">
        <v>0</v>
      </c>
      <c r="S42" s="58" t="str" cm="1">
        <f t="array" ref="S42">_xlfn._xlws.FILTER(Competitions[compType], (Fixtures[[#This Row],[competition]] = Competitions[name]), "N/A")</f>
        <v>Domestic League</v>
      </c>
      <c r="T42" s="58" t="b" cm="1">
        <f t="array" ref="T42">_xlfn._xlws.FILTER(Competitions[exhibition], (Fixtures[[#This Row],[competition]] = Competitions[name]), "N/A")</f>
        <v>0</v>
      </c>
      <c r="U42" s="58" t="str" cm="1">
        <f t="array" ref="U42">_xlfn._xlws.FILTER(Competitions[compID], (Fixtures[[#This Row],[competition]] = Competitions[name]), "N/A")</f>
        <v>DL-OF-1APROLEAGUE</v>
      </c>
      <c r="V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2" s="58" t="str" cm="1">
        <f t="array" ref="W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2" s="58" t="str" cm="1">
        <f t="array" ref="X42">_xlfn._xlws.FILTER(Teams[name], (Fixtures[[#This Row],[userTeamID]] = Teams[teamID]), "N/A")</f>
        <v>KRC Genk</v>
      </c>
      <c r="Y42" s="58" t="str" cm="1">
        <f t="array" ref="Y42">_xlfn._xlws.FILTER(Teams[teamType], (Fixtures[[#This Row],[userTeamID]] = Teams[teamID]), "N/A")</f>
        <v>Club</v>
      </c>
      <c r="Z42" s="58" t="str" cm="1">
        <f t="array" ref="Z42">IF(Fixtures[[#This Row],[userTeamID]] = "N/A", "N/A", IF(SUM(COUNTIF(Fixtures[[#This Row],[homeTeam]], _xlfn._xlws.FILTER(Teams[name], (Fixtures[[#This Row],[userTeamID]] = Teams[teamID])*(Teams[relevant])))) &gt; 0, "H", "A"))</f>
        <v>H</v>
      </c>
      <c r="AA42" s="58" t="str">
        <f>IF(Fixtures[[#This Row],[userSide]] = "N/A", "N/A", IF(Fixtures[[#This Row],[userSide]] = "H", Fixtures[[#This Row],[awayTeam]], Fixtures[[#This Row],[homeTeam]]))</f>
        <v>RWD Molenbeek</v>
      </c>
      <c r="AB42" s="58" t="str" cm="1">
        <f t="array" ref="AB42">_xlfn._xlws.FILTER(Teams[teamID], Fixtures[[#This Row],[oppTeam]] = Teams[name], "N/A")</f>
        <v>C-BEL-RWDMOLENBEEK</v>
      </c>
      <c r="AC42" s="58" t="str" cm="1">
        <f t="array" ref="AC42">_xlfn._xlws.FILTER(Teams[teamType], Fixtures[[#This Row],[oppTeam]] = Teams[name], "N/A")</f>
        <v>Club</v>
      </c>
      <c r="AD42" s="58">
        <f>IF(ISBLANK(Fixtures[[#This Row],[date]]), "N/A", IF(Fixtures[[#This Row],[userSide]]="H", Fixtures[[#This Row],[homeScore]], Fixtures[[#This Row],[awayScore]]))</f>
        <v>0</v>
      </c>
      <c r="AE42" s="58">
        <f>IF(ISBLANK(Fixtures[[#This Row],[date]]), "N/A", IF(Fixtures[[#This Row],[userScore]] = Fixtures[[#This Row],[homeScore]], Fixtures[[#This Row],[awayScore]], Fixtures[[#This Row],[homeScore]]))</f>
        <v>1</v>
      </c>
      <c r="AF42" s="58" t="b">
        <f>NOT(AND(ISBLANK(Fixtures[[#This Row],[homePens]]), ISBLANK(Fixtures[[#This Row],[awayPens]])))</f>
        <v>0</v>
      </c>
      <c r="AG42" s="58" t="str">
        <f>IF(Fixtures[[#This Row],[penalties]], IF(Fixtures[[#This Row],[userSide]]="H", Fixtures[[#This Row],[homePens]], Fixtures[[#This Row],[awayPens]]), "N/A")</f>
        <v>N/A</v>
      </c>
      <c r="AH42" s="58" t="str">
        <f>IF(Fixtures[[#This Row],[penalties]], IF(Fixtures[[#This Row],[userPens]]=Fixtures[[#This Row],[homePens]],Fixtures[[#This Row],[awayPens]],Fixtures[[#This Row],[homePens]]), "N/A")</f>
        <v>N/A</v>
      </c>
      <c r="AI42" s="58" t="b">
        <f>COUNTBLANK(Fixtures[[#This Row],[G]:[MOTM]]) = 0</f>
        <v>1</v>
      </c>
      <c r="AJ42" s="58">
        <f>IF(Fixtures[[#This Row],[APP]], Fixtures[[#This Row],[G]]+Fixtures[[#This Row],[A]], "N/A")</f>
        <v>0</v>
      </c>
      <c r="AK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4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[2024-01-24] KRC Genk vs. RWD Molenbeek (0-1) - 1A Pro League</v>
      </c>
      <c r="AN42" s="59"/>
    </row>
    <row r="43" spans="1:40" s="60" customFormat="1" ht="13">
      <c r="A43" s="55">
        <v>45318</v>
      </c>
      <c r="B43" s="55" t="s">
        <v>108</v>
      </c>
      <c r="C43" s="56" t="s">
        <v>108</v>
      </c>
      <c r="D43" s="56" t="s">
        <v>108</v>
      </c>
      <c r="E43" s="56" t="s">
        <v>108</v>
      </c>
      <c r="F43" s="56" t="s">
        <v>116</v>
      </c>
      <c r="G43" s="56" t="s">
        <v>121</v>
      </c>
      <c r="H43" s="56" t="s">
        <v>110</v>
      </c>
      <c r="I43" s="56">
        <v>0</v>
      </c>
      <c r="J43" s="56">
        <v>5</v>
      </c>
      <c r="K43" s="56"/>
      <c r="L43" s="56"/>
      <c r="M43" s="56">
        <v>1</v>
      </c>
      <c r="N43" s="56">
        <v>1</v>
      </c>
      <c r="O43" s="56">
        <v>0</v>
      </c>
      <c r="P43" s="56">
        <v>0</v>
      </c>
      <c r="Q43" s="57">
        <v>8.1999999999999993</v>
      </c>
      <c r="R43" s="56" t="b">
        <v>0</v>
      </c>
      <c r="S43" s="58" t="str" cm="1">
        <f t="array" ref="S43">_xlfn._xlws.FILTER(Competitions[compType], (Fixtures[[#This Row],[competition]] = Competitions[name]), "N/A")</f>
        <v>Domestic League</v>
      </c>
      <c r="T43" s="58" t="b" cm="1">
        <f t="array" ref="T43">_xlfn._xlws.FILTER(Competitions[exhibition], (Fixtures[[#This Row],[competition]] = Competitions[name]), "N/A")</f>
        <v>0</v>
      </c>
      <c r="U43" s="58" t="str" cm="1">
        <f t="array" ref="U43">_xlfn._xlws.FILTER(Competitions[compID], (Fixtures[[#This Row],[competition]] = Competitions[name]), "N/A")</f>
        <v>DL-OF-1APROLEAGUE</v>
      </c>
      <c r="V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3" s="58" t="str" cm="1">
        <f t="array" ref="W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3" s="58" t="str" cm="1">
        <f t="array" ref="X43">_xlfn._xlws.FILTER(Teams[name], (Fixtures[[#This Row],[userTeamID]] = Teams[teamID]), "N/A")</f>
        <v>KRC Genk</v>
      </c>
      <c r="Y43" s="58" t="str" cm="1">
        <f t="array" ref="Y43">_xlfn._xlws.FILTER(Teams[teamType], (Fixtures[[#This Row],[userTeamID]] = Teams[teamID]), "N/A")</f>
        <v>Club</v>
      </c>
      <c r="Z43" s="58" t="str" cm="1">
        <f t="array" ref="Z43">IF(Fixtures[[#This Row],[userTeamID]] = "N/A", "N/A", IF(SUM(COUNTIF(Fixtures[[#This Row],[homeTeam]], _xlfn._xlws.FILTER(Teams[name], (Fixtures[[#This Row],[userTeamID]] = Teams[teamID])*(Teams[relevant])))) &gt; 0, "H", "A"))</f>
        <v>A</v>
      </c>
      <c r="AA43" s="58" t="str">
        <f>IF(Fixtures[[#This Row],[userSide]] = "N/A", "N/A", IF(Fixtures[[#This Row],[userSide]] = "H", Fixtures[[#This Row],[awayTeam]], Fixtures[[#This Row],[homeTeam]]))</f>
        <v>KVC Westerlo</v>
      </c>
      <c r="AB43" s="58" t="str" cm="1">
        <f t="array" ref="AB43">_xlfn._xlws.FILTER(Teams[teamID], Fixtures[[#This Row],[oppTeam]] = Teams[name], "N/A")</f>
        <v>C-BEL-KVCWESTERLO</v>
      </c>
      <c r="AC43" s="58" t="str" cm="1">
        <f t="array" ref="AC43">_xlfn._xlws.FILTER(Teams[teamType], Fixtures[[#This Row],[oppTeam]] = Teams[name], "N/A")</f>
        <v>Club</v>
      </c>
      <c r="AD43" s="58">
        <f>IF(ISBLANK(Fixtures[[#This Row],[date]]), "N/A", IF(Fixtures[[#This Row],[userSide]]="H", Fixtures[[#This Row],[homeScore]], Fixtures[[#This Row],[awayScore]]))</f>
        <v>5</v>
      </c>
      <c r="AE43" s="58">
        <f>IF(ISBLANK(Fixtures[[#This Row],[date]]), "N/A", IF(Fixtures[[#This Row],[userScore]] = Fixtures[[#This Row],[homeScore]], Fixtures[[#This Row],[awayScore]], Fixtures[[#This Row],[homeScore]]))</f>
        <v>0</v>
      </c>
      <c r="AF43" s="58" t="b">
        <f>NOT(AND(ISBLANK(Fixtures[[#This Row],[homePens]]), ISBLANK(Fixtures[[#This Row],[awayPens]])))</f>
        <v>0</v>
      </c>
      <c r="AG43" s="58" t="str">
        <f>IF(Fixtures[[#This Row],[penalties]], IF(Fixtures[[#This Row],[userSide]]="H", Fixtures[[#This Row],[homePens]], Fixtures[[#This Row],[awayPens]]), "N/A")</f>
        <v>N/A</v>
      </c>
      <c r="AH43" s="58" t="str">
        <f>IF(Fixtures[[#This Row],[penalties]], IF(Fixtures[[#This Row],[userPens]]=Fixtures[[#This Row],[homePens]],Fixtures[[#This Row],[awayPens]],Fixtures[[#This Row],[homePens]]), "N/A")</f>
        <v>N/A</v>
      </c>
      <c r="AI43" s="58" t="b">
        <f>COUNTBLANK(Fixtures[[#This Row],[G]:[MOTM]]) = 0</f>
        <v>1</v>
      </c>
      <c r="AJ43" s="58">
        <f>IF(Fixtures[[#This Row],[APP]], Fixtures[[#This Row],[G]]+Fixtures[[#This Row],[A]], "N/A")</f>
        <v>2</v>
      </c>
      <c r="AK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3" s="58">
        <f>IF(Fixtures[[#This Row],[result]] = "N/A", "N/A", IF(Fixtures[[#This Row],[penalties]], ABS(Fixtures[[#This Row],[userPens]] - Fixtures[[#This Row],[oppPens]]), ABS(Fixtures[[#This Row],[userScore]] - Fixtures[[#This Row],[oppScore]])))</f>
        <v>5</v>
      </c>
      <c r="AM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[2024-01-27] KVC Westerlo vs. KRC Genk (0-5) - 1A Pro League</v>
      </c>
      <c r="AN43" s="59"/>
    </row>
    <row r="44" spans="1:40" s="60" customFormat="1" ht="13">
      <c r="A44" s="55">
        <v>45322</v>
      </c>
      <c r="B44" s="55" t="s">
        <v>108</v>
      </c>
      <c r="C44" s="56" t="s">
        <v>108</v>
      </c>
      <c r="D44" s="56" t="s">
        <v>108</v>
      </c>
      <c r="E44" s="56" t="s">
        <v>108</v>
      </c>
      <c r="F44" s="56" t="s">
        <v>155</v>
      </c>
      <c r="G44" s="56" t="s">
        <v>150</v>
      </c>
      <c r="H44" s="56" t="s">
        <v>110</v>
      </c>
      <c r="I44" s="56">
        <v>0</v>
      </c>
      <c r="J44" s="56">
        <v>1</v>
      </c>
      <c r="K44" s="56"/>
      <c r="L44" s="56"/>
      <c r="M44" s="56">
        <v>1</v>
      </c>
      <c r="N44" s="56">
        <v>0</v>
      </c>
      <c r="O44" s="56">
        <v>0</v>
      </c>
      <c r="P44" s="56">
        <v>0</v>
      </c>
      <c r="Q44" s="57">
        <v>7.5</v>
      </c>
      <c r="R44" s="56" t="b">
        <v>1</v>
      </c>
      <c r="S44" s="58" t="str" cm="1">
        <f t="array" ref="S44">_xlfn._xlws.FILTER(Competitions[compType], (Fixtures[[#This Row],[competition]] = Competitions[name]), "N/A")</f>
        <v>Domestic Cup</v>
      </c>
      <c r="T44" s="58" t="b" cm="1">
        <f t="array" ref="T44">_xlfn._xlws.FILTER(Competitions[exhibition], (Fixtures[[#This Row],[competition]] = Competitions[name]), "N/A")</f>
        <v>0</v>
      </c>
      <c r="U44" s="58" t="str" cm="1">
        <f t="array" ref="U44">_xlfn._xlws.FILTER(Competitions[compID], (Fixtures[[#This Row],[competition]] = Competitions[name]), "N/A")</f>
        <v>DC-OF-CROKYCUP</v>
      </c>
      <c r="V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4" s="58" t="str" cm="1">
        <f t="array" ref="W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4" s="58" t="str" cm="1">
        <f t="array" ref="X44">_xlfn._xlws.FILTER(Teams[name], (Fixtures[[#This Row],[userTeamID]] = Teams[teamID]), "N/A")</f>
        <v>KRC Genk</v>
      </c>
      <c r="Y44" s="58" t="str" cm="1">
        <f t="array" ref="Y44">_xlfn._xlws.FILTER(Teams[teamType], (Fixtures[[#This Row],[userTeamID]] = Teams[teamID]), "N/A")</f>
        <v>Club</v>
      </c>
      <c r="Z44" s="58" t="str" cm="1">
        <f t="array" ref="Z44">IF(Fixtures[[#This Row],[userTeamID]] = "N/A", "N/A", IF(SUM(COUNTIF(Fixtures[[#This Row],[homeTeam]], _xlfn._xlws.FILTER(Teams[name], (Fixtures[[#This Row],[userTeamID]] = Teams[teamID])*(Teams[relevant])))) &gt; 0, "H", "A"))</f>
        <v>A</v>
      </c>
      <c r="AA44" s="58" t="str">
        <f>IF(Fixtures[[#This Row],[userSide]] = "N/A", "N/A", IF(Fixtures[[#This Row],[userSide]] = "H", Fixtures[[#This Row],[awayTeam]], Fixtures[[#This Row],[homeTeam]]))</f>
        <v>Club Brugge</v>
      </c>
      <c r="AB44" s="58" t="str" cm="1">
        <f t="array" ref="AB44">_xlfn._xlws.FILTER(Teams[teamID], Fixtures[[#This Row],[oppTeam]] = Teams[name], "N/A")</f>
        <v>C-BEL-CLUBBRUGGE</v>
      </c>
      <c r="AC44" s="58" t="str" cm="1">
        <f t="array" ref="AC44">_xlfn._xlws.FILTER(Teams[teamType], Fixtures[[#This Row],[oppTeam]] = Teams[name], "N/A")</f>
        <v>Club</v>
      </c>
      <c r="AD44" s="58">
        <f>IF(ISBLANK(Fixtures[[#This Row],[date]]), "N/A", IF(Fixtures[[#This Row],[userSide]]="H", Fixtures[[#This Row],[homeScore]], Fixtures[[#This Row],[awayScore]]))</f>
        <v>1</v>
      </c>
      <c r="AE44" s="58">
        <f>IF(ISBLANK(Fixtures[[#This Row],[date]]), "N/A", IF(Fixtures[[#This Row],[userScore]] = Fixtures[[#This Row],[homeScore]], Fixtures[[#This Row],[awayScore]], Fixtures[[#This Row],[homeScore]]))</f>
        <v>0</v>
      </c>
      <c r="AF44" s="58" t="b">
        <f>NOT(AND(ISBLANK(Fixtures[[#This Row],[homePens]]), ISBLANK(Fixtures[[#This Row],[awayPens]])))</f>
        <v>0</v>
      </c>
      <c r="AG44" s="58" t="str">
        <f>IF(Fixtures[[#This Row],[penalties]], IF(Fixtures[[#This Row],[userSide]]="H", Fixtures[[#This Row],[homePens]], Fixtures[[#This Row],[awayPens]]), "N/A")</f>
        <v>N/A</v>
      </c>
      <c r="AH44" s="58" t="str">
        <f>IF(Fixtures[[#This Row],[penalties]], IF(Fixtures[[#This Row],[userPens]]=Fixtures[[#This Row],[homePens]],Fixtures[[#This Row],[awayPens]],Fixtures[[#This Row],[homePens]]), "N/A")</f>
        <v>N/A</v>
      </c>
      <c r="AI44" s="58" t="b">
        <f>COUNTBLANK(Fixtures[[#This Row],[G]:[MOTM]]) = 0</f>
        <v>1</v>
      </c>
      <c r="AJ44" s="58">
        <f>IF(Fixtures[[#This Row],[APP]], Fixtures[[#This Row],[G]]+Fixtures[[#This Row],[A]], "N/A")</f>
        <v>1</v>
      </c>
      <c r="AK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[2024-01-31] Club Brugge vs. KRC Genk (0-1) - Croky Cup</v>
      </c>
      <c r="AN44" s="59"/>
    </row>
    <row r="45" spans="1:40" s="60" customFormat="1" ht="13">
      <c r="A45" s="55">
        <v>45326</v>
      </c>
      <c r="B45" s="55" t="s">
        <v>108</v>
      </c>
      <c r="C45" s="56" t="s">
        <v>108</v>
      </c>
      <c r="D45" s="56" t="s">
        <v>115</v>
      </c>
      <c r="E45" s="56" t="s">
        <v>108</v>
      </c>
      <c r="F45" s="56" t="s">
        <v>116</v>
      </c>
      <c r="G45" s="56" t="s">
        <v>110</v>
      </c>
      <c r="H45" s="56" t="s">
        <v>120</v>
      </c>
      <c r="I45" s="56">
        <v>5</v>
      </c>
      <c r="J45" s="56">
        <v>1</v>
      </c>
      <c r="K45" s="56"/>
      <c r="L45" s="56"/>
      <c r="M45" s="56">
        <v>1</v>
      </c>
      <c r="N45" s="56">
        <v>0</v>
      </c>
      <c r="O45" s="56">
        <v>0</v>
      </c>
      <c r="P45" s="56">
        <v>0</v>
      </c>
      <c r="Q45" s="57">
        <v>8</v>
      </c>
      <c r="R45" s="56" t="b">
        <v>0</v>
      </c>
      <c r="S45" s="58" t="str" cm="1">
        <f t="array" ref="S45">_xlfn._xlws.FILTER(Competitions[compType], (Fixtures[[#This Row],[competition]] = Competitions[name]), "N/A")</f>
        <v>Domestic League</v>
      </c>
      <c r="T45" s="58" t="b" cm="1">
        <f t="array" ref="T45">_xlfn._xlws.FILTER(Competitions[exhibition], (Fixtures[[#This Row],[competition]] = Competitions[name]), "N/A")</f>
        <v>0</v>
      </c>
      <c r="U45" s="58" t="str" cm="1">
        <f t="array" ref="U45">_xlfn._xlws.FILTER(Competitions[compID], (Fixtures[[#This Row],[competition]] = Competitions[name]), "N/A")</f>
        <v>DL-OF-1APROLEAGUE</v>
      </c>
      <c r="V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5" s="58" t="str" cm="1">
        <f t="array" ref="W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5" s="58" t="str" cm="1">
        <f t="array" ref="X45">_xlfn._xlws.FILTER(Teams[name], (Fixtures[[#This Row],[userTeamID]] = Teams[teamID]), "N/A")</f>
        <v>KRC Genk</v>
      </c>
      <c r="Y45" s="58" t="str" cm="1">
        <f t="array" ref="Y45">_xlfn._xlws.FILTER(Teams[teamType], (Fixtures[[#This Row],[userTeamID]] = Teams[teamID]), "N/A")</f>
        <v>Club</v>
      </c>
      <c r="Z45" s="58" t="str" cm="1">
        <f t="array" ref="Z45">IF(Fixtures[[#This Row],[userTeamID]] = "N/A", "N/A", IF(SUM(COUNTIF(Fixtures[[#This Row],[homeTeam]], _xlfn._xlws.FILTER(Teams[name], (Fixtures[[#This Row],[userTeamID]] = Teams[teamID])*(Teams[relevant])))) &gt; 0, "H", "A"))</f>
        <v>H</v>
      </c>
      <c r="AA45" s="58" t="str">
        <f>IF(Fixtures[[#This Row],[userSide]] = "N/A", "N/A", IF(Fixtures[[#This Row],[userSide]] = "H", Fixtures[[#This Row],[awayTeam]], Fixtures[[#This Row],[homeTeam]]))</f>
        <v>R. Union St.-G</v>
      </c>
      <c r="AB45" s="58" t="str" cm="1">
        <f t="array" ref="AB45">_xlfn._xlws.FILTER(Teams[teamID], Fixtures[[#This Row],[oppTeam]] = Teams[name], "N/A")</f>
        <v>C-BEL-RUNIONSTG</v>
      </c>
      <c r="AC45" s="58" t="str" cm="1">
        <f t="array" ref="AC45">_xlfn._xlws.FILTER(Teams[teamType], Fixtures[[#This Row],[oppTeam]] = Teams[name], "N/A")</f>
        <v>Club</v>
      </c>
      <c r="AD45" s="58">
        <f>IF(ISBLANK(Fixtures[[#This Row],[date]]), "N/A", IF(Fixtures[[#This Row],[userSide]]="H", Fixtures[[#This Row],[homeScore]], Fixtures[[#This Row],[awayScore]]))</f>
        <v>5</v>
      </c>
      <c r="AE45" s="58">
        <f>IF(ISBLANK(Fixtures[[#This Row],[date]]), "N/A", IF(Fixtures[[#This Row],[userScore]] = Fixtures[[#This Row],[homeScore]], Fixtures[[#This Row],[awayScore]], Fixtures[[#This Row],[homeScore]]))</f>
        <v>1</v>
      </c>
      <c r="AF45" s="58" t="b">
        <f>NOT(AND(ISBLANK(Fixtures[[#This Row],[homePens]]), ISBLANK(Fixtures[[#This Row],[awayPens]])))</f>
        <v>0</v>
      </c>
      <c r="AG45" s="58" t="str">
        <f>IF(Fixtures[[#This Row],[penalties]], IF(Fixtures[[#This Row],[userSide]]="H", Fixtures[[#This Row],[homePens]], Fixtures[[#This Row],[awayPens]]), "N/A")</f>
        <v>N/A</v>
      </c>
      <c r="AH45" s="58" t="str">
        <f>IF(Fixtures[[#This Row],[penalties]], IF(Fixtures[[#This Row],[userPens]]=Fixtures[[#This Row],[homePens]],Fixtures[[#This Row],[awayPens]],Fixtures[[#This Row],[homePens]]), "N/A")</f>
        <v>N/A</v>
      </c>
      <c r="AI45" s="58" t="b">
        <f>COUNTBLANK(Fixtures[[#This Row],[G]:[MOTM]]) = 0</f>
        <v>1</v>
      </c>
      <c r="AJ45" s="58">
        <f>IF(Fixtures[[#This Row],[APP]], Fixtures[[#This Row],[G]]+Fixtures[[#This Row],[A]], "N/A")</f>
        <v>1</v>
      </c>
      <c r="AK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5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[2024-02-04] KRC Genk vs. R. Union St.-G (5-1) - 1A Pro League</v>
      </c>
      <c r="AN45" s="59"/>
    </row>
    <row r="46" spans="1:40" s="60" customFormat="1" ht="13">
      <c r="A46" s="55">
        <v>45333</v>
      </c>
      <c r="B46" s="55" t="s">
        <v>108</v>
      </c>
      <c r="C46" s="56" t="s">
        <v>108</v>
      </c>
      <c r="D46" s="56" t="s">
        <v>158</v>
      </c>
      <c r="E46" s="56" t="s">
        <v>108</v>
      </c>
      <c r="F46" s="56" t="s">
        <v>116</v>
      </c>
      <c r="G46" s="56" t="s">
        <v>117</v>
      </c>
      <c r="H46" s="56" t="s">
        <v>110</v>
      </c>
      <c r="I46" s="56">
        <v>1</v>
      </c>
      <c r="J46" s="56">
        <v>4</v>
      </c>
      <c r="K46" s="56"/>
      <c r="L46" s="56"/>
      <c r="M46" s="56">
        <v>0</v>
      </c>
      <c r="N46" s="56">
        <v>1</v>
      </c>
      <c r="O46" s="56">
        <v>0</v>
      </c>
      <c r="P46" s="56">
        <v>0</v>
      </c>
      <c r="Q46" s="57">
        <v>7.9</v>
      </c>
      <c r="R46" s="56" t="b">
        <v>0</v>
      </c>
      <c r="S46" s="58" t="str" cm="1">
        <f t="array" ref="S46">_xlfn._xlws.FILTER(Competitions[compType], (Fixtures[[#This Row],[competition]] = Competitions[name]), "N/A")</f>
        <v>Domestic League</v>
      </c>
      <c r="T46" s="58" t="b" cm="1">
        <f t="array" ref="T46">_xlfn._xlws.FILTER(Competitions[exhibition], (Fixtures[[#This Row],[competition]] = Competitions[name]), "N/A")</f>
        <v>0</v>
      </c>
      <c r="U46" s="58" t="str" cm="1">
        <f t="array" ref="U46">_xlfn._xlws.FILTER(Competitions[compID], (Fixtures[[#This Row],[competition]] = Competitions[name]), "N/A")</f>
        <v>DL-OF-1APROLEAGUE</v>
      </c>
      <c r="V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6" s="58" t="str" cm="1">
        <f t="array" ref="W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6" s="58" t="str" cm="1">
        <f t="array" ref="X46">_xlfn._xlws.FILTER(Teams[name], (Fixtures[[#This Row],[userTeamID]] = Teams[teamID]), "N/A")</f>
        <v>KRC Genk</v>
      </c>
      <c r="Y46" s="58" t="str" cm="1">
        <f t="array" ref="Y46">_xlfn._xlws.FILTER(Teams[teamType], (Fixtures[[#This Row],[userTeamID]] = Teams[teamID]), "N/A")</f>
        <v>Club</v>
      </c>
      <c r="Z46" s="58" t="str" cm="1">
        <f t="array" ref="Z46">IF(Fixtures[[#This Row],[userTeamID]] = "N/A", "N/A", IF(SUM(COUNTIF(Fixtures[[#This Row],[homeTeam]], _xlfn._xlws.FILTER(Teams[name], (Fixtures[[#This Row],[userTeamID]] = Teams[teamID])*(Teams[relevant])))) &gt; 0, "H", "A"))</f>
        <v>A</v>
      </c>
      <c r="AA46" s="58" t="str">
        <f>IF(Fixtures[[#This Row],[userSide]] = "N/A", "N/A", IF(Fixtures[[#This Row],[userSide]] = "H", Fixtures[[#This Row],[awayTeam]], Fixtures[[#This Row],[homeTeam]]))</f>
        <v>KAS Eupen</v>
      </c>
      <c r="AB46" s="58" t="str" cm="1">
        <f t="array" ref="AB46">_xlfn._xlws.FILTER(Teams[teamID], Fixtures[[#This Row],[oppTeam]] = Teams[name], "N/A")</f>
        <v>C-BEL-KASEUPEN</v>
      </c>
      <c r="AC46" s="58" t="str" cm="1">
        <f t="array" ref="AC46">_xlfn._xlws.FILTER(Teams[teamType], Fixtures[[#This Row],[oppTeam]] = Teams[name], "N/A")</f>
        <v>Club</v>
      </c>
      <c r="AD46" s="58">
        <f>IF(ISBLANK(Fixtures[[#This Row],[date]]), "N/A", IF(Fixtures[[#This Row],[userSide]]="H", Fixtures[[#This Row],[homeScore]], Fixtures[[#This Row],[awayScore]]))</f>
        <v>4</v>
      </c>
      <c r="AE46" s="58">
        <f>IF(ISBLANK(Fixtures[[#This Row],[date]]), "N/A", IF(Fixtures[[#This Row],[userScore]] = Fixtures[[#This Row],[homeScore]], Fixtures[[#This Row],[awayScore]], Fixtures[[#This Row],[homeScore]]))</f>
        <v>1</v>
      </c>
      <c r="AF46" s="58" t="b">
        <f>NOT(AND(ISBLANK(Fixtures[[#This Row],[homePens]]), ISBLANK(Fixtures[[#This Row],[awayPens]])))</f>
        <v>0</v>
      </c>
      <c r="AG46" s="58" t="str">
        <f>IF(Fixtures[[#This Row],[penalties]], IF(Fixtures[[#This Row],[userSide]]="H", Fixtures[[#This Row],[homePens]], Fixtures[[#This Row],[awayPens]]), "N/A")</f>
        <v>N/A</v>
      </c>
      <c r="AH46" s="58" t="str">
        <f>IF(Fixtures[[#This Row],[penalties]], IF(Fixtures[[#This Row],[userPens]]=Fixtures[[#This Row],[homePens]],Fixtures[[#This Row],[awayPens]],Fixtures[[#This Row],[homePens]]), "N/A")</f>
        <v>N/A</v>
      </c>
      <c r="AI46" s="58" t="b">
        <f>COUNTBLANK(Fixtures[[#This Row],[G]:[MOTM]]) = 0</f>
        <v>1</v>
      </c>
      <c r="AJ46" s="58">
        <f>IF(Fixtures[[#This Row],[APP]], Fixtures[[#This Row],[G]]+Fixtures[[#This Row],[A]], "N/A")</f>
        <v>1</v>
      </c>
      <c r="AK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6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[2024-02-11] KAS Eupen vs. KRC Genk (1-4) - 1A Pro League</v>
      </c>
      <c r="AN46" s="59"/>
    </row>
    <row r="47" spans="1:40" s="60" customFormat="1" ht="13">
      <c r="A47" s="55">
        <v>45337</v>
      </c>
      <c r="B47" s="55" t="s">
        <v>108</v>
      </c>
      <c r="C47" s="56" t="s">
        <v>108</v>
      </c>
      <c r="D47" s="56" t="s">
        <v>115</v>
      </c>
      <c r="E47" s="56" t="s">
        <v>108</v>
      </c>
      <c r="F47" s="56" t="s">
        <v>134</v>
      </c>
      <c r="G47" s="56" t="s">
        <v>110</v>
      </c>
      <c r="H47" s="56" t="s">
        <v>159</v>
      </c>
      <c r="I47" s="56">
        <v>2</v>
      </c>
      <c r="J47" s="56">
        <v>0</v>
      </c>
      <c r="K47" s="56"/>
      <c r="L47" s="56"/>
      <c r="M47" s="56">
        <v>0</v>
      </c>
      <c r="N47" s="56">
        <v>0</v>
      </c>
      <c r="O47" s="56">
        <v>0</v>
      </c>
      <c r="P47" s="56">
        <v>0</v>
      </c>
      <c r="Q47" s="57">
        <v>6.6</v>
      </c>
      <c r="R47" s="56" t="b">
        <v>0</v>
      </c>
      <c r="S47" s="58" t="str" cm="1">
        <f t="array" ref="S47">_xlfn._xlws.FILTER(Competitions[compType], (Fixtures[[#This Row],[competition]] = Competitions[name]), "N/A")</f>
        <v>Continental Cup</v>
      </c>
      <c r="T47" s="58" t="b" cm="1">
        <f t="array" ref="T47">_xlfn._xlws.FILTER(Competitions[exhibition], (Fixtures[[#This Row],[competition]] = Competitions[name]), "N/A")</f>
        <v>0</v>
      </c>
      <c r="U47" s="58" t="str" cm="1">
        <f t="array" ref="U47">_xlfn._xlws.FILTER(Competitions[compID], (Fixtures[[#This Row],[competition]] = Competitions[name]), "N/A")</f>
        <v>CC-OF-UEFAEUROPACONFERENCELEAGUE</v>
      </c>
      <c r="V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7" s="58" t="str" cm="1">
        <f t="array" ref="W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7" s="58" t="str" cm="1">
        <f t="array" ref="X47">_xlfn._xlws.FILTER(Teams[name], (Fixtures[[#This Row],[userTeamID]] = Teams[teamID]), "N/A")</f>
        <v>KRC Genk</v>
      </c>
      <c r="Y47" s="58" t="str" cm="1">
        <f t="array" ref="Y47">_xlfn._xlws.FILTER(Teams[teamType], (Fixtures[[#This Row],[userTeamID]] = Teams[teamID]), "N/A")</f>
        <v>Club</v>
      </c>
      <c r="Z47" s="58" t="str" cm="1">
        <f t="array" ref="Z47">IF(Fixtures[[#This Row],[userTeamID]] = "N/A", "N/A", IF(SUM(COUNTIF(Fixtures[[#This Row],[homeTeam]], _xlfn._xlws.FILTER(Teams[name], (Fixtures[[#This Row],[userTeamID]] = Teams[teamID])*(Teams[relevant])))) &gt; 0, "H", "A"))</f>
        <v>H</v>
      </c>
      <c r="AA47" s="58" t="str">
        <f>IF(Fixtures[[#This Row],[userSide]] = "N/A", "N/A", IF(Fixtures[[#This Row],[userSide]] = "H", Fixtures[[#This Row],[awayTeam]], Fixtures[[#This Row],[homeTeam]]))</f>
        <v>Rangers</v>
      </c>
      <c r="AB47" s="58" t="str" cm="1">
        <f t="array" ref="AB47">_xlfn._xlws.FILTER(Teams[teamID], Fixtures[[#This Row],[oppTeam]] = Teams[name], "N/A")</f>
        <v>C-SCO-RANGERS</v>
      </c>
      <c r="AC47" s="58" t="str" cm="1">
        <f t="array" ref="AC47">_xlfn._xlws.FILTER(Teams[teamType], Fixtures[[#This Row],[oppTeam]] = Teams[name], "N/A")</f>
        <v>Club</v>
      </c>
      <c r="AD47" s="58">
        <f>IF(ISBLANK(Fixtures[[#This Row],[date]]), "N/A", IF(Fixtures[[#This Row],[userSide]]="H", Fixtures[[#This Row],[homeScore]], Fixtures[[#This Row],[awayScore]]))</f>
        <v>2</v>
      </c>
      <c r="AE47" s="58">
        <f>IF(ISBLANK(Fixtures[[#This Row],[date]]), "N/A", IF(Fixtures[[#This Row],[userScore]] = Fixtures[[#This Row],[homeScore]], Fixtures[[#This Row],[awayScore]], Fixtures[[#This Row],[homeScore]]))</f>
        <v>0</v>
      </c>
      <c r="AF47" s="58" t="b">
        <f>NOT(AND(ISBLANK(Fixtures[[#This Row],[homePens]]), ISBLANK(Fixtures[[#This Row],[awayPens]])))</f>
        <v>0</v>
      </c>
      <c r="AG47" s="58" t="str">
        <f>IF(Fixtures[[#This Row],[penalties]], IF(Fixtures[[#This Row],[userSide]]="H", Fixtures[[#This Row],[homePens]], Fixtures[[#This Row],[awayPens]]), "N/A")</f>
        <v>N/A</v>
      </c>
      <c r="AH47" s="58" t="str">
        <f>IF(Fixtures[[#This Row],[penalties]], IF(Fixtures[[#This Row],[userPens]]=Fixtures[[#This Row],[homePens]],Fixtures[[#This Row],[awayPens]],Fixtures[[#This Row],[homePens]]), "N/A")</f>
        <v>N/A</v>
      </c>
      <c r="AI47" s="58" t="b">
        <f>COUNTBLANK(Fixtures[[#This Row],[G]:[MOTM]]) = 0</f>
        <v>1</v>
      </c>
      <c r="AJ47" s="58">
        <f>IF(Fixtures[[#This Row],[APP]], Fixtures[[#This Row],[G]]+Fixtures[[#This Row],[A]], "N/A")</f>
        <v>0</v>
      </c>
      <c r="AK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47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[2024-02-15] KRC Genk vs. Rangers (2-0) - UEFA Europa Conference League</v>
      </c>
      <c r="AN47" s="59"/>
    </row>
    <row r="48" spans="1:40" s="60" customFormat="1" ht="13">
      <c r="A48" s="55">
        <v>45340</v>
      </c>
      <c r="B48" s="55" t="s">
        <v>108</v>
      </c>
      <c r="C48" s="56" t="s">
        <v>108</v>
      </c>
      <c r="D48" s="56" t="s">
        <v>108</v>
      </c>
      <c r="E48" s="56" t="s">
        <v>108</v>
      </c>
      <c r="F48" s="56" t="s">
        <v>116</v>
      </c>
      <c r="G48" s="56" t="s">
        <v>149</v>
      </c>
      <c r="H48" s="56" t="s">
        <v>110</v>
      </c>
      <c r="I48" s="56">
        <v>1</v>
      </c>
      <c r="J48" s="56">
        <v>1</v>
      </c>
      <c r="K48" s="56"/>
      <c r="L48" s="56"/>
      <c r="M48" s="56">
        <v>0</v>
      </c>
      <c r="N48" s="56">
        <v>1</v>
      </c>
      <c r="O48" s="56">
        <v>0</v>
      </c>
      <c r="P48" s="56">
        <v>0</v>
      </c>
      <c r="Q48" s="57">
        <v>6.8</v>
      </c>
      <c r="R48" s="56" t="b">
        <v>0</v>
      </c>
      <c r="S48" s="58" t="str" cm="1">
        <f t="array" ref="S48">_xlfn._xlws.FILTER(Competitions[compType], (Fixtures[[#This Row],[competition]] = Competitions[name]), "N/A")</f>
        <v>Domestic League</v>
      </c>
      <c r="T48" s="58" t="b" cm="1">
        <f t="array" ref="T48">_xlfn._xlws.FILTER(Competitions[exhibition], (Fixtures[[#This Row],[competition]] = Competitions[name]), "N/A")</f>
        <v>0</v>
      </c>
      <c r="U48" s="58" t="str" cm="1">
        <f t="array" ref="U48">_xlfn._xlws.FILTER(Competitions[compID], (Fixtures[[#This Row],[competition]] = Competitions[name]), "N/A")</f>
        <v>DL-OF-1APROLEAGUE</v>
      </c>
      <c r="V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8" s="58" t="str" cm="1">
        <f t="array" ref="W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8" s="58" t="str" cm="1">
        <f t="array" ref="X48">_xlfn._xlws.FILTER(Teams[name], (Fixtures[[#This Row],[userTeamID]] = Teams[teamID]), "N/A")</f>
        <v>KRC Genk</v>
      </c>
      <c r="Y48" s="58" t="str" cm="1">
        <f t="array" ref="Y48">_xlfn._xlws.FILTER(Teams[teamType], (Fixtures[[#This Row],[userTeamID]] = Teams[teamID]), "N/A")</f>
        <v>Club</v>
      </c>
      <c r="Z48" s="58" t="str" cm="1">
        <f t="array" ref="Z48">IF(Fixtures[[#This Row],[userTeamID]] = "N/A", "N/A", IF(SUM(COUNTIF(Fixtures[[#This Row],[homeTeam]], _xlfn._xlws.FILTER(Teams[name], (Fixtures[[#This Row],[userTeamID]] = Teams[teamID])*(Teams[relevant])))) &gt; 0, "H", "A"))</f>
        <v>A</v>
      </c>
      <c r="AA48" s="58" t="str">
        <f>IF(Fixtures[[#This Row],[userSide]] = "N/A", "N/A", IF(Fixtures[[#This Row],[userSide]] = "H", Fixtures[[#This Row],[awayTeam]], Fixtures[[#This Row],[homeTeam]]))</f>
        <v>Sp. Charleroi</v>
      </c>
      <c r="AB48" s="58" t="str" cm="1">
        <f t="array" ref="AB48">_xlfn._xlws.FILTER(Teams[teamID], Fixtures[[#This Row],[oppTeam]] = Teams[name], "N/A")</f>
        <v>C-BEL-SPCHARLEROI</v>
      </c>
      <c r="AC48" s="58" t="str" cm="1">
        <f t="array" ref="AC48">_xlfn._xlws.FILTER(Teams[teamType], Fixtures[[#This Row],[oppTeam]] = Teams[name], "N/A")</f>
        <v>Club</v>
      </c>
      <c r="AD48" s="58">
        <f>IF(ISBLANK(Fixtures[[#This Row],[date]]), "N/A", IF(Fixtures[[#This Row],[userSide]]="H", Fixtures[[#This Row],[homeScore]], Fixtures[[#This Row],[awayScore]]))</f>
        <v>1</v>
      </c>
      <c r="AE48" s="58">
        <f>IF(ISBLANK(Fixtures[[#This Row],[date]]), "N/A", IF(Fixtures[[#This Row],[userScore]] = Fixtures[[#This Row],[homeScore]], Fixtures[[#This Row],[awayScore]], Fixtures[[#This Row],[homeScore]]))</f>
        <v>1</v>
      </c>
      <c r="AF48" s="58" t="b">
        <f>NOT(AND(ISBLANK(Fixtures[[#This Row],[homePens]]), ISBLANK(Fixtures[[#This Row],[awayPens]])))</f>
        <v>0</v>
      </c>
      <c r="AG48" s="58" t="str">
        <f>IF(Fixtures[[#This Row],[penalties]], IF(Fixtures[[#This Row],[userSide]]="H", Fixtures[[#This Row],[homePens]], Fixtures[[#This Row],[awayPens]]), "N/A")</f>
        <v>N/A</v>
      </c>
      <c r="AH48" s="58" t="str">
        <f>IF(Fixtures[[#This Row],[penalties]], IF(Fixtures[[#This Row],[userPens]]=Fixtures[[#This Row],[homePens]],Fixtures[[#This Row],[awayPens]],Fixtures[[#This Row],[homePens]]), "N/A")</f>
        <v>N/A</v>
      </c>
      <c r="AI48" s="58" t="b">
        <f>COUNTBLANK(Fixtures[[#This Row],[G]:[MOTM]]) = 0</f>
        <v>1</v>
      </c>
      <c r="AJ48" s="58">
        <f>IF(Fixtures[[#This Row],[APP]], Fixtures[[#This Row],[G]]+Fixtures[[#This Row],[A]], "N/A")</f>
        <v>1</v>
      </c>
      <c r="AK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4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[2024-02-18] Sp. Charleroi vs. KRC Genk (1-1) - 1A Pro League</v>
      </c>
      <c r="AN48" s="59"/>
    </row>
    <row r="49" spans="1:40" s="60" customFormat="1" ht="13">
      <c r="A49" s="55">
        <v>45344</v>
      </c>
      <c r="B49" s="55" t="s">
        <v>108</v>
      </c>
      <c r="C49" s="56" t="s">
        <v>108</v>
      </c>
      <c r="D49" s="56" t="s">
        <v>160</v>
      </c>
      <c r="E49" s="56" t="s">
        <v>108</v>
      </c>
      <c r="F49" s="56" t="s">
        <v>134</v>
      </c>
      <c r="G49" s="56" t="s">
        <v>159</v>
      </c>
      <c r="H49" s="56" t="s">
        <v>110</v>
      </c>
      <c r="I49" s="56">
        <v>1</v>
      </c>
      <c r="J49" s="56">
        <v>0</v>
      </c>
      <c r="K49" s="56"/>
      <c r="L49" s="56"/>
      <c r="M49" s="56">
        <v>0</v>
      </c>
      <c r="N49" s="56">
        <v>0</v>
      </c>
      <c r="O49" s="56">
        <v>0</v>
      </c>
      <c r="P49" s="56">
        <v>0</v>
      </c>
      <c r="Q49" s="57">
        <v>6.5</v>
      </c>
      <c r="R49" s="56" t="b">
        <v>0</v>
      </c>
      <c r="S49" s="58" t="str" cm="1">
        <f t="array" ref="S49">_xlfn._xlws.FILTER(Competitions[compType], (Fixtures[[#This Row],[competition]] = Competitions[name]), "N/A")</f>
        <v>Continental Cup</v>
      </c>
      <c r="T49" s="58" t="b" cm="1">
        <f t="array" ref="T49">_xlfn._xlws.FILTER(Competitions[exhibition], (Fixtures[[#This Row],[competition]] = Competitions[name]), "N/A")</f>
        <v>0</v>
      </c>
      <c r="U49" s="58" t="str" cm="1">
        <f t="array" ref="U49">_xlfn._xlws.FILTER(Competitions[compID], (Fixtures[[#This Row],[competition]] = Competitions[name]), "N/A")</f>
        <v>CC-OF-UEFAEUROPACONFERENCELEAGUE</v>
      </c>
      <c r="V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49" s="58" t="str" cm="1">
        <f t="array" ref="W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49" s="58" t="str" cm="1">
        <f t="array" ref="X49">_xlfn._xlws.FILTER(Teams[name], (Fixtures[[#This Row],[userTeamID]] = Teams[teamID]), "N/A")</f>
        <v>KRC Genk</v>
      </c>
      <c r="Y49" s="58" t="str" cm="1">
        <f t="array" ref="Y49">_xlfn._xlws.FILTER(Teams[teamType], (Fixtures[[#This Row],[userTeamID]] = Teams[teamID]), "N/A")</f>
        <v>Club</v>
      </c>
      <c r="Z49" s="58" t="str" cm="1">
        <f t="array" ref="Z49">IF(Fixtures[[#This Row],[userTeamID]] = "N/A", "N/A", IF(SUM(COUNTIF(Fixtures[[#This Row],[homeTeam]], _xlfn._xlws.FILTER(Teams[name], (Fixtures[[#This Row],[userTeamID]] = Teams[teamID])*(Teams[relevant])))) &gt; 0, "H", "A"))</f>
        <v>A</v>
      </c>
      <c r="AA49" s="58" t="str">
        <f>IF(Fixtures[[#This Row],[userSide]] = "N/A", "N/A", IF(Fixtures[[#This Row],[userSide]] = "H", Fixtures[[#This Row],[awayTeam]], Fixtures[[#This Row],[homeTeam]]))</f>
        <v>Rangers</v>
      </c>
      <c r="AB49" s="58" t="str" cm="1">
        <f t="array" ref="AB49">_xlfn._xlws.FILTER(Teams[teamID], Fixtures[[#This Row],[oppTeam]] = Teams[name], "N/A")</f>
        <v>C-SCO-RANGERS</v>
      </c>
      <c r="AC49" s="58" t="str" cm="1">
        <f t="array" ref="AC49">_xlfn._xlws.FILTER(Teams[teamType], Fixtures[[#This Row],[oppTeam]] = Teams[name], "N/A")</f>
        <v>Club</v>
      </c>
      <c r="AD49" s="58">
        <f>IF(ISBLANK(Fixtures[[#This Row],[date]]), "N/A", IF(Fixtures[[#This Row],[userSide]]="H", Fixtures[[#This Row],[homeScore]], Fixtures[[#This Row],[awayScore]]))</f>
        <v>0</v>
      </c>
      <c r="AE49" s="58">
        <f>IF(ISBLANK(Fixtures[[#This Row],[date]]), "N/A", IF(Fixtures[[#This Row],[userScore]] = Fixtures[[#This Row],[homeScore]], Fixtures[[#This Row],[awayScore]], Fixtures[[#This Row],[homeScore]]))</f>
        <v>1</v>
      </c>
      <c r="AF49" s="58" t="b">
        <f>NOT(AND(ISBLANK(Fixtures[[#This Row],[homePens]]), ISBLANK(Fixtures[[#This Row],[awayPens]])))</f>
        <v>0</v>
      </c>
      <c r="AG49" s="58" t="str">
        <f>IF(Fixtures[[#This Row],[penalties]], IF(Fixtures[[#This Row],[userSide]]="H", Fixtures[[#This Row],[homePens]], Fixtures[[#This Row],[awayPens]]), "N/A")</f>
        <v>N/A</v>
      </c>
      <c r="AH49" s="58" t="str">
        <f>IF(Fixtures[[#This Row],[penalties]], IF(Fixtures[[#This Row],[userPens]]=Fixtures[[#This Row],[homePens]],Fixtures[[#This Row],[awayPens]],Fixtures[[#This Row],[homePens]]), "N/A")</f>
        <v>N/A</v>
      </c>
      <c r="AI49" s="58" t="b">
        <f>COUNTBLANK(Fixtures[[#This Row],[G]:[MOTM]]) = 0</f>
        <v>1</v>
      </c>
      <c r="AJ49" s="58">
        <f>IF(Fixtures[[#This Row],[APP]], Fixtures[[#This Row],[G]]+Fixtures[[#This Row],[A]], "N/A")</f>
        <v>0</v>
      </c>
      <c r="AK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49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[2024-02-22] Rangers vs. KRC Genk (1-0) - UEFA Europa Conference League</v>
      </c>
      <c r="AN49" s="59"/>
    </row>
    <row r="50" spans="1:40" s="60" customFormat="1" ht="13">
      <c r="A50" s="55">
        <v>45347</v>
      </c>
      <c r="B50" s="55" t="s">
        <v>108</v>
      </c>
      <c r="C50" s="56" t="s">
        <v>161</v>
      </c>
      <c r="D50" s="56" t="s">
        <v>115</v>
      </c>
      <c r="E50" s="56" t="s">
        <v>108</v>
      </c>
      <c r="F50" s="56" t="s">
        <v>116</v>
      </c>
      <c r="G50" s="56" t="s">
        <v>110</v>
      </c>
      <c r="H50" s="56" t="s">
        <v>148</v>
      </c>
      <c r="I50" s="56">
        <v>0</v>
      </c>
      <c r="J50" s="56">
        <v>0</v>
      </c>
      <c r="K50" s="56"/>
      <c r="L50" s="56"/>
      <c r="M50" s="56">
        <v>0</v>
      </c>
      <c r="N50" s="56">
        <v>0</v>
      </c>
      <c r="O50" s="56">
        <v>0</v>
      </c>
      <c r="P50" s="56">
        <v>0</v>
      </c>
      <c r="Q50" s="57">
        <v>6.9</v>
      </c>
      <c r="R50" s="56" t="b">
        <v>0</v>
      </c>
      <c r="S50" s="58" t="str" cm="1">
        <f t="array" ref="S50">_xlfn._xlws.FILTER(Competitions[compType], (Fixtures[[#This Row],[competition]] = Competitions[name]), "N/A")</f>
        <v>Domestic League</v>
      </c>
      <c r="T50" s="58" t="b" cm="1">
        <f t="array" ref="T50">_xlfn._xlws.FILTER(Competitions[exhibition], (Fixtures[[#This Row],[competition]] = Competitions[name]), "N/A")</f>
        <v>0</v>
      </c>
      <c r="U50" s="58" t="str" cm="1">
        <f t="array" ref="U50">_xlfn._xlws.FILTER(Competitions[compID], (Fixtures[[#This Row],[competition]] = Competitions[name]), "N/A")</f>
        <v>DL-OF-1APROLEAGUE</v>
      </c>
      <c r="V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0" s="58" t="str" cm="1">
        <f t="array" ref="W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0" s="58" t="str" cm="1">
        <f t="array" ref="X50">_xlfn._xlws.FILTER(Teams[name], (Fixtures[[#This Row],[userTeamID]] = Teams[teamID]), "N/A")</f>
        <v>KRC Genk</v>
      </c>
      <c r="Y50" s="58" t="str" cm="1">
        <f t="array" ref="Y50">_xlfn._xlws.FILTER(Teams[teamType], (Fixtures[[#This Row],[userTeamID]] = Teams[teamID]), "N/A")</f>
        <v>Club</v>
      </c>
      <c r="Z50" s="58" t="str" cm="1">
        <f t="array" ref="Z50">IF(Fixtures[[#This Row],[userTeamID]] = "N/A", "N/A", IF(SUM(COUNTIF(Fixtures[[#This Row],[homeTeam]], _xlfn._xlws.FILTER(Teams[name], (Fixtures[[#This Row],[userTeamID]] = Teams[teamID])*(Teams[relevant])))) &gt; 0, "H", "A"))</f>
        <v>H</v>
      </c>
      <c r="AA50" s="58" t="str">
        <f>IF(Fixtures[[#This Row],[userSide]] = "N/A", "N/A", IF(Fixtures[[#This Row],[userSide]] = "H", Fixtures[[#This Row],[awayTeam]], Fixtures[[#This Row],[homeTeam]]))</f>
        <v>RSC Anderlecht</v>
      </c>
      <c r="AB50" s="58" t="str" cm="1">
        <f t="array" ref="AB50">_xlfn._xlws.FILTER(Teams[teamID], Fixtures[[#This Row],[oppTeam]] = Teams[name], "N/A")</f>
        <v>C-BEL-RSCANDERLECHT</v>
      </c>
      <c r="AC50" s="58" t="str" cm="1">
        <f t="array" ref="AC50">_xlfn._xlws.FILTER(Teams[teamType], Fixtures[[#This Row],[oppTeam]] = Teams[name], "N/A")</f>
        <v>Club</v>
      </c>
      <c r="AD50" s="58">
        <f>IF(ISBLANK(Fixtures[[#This Row],[date]]), "N/A", IF(Fixtures[[#This Row],[userSide]]="H", Fixtures[[#This Row],[homeScore]], Fixtures[[#This Row],[awayScore]]))</f>
        <v>0</v>
      </c>
      <c r="AE50" s="58">
        <f>IF(ISBLANK(Fixtures[[#This Row],[date]]), "N/A", IF(Fixtures[[#This Row],[userScore]] = Fixtures[[#This Row],[homeScore]], Fixtures[[#This Row],[awayScore]], Fixtures[[#This Row],[homeScore]]))</f>
        <v>0</v>
      </c>
      <c r="AF50" s="58" t="b">
        <f>NOT(AND(ISBLANK(Fixtures[[#This Row],[homePens]]), ISBLANK(Fixtures[[#This Row],[awayPens]])))</f>
        <v>0</v>
      </c>
      <c r="AG50" s="58" t="str">
        <f>IF(Fixtures[[#This Row],[penalties]], IF(Fixtures[[#This Row],[userSide]]="H", Fixtures[[#This Row],[homePens]], Fixtures[[#This Row],[awayPens]]), "N/A")</f>
        <v>N/A</v>
      </c>
      <c r="AH50" s="58" t="str">
        <f>IF(Fixtures[[#This Row],[penalties]], IF(Fixtures[[#This Row],[userPens]]=Fixtures[[#This Row],[homePens]],Fixtures[[#This Row],[awayPens]],Fixtures[[#This Row],[homePens]]), "N/A")</f>
        <v>N/A</v>
      </c>
      <c r="AI50" s="58" t="b">
        <f>COUNTBLANK(Fixtures[[#This Row],[G]:[MOTM]]) = 0</f>
        <v>1</v>
      </c>
      <c r="AJ50" s="58">
        <f>IF(Fixtures[[#This Row],[APP]], Fixtures[[#This Row],[G]]+Fixtures[[#This Row],[A]], "N/A")</f>
        <v>0</v>
      </c>
      <c r="AK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50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[2024-02-25] KRC Genk vs. RSC Anderlecht (0-0) - 1A Pro League</v>
      </c>
      <c r="AN50" s="59" t="s">
        <v>162</v>
      </c>
    </row>
    <row r="51" spans="1:40" s="60" customFormat="1" ht="13">
      <c r="A51" s="55">
        <v>45350</v>
      </c>
      <c r="B51" s="55" t="s">
        <v>108</v>
      </c>
      <c r="C51" s="56" t="s">
        <v>108</v>
      </c>
      <c r="D51" s="56" t="s">
        <v>115</v>
      </c>
      <c r="E51" s="56" t="s">
        <v>108</v>
      </c>
      <c r="F51" s="56" t="s">
        <v>155</v>
      </c>
      <c r="G51" s="56" t="s">
        <v>110</v>
      </c>
      <c r="H51" s="56" t="s">
        <v>150</v>
      </c>
      <c r="I51" s="56">
        <v>1</v>
      </c>
      <c r="J51" s="56">
        <v>1</v>
      </c>
      <c r="K51" s="56"/>
      <c r="L51" s="56"/>
      <c r="M51" s="56">
        <v>0</v>
      </c>
      <c r="N51" s="56">
        <v>0</v>
      </c>
      <c r="O51" s="56">
        <v>0</v>
      </c>
      <c r="P51" s="56">
        <v>0</v>
      </c>
      <c r="Q51" s="57">
        <v>5.9</v>
      </c>
      <c r="R51" s="56" t="b">
        <v>0</v>
      </c>
      <c r="S51" s="58" t="str" cm="1">
        <f t="array" ref="S51">_xlfn._xlws.FILTER(Competitions[compType], (Fixtures[[#This Row],[competition]] = Competitions[name]), "N/A")</f>
        <v>Domestic Cup</v>
      </c>
      <c r="T51" s="58" t="b" cm="1">
        <f t="array" ref="T51">_xlfn._xlws.FILTER(Competitions[exhibition], (Fixtures[[#This Row],[competition]] = Competitions[name]), "N/A")</f>
        <v>0</v>
      </c>
      <c r="U51" s="58" t="str" cm="1">
        <f t="array" ref="U51">_xlfn._xlws.FILTER(Competitions[compID], (Fixtures[[#This Row],[competition]] = Competitions[name]), "N/A")</f>
        <v>DC-OF-CROKYCUP</v>
      </c>
      <c r="V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1" s="58" t="str" cm="1">
        <f t="array" ref="W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1" s="58" t="str" cm="1">
        <f t="array" ref="X51">_xlfn._xlws.FILTER(Teams[name], (Fixtures[[#This Row],[userTeamID]] = Teams[teamID]), "N/A")</f>
        <v>KRC Genk</v>
      </c>
      <c r="Y51" s="58" t="str" cm="1">
        <f t="array" ref="Y51">_xlfn._xlws.FILTER(Teams[teamType], (Fixtures[[#This Row],[userTeamID]] = Teams[teamID]), "N/A")</f>
        <v>Club</v>
      </c>
      <c r="Z51" s="58" t="str" cm="1">
        <f t="array" ref="Z51">IF(Fixtures[[#This Row],[userTeamID]] = "N/A", "N/A", IF(SUM(COUNTIF(Fixtures[[#This Row],[homeTeam]], _xlfn._xlws.FILTER(Teams[name], (Fixtures[[#This Row],[userTeamID]] = Teams[teamID])*(Teams[relevant])))) &gt; 0, "H", "A"))</f>
        <v>H</v>
      </c>
      <c r="AA51" s="58" t="str">
        <f>IF(Fixtures[[#This Row],[userSide]] = "N/A", "N/A", IF(Fixtures[[#This Row],[userSide]] = "H", Fixtures[[#This Row],[awayTeam]], Fixtures[[#This Row],[homeTeam]]))</f>
        <v>Club Brugge</v>
      </c>
      <c r="AB51" s="58" t="str" cm="1">
        <f t="array" ref="AB51">_xlfn._xlws.FILTER(Teams[teamID], Fixtures[[#This Row],[oppTeam]] = Teams[name], "N/A")</f>
        <v>C-BEL-CLUBBRUGGE</v>
      </c>
      <c r="AC51" s="58" t="str" cm="1">
        <f t="array" ref="AC51">_xlfn._xlws.FILTER(Teams[teamType], Fixtures[[#This Row],[oppTeam]] = Teams[name], "N/A")</f>
        <v>Club</v>
      </c>
      <c r="AD51" s="58">
        <f>IF(ISBLANK(Fixtures[[#This Row],[date]]), "N/A", IF(Fixtures[[#This Row],[userSide]]="H", Fixtures[[#This Row],[homeScore]], Fixtures[[#This Row],[awayScore]]))</f>
        <v>1</v>
      </c>
      <c r="AE51" s="58">
        <f>IF(ISBLANK(Fixtures[[#This Row],[date]]), "N/A", IF(Fixtures[[#This Row],[userScore]] = Fixtures[[#This Row],[homeScore]], Fixtures[[#This Row],[awayScore]], Fixtures[[#This Row],[homeScore]]))</f>
        <v>1</v>
      </c>
      <c r="AF51" s="58" t="b">
        <f>NOT(AND(ISBLANK(Fixtures[[#This Row],[homePens]]), ISBLANK(Fixtures[[#This Row],[awayPens]])))</f>
        <v>0</v>
      </c>
      <c r="AG51" s="58" t="str">
        <f>IF(Fixtures[[#This Row],[penalties]], IF(Fixtures[[#This Row],[userSide]]="H", Fixtures[[#This Row],[homePens]], Fixtures[[#This Row],[awayPens]]), "N/A")</f>
        <v>N/A</v>
      </c>
      <c r="AH51" s="58" t="str">
        <f>IF(Fixtures[[#This Row],[penalties]], IF(Fixtures[[#This Row],[userPens]]=Fixtures[[#This Row],[homePens]],Fixtures[[#This Row],[awayPens]],Fixtures[[#This Row],[homePens]]), "N/A")</f>
        <v>N/A</v>
      </c>
      <c r="AI51" s="58" t="b">
        <f>COUNTBLANK(Fixtures[[#This Row],[G]:[MOTM]]) = 0</f>
        <v>1</v>
      </c>
      <c r="AJ51" s="58">
        <f>IF(Fixtures[[#This Row],[APP]], Fixtures[[#This Row],[G]]+Fixtures[[#This Row],[A]], "N/A")</f>
        <v>0</v>
      </c>
      <c r="AK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51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[2024-02-28] KRC Genk vs. Club Brugge (1-1) - Croky Cup</v>
      </c>
      <c r="AN51" s="59"/>
    </row>
    <row r="52" spans="1:40" s="60" customFormat="1" ht="13">
      <c r="A52" s="55">
        <v>45353</v>
      </c>
      <c r="B52" s="55" t="s">
        <v>108</v>
      </c>
      <c r="C52" s="56" t="s">
        <v>108</v>
      </c>
      <c r="D52" s="56" t="s">
        <v>115</v>
      </c>
      <c r="E52" s="56" t="s">
        <v>108</v>
      </c>
      <c r="F52" s="56" t="s">
        <v>116</v>
      </c>
      <c r="G52" s="56" t="s">
        <v>110</v>
      </c>
      <c r="H52" s="56" t="s">
        <v>150</v>
      </c>
      <c r="I52" s="56">
        <v>0</v>
      </c>
      <c r="J52" s="56">
        <v>0</v>
      </c>
      <c r="K52" s="56"/>
      <c r="L52" s="56"/>
      <c r="M52" s="56">
        <v>0</v>
      </c>
      <c r="N52" s="56">
        <v>0</v>
      </c>
      <c r="O52" s="56">
        <v>0</v>
      </c>
      <c r="P52" s="56">
        <v>0</v>
      </c>
      <c r="Q52" s="57">
        <v>6.5</v>
      </c>
      <c r="R52" s="56" t="b">
        <v>0</v>
      </c>
      <c r="S52" s="58" t="str" cm="1">
        <f t="array" ref="S52">_xlfn._xlws.FILTER(Competitions[compType], (Fixtures[[#This Row],[competition]] = Competitions[name]), "N/A")</f>
        <v>Domestic League</v>
      </c>
      <c r="T52" s="58" t="b" cm="1">
        <f t="array" ref="T52">_xlfn._xlws.FILTER(Competitions[exhibition], (Fixtures[[#This Row],[competition]] = Competitions[name]), "N/A")</f>
        <v>0</v>
      </c>
      <c r="U52" s="58" t="str" cm="1">
        <f t="array" ref="U52">_xlfn._xlws.FILTER(Competitions[compID], (Fixtures[[#This Row],[competition]] = Competitions[name]), "N/A")</f>
        <v>DL-OF-1APROLEAGUE</v>
      </c>
      <c r="V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2" s="58" t="str" cm="1">
        <f t="array" ref="W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2" s="58" t="str" cm="1">
        <f t="array" ref="X52">_xlfn._xlws.FILTER(Teams[name], (Fixtures[[#This Row],[userTeamID]] = Teams[teamID]), "N/A")</f>
        <v>KRC Genk</v>
      </c>
      <c r="Y52" s="58" t="str" cm="1">
        <f t="array" ref="Y52">_xlfn._xlws.FILTER(Teams[teamType], (Fixtures[[#This Row],[userTeamID]] = Teams[teamID]), "N/A")</f>
        <v>Club</v>
      </c>
      <c r="Z52" s="58" t="str" cm="1">
        <f t="array" ref="Z52">IF(Fixtures[[#This Row],[userTeamID]] = "N/A", "N/A", IF(SUM(COUNTIF(Fixtures[[#This Row],[homeTeam]], _xlfn._xlws.FILTER(Teams[name], (Fixtures[[#This Row],[userTeamID]] = Teams[teamID])*(Teams[relevant])))) &gt; 0, "H", "A"))</f>
        <v>H</v>
      </c>
      <c r="AA52" s="58" t="str">
        <f>IF(Fixtures[[#This Row],[userSide]] = "N/A", "N/A", IF(Fixtures[[#This Row],[userSide]] = "H", Fixtures[[#This Row],[awayTeam]], Fixtures[[#This Row],[homeTeam]]))</f>
        <v>Club Brugge</v>
      </c>
      <c r="AB52" s="58" t="str" cm="1">
        <f t="array" ref="AB52">_xlfn._xlws.FILTER(Teams[teamID], Fixtures[[#This Row],[oppTeam]] = Teams[name], "N/A")</f>
        <v>C-BEL-CLUBBRUGGE</v>
      </c>
      <c r="AC52" s="58" t="str" cm="1">
        <f t="array" ref="AC52">_xlfn._xlws.FILTER(Teams[teamType], Fixtures[[#This Row],[oppTeam]] = Teams[name], "N/A")</f>
        <v>Club</v>
      </c>
      <c r="AD52" s="58">
        <f>IF(ISBLANK(Fixtures[[#This Row],[date]]), "N/A", IF(Fixtures[[#This Row],[userSide]]="H", Fixtures[[#This Row],[homeScore]], Fixtures[[#This Row],[awayScore]]))</f>
        <v>0</v>
      </c>
      <c r="AE52" s="58">
        <f>IF(ISBLANK(Fixtures[[#This Row],[date]]), "N/A", IF(Fixtures[[#This Row],[userScore]] = Fixtures[[#This Row],[homeScore]], Fixtures[[#This Row],[awayScore]], Fixtures[[#This Row],[homeScore]]))</f>
        <v>0</v>
      </c>
      <c r="AF52" s="58" t="b">
        <f>NOT(AND(ISBLANK(Fixtures[[#This Row],[homePens]]), ISBLANK(Fixtures[[#This Row],[awayPens]])))</f>
        <v>0</v>
      </c>
      <c r="AG52" s="58" t="str">
        <f>IF(Fixtures[[#This Row],[penalties]], IF(Fixtures[[#This Row],[userSide]]="H", Fixtures[[#This Row],[homePens]], Fixtures[[#This Row],[awayPens]]), "N/A")</f>
        <v>N/A</v>
      </c>
      <c r="AH52" s="58" t="str">
        <f>IF(Fixtures[[#This Row],[penalties]], IF(Fixtures[[#This Row],[userPens]]=Fixtures[[#This Row],[homePens]],Fixtures[[#This Row],[awayPens]],Fixtures[[#This Row],[homePens]]), "N/A")</f>
        <v>N/A</v>
      </c>
      <c r="AI52" s="58" t="b">
        <f>COUNTBLANK(Fixtures[[#This Row],[G]:[MOTM]]) = 0</f>
        <v>1</v>
      </c>
      <c r="AJ52" s="58">
        <f>IF(Fixtures[[#This Row],[APP]], Fixtures[[#This Row],[G]]+Fixtures[[#This Row],[A]], "N/A")</f>
        <v>0</v>
      </c>
      <c r="AK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52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[2024-03-02] KRC Genk vs. Club Brugge (0-0) - 1A Pro League</v>
      </c>
      <c r="AN52" s="59"/>
    </row>
    <row r="53" spans="1:40" s="60" customFormat="1" ht="13">
      <c r="A53" s="55">
        <v>45358</v>
      </c>
      <c r="B53" s="55" t="s">
        <v>108</v>
      </c>
      <c r="C53" s="56" t="s">
        <v>108</v>
      </c>
      <c r="D53" s="56" t="s">
        <v>115</v>
      </c>
      <c r="E53" s="56" t="s">
        <v>108</v>
      </c>
      <c r="F53" s="56" t="s">
        <v>134</v>
      </c>
      <c r="G53" s="56" t="s">
        <v>110</v>
      </c>
      <c r="H53" s="56" t="s">
        <v>145</v>
      </c>
      <c r="I53" s="56">
        <v>2</v>
      </c>
      <c r="J53" s="56">
        <v>0</v>
      </c>
      <c r="K53" s="56"/>
      <c r="L53" s="56"/>
      <c r="M53" s="56">
        <v>0</v>
      </c>
      <c r="N53" s="56">
        <v>1</v>
      </c>
      <c r="O53" s="56">
        <v>0</v>
      </c>
      <c r="P53" s="56">
        <v>0</v>
      </c>
      <c r="Q53" s="57">
        <v>8</v>
      </c>
      <c r="R53" s="56" t="b">
        <v>0</v>
      </c>
      <c r="S53" s="58" t="str" cm="1">
        <f t="array" ref="S53">_xlfn._xlws.FILTER(Competitions[compType], (Fixtures[[#This Row],[competition]] = Competitions[name]), "N/A")</f>
        <v>Continental Cup</v>
      </c>
      <c r="T53" s="58" t="b" cm="1">
        <f t="array" ref="T53">_xlfn._xlws.FILTER(Competitions[exhibition], (Fixtures[[#This Row],[competition]] = Competitions[name]), "N/A")</f>
        <v>0</v>
      </c>
      <c r="U53" s="58" t="str" cm="1">
        <f t="array" ref="U53">_xlfn._xlws.FILTER(Competitions[compID], (Fixtures[[#This Row],[competition]] = Competitions[name]), "N/A")</f>
        <v>CC-OF-UEFAEUROPACONFERENCELEAGUE</v>
      </c>
      <c r="V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3" s="58" t="str" cm="1">
        <f t="array" ref="W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3" s="58" t="str" cm="1">
        <f t="array" ref="X53">_xlfn._xlws.FILTER(Teams[name], (Fixtures[[#This Row],[userTeamID]] = Teams[teamID]), "N/A")</f>
        <v>KRC Genk</v>
      </c>
      <c r="Y53" s="58" t="str" cm="1">
        <f t="array" ref="Y53">_xlfn._xlws.FILTER(Teams[teamType], (Fixtures[[#This Row],[userTeamID]] = Teams[teamID]), "N/A")</f>
        <v>Club</v>
      </c>
      <c r="Z53" s="58" t="str" cm="1">
        <f t="array" ref="Z53">IF(Fixtures[[#This Row],[userTeamID]] = "N/A", "N/A", IF(SUM(COUNTIF(Fixtures[[#This Row],[homeTeam]], _xlfn._xlws.FILTER(Teams[name], (Fixtures[[#This Row],[userTeamID]] = Teams[teamID])*(Teams[relevant])))) &gt; 0, "H", "A"))</f>
        <v>H</v>
      </c>
      <c r="AA53" s="58" t="str">
        <f>IF(Fixtures[[#This Row],[userSide]] = "N/A", "N/A", IF(Fixtures[[#This Row],[userSide]] = "H", Fixtures[[#This Row],[awayTeam]], Fixtures[[#This Row],[homeTeam]]))</f>
        <v>KAA Gent</v>
      </c>
      <c r="AB53" s="58" t="str" cm="1">
        <f t="array" ref="AB53">_xlfn._xlws.FILTER(Teams[teamID], Fixtures[[#This Row],[oppTeam]] = Teams[name], "N/A")</f>
        <v>C-BEL-KAAGENT</v>
      </c>
      <c r="AC53" s="58" t="str" cm="1">
        <f t="array" ref="AC53">_xlfn._xlws.FILTER(Teams[teamType], Fixtures[[#This Row],[oppTeam]] = Teams[name], "N/A")</f>
        <v>Club</v>
      </c>
      <c r="AD53" s="58">
        <f>IF(ISBLANK(Fixtures[[#This Row],[date]]), "N/A", IF(Fixtures[[#This Row],[userSide]]="H", Fixtures[[#This Row],[homeScore]], Fixtures[[#This Row],[awayScore]]))</f>
        <v>2</v>
      </c>
      <c r="AE53" s="58">
        <f>IF(ISBLANK(Fixtures[[#This Row],[date]]), "N/A", IF(Fixtures[[#This Row],[userScore]] = Fixtures[[#This Row],[homeScore]], Fixtures[[#This Row],[awayScore]], Fixtures[[#This Row],[homeScore]]))</f>
        <v>0</v>
      </c>
      <c r="AF53" s="58" t="b">
        <f>NOT(AND(ISBLANK(Fixtures[[#This Row],[homePens]]), ISBLANK(Fixtures[[#This Row],[awayPens]])))</f>
        <v>0</v>
      </c>
      <c r="AG53" s="58" t="str">
        <f>IF(Fixtures[[#This Row],[penalties]], IF(Fixtures[[#This Row],[userSide]]="H", Fixtures[[#This Row],[homePens]], Fixtures[[#This Row],[awayPens]]), "N/A")</f>
        <v>N/A</v>
      </c>
      <c r="AH53" s="58" t="str">
        <f>IF(Fixtures[[#This Row],[penalties]], IF(Fixtures[[#This Row],[userPens]]=Fixtures[[#This Row],[homePens]],Fixtures[[#This Row],[awayPens]],Fixtures[[#This Row],[homePens]]), "N/A")</f>
        <v>N/A</v>
      </c>
      <c r="AI53" s="58" t="b">
        <f>COUNTBLANK(Fixtures[[#This Row],[G]:[MOTM]]) = 0</f>
        <v>1</v>
      </c>
      <c r="AJ53" s="58">
        <f>IF(Fixtures[[#This Row],[APP]], Fixtures[[#This Row],[G]]+Fixtures[[#This Row],[A]], "N/A")</f>
        <v>1</v>
      </c>
      <c r="AK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53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[2024-03-07] KRC Genk vs. KAA Gent (2-0) - UEFA Europa Conference League</v>
      </c>
      <c r="AN53" s="59"/>
    </row>
    <row r="54" spans="1:40" s="60" customFormat="1" ht="13">
      <c r="A54" s="55">
        <v>45365</v>
      </c>
      <c r="B54" s="55" t="s">
        <v>108</v>
      </c>
      <c r="C54" s="56" t="s">
        <v>108</v>
      </c>
      <c r="D54" s="56" t="s">
        <v>157</v>
      </c>
      <c r="E54" s="56" t="s">
        <v>108</v>
      </c>
      <c r="F54" s="56" t="s">
        <v>134</v>
      </c>
      <c r="G54" s="56" t="s">
        <v>145</v>
      </c>
      <c r="H54" s="56" t="s">
        <v>110</v>
      </c>
      <c r="I54" s="56">
        <v>1</v>
      </c>
      <c r="J54" s="56">
        <v>1</v>
      </c>
      <c r="K54" s="56"/>
      <c r="L54" s="56"/>
      <c r="M54" s="56">
        <v>0</v>
      </c>
      <c r="N54" s="56">
        <v>1</v>
      </c>
      <c r="O54" s="56">
        <v>0</v>
      </c>
      <c r="P54" s="56">
        <v>0</v>
      </c>
      <c r="Q54" s="57">
        <v>6.8</v>
      </c>
      <c r="R54" s="56" t="b">
        <v>0</v>
      </c>
      <c r="S54" s="58" t="str" cm="1">
        <f t="array" ref="S54">_xlfn._xlws.FILTER(Competitions[compType], (Fixtures[[#This Row],[competition]] = Competitions[name]), "N/A")</f>
        <v>Continental Cup</v>
      </c>
      <c r="T54" s="58" t="b" cm="1">
        <f t="array" ref="T54">_xlfn._xlws.FILTER(Competitions[exhibition], (Fixtures[[#This Row],[competition]] = Competitions[name]), "N/A")</f>
        <v>0</v>
      </c>
      <c r="U54" s="58" t="str" cm="1">
        <f t="array" ref="U54">_xlfn._xlws.FILTER(Competitions[compID], (Fixtures[[#This Row],[competition]] = Competitions[name]), "N/A")</f>
        <v>CC-OF-UEFAEUROPACONFERENCELEAGUE</v>
      </c>
      <c r="V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4" s="58" t="str" cm="1">
        <f t="array" ref="W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4" s="58" t="str" cm="1">
        <f t="array" ref="X54">_xlfn._xlws.FILTER(Teams[name], (Fixtures[[#This Row],[userTeamID]] = Teams[teamID]), "N/A")</f>
        <v>KRC Genk</v>
      </c>
      <c r="Y54" s="58" t="str" cm="1">
        <f t="array" ref="Y54">_xlfn._xlws.FILTER(Teams[teamType], (Fixtures[[#This Row],[userTeamID]] = Teams[teamID]), "N/A")</f>
        <v>Club</v>
      </c>
      <c r="Z54" s="58" t="str" cm="1">
        <f t="array" ref="Z54">IF(Fixtures[[#This Row],[userTeamID]] = "N/A", "N/A", IF(SUM(COUNTIF(Fixtures[[#This Row],[homeTeam]], _xlfn._xlws.FILTER(Teams[name], (Fixtures[[#This Row],[userTeamID]] = Teams[teamID])*(Teams[relevant])))) &gt; 0, "H", "A"))</f>
        <v>A</v>
      </c>
      <c r="AA54" s="58" t="str">
        <f>IF(Fixtures[[#This Row],[userSide]] = "N/A", "N/A", IF(Fixtures[[#This Row],[userSide]] = "H", Fixtures[[#This Row],[awayTeam]], Fixtures[[#This Row],[homeTeam]]))</f>
        <v>KAA Gent</v>
      </c>
      <c r="AB54" s="58" t="str" cm="1">
        <f t="array" ref="AB54">_xlfn._xlws.FILTER(Teams[teamID], Fixtures[[#This Row],[oppTeam]] = Teams[name], "N/A")</f>
        <v>C-BEL-KAAGENT</v>
      </c>
      <c r="AC54" s="58" t="str" cm="1">
        <f t="array" ref="AC54">_xlfn._xlws.FILTER(Teams[teamType], Fixtures[[#This Row],[oppTeam]] = Teams[name], "N/A")</f>
        <v>Club</v>
      </c>
      <c r="AD54" s="58">
        <f>IF(ISBLANK(Fixtures[[#This Row],[date]]), "N/A", IF(Fixtures[[#This Row],[userSide]]="H", Fixtures[[#This Row],[homeScore]], Fixtures[[#This Row],[awayScore]]))</f>
        <v>1</v>
      </c>
      <c r="AE54" s="58">
        <f>IF(ISBLANK(Fixtures[[#This Row],[date]]), "N/A", IF(Fixtures[[#This Row],[userScore]] = Fixtures[[#This Row],[homeScore]], Fixtures[[#This Row],[awayScore]], Fixtures[[#This Row],[homeScore]]))</f>
        <v>1</v>
      </c>
      <c r="AF54" s="58" t="b">
        <f>NOT(AND(ISBLANK(Fixtures[[#This Row],[homePens]]), ISBLANK(Fixtures[[#This Row],[awayPens]])))</f>
        <v>0</v>
      </c>
      <c r="AG54" s="58" t="str">
        <f>IF(Fixtures[[#This Row],[penalties]], IF(Fixtures[[#This Row],[userSide]]="H", Fixtures[[#This Row],[homePens]], Fixtures[[#This Row],[awayPens]]), "N/A")</f>
        <v>N/A</v>
      </c>
      <c r="AH54" s="58" t="str">
        <f>IF(Fixtures[[#This Row],[penalties]], IF(Fixtures[[#This Row],[userPens]]=Fixtures[[#This Row],[homePens]],Fixtures[[#This Row],[awayPens]],Fixtures[[#This Row],[homePens]]), "N/A")</f>
        <v>N/A</v>
      </c>
      <c r="AI54" s="58" t="b">
        <f>COUNTBLANK(Fixtures[[#This Row],[G]:[MOTM]]) = 0</f>
        <v>1</v>
      </c>
      <c r="AJ54" s="58">
        <f>IF(Fixtures[[#This Row],[APP]], Fixtures[[#This Row],[G]]+Fixtures[[#This Row],[A]], "N/A")</f>
        <v>1</v>
      </c>
      <c r="AK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54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[2024-03-14] KAA Gent vs. KRC Genk (1-1) - UEFA Europa Conference League</v>
      </c>
      <c r="AN54" s="59"/>
    </row>
    <row r="55" spans="1:40" s="60" customFormat="1" ht="13">
      <c r="A55" s="55">
        <v>45371</v>
      </c>
      <c r="B55" s="55" t="s">
        <v>108</v>
      </c>
      <c r="C55" s="56" t="s">
        <v>108</v>
      </c>
      <c r="D55" s="56" t="s">
        <v>127</v>
      </c>
      <c r="E55" s="56" t="s">
        <v>108</v>
      </c>
      <c r="F55" s="56" t="s">
        <v>128</v>
      </c>
      <c r="G55" s="56" t="s">
        <v>16</v>
      </c>
      <c r="H55" s="56" t="s">
        <v>163</v>
      </c>
      <c r="I55" s="56">
        <v>0</v>
      </c>
      <c r="J55" s="56">
        <v>2</v>
      </c>
      <c r="K55" s="56"/>
      <c r="L55" s="56"/>
      <c r="M55" s="56">
        <v>0</v>
      </c>
      <c r="N55" s="56">
        <v>0</v>
      </c>
      <c r="O55" s="56">
        <v>0</v>
      </c>
      <c r="P55" s="56">
        <v>0</v>
      </c>
      <c r="Q55" s="57">
        <v>6.6</v>
      </c>
      <c r="R55" s="56" t="b">
        <v>0</v>
      </c>
      <c r="S55" s="58" t="str" cm="1">
        <f t="array" ref="S55">_xlfn._xlws.FILTER(Competitions[compType], (Fixtures[[#This Row],[competition]] = Competitions[name]), "N/A")</f>
        <v>International Friendly</v>
      </c>
      <c r="T55" s="58" t="b" cm="1">
        <f t="array" ref="T55">_xlfn._xlws.FILTER(Competitions[exhibition], (Fixtures[[#This Row],[competition]] = Competitions[name]), "N/A")</f>
        <v>1</v>
      </c>
      <c r="U55" s="58" t="str" cm="1">
        <f t="array" ref="U55">_xlfn._xlws.FILTER(Competitions[compID], (Fixtures[[#This Row],[competition]] = Competitions[name]), "N/A")</f>
        <v>IF-EX-INTERNATIONALFRIENDLY</v>
      </c>
      <c r="V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5" s="58" t="str" cm="1">
        <f t="array" ref="W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55" s="58" t="str" cm="1">
        <f t="array" ref="X55">_xlfn._xlws.FILTER(Teams[name], (Fixtures[[#This Row],[userTeamID]] = Teams[teamID]), "N/A")</f>
        <v>United States</v>
      </c>
      <c r="Y55" s="58" t="str" cm="1">
        <f t="array" ref="Y55">_xlfn._xlws.FILTER(Teams[teamType], (Fixtures[[#This Row],[userTeamID]] = Teams[teamID]), "N/A")</f>
        <v>National</v>
      </c>
      <c r="Z55" s="58" t="str" cm="1">
        <f t="array" ref="Z55">IF(Fixtures[[#This Row],[userTeamID]] = "N/A", "N/A", IF(SUM(COUNTIF(Fixtures[[#This Row],[homeTeam]], _xlfn._xlws.FILTER(Teams[name], (Fixtures[[#This Row],[userTeamID]] = Teams[teamID])*(Teams[relevant])))) &gt; 0, "H", "A"))</f>
        <v>H</v>
      </c>
      <c r="AA55" s="58" t="str">
        <f>IF(Fixtures[[#This Row],[userSide]] = "N/A", "N/A", IF(Fixtures[[#This Row],[userSide]] = "H", Fixtures[[#This Row],[awayTeam]], Fixtures[[#This Row],[homeTeam]]))</f>
        <v>Spain</v>
      </c>
      <c r="AB55" s="58" t="str" cm="1">
        <f t="array" ref="AB55">_xlfn._xlws.FILTER(Teams[teamID], Fixtures[[#This Row],[oppTeam]] = Teams[name], "N/A")</f>
        <v>N-SPA-SPAIN</v>
      </c>
      <c r="AC55" s="58" t="str" cm="1">
        <f t="array" ref="AC55">_xlfn._xlws.FILTER(Teams[teamType], Fixtures[[#This Row],[oppTeam]] = Teams[name], "N/A")</f>
        <v>National</v>
      </c>
      <c r="AD55" s="58">
        <f>IF(ISBLANK(Fixtures[[#This Row],[date]]), "N/A", IF(Fixtures[[#This Row],[userSide]]="H", Fixtures[[#This Row],[homeScore]], Fixtures[[#This Row],[awayScore]]))</f>
        <v>0</v>
      </c>
      <c r="AE55" s="58">
        <f>IF(ISBLANK(Fixtures[[#This Row],[date]]), "N/A", IF(Fixtures[[#This Row],[userScore]] = Fixtures[[#This Row],[homeScore]], Fixtures[[#This Row],[awayScore]], Fixtures[[#This Row],[homeScore]]))</f>
        <v>2</v>
      </c>
      <c r="AF55" s="58" t="b">
        <f>NOT(AND(ISBLANK(Fixtures[[#This Row],[homePens]]), ISBLANK(Fixtures[[#This Row],[awayPens]])))</f>
        <v>0</v>
      </c>
      <c r="AG55" s="58" t="str">
        <f>IF(Fixtures[[#This Row],[penalties]], IF(Fixtures[[#This Row],[userSide]]="H", Fixtures[[#This Row],[homePens]], Fixtures[[#This Row],[awayPens]]), "N/A")</f>
        <v>N/A</v>
      </c>
      <c r="AH55" s="58" t="str">
        <f>IF(Fixtures[[#This Row],[penalties]], IF(Fixtures[[#This Row],[userPens]]=Fixtures[[#This Row],[homePens]],Fixtures[[#This Row],[awayPens]],Fixtures[[#This Row],[homePens]]), "N/A")</f>
        <v>N/A</v>
      </c>
      <c r="AI55" s="58" t="b">
        <f>COUNTBLANK(Fixtures[[#This Row],[G]:[MOTM]]) = 0</f>
        <v>1</v>
      </c>
      <c r="AJ55" s="58">
        <f>IF(Fixtures[[#This Row],[APP]], Fixtures[[#This Row],[G]]+Fixtures[[#This Row],[A]], "N/A")</f>
        <v>0</v>
      </c>
      <c r="AK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55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[2024-03-20] United States vs. Spain (0-2) - International Friendly</v>
      </c>
      <c r="AN55" s="59"/>
    </row>
    <row r="56" spans="1:40" s="60" customFormat="1" ht="13">
      <c r="A56" s="55">
        <v>45374</v>
      </c>
      <c r="B56" s="55" t="s">
        <v>108</v>
      </c>
      <c r="C56" s="56" t="s">
        <v>108</v>
      </c>
      <c r="D56" s="56" t="s">
        <v>127</v>
      </c>
      <c r="E56" s="56" t="s">
        <v>108</v>
      </c>
      <c r="F56" s="56" t="s">
        <v>128</v>
      </c>
      <c r="G56" s="56" t="s">
        <v>16</v>
      </c>
      <c r="H56" s="56" t="s">
        <v>164</v>
      </c>
      <c r="I56" s="56">
        <v>3</v>
      </c>
      <c r="J56" s="56">
        <v>0</v>
      </c>
      <c r="K56" s="56"/>
      <c r="L56" s="56"/>
      <c r="M56" s="56">
        <v>0</v>
      </c>
      <c r="N56" s="56">
        <v>0</v>
      </c>
      <c r="O56" s="56">
        <v>0</v>
      </c>
      <c r="P56" s="56">
        <v>0</v>
      </c>
      <c r="Q56" s="57">
        <v>7.5</v>
      </c>
      <c r="R56" s="56" t="b">
        <v>0</v>
      </c>
      <c r="S56" s="58" t="str" cm="1">
        <f t="array" ref="S56">_xlfn._xlws.FILTER(Competitions[compType], (Fixtures[[#This Row],[competition]] = Competitions[name]), "N/A")</f>
        <v>International Friendly</v>
      </c>
      <c r="T56" s="58" t="b" cm="1">
        <f t="array" ref="T56">_xlfn._xlws.FILTER(Competitions[exhibition], (Fixtures[[#This Row],[competition]] = Competitions[name]), "N/A")</f>
        <v>1</v>
      </c>
      <c r="U56" s="58" t="str" cm="1">
        <f t="array" ref="U56">_xlfn._xlws.FILTER(Competitions[compID], (Fixtures[[#This Row],[competition]] = Competitions[name]), "N/A")</f>
        <v>IF-EX-INTERNATIONALFRIENDLY</v>
      </c>
      <c r="V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6" s="58" t="str" cm="1">
        <f t="array" ref="W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56" s="58" t="str" cm="1">
        <f t="array" ref="X56">_xlfn._xlws.FILTER(Teams[name], (Fixtures[[#This Row],[userTeamID]] = Teams[teamID]), "N/A")</f>
        <v>United States</v>
      </c>
      <c r="Y56" s="58" t="str" cm="1">
        <f t="array" ref="Y56">_xlfn._xlws.FILTER(Teams[teamType], (Fixtures[[#This Row],[userTeamID]] = Teams[teamID]), "N/A")</f>
        <v>National</v>
      </c>
      <c r="Z56" s="58" t="str" cm="1">
        <f t="array" ref="Z56">IF(Fixtures[[#This Row],[userTeamID]] = "N/A", "N/A", IF(SUM(COUNTIF(Fixtures[[#This Row],[homeTeam]], _xlfn._xlws.FILTER(Teams[name], (Fixtures[[#This Row],[userTeamID]] = Teams[teamID])*(Teams[relevant])))) &gt; 0, "H", "A"))</f>
        <v>H</v>
      </c>
      <c r="AA56" s="58" t="str">
        <f>IF(Fixtures[[#This Row],[userSide]] = "N/A", "N/A", IF(Fixtures[[#This Row],[userSide]] = "H", Fixtures[[#This Row],[awayTeam]], Fixtures[[#This Row],[homeTeam]]))</f>
        <v>Czech Republic</v>
      </c>
      <c r="AB56" s="58" t="str" cm="1">
        <f t="array" ref="AB56">_xlfn._xlws.FILTER(Teams[teamID], Fixtures[[#This Row],[oppTeam]] = Teams[name], "N/A")</f>
        <v>N-CZE-CZECHREPUBLIC</v>
      </c>
      <c r="AC56" s="58" t="str" cm="1">
        <f t="array" ref="AC56">_xlfn._xlws.FILTER(Teams[teamType], Fixtures[[#This Row],[oppTeam]] = Teams[name], "N/A")</f>
        <v>National</v>
      </c>
      <c r="AD56" s="58">
        <f>IF(ISBLANK(Fixtures[[#This Row],[date]]), "N/A", IF(Fixtures[[#This Row],[userSide]]="H", Fixtures[[#This Row],[homeScore]], Fixtures[[#This Row],[awayScore]]))</f>
        <v>3</v>
      </c>
      <c r="AE56" s="58">
        <f>IF(ISBLANK(Fixtures[[#This Row],[date]]), "N/A", IF(Fixtures[[#This Row],[userScore]] = Fixtures[[#This Row],[homeScore]], Fixtures[[#This Row],[awayScore]], Fixtures[[#This Row],[homeScore]]))</f>
        <v>0</v>
      </c>
      <c r="AF56" s="58" t="b">
        <f>NOT(AND(ISBLANK(Fixtures[[#This Row],[homePens]]), ISBLANK(Fixtures[[#This Row],[awayPens]])))</f>
        <v>0</v>
      </c>
      <c r="AG56" s="58" t="str">
        <f>IF(Fixtures[[#This Row],[penalties]], IF(Fixtures[[#This Row],[userSide]]="H", Fixtures[[#This Row],[homePens]], Fixtures[[#This Row],[awayPens]]), "N/A")</f>
        <v>N/A</v>
      </c>
      <c r="AH56" s="58" t="str">
        <f>IF(Fixtures[[#This Row],[penalties]], IF(Fixtures[[#This Row],[userPens]]=Fixtures[[#This Row],[homePens]],Fixtures[[#This Row],[awayPens]],Fixtures[[#This Row],[homePens]]), "N/A")</f>
        <v>N/A</v>
      </c>
      <c r="AI56" s="58" t="b">
        <f>COUNTBLANK(Fixtures[[#This Row],[G]:[MOTM]]) = 0</f>
        <v>1</v>
      </c>
      <c r="AJ56" s="58">
        <f>IF(Fixtures[[#This Row],[APP]], Fixtures[[#This Row],[G]]+Fixtures[[#This Row],[A]], "N/A")</f>
        <v>0</v>
      </c>
      <c r="AK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56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[2024-03-23] United States vs. Czech Republic (3-0) - International Friendly</v>
      </c>
      <c r="AN56" s="59"/>
    </row>
    <row r="57" spans="1:40" s="60" customFormat="1" ht="13">
      <c r="A57" s="55">
        <v>45381</v>
      </c>
      <c r="B57" s="55" t="s">
        <v>108</v>
      </c>
      <c r="C57" s="56" t="s">
        <v>108</v>
      </c>
      <c r="D57" s="56" t="s">
        <v>156</v>
      </c>
      <c r="E57" s="56" t="s">
        <v>108</v>
      </c>
      <c r="F57" s="56" t="s">
        <v>116</v>
      </c>
      <c r="G57" s="56" t="s">
        <v>123</v>
      </c>
      <c r="H57" s="56" t="s">
        <v>110</v>
      </c>
      <c r="I57" s="56">
        <v>1</v>
      </c>
      <c r="J57" s="56">
        <v>0</v>
      </c>
      <c r="K57" s="56"/>
      <c r="L57" s="56"/>
      <c r="M57" s="56">
        <v>0</v>
      </c>
      <c r="N57" s="56">
        <v>0</v>
      </c>
      <c r="O57" s="56">
        <v>0</v>
      </c>
      <c r="P57" s="56">
        <v>0</v>
      </c>
      <c r="Q57" s="57">
        <v>6.2</v>
      </c>
      <c r="R57" s="56" t="b">
        <v>0</v>
      </c>
      <c r="S57" s="58" t="str" cm="1">
        <f t="array" ref="S57">_xlfn._xlws.FILTER(Competitions[compType], (Fixtures[[#This Row],[competition]] = Competitions[name]), "N/A")</f>
        <v>Domestic League</v>
      </c>
      <c r="T57" s="58" t="b" cm="1">
        <f t="array" ref="T57">_xlfn._xlws.FILTER(Competitions[exhibition], (Fixtures[[#This Row],[competition]] = Competitions[name]), "N/A")</f>
        <v>0</v>
      </c>
      <c r="U57" s="58" t="str" cm="1">
        <f t="array" ref="U57">_xlfn._xlws.FILTER(Competitions[compID], (Fixtures[[#This Row],[competition]] = Competitions[name]), "N/A")</f>
        <v>DL-OF-1APROLEAGUE</v>
      </c>
      <c r="V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7" s="58" t="str" cm="1">
        <f t="array" ref="W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7" s="58" t="str" cm="1">
        <f t="array" ref="X57">_xlfn._xlws.FILTER(Teams[name], (Fixtures[[#This Row],[userTeamID]] = Teams[teamID]), "N/A")</f>
        <v>KRC Genk</v>
      </c>
      <c r="Y57" s="58" t="str" cm="1">
        <f t="array" ref="Y57">_xlfn._xlws.FILTER(Teams[teamType], (Fixtures[[#This Row],[userTeamID]] = Teams[teamID]), "N/A")</f>
        <v>Club</v>
      </c>
      <c r="Z57" s="58" t="str" cm="1">
        <f t="array" ref="Z57">IF(Fixtures[[#This Row],[userTeamID]] = "N/A", "N/A", IF(SUM(COUNTIF(Fixtures[[#This Row],[homeTeam]], _xlfn._xlws.FILTER(Teams[name], (Fixtures[[#This Row],[userTeamID]] = Teams[teamID])*(Teams[relevant])))) &gt; 0, "H", "A"))</f>
        <v>A</v>
      </c>
      <c r="AA57" s="58" t="str">
        <f>IF(Fixtures[[#This Row],[userSide]] = "N/A", "N/A", IF(Fixtures[[#This Row],[userSide]] = "H", Fixtures[[#This Row],[awayTeam]], Fixtures[[#This Row],[homeTeam]]))</f>
        <v>Royal Antwerp FC</v>
      </c>
      <c r="AB57" s="58" t="str" cm="1">
        <f t="array" ref="AB57">_xlfn._xlws.FILTER(Teams[teamID], Fixtures[[#This Row],[oppTeam]] = Teams[name], "N/A")</f>
        <v>C-BEL-ROYALANTWERPFC</v>
      </c>
      <c r="AC57" s="58" t="str" cm="1">
        <f t="array" ref="AC57">_xlfn._xlws.FILTER(Teams[teamType], Fixtures[[#This Row],[oppTeam]] = Teams[name], "N/A")</f>
        <v>Club</v>
      </c>
      <c r="AD57" s="58">
        <f>IF(ISBLANK(Fixtures[[#This Row],[date]]), "N/A", IF(Fixtures[[#This Row],[userSide]]="H", Fixtures[[#This Row],[homeScore]], Fixtures[[#This Row],[awayScore]]))</f>
        <v>0</v>
      </c>
      <c r="AE57" s="58">
        <f>IF(ISBLANK(Fixtures[[#This Row],[date]]), "N/A", IF(Fixtures[[#This Row],[userScore]] = Fixtures[[#This Row],[homeScore]], Fixtures[[#This Row],[awayScore]], Fixtures[[#This Row],[homeScore]]))</f>
        <v>1</v>
      </c>
      <c r="AF57" s="58" t="b">
        <f>NOT(AND(ISBLANK(Fixtures[[#This Row],[homePens]]), ISBLANK(Fixtures[[#This Row],[awayPens]])))</f>
        <v>0</v>
      </c>
      <c r="AG57" s="58" t="str">
        <f>IF(Fixtures[[#This Row],[penalties]], IF(Fixtures[[#This Row],[userSide]]="H", Fixtures[[#This Row],[homePens]], Fixtures[[#This Row],[awayPens]]), "N/A")</f>
        <v>N/A</v>
      </c>
      <c r="AH57" s="58" t="str">
        <f>IF(Fixtures[[#This Row],[penalties]], IF(Fixtures[[#This Row],[userPens]]=Fixtures[[#This Row],[homePens]],Fixtures[[#This Row],[awayPens]],Fixtures[[#This Row],[homePens]]), "N/A")</f>
        <v>N/A</v>
      </c>
      <c r="AI57" s="58" t="b">
        <f>COUNTBLANK(Fixtures[[#This Row],[G]:[MOTM]]) = 0</f>
        <v>1</v>
      </c>
      <c r="AJ57" s="58">
        <f>IF(Fixtures[[#This Row],[APP]], Fixtures[[#This Row],[G]]+Fixtures[[#This Row],[A]], "N/A")</f>
        <v>0</v>
      </c>
      <c r="AK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5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[2024-03-30] Royal Antwerp FC vs. KRC Genk (1-0) - 1A Pro League</v>
      </c>
      <c r="AN57" s="59"/>
    </row>
    <row r="58" spans="1:40" s="60" customFormat="1" ht="13">
      <c r="A58" s="55">
        <v>45385</v>
      </c>
      <c r="B58" s="55" t="s">
        <v>108</v>
      </c>
      <c r="C58" s="56" t="s">
        <v>108</v>
      </c>
      <c r="D58" s="56" t="s">
        <v>147</v>
      </c>
      <c r="E58" s="56" t="s">
        <v>108</v>
      </c>
      <c r="F58" s="56" t="s">
        <v>116</v>
      </c>
      <c r="G58" s="56" t="s">
        <v>148</v>
      </c>
      <c r="H58" s="56" t="s">
        <v>110</v>
      </c>
      <c r="I58" s="56">
        <v>0</v>
      </c>
      <c r="J58" s="56">
        <v>1</v>
      </c>
      <c r="K58" s="56"/>
      <c r="L58" s="56"/>
      <c r="M58" s="56">
        <v>0</v>
      </c>
      <c r="N58" s="56">
        <v>1</v>
      </c>
      <c r="O58" s="56">
        <v>0</v>
      </c>
      <c r="P58" s="56">
        <v>0</v>
      </c>
      <c r="Q58" s="57">
        <v>7.4</v>
      </c>
      <c r="R58" s="56" t="b">
        <v>0</v>
      </c>
      <c r="S58" s="58" t="str" cm="1">
        <f t="array" ref="S58">_xlfn._xlws.FILTER(Competitions[compType], (Fixtures[[#This Row],[competition]] = Competitions[name]), "N/A")</f>
        <v>Domestic League</v>
      </c>
      <c r="T58" s="58" t="b" cm="1">
        <f t="array" ref="T58">_xlfn._xlws.FILTER(Competitions[exhibition], (Fixtures[[#This Row],[competition]] = Competitions[name]), "N/A")</f>
        <v>0</v>
      </c>
      <c r="U58" s="58" t="str" cm="1">
        <f t="array" ref="U58">_xlfn._xlws.FILTER(Competitions[compID], (Fixtures[[#This Row],[competition]] = Competitions[name]), "N/A")</f>
        <v>DL-OF-1APROLEAGUE</v>
      </c>
      <c r="V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8" s="58" t="str" cm="1">
        <f t="array" ref="W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8" s="58" t="str" cm="1">
        <f t="array" ref="X58">_xlfn._xlws.FILTER(Teams[name], (Fixtures[[#This Row],[userTeamID]] = Teams[teamID]), "N/A")</f>
        <v>KRC Genk</v>
      </c>
      <c r="Y58" s="58" t="str" cm="1">
        <f t="array" ref="Y58">_xlfn._xlws.FILTER(Teams[teamType], (Fixtures[[#This Row],[userTeamID]] = Teams[teamID]), "N/A")</f>
        <v>Club</v>
      </c>
      <c r="Z58" s="58" t="str" cm="1">
        <f t="array" ref="Z58">IF(Fixtures[[#This Row],[userTeamID]] = "N/A", "N/A", IF(SUM(COUNTIF(Fixtures[[#This Row],[homeTeam]], _xlfn._xlws.FILTER(Teams[name], (Fixtures[[#This Row],[userTeamID]] = Teams[teamID])*(Teams[relevant])))) &gt; 0, "H", "A"))</f>
        <v>A</v>
      </c>
      <c r="AA58" s="58" t="str">
        <f>IF(Fixtures[[#This Row],[userSide]] = "N/A", "N/A", IF(Fixtures[[#This Row],[userSide]] = "H", Fixtures[[#This Row],[awayTeam]], Fixtures[[#This Row],[homeTeam]]))</f>
        <v>RSC Anderlecht</v>
      </c>
      <c r="AB58" s="58" t="str" cm="1">
        <f t="array" ref="AB58">_xlfn._xlws.FILTER(Teams[teamID], Fixtures[[#This Row],[oppTeam]] = Teams[name], "N/A")</f>
        <v>C-BEL-RSCANDERLECHT</v>
      </c>
      <c r="AC58" s="58" t="str" cm="1">
        <f t="array" ref="AC58">_xlfn._xlws.FILTER(Teams[teamType], Fixtures[[#This Row],[oppTeam]] = Teams[name], "N/A")</f>
        <v>Club</v>
      </c>
      <c r="AD58" s="58">
        <f>IF(ISBLANK(Fixtures[[#This Row],[date]]), "N/A", IF(Fixtures[[#This Row],[userSide]]="H", Fixtures[[#This Row],[homeScore]], Fixtures[[#This Row],[awayScore]]))</f>
        <v>1</v>
      </c>
      <c r="AE58" s="58">
        <f>IF(ISBLANK(Fixtures[[#This Row],[date]]), "N/A", IF(Fixtures[[#This Row],[userScore]] = Fixtures[[#This Row],[homeScore]], Fixtures[[#This Row],[awayScore]], Fixtures[[#This Row],[homeScore]]))</f>
        <v>0</v>
      </c>
      <c r="AF58" s="58" t="b">
        <f>NOT(AND(ISBLANK(Fixtures[[#This Row],[homePens]]), ISBLANK(Fixtures[[#This Row],[awayPens]])))</f>
        <v>0</v>
      </c>
      <c r="AG58" s="58" t="str">
        <f>IF(Fixtures[[#This Row],[penalties]], IF(Fixtures[[#This Row],[userSide]]="H", Fixtures[[#This Row],[homePens]], Fixtures[[#This Row],[awayPens]]), "N/A")</f>
        <v>N/A</v>
      </c>
      <c r="AH58" s="58" t="str">
        <f>IF(Fixtures[[#This Row],[penalties]], IF(Fixtures[[#This Row],[userPens]]=Fixtures[[#This Row],[homePens]],Fixtures[[#This Row],[awayPens]],Fixtures[[#This Row],[homePens]]), "N/A")</f>
        <v>N/A</v>
      </c>
      <c r="AI58" s="58" t="b">
        <f>COUNTBLANK(Fixtures[[#This Row],[G]:[MOTM]]) = 0</f>
        <v>1</v>
      </c>
      <c r="AJ58" s="58">
        <f>IF(Fixtures[[#This Row],[APP]], Fixtures[[#This Row],[G]]+Fixtures[[#This Row],[A]], "N/A")</f>
        <v>1</v>
      </c>
      <c r="AK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5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[2024-04-03] RSC Anderlecht vs. KRC Genk (0-1) - 1A Pro League</v>
      </c>
      <c r="AN58" s="59"/>
    </row>
    <row r="59" spans="1:40" s="60" customFormat="1" ht="13">
      <c r="A59" s="55">
        <v>45389</v>
      </c>
      <c r="B59" s="55" t="s">
        <v>108</v>
      </c>
      <c r="C59" s="56" t="s">
        <v>108</v>
      </c>
      <c r="D59" s="56" t="s">
        <v>115</v>
      </c>
      <c r="E59" s="56" t="s">
        <v>108</v>
      </c>
      <c r="F59" s="56" t="s">
        <v>116</v>
      </c>
      <c r="G59" s="56" t="s">
        <v>110</v>
      </c>
      <c r="H59" s="56" t="s">
        <v>150</v>
      </c>
      <c r="I59" s="56">
        <v>1</v>
      </c>
      <c r="J59" s="56">
        <v>1</v>
      </c>
      <c r="K59" s="56"/>
      <c r="L59" s="56"/>
      <c r="M59" s="56">
        <v>0</v>
      </c>
      <c r="N59" s="56">
        <v>0</v>
      </c>
      <c r="O59" s="56">
        <v>0</v>
      </c>
      <c r="P59" s="56">
        <v>0</v>
      </c>
      <c r="Q59" s="57">
        <v>7.4</v>
      </c>
      <c r="R59" s="56" t="b">
        <v>0</v>
      </c>
      <c r="S59" s="58" t="str" cm="1">
        <f t="array" ref="S59">_xlfn._xlws.FILTER(Competitions[compType], (Fixtures[[#This Row],[competition]] = Competitions[name]), "N/A")</f>
        <v>Domestic League</v>
      </c>
      <c r="T59" s="58" t="b" cm="1">
        <f t="array" ref="T59">_xlfn._xlws.FILTER(Competitions[exhibition], (Fixtures[[#This Row],[competition]] = Competitions[name]), "N/A")</f>
        <v>0</v>
      </c>
      <c r="U59" s="58" t="str" cm="1">
        <f t="array" ref="U59">_xlfn._xlws.FILTER(Competitions[compID], (Fixtures[[#This Row],[competition]] = Competitions[name]), "N/A")</f>
        <v>DL-OF-1APROLEAGUE</v>
      </c>
      <c r="V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59" s="58" t="str" cm="1">
        <f t="array" ref="W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59" s="58" t="str" cm="1">
        <f t="array" ref="X59">_xlfn._xlws.FILTER(Teams[name], (Fixtures[[#This Row],[userTeamID]] = Teams[teamID]), "N/A")</f>
        <v>KRC Genk</v>
      </c>
      <c r="Y59" s="58" t="str" cm="1">
        <f t="array" ref="Y59">_xlfn._xlws.FILTER(Teams[teamType], (Fixtures[[#This Row],[userTeamID]] = Teams[teamID]), "N/A")</f>
        <v>Club</v>
      </c>
      <c r="Z59" s="58" t="str" cm="1">
        <f t="array" ref="Z59">IF(Fixtures[[#This Row],[userTeamID]] = "N/A", "N/A", IF(SUM(COUNTIF(Fixtures[[#This Row],[homeTeam]], _xlfn._xlws.FILTER(Teams[name], (Fixtures[[#This Row],[userTeamID]] = Teams[teamID])*(Teams[relevant])))) &gt; 0, "H", "A"))</f>
        <v>H</v>
      </c>
      <c r="AA59" s="58" t="str">
        <f>IF(Fixtures[[#This Row],[userSide]] = "N/A", "N/A", IF(Fixtures[[#This Row],[userSide]] = "H", Fixtures[[#This Row],[awayTeam]], Fixtures[[#This Row],[homeTeam]]))</f>
        <v>Club Brugge</v>
      </c>
      <c r="AB59" s="58" t="str" cm="1">
        <f t="array" ref="AB59">_xlfn._xlws.FILTER(Teams[teamID], Fixtures[[#This Row],[oppTeam]] = Teams[name], "N/A")</f>
        <v>C-BEL-CLUBBRUGGE</v>
      </c>
      <c r="AC59" s="58" t="str" cm="1">
        <f t="array" ref="AC59">_xlfn._xlws.FILTER(Teams[teamType], Fixtures[[#This Row],[oppTeam]] = Teams[name], "N/A")</f>
        <v>Club</v>
      </c>
      <c r="AD59" s="58">
        <f>IF(ISBLANK(Fixtures[[#This Row],[date]]), "N/A", IF(Fixtures[[#This Row],[userSide]]="H", Fixtures[[#This Row],[homeScore]], Fixtures[[#This Row],[awayScore]]))</f>
        <v>1</v>
      </c>
      <c r="AE59" s="58">
        <f>IF(ISBLANK(Fixtures[[#This Row],[date]]), "N/A", IF(Fixtures[[#This Row],[userScore]] = Fixtures[[#This Row],[homeScore]], Fixtures[[#This Row],[awayScore]], Fixtures[[#This Row],[homeScore]]))</f>
        <v>1</v>
      </c>
      <c r="AF59" s="58" t="b">
        <f>NOT(AND(ISBLANK(Fixtures[[#This Row],[homePens]]), ISBLANK(Fixtures[[#This Row],[awayPens]])))</f>
        <v>0</v>
      </c>
      <c r="AG59" s="58" t="str">
        <f>IF(Fixtures[[#This Row],[penalties]], IF(Fixtures[[#This Row],[userSide]]="H", Fixtures[[#This Row],[homePens]], Fixtures[[#This Row],[awayPens]]), "N/A")</f>
        <v>N/A</v>
      </c>
      <c r="AH59" s="58" t="str">
        <f>IF(Fixtures[[#This Row],[penalties]], IF(Fixtures[[#This Row],[userPens]]=Fixtures[[#This Row],[homePens]],Fixtures[[#This Row],[awayPens]],Fixtures[[#This Row],[homePens]]), "N/A")</f>
        <v>N/A</v>
      </c>
      <c r="AI59" s="58" t="b">
        <f>COUNTBLANK(Fixtures[[#This Row],[G]:[MOTM]]) = 0</f>
        <v>1</v>
      </c>
      <c r="AJ59" s="58">
        <f>IF(Fixtures[[#This Row],[APP]], Fixtures[[#This Row],[G]]+Fixtures[[#This Row],[A]], "N/A")</f>
        <v>0</v>
      </c>
      <c r="AK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5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[2024-04-07] KRC Genk vs. Club Brugge (1-1) - 1A Pro League</v>
      </c>
      <c r="AN59" s="59"/>
    </row>
    <row r="60" spans="1:40" s="60" customFormat="1" ht="13">
      <c r="A60" s="55">
        <v>45393</v>
      </c>
      <c r="B60" s="55" t="s">
        <v>108</v>
      </c>
      <c r="C60" s="56" t="s">
        <v>108</v>
      </c>
      <c r="D60" s="56" t="s">
        <v>115</v>
      </c>
      <c r="E60" s="56" t="s">
        <v>108</v>
      </c>
      <c r="F60" s="56" t="s">
        <v>134</v>
      </c>
      <c r="G60" s="56" t="s">
        <v>110</v>
      </c>
      <c r="H60" s="56" t="s">
        <v>165</v>
      </c>
      <c r="I60" s="56">
        <v>1</v>
      </c>
      <c r="J60" s="56">
        <v>0</v>
      </c>
      <c r="K60" s="56"/>
      <c r="L60" s="56"/>
      <c r="M60" s="56">
        <v>0</v>
      </c>
      <c r="N60" s="56">
        <v>1</v>
      </c>
      <c r="O60" s="56">
        <v>0</v>
      </c>
      <c r="P60" s="56">
        <v>0</v>
      </c>
      <c r="Q60" s="57">
        <v>7.8</v>
      </c>
      <c r="R60" s="56" t="b">
        <v>1</v>
      </c>
      <c r="S60" s="58" t="str" cm="1">
        <f t="array" ref="S60">_xlfn._xlws.FILTER(Competitions[compType], (Fixtures[[#This Row],[competition]] = Competitions[name]), "N/A")</f>
        <v>Continental Cup</v>
      </c>
      <c r="T60" s="58" t="b" cm="1">
        <f t="array" ref="T60">_xlfn._xlws.FILTER(Competitions[exhibition], (Fixtures[[#This Row],[competition]] = Competitions[name]), "N/A")</f>
        <v>0</v>
      </c>
      <c r="U60" s="58" t="str" cm="1">
        <f t="array" ref="U60">_xlfn._xlws.FILTER(Competitions[compID], (Fixtures[[#This Row],[competition]] = Competitions[name]), "N/A")</f>
        <v>CC-OF-UEFAEUROPACONFERENCELEAGUE</v>
      </c>
      <c r="V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0" s="58" t="str" cm="1">
        <f t="array" ref="W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0" s="58" t="str" cm="1">
        <f t="array" ref="X60">_xlfn._xlws.FILTER(Teams[name], (Fixtures[[#This Row],[userTeamID]] = Teams[teamID]), "N/A")</f>
        <v>KRC Genk</v>
      </c>
      <c r="Y60" s="58" t="str" cm="1">
        <f t="array" ref="Y60">_xlfn._xlws.FILTER(Teams[teamType], (Fixtures[[#This Row],[userTeamID]] = Teams[teamID]), "N/A")</f>
        <v>Club</v>
      </c>
      <c r="Z60" s="58" t="str" cm="1">
        <f t="array" ref="Z60">IF(Fixtures[[#This Row],[userTeamID]] = "N/A", "N/A", IF(SUM(COUNTIF(Fixtures[[#This Row],[homeTeam]], _xlfn._xlws.FILTER(Teams[name], (Fixtures[[#This Row],[userTeamID]] = Teams[teamID])*(Teams[relevant])))) &gt; 0, "H", "A"))</f>
        <v>H</v>
      </c>
      <c r="AA60" s="58" t="str">
        <f>IF(Fixtures[[#This Row],[userSide]] = "N/A", "N/A", IF(Fixtures[[#This Row],[userSide]] = "H", Fixtures[[#This Row],[awayTeam]], Fixtures[[#This Row],[homeTeam]]))</f>
        <v>Sparta Rotterdam</v>
      </c>
      <c r="AB60" s="58" t="str" cm="1">
        <f t="array" ref="AB60">_xlfn._xlws.FILTER(Teams[teamID], Fixtures[[#This Row],[oppTeam]] = Teams[name], "N/A")</f>
        <v>C-NET-SPARTAROTTERDAM</v>
      </c>
      <c r="AC60" s="58" t="str" cm="1">
        <f t="array" ref="AC60">_xlfn._xlws.FILTER(Teams[teamType], Fixtures[[#This Row],[oppTeam]] = Teams[name], "N/A")</f>
        <v>Club</v>
      </c>
      <c r="AD60" s="58">
        <f>IF(ISBLANK(Fixtures[[#This Row],[date]]), "N/A", IF(Fixtures[[#This Row],[userSide]]="H", Fixtures[[#This Row],[homeScore]], Fixtures[[#This Row],[awayScore]]))</f>
        <v>1</v>
      </c>
      <c r="AE60" s="58">
        <f>IF(ISBLANK(Fixtures[[#This Row],[date]]), "N/A", IF(Fixtures[[#This Row],[userScore]] = Fixtures[[#This Row],[homeScore]], Fixtures[[#This Row],[awayScore]], Fixtures[[#This Row],[homeScore]]))</f>
        <v>0</v>
      </c>
      <c r="AF60" s="58" t="b">
        <f>NOT(AND(ISBLANK(Fixtures[[#This Row],[homePens]]), ISBLANK(Fixtures[[#This Row],[awayPens]])))</f>
        <v>0</v>
      </c>
      <c r="AG60" s="58" t="str">
        <f>IF(Fixtures[[#This Row],[penalties]], IF(Fixtures[[#This Row],[userSide]]="H", Fixtures[[#This Row],[homePens]], Fixtures[[#This Row],[awayPens]]), "N/A")</f>
        <v>N/A</v>
      </c>
      <c r="AH60" s="58" t="str">
        <f>IF(Fixtures[[#This Row],[penalties]], IF(Fixtures[[#This Row],[userPens]]=Fixtures[[#This Row],[homePens]],Fixtures[[#This Row],[awayPens]],Fixtures[[#This Row],[homePens]]), "N/A")</f>
        <v>N/A</v>
      </c>
      <c r="AI60" s="58" t="b">
        <f>COUNTBLANK(Fixtures[[#This Row],[G]:[MOTM]]) = 0</f>
        <v>1</v>
      </c>
      <c r="AJ60" s="58">
        <f>IF(Fixtures[[#This Row],[APP]], Fixtures[[#This Row],[G]]+Fixtures[[#This Row],[A]], "N/A")</f>
        <v>1</v>
      </c>
      <c r="AK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6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[2024-04-11] KRC Genk vs. Sparta Rotterdam (1-0) - UEFA Europa Conference League</v>
      </c>
      <c r="AN60" s="59"/>
    </row>
    <row r="61" spans="1:40" s="60" customFormat="1" ht="13">
      <c r="A61" s="55">
        <v>45396</v>
      </c>
      <c r="B61" s="55" t="s">
        <v>108</v>
      </c>
      <c r="C61" s="56" t="s">
        <v>108</v>
      </c>
      <c r="D61" s="56" t="s">
        <v>119</v>
      </c>
      <c r="E61" s="56" t="s">
        <v>108</v>
      </c>
      <c r="F61" s="56" t="s">
        <v>116</v>
      </c>
      <c r="G61" s="56" t="s">
        <v>120</v>
      </c>
      <c r="H61" s="56" t="s">
        <v>110</v>
      </c>
      <c r="I61" s="56">
        <v>0</v>
      </c>
      <c r="J61" s="56">
        <v>1</v>
      </c>
      <c r="K61" s="56"/>
      <c r="L61" s="56"/>
      <c r="M61" s="56">
        <v>0</v>
      </c>
      <c r="N61" s="56">
        <v>0</v>
      </c>
      <c r="O61" s="56">
        <v>0</v>
      </c>
      <c r="P61" s="56">
        <v>0</v>
      </c>
      <c r="Q61" s="57">
        <v>7</v>
      </c>
      <c r="R61" s="56" t="b">
        <v>0</v>
      </c>
      <c r="S61" s="58" t="str" cm="1">
        <f t="array" ref="S61">_xlfn._xlws.FILTER(Competitions[compType], (Fixtures[[#This Row],[competition]] = Competitions[name]), "N/A")</f>
        <v>Domestic League</v>
      </c>
      <c r="T61" s="58" t="b" cm="1">
        <f t="array" ref="T61">_xlfn._xlws.FILTER(Competitions[exhibition], (Fixtures[[#This Row],[competition]] = Competitions[name]), "N/A")</f>
        <v>0</v>
      </c>
      <c r="U61" s="58" t="str" cm="1">
        <f t="array" ref="U61">_xlfn._xlws.FILTER(Competitions[compID], (Fixtures[[#This Row],[competition]] = Competitions[name]), "N/A")</f>
        <v>DL-OF-1APROLEAGUE</v>
      </c>
      <c r="V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1" s="58" t="str" cm="1">
        <f t="array" ref="W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1" s="58" t="str" cm="1">
        <f t="array" ref="X61">_xlfn._xlws.FILTER(Teams[name], (Fixtures[[#This Row],[userTeamID]] = Teams[teamID]), "N/A")</f>
        <v>KRC Genk</v>
      </c>
      <c r="Y61" s="58" t="str" cm="1">
        <f t="array" ref="Y61">_xlfn._xlws.FILTER(Teams[teamType], (Fixtures[[#This Row],[userTeamID]] = Teams[teamID]), "N/A")</f>
        <v>Club</v>
      </c>
      <c r="Z61" s="58" t="str" cm="1">
        <f t="array" ref="Z61">IF(Fixtures[[#This Row],[userTeamID]] = "N/A", "N/A", IF(SUM(COUNTIF(Fixtures[[#This Row],[homeTeam]], _xlfn._xlws.FILTER(Teams[name], (Fixtures[[#This Row],[userTeamID]] = Teams[teamID])*(Teams[relevant])))) &gt; 0, "H", "A"))</f>
        <v>A</v>
      </c>
      <c r="AA61" s="58" t="str">
        <f>IF(Fixtures[[#This Row],[userSide]] = "N/A", "N/A", IF(Fixtures[[#This Row],[userSide]] = "H", Fixtures[[#This Row],[awayTeam]], Fixtures[[#This Row],[homeTeam]]))</f>
        <v>R. Union St.-G</v>
      </c>
      <c r="AB61" s="58" t="str" cm="1">
        <f t="array" ref="AB61">_xlfn._xlws.FILTER(Teams[teamID], Fixtures[[#This Row],[oppTeam]] = Teams[name], "N/A")</f>
        <v>C-BEL-RUNIONSTG</v>
      </c>
      <c r="AC61" s="58" t="str" cm="1">
        <f t="array" ref="AC61">_xlfn._xlws.FILTER(Teams[teamType], Fixtures[[#This Row],[oppTeam]] = Teams[name], "N/A")</f>
        <v>Club</v>
      </c>
      <c r="AD61" s="58">
        <f>IF(ISBLANK(Fixtures[[#This Row],[date]]), "N/A", IF(Fixtures[[#This Row],[userSide]]="H", Fixtures[[#This Row],[homeScore]], Fixtures[[#This Row],[awayScore]]))</f>
        <v>1</v>
      </c>
      <c r="AE61" s="58">
        <f>IF(ISBLANK(Fixtures[[#This Row],[date]]), "N/A", IF(Fixtures[[#This Row],[userScore]] = Fixtures[[#This Row],[homeScore]], Fixtures[[#This Row],[awayScore]], Fixtures[[#This Row],[homeScore]]))</f>
        <v>0</v>
      </c>
      <c r="AF61" s="58" t="b">
        <f>NOT(AND(ISBLANK(Fixtures[[#This Row],[homePens]]), ISBLANK(Fixtures[[#This Row],[awayPens]])))</f>
        <v>0</v>
      </c>
      <c r="AG61" s="58" t="str">
        <f>IF(Fixtures[[#This Row],[penalties]], IF(Fixtures[[#This Row],[userSide]]="H", Fixtures[[#This Row],[homePens]], Fixtures[[#This Row],[awayPens]]), "N/A")</f>
        <v>N/A</v>
      </c>
      <c r="AH61" s="58" t="str">
        <f>IF(Fixtures[[#This Row],[penalties]], IF(Fixtures[[#This Row],[userPens]]=Fixtures[[#This Row],[homePens]],Fixtures[[#This Row],[awayPens]],Fixtures[[#This Row],[homePens]]), "N/A")</f>
        <v>N/A</v>
      </c>
      <c r="AI61" s="58" t="b">
        <f>COUNTBLANK(Fixtures[[#This Row],[G]:[MOTM]]) = 0</f>
        <v>1</v>
      </c>
      <c r="AJ61" s="58">
        <f>IF(Fixtures[[#This Row],[APP]], Fixtures[[#This Row],[G]]+Fixtures[[#This Row],[A]], "N/A")</f>
        <v>0</v>
      </c>
      <c r="AK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6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[2024-04-14] R. Union St.-G vs. KRC Genk (0-1) - 1A Pro League</v>
      </c>
      <c r="AN61" s="59"/>
    </row>
    <row r="62" spans="1:40" ht="13">
      <c r="A62" s="55">
        <v>45400</v>
      </c>
      <c r="B62" s="55" t="s">
        <v>108</v>
      </c>
      <c r="C62" s="56" t="s">
        <v>108</v>
      </c>
      <c r="D62" s="56" t="s">
        <v>108</v>
      </c>
      <c r="E62" s="56" t="s">
        <v>108</v>
      </c>
      <c r="F62" s="56" t="s">
        <v>134</v>
      </c>
      <c r="G62" s="56" t="s">
        <v>165</v>
      </c>
      <c r="H62" s="56" t="s">
        <v>110</v>
      </c>
      <c r="I62" s="56">
        <v>1</v>
      </c>
      <c r="J62" s="56">
        <v>0</v>
      </c>
      <c r="K62" s="56">
        <v>8</v>
      </c>
      <c r="L62" s="56">
        <v>6</v>
      </c>
      <c r="M62" s="56">
        <v>0</v>
      </c>
      <c r="N62" s="56">
        <v>0</v>
      </c>
      <c r="O62" s="56">
        <v>0</v>
      </c>
      <c r="P62" s="56">
        <v>0</v>
      </c>
      <c r="Q62" s="57">
        <v>6.5</v>
      </c>
      <c r="R62" s="56" t="b">
        <v>0</v>
      </c>
      <c r="S62" s="58" t="str" cm="1">
        <f t="array" ref="S62">_xlfn._xlws.FILTER(Competitions[compType], (Fixtures[[#This Row],[competition]] = Competitions[name]), "N/A")</f>
        <v>Continental Cup</v>
      </c>
      <c r="T62" s="58" t="b" cm="1">
        <f t="array" ref="T62">_xlfn._xlws.FILTER(Competitions[exhibition], (Fixtures[[#This Row],[competition]] = Competitions[name]), "N/A")</f>
        <v>0</v>
      </c>
      <c r="U62" s="58" t="str" cm="1">
        <f t="array" ref="U62">_xlfn._xlws.FILTER(Competitions[compID], (Fixtures[[#This Row],[competition]] = Competitions[name]), "N/A")</f>
        <v>CC-OF-UEFAEUROPACONFERENCELEAGUE</v>
      </c>
      <c r="V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2" s="58" t="str" cm="1">
        <f t="array" ref="W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2" s="58" t="str" cm="1">
        <f t="array" ref="X62">_xlfn._xlws.FILTER(Teams[name], (Fixtures[[#This Row],[userTeamID]] = Teams[teamID]), "N/A")</f>
        <v>KRC Genk</v>
      </c>
      <c r="Y62" s="58" t="str" cm="1">
        <f t="array" ref="Y62">_xlfn._xlws.FILTER(Teams[teamType], (Fixtures[[#This Row],[userTeamID]] = Teams[teamID]), "N/A")</f>
        <v>Club</v>
      </c>
      <c r="Z62" s="58" t="str" cm="1">
        <f t="array" ref="Z62">IF(Fixtures[[#This Row],[userTeamID]] = "N/A", "N/A", IF(SUM(COUNTIF(Fixtures[[#This Row],[homeTeam]], _xlfn._xlws.FILTER(Teams[name], (Fixtures[[#This Row],[userTeamID]] = Teams[teamID])*(Teams[relevant])))) &gt; 0, "H", "A"))</f>
        <v>A</v>
      </c>
      <c r="AA62" s="58" t="str">
        <f>IF(Fixtures[[#This Row],[userSide]] = "N/A", "N/A", IF(Fixtures[[#This Row],[userSide]] = "H", Fixtures[[#This Row],[awayTeam]], Fixtures[[#This Row],[homeTeam]]))</f>
        <v>Sparta Rotterdam</v>
      </c>
      <c r="AB62" s="58" t="str" cm="1">
        <f t="array" ref="AB62">_xlfn._xlws.FILTER(Teams[teamID], Fixtures[[#This Row],[oppTeam]] = Teams[name], "N/A")</f>
        <v>C-NET-SPARTAROTTERDAM</v>
      </c>
      <c r="AC62" s="58" t="str" cm="1">
        <f t="array" ref="AC62">_xlfn._xlws.FILTER(Teams[teamType], Fixtures[[#This Row],[oppTeam]] = Teams[name], "N/A")</f>
        <v>Club</v>
      </c>
      <c r="AD62" s="58">
        <f>IF(ISBLANK(Fixtures[[#This Row],[date]]), "N/A", IF(Fixtures[[#This Row],[userSide]]="H", Fixtures[[#This Row],[homeScore]], Fixtures[[#This Row],[awayScore]]))</f>
        <v>0</v>
      </c>
      <c r="AE62" s="58">
        <f>IF(ISBLANK(Fixtures[[#This Row],[date]]), "N/A", IF(Fixtures[[#This Row],[userScore]] = Fixtures[[#This Row],[homeScore]], Fixtures[[#This Row],[awayScore]], Fixtures[[#This Row],[homeScore]]))</f>
        <v>1</v>
      </c>
      <c r="AF62" s="58" t="b">
        <f>NOT(AND(ISBLANK(Fixtures[[#This Row],[homePens]]), ISBLANK(Fixtures[[#This Row],[awayPens]])))</f>
        <v>1</v>
      </c>
      <c r="AG62" s="58">
        <f>IF(Fixtures[[#This Row],[penalties]], IF(Fixtures[[#This Row],[userSide]]="H", Fixtures[[#This Row],[homePens]], Fixtures[[#This Row],[awayPens]]), "N/A")</f>
        <v>6</v>
      </c>
      <c r="AH62" s="58">
        <f>IF(Fixtures[[#This Row],[penalties]], IF(Fixtures[[#This Row],[userPens]]=Fixtures[[#This Row],[homePens]],Fixtures[[#This Row],[awayPens]],Fixtures[[#This Row],[homePens]]), "N/A")</f>
        <v>8</v>
      </c>
      <c r="AI62" s="58" t="b">
        <f>COUNTBLANK(Fixtures[[#This Row],[G]:[MOTM]]) = 0</f>
        <v>1</v>
      </c>
      <c r="AJ62" s="58">
        <f>IF(Fixtures[[#This Row],[APP]], Fixtures[[#This Row],[G]]+Fixtures[[#This Row],[A]], "N/A")</f>
        <v>0</v>
      </c>
      <c r="AK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62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[2024-04-18] Sparta Rotterdam vs. KRC Genk (1-0) [8-6][P] - UEFA Europa Conference League</v>
      </c>
    </row>
    <row r="63" spans="1:40" ht="13">
      <c r="A63" s="55">
        <v>45403</v>
      </c>
      <c r="B63" s="55" t="s">
        <v>108</v>
      </c>
      <c r="C63" s="56" t="s">
        <v>108</v>
      </c>
      <c r="D63" s="56" t="s">
        <v>115</v>
      </c>
      <c r="E63" s="56" t="s">
        <v>108</v>
      </c>
      <c r="F63" s="56" t="s">
        <v>116</v>
      </c>
      <c r="G63" s="56" t="s">
        <v>110</v>
      </c>
      <c r="H63" s="56" t="s">
        <v>149</v>
      </c>
      <c r="I63" s="56">
        <v>1</v>
      </c>
      <c r="J63" s="56">
        <v>1</v>
      </c>
      <c r="K63" s="56"/>
      <c r="L63" s="56"/>
      <c r="M63" s="56">
        <v>0</v>
      </c>
      <c r="N63" s="56">
        <v>0</v>
      </c>
      <c r="O63" s="56">
        <v>0</v>
      </c>
      <c r="P63" s="56">
        <v>0</v>
      </c>
      <c r="Q63" s="57">
        <v>7.4</v>
      </c>
      <c r="R63" s="56" t="b">
        <v>0</v>
      </c>
      <c r="S63" s="58" t="str" cm="1">
        <f t="array" ref="S63">_xlfn._xlws.FILTER(Competitions[compType], (Fixtures[[#This Row],[competition]] = Competitions[name]), "N/A")</f>
        <v>Domestic League</v>
      </c>
      <c r="T63" s="58" t="b" cm="1">
        <f t="array" ref="T63">_xlfn._xlws.FILTER(Competitions[exhibition], (Fixtures[[#This Row],[competition]] = Competitions[name]), "N/A")</f>
        <v>0</v>
      </c>
      <c r="U63" s="58" t="str" cm="1">
        <f t="array" ref="U63">_xlfn._xlws.FILTER(Competitions[compID], (Fixtures[[#This Row],[competition]] = Competitions[name]), "N/A")</f>
        <v>DL-OF-1APROLEAGUE</v>
      </c>
      <c r="V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3" s="58" t="str" cm="1">
        <f t="array" ref="W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3" s="58" t="str" cm="1">
        <f t="array" ref="X63">_xlfn._xlws.FILTER(Teams[name], (Fixtures[[#This Row],[userTeamID]] = Teams[teamID]), "N/A")</f>
        <v>KRC Genk</v>
      </c>
      <c r="Y63" s="58" t="str" cm="1">
        <f t="array" ref="Y63">_xlfn._xlws.FILTER(Teams[teamType], (Fixtures[[#This Row],[userTeamID]] = Teams[teamID]), "N/A")</f>
        <v>Club</v>
      </c>
      <c r="Z63" s="58" t="str" cm="1">
        <f t="array" ref="Z63">IF(Fixtures[[#This Row],[userTeamID]] = "N/A", "N/A", IF(SUM(COUNTIF(Fixtures[[#This Row],[homeTeam]], _xlfn._xlws.FILTER(Teams[name], (Fixtures[[#This Row],[userTeamID]] = Teams[teamID])*(Teams[relevant])))) &gt; 0, "H", "A"))</f>
        <v>H</v>
      </c>
      <c r="AA63" s="58" t="str">
        <f>IF(Fixtures[[#This Row],[userSide]] = "N/A", "N/A", IF(Fixtures[[#This Row],[userSide]] = "H", Fixtures[[#This Row],[awayTeam]], Fixtures[[#This Row],[homeTeam]]))</f>
        <v>Sp. Charleroi</v>
      </c>
      <c r="AB63" s="58" t="str" cm="1">
        <f t="array" ref="AB63">_xlfn._xlws.FILTER(Teams[teamID], Fixtures[[#This Row],[oppTeam]] = Teams[name], "N/A")</f>
        <v>C-BEL-SPCHARLEROI</v>
      </c>
      <c r="AC63" s="58" t="str" cm="1">
        <f t="array" ref="AC63">_xlfn._xlws.FILTER(Teams[teamType], Fixtures[[#This Row],[oppTeam]] = Teams[name], "N/A")</f>
        <v>Club</v>
      </c>
      <c r="AD63" s="58">
        <f>IF(ISBLANK(Fixtures[[#This Row],[date]]), "N/A", IF(Fixtures[[#This Row],[userSide]]="H", Fixtures[[#This Row],[homeScore]], Fixtures[[#This Row],[awayScore]]))</f>
        <v>1</v>
      </c>
      <c r="AE63" s="58">
        <f>IF(ISBLANK(Fixtures[[#This Row],[date]]), "N/A", IF(Fixtures[[#This Row],[userScore]] = Fixtures[[#This Row],[homeScore]], Fixtures[[#This Row],[awayScore]], Fixtures[[#This Row],[homeScore]]))</f>
        <v>1</v>
      </c>
      <c r="AF63" s="58" t="b">
        <f>NOT(AND(ISBLANK(Fixtures[[#This Row],[homePens]]), ISBLANK(Fixtures[[#This Row],[awayPens]])))</f>
        <v>0</v>
      </c>
      <c r="AG63" s="58" t="str">
        <f>IF(Fixtures[[#This Row],[penalties]], IF(Fixtures[[#This Row],[userSide]]="H", Fixtures[[#This Row],[homePens]], Fixtures[[#This Row],[awayPens]]), "N/A")</f>
        <v>N/A</v>
      </c>
      <c r="AH63" s="58" t="str">
        <f>IF(Fixtures[[#This Row],[penalties]], IF(Fixtures[[#This Row],[userPens]]=Fixtures[[#This Row],[homePens]],Fixtures[[#This Row],[awayPens]],Fixtures[[#This Row],[homePens]]), "N/A")</f>
        <v>N/A</v>
      </c>
      <c r="AI63" s="58" t="b">
        <f>COUNTBLANK(Fixtures[[#This Row],[G]:[MOTM]]) = 0</f>
        <v>1</v>
      </c>
      <c r="AJ63" s="58">
        <f>IF(Fixtures[[#This Row],[APP]], Fixtures[[#This Row],[G]]+Fixtures[[#This Row],[A]], "N/A")</f>
        <v>0</v>
      </c>
      <c r="AK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63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[2024-04-21] KRC Genk vs. Sp. Charleroi (1-1) - 1A Pro League</v>
      </c>
    </row>
    <row r="64" spans="1:40" ht="13">
      <c r="A64" s="55">
        <v>45406</v>
      </c>
      <c r="B64" s="55" t="s">
        <v>108</v>
      </c>
      <c r="C64" s="56" t="s">
        <v>108</v>
      </c>
      <c r="D64" s="56" t="s">
        <v>115</v>
      </c>
      <c r="E64" s="56" t="s">
        <v>108</v>
      </c>
      <c r="F64" s="56" t="s">
        <v>116</v>
      </c>
      <c r="G64" s="56" t="s">
        <v>110</v>
      </c>
      <c r="H64" s="56" t="s">
        <v>148</v>
      </c>
      <c r="I64" s="56">
        <v>0</v>
      </c>
      <c r="J64" s="56">
        <v>2</v>
      </c>
      <c r="K64" s="56"/>
      <c r="L64" s="56"/>
      <c r="M64" s="56">
        <v>0</v>
      </c>
      <c r="N64" s="56">
        <v>0</v>
      </c>
      <c r="O64" s="56">
        <v>0</v>
      </c>
      <c r="P64" s="56">
        <v>0</v>
      </c>
      <c r="Q64" s="57">
        <v>7.2</v>
      </c>
      <c r="R64" s="56" t="b">
        <v>0</v>
      </c>
      <c r="S64" s="58" t="str" cm="1">
        <f t="array" ref="S64">_xlfn._xlws.FILTER(Competitions[compType], (Fixtures[[#This Row],[competition]] = Competitions[name]), "N/A")</f>
        <v>Domestic League</v>
      </c>
      <c r="T64" s="58" t="b" cm="1">
        <f t="array" ref="T64">_xlfn._xlws.FILTER(Competitions[exhibition], (Fixtures[[#This Row],[competition]] = Competitions[name]), "N/A")</f>
        <v>0</v>
      </c>
      <c r="U64" s="58" t="str" cm="1">
        <f t="array" ref="U64">_xlfn._xlws.FILTER(Competitions[compID], (Fixtures[[#This Row],[competition]] = Competitions[name]), "N/A")</f>
        <v>DL-OF-1APROLEAGUE</v>
      </c>
      <c r="V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4" s="58" t="str" cm="1">
        <f t="array" ref="W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4" s="58" t="str" cm="1">
        <f t="array" ref="X64">_xlfn._xlws.FILTER(Teams[name], (Fixtures[[#This Row],[userTeamID]] = Teams[teamID]), "N/A")</f>
        <v>KRC Genk</v>
      </c>
      <c r="Y64" s="58" t="str" cm="1">
        <f t="array" ref="Y64">_xlfn._xlws.FILTER(Teams[teamType], (Fixtures[[#This Row],[userTeamID]] = Teams[teamID]), "N/A")</f>
        <v>Club</v>
      </c>
      <c r="Z64" s="58" t="str" cm="1">
        <f t="array" ref="Z64">IF(Fixtures[[#This Row],[userTeamID]] = "N/A", "N/A", IF(SUM(COUNTIF(Fixtures[[#This Row],[homeTeam]], _xlfn._xlws.FILTER(Teams[name], (Fixtures[[#This Row],[userTeamID]] = Teams[teamID])*(Teams[relevant])))) &gt; 0, "H", "A"))</f>
        <v>H</v>
      </c>
      <c r="AA64" s="58" t="str">
        <f>IF(Fixtures[[#This Row],[userSide]] = "N/A", "N/A", IF(Fixtures[[#This Row],[userSide]] = "H", Fixtures[[#This Row],[awayTeam]], Fixtures[[#This Row],[homeTeam]]))</f>
        <v>RSC Anderlecht</v>
      </c>
      <c r="AB64" s="58" t="str" cm="1">
        <f t="array" ref="AB64">_xlfn._xlws.FILTER(Teams[teamID], Fixtures[[#This Row],[oppTeam]] = Teams[name], "N/A")</f>
        <v>C-BEL-RSCANDERLECHT</v>
      </c>
      <c r="AC64" s="58" t="str" cm="1">
        <f t="array" ref="AC64">_xlfn._xlws.FILTER(Teams[teamType], Fixtures[[#This Row],[oppTeam]] = Teams[name], "N/A")</f>
        <v>Club</v>
      </c>
      <c r="AD64" s="58">
        <f>IF(ISBLANK(Fixtures[[#This Row],[date]]), "N/A", IF(Fixtures[[#This Row],[userSide]]="H", Fixtures[[#This Row],[homeScore]], Fixtures[[#This Row],[awayScore]]))</f>
        <v>0</v>
      </c>
      <c r="AE64" s="58">
        <f>IF(ISBLANK(Fixtures[[#This Row],[date]]), "N/A", IF(Fixtures[[#This Row],[userScore]] = Fixtures[[#This Row],[homeScore]], Fixtures[[#This Row],[awayScore]], Fixtures[[#This Row],[homeScore]]))</f>
        <v>2</v>
      </c>
      <c r="AF64" s="58" t="b">
        <f>NOT(AND(ISBLANK(Fixtures[[#This Row],[homePens]]), ISBLANK(Fixtures[[#This Row],[awayPens]])))</f>
        <v>0</v>
      </c>
      <c r="AG64" s="58" t="str">
        <f>IF(Fixtures[[#This Row],[penalties]], IF(Fixtures[[#This Row],[userSide]]="H", Fixtures[[#This Row],[homePens]], Fixtures[[#This Row],[awayPens]]), "N/A")</f>
        <v>N/A</v>
      </c>
      <c r="AH64" s="58" t="str">
        <f>IF(Fixtures[[#This Row],[penalties]], IF(Fixtures[[#This Row],[userPens]]=Fixtures[[#This Row],[homePens]],Fixtures[[#This Row],[awayPens]],Fixtures[[#This Row],[homePens]]), "N/A")</f>
        <v>N/A</v>
      </c>
      <c r="AI64" s="58" t="b">
        <f>COUNTBLANK(Fixtures[[#This Row],[G]:[MOTM]]) = 0</f>
        <v>1</v>
      </c>
      <c r="AJ64" s="58">
        <f>IF(Fixtures[[#This Row],[APP]], Fixtures[[#This Row],[G]]+Fixtures[[#This Row],[A]], "N/A")</f>
        <v>0</v>
      </c>
      <c r="AK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64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[2024-04-24] KRC Genk vs. RSC Anderlecht (0-2) - 1A Pro League</v>
      </c>
    </row>
    <row r="65" spans="1:40" ht="13">
      <c r="A65" s="55">
        <v>45410</v>
      </c>
      <c r="B65" s="55" t="s">
        <v>108</v>
      </c>
      <c r="C65" s="56" t="s">
        <v>108</v>
      </c>
      <c r="D65" s="56" t="s">
        <v>115</v>
      </c>
      <c r="E65" s="56" t="s">
        <v>108</v>
      </c>
      <c r="F65" s="56" t="s">
        <v>116</v>
      </c>
      <c r="G65" s="56" t="s">
        <v>110</v>
      </c>
      <c r="H65" s="56" t="s">
        <v>123</v>
      </c>
      <c r="I65" s="56">
        <v>2</v>
      </c>
      <c r="J65" s="56">
        <v>2</v>
      </c>
      <c r="K65" s="56"/>
      <c r="L65" s="56"/>
      <c r="M65" s="56">
        <v>1</v>
      </c>
      <c r="N65" s="56">
        <v>1</v>
      </c>
      <c r="O65" s="56">
        <v>0</v>
      </c>
      <c r="P65" s="56">
        <v>0</v>
      </c>
      <c r="Q65" s="57">
        <v>7.8</v>
      </c>
      <c r="R65" s="56" t="b">
        <v>0</v>
      </c>
      <c r="S65" s="58" t="str" cm="1">
        <f t="array" ref="S65">_xlfn._xlws.FILTER(Competitions[compType], (Fixtures[[#This Row],[competition]] = Competitions[name]), "N/A")</f>
        <v>Domestic League</v>
      </c>
      <c r="T65" s="58" t="b" cm="1">
        <f t="array" ref="T65">_xlfn._xlws.FILTER(Competitions[exhibition], (Fixtures[[#This Row],[competition]] = Competitions[name]), "N/A")</f>
        <v>0</v>
      </c>
      <c r="U65" s="58" t="str" cm="1">
        <f t="array" ref="U65">_xlfn._xlws.FILTER(Competitions[compID], (Fixtures[[#This Row],[competition]] = Competitions[name]), "N/A")</f>
        <v>DL-OF-1APROLEAGUE</v>
      </c>
      <c r="V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5" s="58" t="str" cm="1">
        <f t="array" ref="W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5" s="58" t="str" cm="1">
        <f t="array" ref="X65">_xlfn._xlws.FILTER(Teams[name], (Fixtures[[#This Row],[userTeamID]] = Teams[teamID]), "N/A")</f>
        <v>KRC Genk</v>
      </c>
      <c r="Y65" s="58" t="str" cm="1">
        <f t="array" ref="Y65">_xlfn._xlws.FILTER(Teams[teamType], (Fixtures[[#This Row],[userTeamID]] = Teams[teamID]), "N/A")</f>
        <v>Club</v>
      </c>
      <c r="Z65" s="58" t="str" cm="1">
        <f t="array" ref="Z65">IF(Fixtures[[#This Row],[userTeamID]] = "N/A", "N/A", IF(SUM(COUNTIF(Fixtures[[#This Row],[homeTeam]], _xlfn._xlws.FILTER(Teams[name], (Fixtures[[#This Row],[userTeamID]] = Teams[teamID])*(Teams[relevant])))) &gt; 0, "H", "A"))</f>
        <v>H</v>
      </c>
      <c r="AA65" s="58" t="str">
        <f>IF(Fixtures[[#This Row],[userSide]] = "N/A", "N/A", IF(Fixtures[[#This Row],[userSide]] = "H", Fixtures[[#This Row],[awayTeam]], Fixtures[[#This Row],[homeTeam]]))</f>
        <v>Royal Antwerp FC</v>
      </c>
      <c r="AB65" s="58" t="str" cm="1">
        <f t="array" ref="AB65">_xlfn._xlws.FILTER(Teams[teamID], Fixtures[[#This Row],[oppTeam]] = Teams[name], "N/A")</f>
        <v>C-BEL-ROYALANTWERPFC</v>
      </c>
      <c r="AC65" s="58" t="str" cm="1">
        <f t="array" ref="AC65">_xlfn._xlws.FILTER(Teams[teamType], Fixtures[[#This Row],[oppTeam]] = Teams[name], "N/A")</f>
        <v>Club</v>
      </c>
      <c r="AD65" s="58">
        <f>IF(ISBLANK(Fixtures[[#This Row],[date]]), "N/A", IF(Fixtures[[#This Row],[userSide]]="H", Fixtures[[#This Row],[homeScore]], Fixtures[[#This Row],[awayScore]]))</f>
        <v>2</v>
      </c>
      <c r="AE65" s="58">
        <f>IF(ISBLANK(Fixtures[[#This Row],[date]]), "N/A", IF(Fixtures[[#This Row],[userScore]] = Fixtures[[#This Row],[homeScore]], Fixtures[[#This Row],[awayScore]], Fixtures[[#This Row],[homeScore]]))</f>
        <v>2</v>
      </c>
      <c r="AF65" s="58" t="b">
        <f>NOT(AND(ISBLANK(Fixtures[[#This Row],[homePens]]), ISBLANK(Fixtures[[#This Row],[awayPens]])))</f>
        <v>0</v>
      </c>
      <c r="AG65" s="58" t="str">
        <f>IF(Fixtures[[#This Row],[penalties]], IF(Fixtures[[#This Row],[userSide]]="H", Fixtures[[#This Row],[homePens]], Fixtures[[#This Row],[awayPens]]), "N/A")</f>
        <v>N/A</v>
      </c>
      <c r="AH65" s="58" t="str">
        <f>IF(Fixtures[[#This Row],[penalties]], IF(Fixtures[[#This Row],[userPens]]=Fixtures[[#This Row],[homePens]],Fixtures[[#This Row],[awayPens]],Fixtures[[#This Row],[homePens]]), "N/A")</f>
        <v>N/A</v>
      </c>
      <c r="AI65" s="58" t="b">
        <f>COUNTBLANK(Fixtures[[#This Row],[G]:[MOTM]]) = 0</f>
        <v>1</v>
      </c>
      <c r="AJ65" s="58">
        <f>IF(Fixtures[[#This Row],[APP]], Fixtures[[#This Row],[G]]+Fixtures[[#This Row],[A]], "N/A")</f>
        <v>2</v>
      </c>
      <c r="AK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65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[2024-04-28] KRC Genk vs. Royal Antwerp FC (2-2) - 1A Pro League</v>
      </c>
    </row>
    <row r="66" spans="1:40" ht="13">
      <c r="A66" s="55">
        <v>45416</v>
      </c>
      <c r="B66" s="55" t="s">
        <v>108</v>
      </c>
      <c r="C66" s="56" t="s">
        <v>108</v>
      </c>
      <c r="D66" s="56" t="s">
        <v>108</v>
      </c>
      <c r="E66" s="56" t="s">
        <v>108</v>
      </c>
      <c r="F66" s="56" t="s">
        <v>116</v>
      </c>
      <c r="G66" s="56" t="s">
        <v>149</v>
      </c>
      <c r="H66" s="56" t="s">
        <v>110</v>
      </c>
      <c r="I66" s="56">
        <v>0</v>
      </c>
      <c r="J66" s="56">
        <v>3</v>
      </c>
      <c r="K66" s="56"/>
      <c r="L66" s="56"/>
      <c r="M66" s="56">
        <v>0</v>
      </c>
      <c r="N66" s="56">
        <v>3</v>
      </c>
      <c r="O66" s="56">
        <v>0</v>
      </c>
      <c r="P66" s="56">
        <v>0</v>
      </c>
      <c r="Q66" s="57">
        <v>9.1</v>
      </c>
      <c r="R66" s="56" t="b">
        <v>1</v>
      </c>
      <c r="S66" s="58" t="str" cm="1">
        <f t="array" ref="S66">_xlfn._xlws.FILTER(Competitions[compType], (Fixtures[[#This Row],[competition]] = Competitions[name]), "N/A")</f>
        <v>Domestic League</v>
      </c>
      <c r="T66" s="58" t="b" cm="1">
        <f t="array" ref="T66">_xlfn._xlws.FILTER(Competitions[exhibition], (Fixtures[[#This Row],[competition]] = Competitions[name]), "N/A")</f>
        <v>0</v>
      </c>
      <c r="U66" s="58" t="str" cm="1">
        <f t="array" ref="U66">_xlfn._xlws.FILTER(Competitions[compID], (Fixtures[[#This Row],[competition]] = Competitions[name]), "N/A")</f>
        <v>DL-OF-1APROLEAGUE</v>
      </c>
      <c r="V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6" s="58" t="str" cm="1">
        <f t="array" ref="W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6" s="58" t="str" cm="1">
        <f t="array" ref="X66">_xlfn._xlws.FILTER(Teams[name], (Fixtures[[#This Row],[userTeamID]] = Teams[teamID]), "N/A")</f>
        <v>KRC Genk</v>
      </c>
      <c r="Y66" s="58" t="str" cm="1">
        <f t="array" ref="Y66">_xlfn._xlws.FILTER(Teams[teamType], (Fixtures[[#This Row],[userTeamID]] = Teams[teamID]), "N/A")</f>
        <v>Club</v>
      </c>
      <c r="Z66" s="58" t="str" cm="1">
        <f t="array" ref="Z66">IF(Fixtures[[#This Row],[userTeamID]] = "N/A", "N/A", IF(SUM(COUNTIF(Fixtures[[#This Row],[homeTeam]], _xlfn._xlws.FILTER(Teams[name], (Fixtures[[#This Row],[userTeamID]] = Teams[teamID])*(Teams[relevant])))) &gt; 0, "H", "A"))</f>
        <v>A</v>
      </c>
      <c r="AA66" s="58" t="str">
        <f>IF(Fixtures[[#This Row],[userSide]] = "N/A", "N/A", IF(Fixtures[[#This Row],[userSide]] = "H", Fixtures[[#This Row],[awayTeam]], Fixtures[[#This Row],[homeTeam]]))</f>
        <v>Sp. Charleroi</v>
      </c>
      <c r="AB66" s="58" t="str" cm="1">
        <f t="array" ref="AB66">_xlfn._xlws.FILTER(Teams[teamID], Fixtures[[#This Row],[oppTeam]] = Teams[name], "N/A")</f>
        <v>C-BEL-SPCHARLEROI</v>
      </c>
      <c r="AC66" s="58" t="str" cm="1">
        <f t="array" ref="AC66">_xlfn._xlws.FILTER(Teams[teamType], Fixtures[[#This Row],[oppTeam]] = Teams[name], "N/A")</f>
        <v>Club</v>
      </c>
      <c r="AD66" s="58">
        <f>IF(ISBLANK(Fixtures[[#This Row],[date]]), "N/A", IF(Fixtures[[#This Row],[userSide]]="H", Fixtures[[#This Row],[homeScore]], Fixtures[[#This Row],[awayScore]]))</f>
        <v>3</v>
      </c>
      <c r="AE66" s="58">
        <f>IF(ISBLANK(Fixtures[[#This Row],[date]]), "N/A", IF(Fixtures[[#This Row],[userScore]] = Fixtures[[#This Row],[homeScore]], Fixtures[[#This Row],[awayScore]], Fixtures[[#This Row],[homeScore]]))</f>
        <v>0</v>
      </c>
      <c r="AF66" s="58" t="b">
        <f>NOT(AND(ISBLANK(Fixtures[[#This Row],[homePens]]), ISBLANK(Fixtures[[#This Row],[awayPens]])))</f>
        <v>0</v>
      </c>
      <c r="AG66" s="58" t="str">
        <f>IF(Fixtures[[#This Row],[penalties]], IF(Fixtures[[#This Row],[userSide]]="H", Fixtures[[#This Row],[homePens]], Fixtures[[#This Row],[awayPens]]), "N/A")</f>
        <v>N/A</v>
      </c>
      <c r="AH66" s="58" t="str">
        <f>IF(Fixtures[[#This Row],[penalties]], IF(Fixtures[[#This Row],[userPens]]=Fixtures[[#This Row],[homePens]],Fixtures[[#This Row],[awayPens]],Fixtures[[#This Row],[homePens]]), "N/A")</f>
        <v>N/A</v>
      </c>
      <c r="AI66" s="58" t="b">
        <f>COUNTBLANK(Fixtures[[#This Row],[G]:[MOTM]]) = 0</f>
        <v>1</v>
      </c>
      <c r="AJ66" s="58">
        <f>IF(Fixtures[[#This Row],[APP]], Fixtures[[#This Row],[G]]+Fixtures[[#This Row],[A]], "N/A")</f>
        <v>3</v>
      </c>
      <c r="AK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66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[2024-05-04] Sp. Charleroi vs. KRC Genk (0-3) - 1A Pro League</v>
      </c>
    </row>
    <row r="67" spans="1:40" ht="13">
      <c r="A67" s="55">
        <v>45424</v>
      </c>
      <c r="B67" s="55" t="s">
        <v>108</v>
      </c>
      <c r="C67" s="56" t="s">
        <v>108</v>
      </c>
      <c r="D67" s="56" t="s">
        <v>115</v>
      </c>
      <c r="E67" s="56" t="s">
        <v>108</v>
      </c>
      <c r="F67" s="56" t="s">
        <v>116</v>
      </c>
      <c r="G67" s="56" t="s">
        <v>110</v>
      </c>
      <c r="H67" s="56" t="s">
        <v>120</v>
      </c>
      <c r="I67" s="56">
        <v>0</v>
      </c>
      <c r="J67" s="56">
        <v>0</v>
      </c>
      <c r="K67" s="56"/>
      <c r="L67" s="56"/>
      <c r="M67" s="56">
        <v>0</v>
      </c>
      <c r="N67" s="56">
        <v>0</v>
      </c>
      <c r="O67" s="56">
        <v>0</v>
      </c>
      <c r="P67" s="56">
        <v>0</v>
      </c>
      <c r="Q67" s="57">
        <v>6.9</v>
      </c>
      <c r="R67" s="56" t="b">
        <v>0</v>
      </c>
      <c r="S67" s="58" t="str" cm="1">
        <f t="array" ref="S67">_xlfn._xlws.FILTER(Competitions[compType], (Fixtures[[#This Row],[competition]] = Competitions[name]), "N/A")</f>
        <v>Domestic League</v>
      </c>
      <c r="T67" s="58" t="b" cm="1">
        <f t="array" ref="T67">_xlfn._xlws.FILTER(Competitions[exhibition], (Fixtures[[#This Row],[competition]] = Competitions[name]), "N/A")</f>
        <v>0</v>
      </c>
      <c r="U67" s="58" t="str" cm="1">
        <f t="array" ref="U67">_xlfn._xlws.FILTER(Competitions[compID], (Fixtures[[#This Row],[competition]] = Competitions[name]), "N/A")</f>
        <v>DL-OF-1APROLEAGUE</v>
      </c>
      <c r="V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7" s="58" t="str" cm="1">
        <f t="array" ref="W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7" s="58" t="str" cm="1">
        <f t="array" ref="X67">_xlfn._xlws.FILTER(Teams[name], (Fixtures[[#This Row],[userTeamID]] = Teams[teamID]), "N/A")</f>
        <v>KRC Genk</v>
      </c>
      <c r="Y67" s="58" t="str" cm="1">
        <f t="array" ref="Y67">_xlfn._xlws.FILTER(Teams[teamType], (Fixtures[[#This Row],[userTeamID]] = Teams[teamID]), "N/A")</f>
        <v>Club</v>
      </c>
      <c r="Z67" s="58" t="str" cm="1">
        <f t="array" ref="Z67">IF(Fixtures[[#This Row],[userTeamID]] = "N/A", "N/A", IF(SUM(COUNTIF(Fixtures[[#This Row],[homeTeam]], _xlfn._xlws.FILTER(Teams[name], (Fixtures[[#This Row],[userTeamID]] = Teams[teamID])*(Teams[relevant])))) &gt; 0, "H", "A"))</f>
        <v>H</v>
      </c>
      <c r="AA67" s="58" t="str">
        <f>IF(Fixtures[[#This Row],[userSide]] = "N/A", "N/A", IF(Fixtures[[#This Row],[userSide]] = "H", Fixtures[[#This Row],[awayTeam]], Fixtures[[#This Row],[homeTeam]]))</f>
        <v>R. Union St.-G</v>
      </c>
      <c r="AB67" s="58" t="str" cm="1">
        <f t="array" ref="AB67">_xlfn._xlws.FILTER(Teams[teamID], Fixtures[[#This Row],[oppTeam]] = Teams[name], "N/A")</f>
        <v>C-BEL-RUNIONSTG</v>
      </c>
      <c r="AC67" s="58" t="str" cm="1">
        <f t="array" ref="AC67">_xlfn._xlws.FILTER(Teams[teamType], Fixtures[[#This Row],[oppTeam]] = Teams[name], "N/A")</f>
        <v>Club</v>
      </c>
      <c r="AD67" s="58">
        <f>IF(ISBLANK(Fixtures[[#This Row],[date]]), "N/A", IF(Fixtures[[#This Row],[userSide]]="H", Fixtures[[#This Row],[homeScore]], Fixtures[[#This Row],[awayScore]]))</f>
        <v>0</v>
      </c>
      <c r="AE67" s="58">
        <f>IF(ISBLANK(Fixtures[[#This Row],[date]]), "N/A", IF(Fixtures[[#This Row],[userScore]] = Fixtures[[#This Row],[homeScore]], Fixtures[[#This Row],[awayScore]], Fixtures[[#This Row],[homeScore]]))</f>
        <v>0</v>
      </c>
      <c r="AF67" s="58" t="b">
        <f>NOT(AND(ISBLANK(Fixtures[[#This Row],[homePens]]), ISBLANK(Fixtures[[#This Row],[awayPens]])))</f>
        <v>0</v>
      </c>
      <c r="AG67" s="58" t="str">
        <f>IF(Fixtures[[#This Row],[penalties]], IF(Fixtures[[#This Row],[userSide]]="H", Fixtures[[#This Row],[homePens]], Fixtures[[#This Row],[awayPens]]), "N/A")</f>
        <v>N/A</v>
      </c>
      <c r="AH67" s="58" t="str">
        <f>IF(Fixtures[[#This Row],[penalties]], IF(Fixtures[[#This Row],[userPens]]=Fixtures[[#This Row],[homePens]],Fixtures[[#This Row],[awayPens]],Fixtures[[#This Row],[homePens]]), "N/A")</f>
        <v>N/A</v>
      </c>
      <c r="AI67" s="58" t="b">
        <f>COUNTBLANK(Fixtures[[#This Row],[G]:[MOTM]]) = 0</f>
        <v>1</v>
      </c>
      <c r="AJ67" s="58">
        <f>IF(Fixtures[[#This Row],[APP]], Fixtures[[#This Row],[G]]+Fixtures[[#This Row],[A]], "N/A")</f>
        <v>0</v>
      </c>
      <c r="AK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67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[2024-05-12] KRC Genk vs. R. Union St.-G (0-0) - 1A Pro League</v>
      </c>
    </row>
    <row r="68" spans="1:40" ht="13">
      <c r="A68" s="55">
        <v>45430</v>
      </c>
      <c r="B68" s="55" t="s">
        <v>108</v>
      </c>
      <c r="C68" s="56" t="s">
        <v>108</v>
      </c>
      <c r="D68" s="56" t="s">
        <v>108</v>
      </c>
      <c r="E68" s="56" t="s">
        <v>108</v>
      </c>
      <c r="F68" s="56" t="s">
        <v>116</v>
      </c>
      <c r="G68" s="56" t="s">
        <v>150</v>
      </c>
      <c r="H68" s="56" t="s">
        <v>110</v>
      </c>
      <c r="I68" s="56">
        <v>0</v>
      </c>
      <c r="J68" s="56">
        <v>0</v>
      </c>
      <c r="K68" s="56"/>
      <c r="L68" s="56"/>
      <c r="M68" s="56">
        <v>0</v>
      </c>
      <c r="N68" s="56">
        <v>0</v>
      </c>
      <c r="O68" s="56">
        <v>0</v>
      </c>
      <c r="P68" s="56">
        <v>0</v>
      </c>
      <c r="Q68" s="57">
        <v>7.4</v>
      </c>
      <c r="R68" s="56" t="b">
        <v>1</v>
      </c>
      <c r="S68" s="58" t="str" cm="1">
        <f t="array" ref="S68">_xlfn._xlws.FILTER(Competitions[compType], (Fixtures[[#This Row],[competition]] = Competitions[name]), "N/A")</f>
        <v>Domestic League</v>
      </c>
      <c r="T68" s="58" t="b" cm="1">
        <f t="array" ref="T68">_xlfn._xlws.FILTER(Competitions[exhibition], (Fixtures[[#This Row],[competition]] = Competitions[name]), "N/A")</f>
        <v>0</v>
      </c>
      <c r="U68" s="58" t="str" cm="1">
        <f t="array" ref="U68">_xlfn._xlws.FILTER(Competitions[compID], (Fixtures[[#This Row],[competition]] = Competitions[name]), "N/A")</f>
        <v>DL-OF-1APROLEAGUE</v>
      </c>
      <c r="V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8" s="58" t="str" cm="1">
        <f t="array" ref="W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8" s="58" t="str" cm="1">
        <f t="array" ref="X68">_xlfn._xlws.FILTER(Teams[name], (Fixtures[[#This Row],[userTeamID]] = Teams[teamID]), "N/A")</f>
        <v>KRC Genk</v>
      </c>
      <c r="Y68" s="58" t="str" cm="1">
        <f t="array" ref="Y68">_xlfn._xlws.FILTER(Teams[teamType], (Fixtures[[#This Row],[userTeamID]] = Teams[teamID]), "N/A")</f>
        <v>Club</v>
      </c>
      <c r="Z68" s="58" t="str" cm="1">
        <f t="array" ref="Z68">IF(Fixtures[[#This Row],[userTeamID]] = "N/A", "N/A", IF(SUM(COUNTIF(Fixtures[[#This Row],[homeTeam]], _xlfn._xlws.FILTER(Teams[name], (Fixtures[[#This Row],[userTeamID]] = Teams[teamID])*(Teams[relevant])))) &gt; 0, "H", "A"))</f>
        <v>A</v>
      </c>
      <c r="AA68" s="58" t="str">
        <f>IF(Fixtures[[#This Row],[userSide]] = "N/A", "N/A", IF(Fixtures[[#This Row],[userSide]] = "H", Fixtures[[#This Row],[awayTeam]], Fixtures[[#This Row],[homeTeam]]))</f>
        <v>Club Brugge</v>
      </c>
      <c r="AB68" s="58" t="str" cm="1">
        <f t="array" ref="AB68">_xlfn._xlws.FILTER(Teams[teamID], Fixtures[[#This Row],[oppTeam]] = Teams[name], "N/A")</f>
        <v>C-BEL-CLUBBRUGGE</v>
      </c>
      <c r="AC68" s="58" t="str" cm="1">
        <f t="array" ref="AC68">_xlfn._xlws.FILTER(Teams[teamType], Fixtures[[#This Row],[oppTeam]] = Teams[name], "N/A")</f>
        <v>Club</v>
      </c>
      <c r="AD68" s="58">
        <f>IF(ISBLANK(Fixtures[[#This Row],[date]]), "N/A", IF(Fixtures[[#This Row],[userSide]]="H", Fixtures[[#This Row],[homeScore]], Fixtures[[#This Row],[awayScore]]))</f>
        <v>0</v>
      </c>
      <c r="AE68" s="58">
        <f>IF(ISBLANK(Fixtures[[#This Row],[date]]), "N/A", IF(Fixtures[[#This Row],[userScore]] = Fixtures[[#This Row],[homeScore]], Fixtures[[#This Row],[awayScore]], Fixtures[[#This Row],[homeScore]]))</f>
        <v>0</v>
      </c>
      <c r="AF68" s="58" t="b">
        <f>NOT(AND(ISBLANK(Fixtures[[#This Row],[homePens]]), ISBLANK(Fixtures[[#This Row],[awayPens]])))</f>
        <v>0</v>
      </c>
      <c r="AG68" s="58" t="str">
        <f>IF(Fixtures[[#This Row],[penalties]], IF(Fixtures[[#This Row],[userSide]]="H", Fixtures[[#This Row],[homePens]], Fixtures[[#This Row],[awayPens]]), "N/A")</f>
        <v>N/A</v>
      </c>
      <c r="AH68" s="58" t="str">
        <f>IF(Fixtures[[#This Row],[penalties]], IF(Fixtures[[#This Row],[userPens]]=Fixtures[[#This Row],[homePens]],Fixtures[[#This Row],[awayPens]],Fixtures[[#This Row],[homePens]]), "N/A")</f>
        <v>N/A</v>
      </c>
      <c r="AI68" s="58" t="b">
        <f>COUNTBLANK(Fixtures[[#This Row],[G]:[MOTM]]) = 0</f>
        <v>1</v>
      </c>
      <c r="AJ68" s="58">
        <f>IF(Fixtures[[#This Row],[APP]], Fixtures[[#This Row],[G]]+Fixtures[[#This Row],[A]], "N/A")</f>
        <v>0</v>
      </c>
      <c r="AK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6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[2024-05-18] Club Brugge vs. KRC Genk (0-0) - 1A Pro League</v>
      </c>
    </row>
    <row r="69" spans="1:40" ht="13">
      <c r="A69" s="55">
        <v>45438</v>
      </c>
      <c r="B69" s="55" t="s">
        <v>108</v>
      </c>
      <c r="C69" s="56" t="s">
        <v>108</v>
      </c>
      <c r="D69" s="56" t="s">
        <v>108</v>
      </c>
      <c r="E69" s="56" t="s">
        <v>108</v>
      </c>
      <c r="F69" s="56" t="s">
        <v>155</v>
      </c>
      <c r="G69" s="56" t="s">
        <v>110</v>
      </c>
      <c r="H69" s="56" t="s">
        <v>149</v>
      </c>
      <c r="I69" s="56">
        <v>3</v>
      </c>
      <c r="J69" s="56">
        <v>0</v>
      </c>
      <c r="K69" s="56"/>
      <c r="L69" s="56"/>
      <c r="M69" s="56">
        <v>1</v>
      </c>
      <c r="N69" s="56">
        <v>0</v>
      </c>
      <c r="O69" s="56">
        <v>0</v>
      </c>
      <c r="P69" s="56">
        <v>0</v>
      </c>
      <c r="Q69" s="57">
        <v>7.9</v>
      </c>
      <c r="R69" s="56" t="b">
        <v>1</v>
      </c>
      <c r="S69" s="58" t="str" cm="1">
        <f t="array" ref="S69">_xlfn._xlws.FILTER(Competitions[compType], (Fixtures[[#This Row],[competition]] = Competitions[name]), "N/A")</f>
        <v>Domestic Cup</v>
      </c>
      <c r="T69" s="58" t="b" cm="1">
        <f t="array" ref="T69">_xlfn._xlws.FILTER(Competitions[exhibition], (Fixtures[[#This Row],[competition]] = Competitions[name]), "N/A")</f>
        <v>0</v>
      </c>
      <c r="U69" s="58" t="str" cm="1">
        <f t="array" ref="U69">_xlfn._xlws.FILTER(Competitions[compID], (Fixtures[[#This Row],[competition]] = Competitions[name]), "N/A")</f>
        <v>DC-OF-CROKYCUP</v>
      </c>
      <c r="V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69" s="58" t="str" cm="1">
        <f t="array" ref="W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69" s="58" t="str" cm="1">
        <f t="array" ref="X69">_xlfn._xlws.FILTER(Teams[name], (Fixtures[[#This Row],[userTeamID]] = Teams[teamID]), "N/A")</f>
        <v>KRC Genk</v>
      </c>
      <c r="Y69" s="58" t="str" cm="1">
        <f t="array" ref="Y69">_xlfn._xlws.FILTER(Teams[teamType], (Fixtures[[#This Row],[userTeamID]] = Teams[teamID]), "N/A")</f>
        <v>Club</v>
      </c>
      <c r="Z69" s="58" t="str" cm="1">
        <f t="array" ref="Z69">IF(Fixtures[[#This Row],[userTeamID]] = "N/A", "N/A", IF(SUM(COUNTIF(Fixtures[[#This Row],[homeTeam]], _xlfn._xlws.FILTER(Teams[name], (Fixtures[[#This Row],[userTeamID]] = Teams[teamID])*(Teams[relevant])))) &gt; 0, "H", "A"))</f>
        <v>H</v>
      </c>
      <c r="AA69" s="58" t="str">
        <f>IF(Fixtures[[#This Row],[userSide]] = "N/A", "N/A", IF(Fixtures[[#This Row],[userSide]] = "H", Fixtures[[#This Row],[awayTeam]], Fixtures[[#This Row],[homeTeam]]))</f>
        <v>Sp. Charleroi</v>
      </c>
      <c r="AB69" s="58" t="str" cm="1">
        <f t="array" ref="AB69">_xlfn._xlws.FILTER(Teams[teamID], Fixtures[[#This Row],[oppTeam]] = Teams[name], "N/A")</f>
        <v>C-BEL-SPCHARLEROI</v>
      </c>
      <c r="AC69" s="58" t="str" cm="1">
        <f t="array" ref="AC69">_xlfn._xlws.FILTER(Teams[teamType], Fixtures[[#This Row],[oppTeam]] = Teams[name], "N/A")</f>
        <v>Club</v>
      </c>
      <c r="AD69" s="58">
        <f>IF(ISBLANK(Fixtures[[#This Row],[date]]), "N/A", IF(Fixtures[[#This Row],[userSide]]="H", Fixtures[[#This Row],[homeScore]], Fixtures[[#This Row],[awayScore]]))</f>
        <v>3</v>
      </c>
      <c r="AE69" s="58">
        <f>IF(ISBLANK(Fixtures[[#This Row],[date]]), "N/A", IF(Fixtures[[#This Row],[userScore]] = Fixtures[[#This Row],[homeScore]], Fixtures[[#This Row],[awayScore]], Fixtures[[#This Row],[homeScore]]))</f>
        <v>0</v>
      </c>
      <c r="AF69" s="58" t="b">
        <f>NOT(AND(ISBLANK(Fixtures[[#This Row],[homePens]]), ISBLANK(Fixtures[[#This Row],[awayPens]])))</f>
        <v>0</v>
      </c>
      <c r="AG69" s="58" t="str">
        <f>IF(Fixtures[[#This Row],[penalties]], IF(Fixtures[[#This Row],[userSide]]="H", Fixtures[[#This Row],[homePens]], Fixtures[[#This Row],[awayPens]]), "N/A")</f>
        <v>N/A</v>
      </c>
      <c r="AH69" s="58" t="str">
        <f>IF(Fixtures[[#This Row],[penalties]], IF(Fixtures[[#This Row],[userPens]]=Fixtures[[#This Row],[homePens]],Fixtures[[#This Row],[awayPens]],Fixtures[[#This Row],[homePens]]), "N/A")</f>
        <v>N/A</v>
      </c>
      <c r="AI69" s="58" t="b">
        <f>COUNTBLANK(Fixtures[[#This Row],[G]:[MOTM]]) = 0</f>
        <v>1</v>
      </c>
      <c r="AJ69" s="58">
        <f>IF(Fixtures[[#This Row],[APP]], Fixtures[[#This Row],[G]]+Fixtures[[#This Row],[A]], "N/A")</f>
        <v>1</v>
      </c>
      <c r="AK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69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[2024-05-26] KRC Genk vs. Sp. Charleroi (3-0) - Croky Cup</v>
      </c>
    </row>
    <row r="70" spans="1:40" ht="13">
      <c r="A70" s="55">
        <v>45444</v>
      </c>
      <c r="B70" s="55" t="s">
        <v>108</v>
      </c>
      <c r="C70" s="56" t="s">
        <v>108</v>
      </c>
      <c r="D70" s="56" t="s">
        <v>115</v>
      </c>
      <c r="E70" s="56" t="s">
        <v>108</v>
      </c>
      <c r="F70" s="56" t="s">
        <v>166</v>
      </c>
      <c r="G70" s="56" t="s">
        <v>110</v>
      </c>
      <c r="H70" s="56" t="s">
        <v>145</v>
      </c>
      <c r="I70" s="56">
        <v>0</v>
      </c>
      <c r="J70" s="56">
        <v>1</v>
      </c>
      <c r="K70" s="56"/>
      <c r="L70" s="56"/>
      <c r="M70" s="56">
        <v>0</v>
      </c>
      <c r="N70" s="56">
        <v>0</v>
      </c>
      <c r="O70" s="56">
        <v>0</v>
      </c>
      <c r="P70" s="56">
        <v>0</v>
      </c>
      <c r="Q70" s="57">
        <v>6.2</v>
      </c>
      <c r="R70" s="56" t="b">
        <v>0</v>
      </c>
      <c r="S70" s="58" t="str" cm="1">
        <f t="array" ref="S70">_xlfn._xlws.FILTER(Competitions[compType], (Fixtures[[#This Row],[competition]] = Competitions[name]), "N/A")</f>
        <v>Domestic League Play-off</v>
      </c>
      <c r="T70" s="58" t="b" cm="1">
        <f t="array" ref="T70">_xlfn._xlws.FILTER(Competitions[exhibition], (Fixtures[[#This Row],[competition]] = Competitions[name]), "N/A")</f>
        <v>0</v>
      </c>
      <c r="U70" s="58" t="str" cm="1">
        <f t="array" ref="U70">_xlfn._xlws.FILTER(Competitions[compID], (Fixtures[[#This Row],[competition]] = Competitions[name]), "N/A")</f>
        <v>DLP-OF-PROLEAGUEPLAYOFF</v>
      </c>
      <c r="V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70" s="58" t="str" cm="1">
        <f t="array" ref="W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70" s="58" t="str" cm="1">
        <f t="array" ref="X70">_xlfn._xlws.FILTER(Teams[name], (Fixtures[[#This Row],[userTeamID]] = Teams[teamID]), "N/A")</f>
        <v>KRC Genk</v>
      </c>
      <c r="Y70" s="58" t="str" cm="1">
        <f t="array" ref="Y70">_xlfn._xlws.FILTER(Teams[teamType], (Fixtures[[#This Row],[userTeamID]] = Teams[teamID]), "N/A")</f>
        <v>Club</v>
      </c>
      <c r="Z70" s="58" t="str" cm="1">
        <f t="array" ref="Z70">IF(Fixtures[[#This Row],[userTeamID]] = "N/A", "N/A", IF(SUM(COUNTIF(Fixtures[[#This Row],[homeTeam]], _xlfn._xlws.FILTER(Teams[name], (Fixtures[[#This Row],[userTeamID]] = Teams[teamID])*(Teams[relevant])))) &gt; 0, "H", "A"))</f>
        <v>H</v>
      </c>
      <c r="AA70" s="58" t="str">
        <f>IF(Fixtures[[#This Row],[userSide]] = "N/A", "N/A", IF(Fixtures[[#This Row],[userSide]] = "H", Fixtures[[#This Row],[awayTeam]], Fixtures[[#This Row],[homeTeam]]))</f>
        <v>KAA Gent</v>
      </c>
      <c r="AB70" s="58" t="str" cm="1">
        <f t="array" ref="AB70">_xlfn._xlws.FILTER(Teams[teamID], Fixtures[[#This Row],[oppTeam]] = Teams[name], "N/A")</f>
        <v>C-BEL-KAAGENT</v>
      </c>
      <c r="AC70" s="58" t="str" cm="1">
        <f t="array" ref="AC70">_xlfn._xlws.FILTER(Teams[teamType], Fixtures[[#This Row],[oppTeam]] = Teams[name], "N/A")</f>
        <v>Club</v>
      </c>
      <c r="AD70" s="58">
        <f>IF(ISBLANK(Fixtures[[#This Row],[date]]), "N/A", IF(Fixtures[[#This Row],[userSide]]="H", Fixtures[[#This Row],[homeScore]], Fixtures[[#This Row],[awayScore]]))</f>
        <v>0</v>
      </c>
      <c r="AE70" s="58">
        <f>IF(ISBLANK(Fixtures[[#This Row],[date]]), "N/A", IF(Fixtures[[#This Row],[userScore]] = Fixtures[[#This Row],[homeScore]], Fixtures[[#This Row],[awayScore]], Fixtures[[#This Row],[homeScore]]))</f>
        <v>1</v>
      </c>
      <c r="AF70" s="58" t="b">
        <f>NOT(AND(ISBLANK(Fixtures[[#This Row],[homePens]]), ISBLANK(Fixtures[[#This Row],[awayPens]])))</f>
        <v>0</v>
      </c>
      <c r="AG70" s="58" t="str">
        <f>IF(Fixtures[[#This Row],[penalties]], IF(Fixtures[[#This Row],[userSide]]="H", Fixtures[[#This Row],[homePens]], Fixtures[[#This Row],[awayPens]]), "N/A")</f>
        <v>N/A</v>
      </c>
      <c r="AH70" s="58" t="str">
        <f>IF(Fixtures[[#This Row],[penalties]], IF(Fixtures[[#This Row],[userPens]]=Fixtures[[#This Row],[homePens]],Fixtures[[#This Row],[awayPens]],Fixtures[[#This Row],[homePens]]), "N/A")</f>
        <v>N/A</v>
      </c>
      <c r="AI70" s="58" t="b">
        <f>COUNTBLANK(Fixtures[[#This Row],[G]:[MOTM]]) = 0</f>
        <v>1</v>
      </c>
      <c r="AJ70" s="58">
        <f>IF(Fixtures[[#This Row],[APP]], Fixtures[[#This Row],[G]]+Fixtures[[#This Row],[A]], "N/A")</f>
        <v>0</v>
      </c>
      <c r="AK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7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[2024-06-01] KRC Genk vs. KAA Gent (0-1) - Pro League Play-Off</v>
      </c>
    </row>
    <row r="71" spans="1:40" ht="13">
      <c r="A71" s="55">
        <v>45451</v>
      </c>
      <c r="B71" s="55" t="s">
        <v>108</v>
      </c>
      <c r="C71" s="56" t="s">
        <v>108</v>
      </c>
      <c r="D71" s="56" t="s">
        <v>157</v>
      </c>
      <c r="E71" s="56" t="s">
        <v>108</v>
      </c>
      <c r="F71" s="56" t="s">
        <v>166</v>
      </c>
      <c r="G71" s="56" t="s">
        <v>145</v>
      </c>
      <c r="H71" s="56" t="s">
        <v>110</v>
      </c>
      <c r="I71" s="56">
        <v>3</v>
      </c>
      <c r="J71" s="56">
        <v>1</v>
      </c>
      <c r="K71" s="56"/>
      <c r="L71" s="56"/>
      <c r="M71" s="56">
        <v>0</v>
      </c>
      <c r="N71" s="56">
        <v>0</v>
      </c>
      <c r="O71" s="56">
        <v>0</v>
      </c>
      <c r="P71" s="56">
        <v>0</v>
      </c>
      <c r="Q71" s="57">
        <v>6.3</v>
      </c>
      <c r="R71" s="56" t="b">
        <v>0</v>
      </c>
      <c r="S71" s="58" t="str" cm="1">
        <f t="array" ref="S71">_xlfn._xlws.FILTER(Competitions[compType], (Fixtures[[#This Row],[competition]] = Competitions[name]), "N/A")</f>
        <v>Domestic League Play-off</v>
      </c>
      <c r="T71" s="58" t="b" cm="1">
        <f t="array" ref="T71">_xlfn._xlws.FILTER(Competitions[exhibition], (Fixtures[[#This Row],[competition]] = Competitions[name]), "N/A")</f>
        <v>0</v>
      </c>
      <c r="U71" s="58" t="str" cm="1">
        <f t="array" ref="U71">_xlfn._xlws.FILTER(Competitions[compID], (Fixtures[[#This Row],[competition]] = Competitions[name]), "N/A")</f>
        <v>DLP-OF-PROLEAGUEPLAYOFF</v>
      </c>
      <c r="V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2023/2024</v>
      </c>
      <c r="W71" s="58" t="str" cm="1">
        <f t="array" ref="W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C-BEL-KRCGENK</v>
      </c>
      <c r="X71" s="58" t="str" cm="1">
        <f t="array" ref="X71">_xlfn._xlws.FILTER(Teams[name], (Fixtures[[#This Row],[userTeamID]] = Teams[teamID]), "N/A")</f>
        <v>KRC Genk</v>
      </c>
      <c r="Y71" s="58" t="str" cm="1">
        <f t="array" ref="Y71">_xlfn._xlws.FILTER(Teams[teamType], (Fixtures[[#This Row],[userTeamID]] = Teams[teamID]), "N/A")</f>
        <v>Club</v>
      </c>
      <c r="Z71" s="58" t="str" cm="1">
        <f t="array" ref="Z71">IF(Fixtures[[#This Row],[userTeamID]] = "N/A", "N/A", IF(SUM(COUNTIF(Fixtures[[#This Row],[homeTeam]], _xlfn._xlws.FILTER(Teams[name], (Fixtures[[#This Row],[userTeamID]] = Teams[teamID])*(Teams[relevant])))) &gt; 0, "H", "A"))</f>
        <v>A</v>
      </c>
      <c r="AA71" s="58" t="str">
        <f>IF(Fixtures[[#This Row],[userSide]] = "N/A", "N/A", IF(Fixtures[[#This Row],[userSide]] = "H", Fixtures[[#This Row],[awayTeam]], Fixtures[[#This Row],[homeTeam]]))</f>
        <v>KAA Gent</v>
      </c>
      <c r="AB71" s="58" t="str" cm="1">
        <f t="array" ref="AB71">_xlfn._xlws.FILTER(Teams[teamID], Fixtures[[#This Row],[oppTeam]] = Teams[name], "N/A")</f>
        <v>C-BEL-KAAGENT</v>
      </c>
      <c r="AC71" s="58" t="str" cm="1">
        <f t="array" ref="AC71">_xlfn._xlws.FILTER(Teams[teamType], Fixtures[[#This Row],[oppTeam]] = Teams[name], "N/A")</f>
        <v>Club</v>
      </c>
      <c r="AD71" s="58">
        <f>IF(ISBLANK(Fixtures[[#This Row],[date]]), "N/A", IF(Fixtures[[#This Row],[userSide]]="H", Fixtures[[#This Row],[homeScore]], Fixtures[[#This Row],[awayScore]]))</f>
        <v>1</v>
      </c>
      <c r="AE71" s="58">
        <f>IF(ISBLANK(Fixtures[[#This Row],[date]]), "N/A", IF(Fixtures[[#This Row],[userScore]] = Fixtures[[#This Row],[homeScore]], Fixtures[[#This Row],[awayScore]], Fixtures[[#This Row],[homeScore]]))</f>
        <v>3</v>
      </c>
      <c r="AF71" s="58" t="b">
        <f>NOT(AND(ISBLANK(Fixtures[[#This Row],[homePens]]), ISBLANK(Fixtures[[#This Row],[awayPens]])))</f>
        <v>0</v>
      </c>
      <c r="AG71" s="58" t="str">
        <f>IF(Fixtures[[#This Row],[penalties]], IF(Fixtures[[#This Row],[userSide]]="H", Fixtures[[#This Row],[homePens]], Fixtures[[#This Row],[awayPens]]), "N/A")</f>
        <v>N/A</v>
      </c>
      <c r="AH71" s="58" t="str">
        <f>IF(Fixtures[[#This Row],[penalties]], IF(Fixtures[[#This Row],[userPens]]=Fixtures[[#This Row],[homePens]],Fixtures[[#This Row],[awayPens]],Fixtures[[#This Row],[homePens]]), "N/A")</f>
        <v>N/A</v>
      </c>
      <c r="AI71" s="58" t="b">
        <f>COUNTBLANK(Fixtures[[#This Row],[G]:[MOTM]]) = 0</f>
        <v>1</v>
      </c>
      <c r="AJ71" s="58">
        <f>IF(Fixtures[[#This Row],[APP]], Fixtures[[#This Row],[G]]+Fixtures[[#This Row],[A]], "N/A")</f>
        <v>0</v>
      </c>
      <c r="AK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71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[2024-06-08] KAA Gent vs. KRC Genk (3-1) - Pro League Play-Off</v>
      </c>
    </row>
    <row r="72" spans="1:40" ht="13">
      <c r="A72" s="55">
        <v>45492</v>
      </c>
      <c r="B72" s="55" t="s">
        <v>108</v>
      </c>
      <c r="C72" s="56" t="s">
        <v>108</v>
      </c>
      <c r="D72" s="56" t="s">
        <v>167</v>
      </c>
      <c r="E72" s="56" t="s">
        <v>108</v>
      </c>
      <c r="F72" s="56" t="s">
        <v>168</v>
      </c>
      <c r="G72" s="56" t="s">
        <v>169</v>
      </c>
      <c r="H72" s="56" t="s">
        <v>170</v>
      </c>
      <c r="I72" s="56">
        <v>2</v>
      </c>
      <c r="J72" s="56">
        <v>1</v>
      </c>
      <c r="K72" s="56"/>
      <c r="L72" s="56"/>
      <c r="M72" s="56">
        <v>0</v>
      </c>
      <c r="N72" s="56">
        <v>1</v>
      </c>
      <c r="O72" s="56">
        <v>0</v>
      </c>
      <c r="P72" s="56">
        <v>0</v>
      </c>
      <c r="Q72" s="57">
        <v>7.5</v>
      </c>
      <c r="R72" s="56" t="b">
        <v>0</v>
      </c>
      <c r="S72" s="58" t="str" cm="1">
        <f t="array" ref="S72">_xlfn._xlws.FILTER(Competitions[compType], (Fixtures[[#This Row],[competition]] = Competitions[name]), "N/A")</f>
        <v>Preseason Friendly</v>
      </c>
      <c r="T72" s="58" t="b" cm="1">
        <f t="array" ref="T72">_xlfn._xlws.FILTER(Competitions[exhibition], (Fixtures[[#This Row],[competition]] = Competitions[name]), "N/A")</f>
        <v>1</v>
      </c>
      <c r="U72" s="58" t="str" cm="1">
        <f t="array" ref="U72">_xlfn._xlws.FILTER(Competitions[compID], (Fixtures[[#This Row],[competition]] = Competitions[name]), "N/A")</f>
        <v>PF-EX-CHAMPIONSTROPHY</v>
      </c>
      <c r="V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2" s="58" t="str" cm="1">
        <f t="array" ref="W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2" s="58" t="str" cm="1">
        <f t="array" ref="X72">_xlfn._xlws.FILTER(Teams[name], (Fixtures[[#This Row],[userTeamID]] = Teams[teamID]), "N/A")</f>
        <v>Burnley</v>
      </c>
      <c r="Y72" s="58" t="str" cm="1">
        <f t="array" ref="Y72">_xlfn._xlws.FILTER(Teams[teamType], (Fixtures[[#This Row],[userTeamID]] = Teams[teamID]), "N/A")</f>
        <v>Club</v>
      </c>
      <c r="Z72" s="58" t="str" cm="1">
        <f t="array" ref="Z72">IF(Fixtures[[#This Row],[userTeamID]] = "N/A", "N/A", IF(SUM(COUNTIF(Fixtures[[#This Row],[homeTeam]], _xlfn._xlws.FILTER(Teams[name], (Fixtures[[#This Row],[userTeamID]] = Teams[teamID])*(Teams[relevant])))) &gt; 0, "H", "A"))</f>
        <v>H</v>
      </c>
      <c r="AA72" s="58" t="str">
        <f>IF(Fixtures[[#This Row],[userSide]] = "N/A", "N/A", IF(Fixtures[[#This Row],[userSide]] = "H", Fixtures[[#This Row],[awayTeam]], Fixtures[[#This Row],[homeTeam]]))</f>
        <v>CA Osasuna</v>
      </c>
      <c r="AB72" s="58" t="str" cm="1">
        <f t="array" ref="AB72">_xlfn._xlws.FILTER(Teams[teamID], Fixtures[[#This Row],[oppTeam]] = Teams[name], "N/A")</f>
        <v>C-SPA-CAOSASUNA</v>
      </c>
      <c r="AC72" s="58" t="str" cm="1">
        <f t="array" ref="AC72">_xlfn._xlws.FILTER(Teams[teamType], Fixtures[[#This Row],[oppTeam]] = Teams[name], "N/A")</f>
        <v>Club</v>
      </c>
      <c r="AD72" s="58">
        <f>IF(ISBLANK(Fixtures[[#This Row],[date]]), "N/A", IF(Fixtures[[#This Row],[userSide]]="H", Fixtures[[#This Row],[homeScore]], Fixtures[[#This Row],[awayScore]]))</f>
        <v>2</v>
      </c>
      <c r="AE72" s="58">
        <f>IF(ISBLANK(Fixtures[[#This Row],[date]]), "N/A", IF(Fixtures[[#This Row],[userScore]] = Fixtures[[#This Row],[homeScore]], Fixtures[[#This Row],[awayScore]], Fixtures[[#This Row],[homeScore]]))</f>
        <v>1</v>
      </c>
      <c r="AF72" s="58" t="b">
        <f>NOT(AND(ISBLANK(Fixtures[[#This Row],[homePens]]), ISBLANK(Fixtures[[#This Row],[awayPens]])))</f>
        <v>0</v>
      </c>
      <c r="AG72" s="58" t="str">
        <f>IF(Fixtures[[#This Row],[penalties]], IF(Fixtures[[#This Row],[userSide]]="H", Fixtures[[#This Row],[homePens]], Fixtures[[#This Row],[awayPens]]), "N/A")</f>
        <v>N/A</v>
      </c>
      <c r="AH72" s="58" t="str">
        <f>IF(Fixtures[[#This Row],[penalties]], IF(Fixtures[[#This Row],[userPens]]=Fixtures[[#This Row],[homePens]],Fixtures[[#This Row],[awayPens]],Fixtures[[#This Row],[homePens]]), "N/A")</f>
        <v>N/A</v>
      </c>
      <c r="AI72" s="58" t="b">
        <f>COUNTBLANK(Fixtures[[#This Row],[G]:[MOTM]]) = 0</f>
        <v>1</v>
      </c>
      <c r="AJ72" s="58">
        <f>IF(Fixtures[[#This Row],[APP]], Fixtures[[#This Row],[G]]+Fixtures[[#This Row],[A]], "N/A")</f>
        <v>1</v>
      </c>
      <c r="AK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7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[2024-07-19] Burnley vs. CA Osasuna (2-1) - Champions Trophy</v>
      </c>
      <c r="AN72" s="59" t="s">
        <v>171</v>
      </c>
    </row>
    <row r="73" spans="1:40" ht="13">
      <c r="A73" s="55">
        <v>45496</v>
      </c>
      <c r="B73" s="55" t="s">
        <v>108</v>
      </c>
      <c r="C73" s="56" t="s">
        <v>108</v>
      </c>
      <c r="D73" s="56" t="s">
        <v>167</v>
      </c>
      <c r="E73" s="56" t="s">
        <v>108</v>
      </c>
      <c r="F73" s="56" t="s">
        <v>168</v>
      </c>
      <c r="G73" s="56" t="s">
        <v>172</v>
      </c>
      <c r="H73" s="56" t="s">
        <v>169</v>
      </c>
      <c r="I73" s="56">
        <v>0</v>
      </c>
      <c r="J73" s="56">
        <v>3</v>
      </c>
      <c r="K73" s="56"/>
      <c r="L73" s="56"/>
      <c r="M73" s="56">
        <v>1</v>
      </c>
      <c r="N73" s="56">
        <v>1</v>
      </c>
      <c r="O73" s="56">
        <v>0</v>
      </c>
      <c r="P73" s="56">
        <v>0</v>
      </c>
      <c r="Q73" s="57">
        <v>8.1</v>
      </c>
      <c r="R73" s="56" t="b">
        <v>0</v>
      </c>
      <c r="S73" s="58" t="str" cm="1">
        <f t="array" ref="S73">_xlfn._xlws.FILTER(Competitions[compType], (Fixtures[[#This Row],[competition]] = Competitions[name]), "N/A")</f>
        <v>Preseason Friendly</v>
      </c>
      <c r="T73" s="58" t="b" cm="1">
        <f t="array" ref="T73">_xlfn._xlws.FILTER(Competitions[exhibition], (Fixtures[[#This Row],[competition]] = Competitions[name]), "N/A")</f>
        <v>1</v>
      </c>
      <c r="U73" s="58" t="str" cm="1">
        <f t="array" ref="U73">_xlfn._xlws.FILTER(Competitions[compID], (Fixtures[[#This Row],[competition]] = Competitions[name]), "N/A")</f>
        <v>PF-EX-CHAMPIONSTROPHY</v>
      </c>
      <c r="V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3" s="58" t="str" cm="1">
        <f t="array" ref="W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3" s="58" t="str" cm="1">
        <f t="array" ref="X73">_xlfn._xlws.FILTER(Teams[name], (Fixtures[[#This Row],[userTeamID]] = Teams[teamID]), "N/A")</f>
        <v>Burnley</v>
      </c>
      <c r="Y73" s="58" t="str" cm="1">
        <f t="array" ref="Y73">_xlfn._xlws.FILTER(Teams[teamType], (Fixtures[[#This Row],[userTeamID]] = Teams[teamID]), "N/A")</f>
        <v>Club</v>
      </c>
      <c r="Z73" s="58" t="str" cm="1">
        <f t="array" ref="Z73">IF(Fixtures[[#This Row],[userTeamID]] = "N/A", "N/A", IF(SUM(COUNTIF(Fixtures[[#This Row],[homeTeam]], _xlfn._xlws.FILTER(Teams[name], (Fixtures[[#This Row],[userTeamID]] = Teams[teamID])*(Teams[relevant])))) &gt; 0, "H", "A"))</f>
        <v>A</v>
      </c>
      <c r="AA73" s="58" t="str">
        <f>IF(Fixtures[[#This Row],[userSide]] = "N/A", "N/A", IF(Fixtures[[#This Row],[userSide]] = "H", Fixtures[[#This Row],[awayTeam]], Fixtures[[#This Row],[homeTeam]]))</f>
        <v>OL</v>
      </c>
      <c r="AB73" s="58" t="str" cm="1">
        <f t="array" ref="AB73">_xlfn._xlws.FILTER(Teams[teamID], Fixtures[[#This Row],[oppTeam]] = Teams[name], "N/A")</f>
        <v>C-FRA-OL</v>
      </c>
      <c r="AC73" s="58" t="str" cm="1">
        <f t="array" ref="AC73">_xlfn._xlws.FILTER(Teams[teamType], Fixtures[[#This Row],[oppTeam]] = Teams[name], "N/A")</f>
        <v>Club</v>
      </c>
      <c r="AD73" s="58">
        <f>IF(ISBLANK(Fixtures[[#This Row],[date]]), "N/A", IF(Fixtures[[#This Row],[userSide]]="H", Fixtures[[#This Row],[homeScore]], Fixtures[[#This Row],[awayScore]]))</f>
        <v>3</v>
      </c>
      <c r="AE73" s="58">
        <f>IF(ISBLANK(Fixtures[[#This Row],[date]]), "N/A", IF(Fixtures[[#This Row],[userScore]] = Fixtures[[#This Row],[homeScore]], Fixtures[[#This Row],[awayScore]], Fixtures[[#This Row],[homeScore]]))</f>
        <v>0</v>
      </c>
      <c r="AF73" s="58" t="b">
        <f>NOT(AND(ISBLANK(Fixtures[[#This Row],[homePens]]), ISBLANK(Fixtures[[#This Row],[awayPens]])))</f>
        <v>0</v>
      </c>
      <c r="AG73" s="58" t="str">
        <f>IF(Fixtures[[#This Row],[penalties]], IF(Fixtures[[#This Row],[userSide]]="H", Fixtures[[#This Row],[homePens]], Fixtures[[#This Row],[awayPens]]), "N/A")</f>
        <v>N/A</v>
      </c>
      <c r="AH73" s="58" t="str">
        <f>IF(Fixtures[[#This Row],[penalties]], IF(Fixtures[[#This Row],[userPens]]=Fixtures[[#This Row],[homePens]],Fixtures[[#This Row],[awayPens]],Fixtures[[#This Row],[homePens]]), "N/A")</f>
        <v>N/A</v>
      </c>
      <c r="AI73" s="58" t="b">
        <f>COUNTBLANK(Fixtures[[#This Row],[G]:[MOTM]]) = 0</f>
        <v>1</v>
      </c>
      <c r="AJ73" s="58">
        <f>IF(Fixtures[[#This Row],[APP]], Fixtures[[#This Row],[G]]+Fixtures[[#This Row],[A]], "N/A")</f>
        <v>2</v>
      </c>
      <c r="AK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73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[2024-07-23] OL vs. Burnley (0-3) - Champions Trophy</v>
      </c>
      <c r="AN73" s="59" t="s">
        <v>173</v>
      </c>
    </row>
    <row r="74" spans="1:40" ht="13">
      <c r="A74" s="55">
        <v>45500</v>
      </c>
      <c r="B74" s="55" t="s">
        <v>108</v>
      </c>
      <c r="C74" s="56" t="s">
        <v>108</v>
      </c>
      <c r="D74" s="56" t="s">
        <v>167</v>
      </c>
      <c r="E74" s="56" t="s">
        <v>108</v>
      </c>
      <c r="F74" s="56" t="s">
        <v>168</v>
      </c>
      <c r="G74" s="56" t="s">
        <v>169</v>
      </c>
      <c r="H74" s="56" t="s">
        <v>174</v>
      </c>
      <c r="I74" s="56">
        <v>0</v>
      </c>
      <c r="J74" s="56">
        <v>1</v>
      </c>
      <c r="K74" s="56"/>
      <c r="L74" s="56"/>
      <c r="M74" s="56">
        <v>0</v>
      </c>
      <c r="N74" s="56">
        <v>0</v>
      </c>
      <c r="O74" s="56">
        <v>0</v>
      </c>
      <c r="P74" s="56">
        <v>0</v>
      </c>
      <c r="Q74" s="57">
        <v>6</v>
      </c>
      <c r="R74" s="56" t="b">
        <v>0</v>
      </c>
      <c r="S74" s="58" t="str" cm="1">
        <f t="array" ref="S74">_xlfn._xlws.FILTER(Competitions[compType], (Fixtures[[#This Row],[competition]] = Competitions[name]), "N/A")</f>
        <v>Preseason Friendly</v>
      </c>
      <c r="T74" s="58" t="b" cm="1">
        <f t="array" ref="T74">_xlfn._xlws.FILTER(Competitions[exhibition], (Fixtures[[#This Row],[competition]] = Competitions[name]), "N/A")</f>
        <v>1</v>
      </c>
      <c r="U74" s="58" t="str" cm="1">
        <f t="array" ref="U74">_xlfn._xlws.FILTER(Competitions[compID], (Fixtures[[#This Row],[competition]] = Competitions[name]), "N/A")</f>
        <v>PF-EX-CHAMPIONSTROPHY</v>
      </c>
      <c r="V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4" s="58" t="str" cm="1">
        <f t="array" ref="W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4" s="58" t="str" cm="1">
        <f t="array" ref="X74">_xlfn._xlws.FILTER(Teams[name], (Fixtures[[#This Row],[userTeamID]] = Teams[teamID]), "N/A")</f>
        <v>Burnley</v>
      </c>
      <c r="Y74" s="58" t="str" cm="1">
        <f t="array" ref="Y74">_xlfn._xlws.FILTER(Teams[teamType], (Fixtures[[#This Row],[userTeamID]] = Teams[teamID]), "N/A")</f>
        <v>Club</v>
      </c>
      <c r="Z74" s="58" t="str" cm="1">
        <f t="array" ref="Z74">IF(Fixtures[[#This Row],[userTeamID]] = "N/A", "N/A", IF(SUM(COUNTIF(Fixtures[[#This Row],[homeTeam]], _xlfn._xlws.FILTER(Teams[name], (Fixtures[[#This Row],[userTeamID]] = Teams[teamID])*(Teams[relevant])))) &gt; 0, "H", "A"))</f>
        <v>H</v>
      </c>
      <c r="AA74" s="58" t="str">
        <f>IF(Fixtures[[#This Row],[userSide]] = "N/A", "N/A", IF(Fixtures[[#This Row],[userSide]] = "H", Fixtures[[#This Row],[awayTeam]], Fixtures[[#This Row],[homeTeam]]))</f>
        <v>Crystal Palace</v>
      </c>
      <c r="AB74" s="58" t="str" cm="1">
        <f t="array" ref="AB74">_xlfn._xlws.FILTER(Teams[teamID], Fixtures[[#This Row],[oppTeam]] = Teams[name], "N/A")</f>
        <v>C-ENG-CRYSTALPALACE</v>
      </c>
      <c r="AC74" s="58" t="str" cm="1">
        <f t="array" ref="AC74">_xlfn._xlws.FILTER(Teams[teamType], Fixtures[[#This Row],[oppTeam]] = Teams[name], "N/A")</f>
        <v>Club</v>
      </c>
      <c r="AD74" s="58">
        <f>IF(ISBLANK(Fixtures[[#This Row],[date]]), "N/A", IF(Fixtures[[#This Row],[userSide]]="H", Fixtures[[#This Row],[homeScore]], Fixtures[[#This Row],[awayScore]]))</f>
        <v>0</v>
      </c>
      <c r="AE74" s="58">
        <f>IF(ISBLANK(Fixtures[[#This Row],[date]]), "N/A", IF(Fixtures[[#This Row],[userScore]] = Fixtures[[#This Row],[homeScore]], Fixtures[[#This Row],[awayScore]], Fixtures[[#This Row],[homeScore]]))</f>
        <v>1</v>
      </c>
      <c r="AF74" s="58" t="b">
        <f>NOT(AND(ISBLANK(Fixtures[[#This Row],[homePens]]), ISBLANK(Fixtures[[#This Row],[awayPens]])))</f>
        <v>0</v>
      </c>
      <c r="AG74" s="58" t="str">
        <f>IF(Fixtures[[#This Row],[penalties]], IF(Fixtures[[#This Row],[userSide]]="H", Fixtures[[#This Row],[homePens]], Fixtures[[#This Row],[awayPens]]), "N/A")</f>
        <v>N/A</v>
      </c>
      <c r="AH74" s="58" t="str">
        <f>IF(Fixtures[[#This Row],[penalties]], IF(Fixtures[[#This Row],[userPens]]=Fixtures[[#This Row],[homePens]],Fixtures[[#This Row],[awayPens]],Fixtures[[#This Row],[homePens]]), "N/A")</f>
        <v>N/A</v>
      </c>
      <c r="AI74" s="58" t="b">
        <f>COUNTBLANK(Fixtures[[#This Row],[G]:[MOTM]]) = 0</f>
        <v>1</v>
      </c>
      <c r="AJ74" s="58">
        <f>IF(Fixtures[[#This Row],[APP]], Fixtures[[#This Row],[G]]+Fixtures[[#This Row],[A]], "N/A")</f>
        <v>0</v>
      </c>
      <c r="AK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7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[2024-07-27] Burnley vs. Crystal Palace (0-1) - Champions Trophy</v>
      </c>
    </row>
    <row r="75" spans="1:40" ht="13">
      <c r="A75" s="55">
        <v>45508</v>
      </c>
      <c r="B75" s="55" t="s">
        <v>108</v>
      </c>
      <c r="C75" s="56" t="s">
        <v>108</v>
      </c>
      <c r="D75" s="56" t="s">
        <v>175</v>
      </c>
      <c r="E75" s="56" t="s">
        <v>108</v>
      </c>
      <c r="F75" s="56" t="s">
        <v>176</v>
      </c>
      <c r="G75" s="56" t="s">
        <v>169</v>
      </c>
      <c r="H75" s="56" t="s">
        <v>177</v>
      </c>
      <c r="I75" s="56">
        <v>2</v>
      </c>
      <c r="J75" s="56">
        <v>0</v>
      </c>
      <c r="K75" s="56"/>
      <c r="L75" s="56"/>
      <c r="M75" s="56">
        <v>1</v>
      </c>
      <c r="N75" s="56">
        <v>0</v>
      </c>
      <c r="O75" s="56">
        <v>0</v>
      </c>
      <c r="P75" s="56">
        <v>0</v>
      </c>
      <c r="Q75" s="57">
        <v>7.7</v>
      </c>
      <c r="R75" s="56" t="b">
        <v>1</v>
      </c>
      <c r="S75" s="58" t="str" cm="1">
        <f t="array" ref="S75">_xlfn._xlws.FILTER(Competitions[compType], (Fixtures[[#This Row],[competition]] = Competitions[name]), "N/A")</f>
        <v>Domestic League</v>
      </c>
      <c r="T75" s="58" t="b" cm="1">
        <f t="array" ref="T75">_xlfn._xlws.FILTER(Competitions[exhibition], (Fixtures[[#This Row],[competition]] = Competitions[name]), "N/A")</f>
        <v>0</v>
      </c>
      <c r="U75" s="58" t="str" cm="1">
        <f t="array" ref="U75">_xlfn._xlws.FILTER(Competitions[compID], (Fixtures[[#This Row],[competition]] = Competitions[name]), "N/A")</f>
        <v>DL-OF-EFLCHAMPIONSHIP</v>
      </c>
      <c r="V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5" s="58" t="str" cm="1">
        <f t="array" ref="W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5" s="58" t="str" cm="1">
        <f t="array" ref="X75">_xlfn._xlws.FILTER(Teams[name], (Fixtures[[#This Row],[userTeamID]] = Teams[teamID]), "N/A")</f>
        <v>Burnley</v>
      </c>
      <c r="Y75" s="58" t="str" cm="1">
        <f t="array" ref="Y75">_xlfn._xlws.FILTER(Teams[teamType], (Fixtures[[#This Row],[userTeamID]] = Teams[teamID]), "N/A")</f>
        <v>Club</v>
      </c>
      <c r="Z75" s="58" t="str" cm="1">
        <f t="array" ref="Z75">IF(Fixtures[[#This Row],[userTeamID]] = "N/A", "N/A", IF(SUM(COUNTIF(Fixtures[[#This Row],[homeTeam]], _xlfn._xlws.FILTER(Teams[name], (Fixtures[[#This Row],[userTeamID]] = Teams[teamID])*(Teams[relevant])))) &gt; 0, "H", "A"))</f>
        <v>H</v>
      </c>
      <c r="AA75" s="58" t="str">
        <f>IF(Fixtures[[#This Row],[userSide]] = "N/A", "N/A", IF(Fixtures[[#This Row],[userSide]] = "H", Fixtures[[#This Row],[awayTeam]], Fixtures[[#This Row],[homeTeam]]))</f>
        <v>Blackburn Rovers</v>
      </c>
      <c r="AB75" s="58" t="str" cm="1">
        <f t="array" ref="AB75">_xlfn._xlws.FILTER(Teams[teamID], Fixtures[[#This Row],[oppTeam]] = Teams[name], "N/A")</f>
        <v>C-ENG-BLACKBURNROVERS</v>
      </c>
      <c r="AC75" s="58" t="str" cm="1">
        <f t="array" ref="AC75">_xlfn._xlws.FILTER(Teams[teamType], Fixtures[[#This Row],[oppTeam]] = Teams[name], "N/A")</f>
        <v>Club</v>
      </c>
      <c r="AD75" s="58">
        <f>IF(ISBLANK(Fixtures[[#This Row],[date]]), "N/A", IF(Fixtures[[#This Row],[userSide]]="H", Fixtures[[#This Row],[homeScore]], Fixtures[[#This Row],[awayScore]]))</f>
        <v>2</v>
      </c>
      <c r="AE75" s="58">
        <f>IF(ISBLANK(Fixtures[[#This Row],[date]]), "N/A", IF(Fixtures[[#This Row],[userScore]] = Fixtures[[#This Row],[homeScore]], Fixtures[[#This Row],[awayScore]], Fixtures[[#This Row],[homeScore]]))</f>
        <v>0</v>
      </c>
      <c r="AF75" s="58" t="b">
        <f>NOT(AND(ISBLANK(Fixtures[[#This Row],[homePens]]), ISBLANK(Fixtures[[#This Row],[awayPens]])))</f>
        <v>0</v>
      </c>
      <c r="AG75" s="58" t="str">
        <f>IF(Fixtures[[#This Row],[penalties]], IF(Fixtures[[#This Row],[userSide]]="H", Fixtures[[#This Row],[homePens]], Fixtures[[#This Row],[awayPens]]), "N/A")</f>
        <v>N/A</v>
      </c>
      <c r="AH75" s="58" t="str">
        <f>IF(Fixtures[[#This Row],[penalties]], IF(Fixtures[[#This Row],[userPens]]=Fixtures[[#This Row],[homePens]],Fixtures[[#This Row],[awayPens]],Fixtures[[#This Row],[homePens]]), "N/A")</f>
        <v>N/A</v>
      </c>
      <c r="AI75" s="58" t="b">
        <f>COUNTBLANK(Fixtures[[#This Row],[G]:[MOTM]]) = 0</f>
        <v>1</v>
      </c>
      <c r="AJ75" s="58">
        <f>IF(Fixtures[[#This Row],[APP]], Fixtures[[#This Row],[G]]+Fixtures[[#This Row],[A]], "N/A")</f>
        <v>1</v>
      </c>
      <c r="AK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75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[2024-08-04] Burnley vs. Blackburn Rovers (2-0) - EFL Championship</v>
      </c>
      <c r="AN75" s="59" t="s">
        <v>178</v>
      </c>
    </row>
    <row r="76" spans="1:40" ht="13">
      <c r="A76" s="55">
        <v>45514</v>
      </c>
      <c r="B76" s="55" t="s">
        <v>108</v>
      </c>
      <c r="C76" s="56" t="s">
        <v>108</v>
      </c>
      <c r="D76" s="56" t="s">
        <v>108</v>
      </c>
      <c r="E76" s="56" t="s">
        <v>108</v>
      </c>
      <c r="F76" s="56" t="s">
        <v>176</v>
      </c>
      <c r="G76" s="56" t="s">
        <v>179</v>
      </c>
      <c r="H76" s="56" t="s">
        <v>169</v>
      </c>
      <c r="I76" s="56">
        <v>0</v>
      </c>
      <c r="J76" s="56">
        <v>0</v>
      </c>
      <c r="K76" s="56"/>
      <c r="L76" s="56"/>
      <c r="M76" s="56">
        <v>0</v>
      </c>
      <c r="N76" s="56">
        <v>0</v>
      </c>
      <c r="O76" s="56">
        <v>0</v>
      </c>
      <c r="P76" s="56">
        <v>0</v>
      </c>
      <c r="Q76" s="57">
        <v>6</v>
      </c>
      <c r="R76" s="56" t="b">
        <v>0</v>
      </c>
      <c r="S76" s="58" t="str" cm="1">
        <f t="array" ref="S76">_xlfn._xlws.FILTER(Competitions[compType], (Fixtures[[#This Row],[competition]] = Competitions[name]), "N/A")</f>
        <v>Domestic League</v>
      </c>
      <c r="T76" s="58" t="b" cm="1">
        <f t="array" ref="T76">_xlfn._xlws.FILTER(Competitions[exhibition], (Fixtures[[#This Row],[competition]] = Competitions[name]), "N/A")</f>
        <v>0</v>
      </c>
      <c r="U76" s="58" t="str" cm="1">
        <f t="array" ref="U76">_xlfn._xlws.FILTER(Competitions[compID], (Fixtures[[#This Row],[competition]] = Competitions[name]), "N/A")</f>
        <v>DL-OF-EFLCHAMPIONSHIP</v>
      </c>
      <c r="V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6" s="58" t="str" cm="1">
        <f t="array" ref="W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6" s="58" t="str" cm="1">
        <f t="array" ref="X76">_xlfn._xlws.FILTER(Teams[name], (Fixtures[[#This Row],[userTeamID]] = Teams[teamID]), "N/A")</f>
        <v>Burnley</v>
      </c>
      <c r="Y76" s="58" t="str" cm="1">
        <f t="array" ref="Y76">_xlfn._xlws.FILTER(Teams[teamType], (Fixtures[[#This Row],[userTeamID]] = Teams[teamID]), "N/A")</f>
        <v>Club</v>
      </c>
      <c r="Z76" s="58" t="str" cm="1">
        <f t="array" ref="Z76">IF(Fixtures[[#This Row],[userTeamID]] = "N/A", "N/A", IF(SUM(COUNTIF(Fixtures[[#This Row],[homeTeam]], _xlfn._xlws.FILTER(Teams[name], (Fixtures[[#This Row],[userTeamID]] = Teams[teamID])*(Teams[relevant])))) &gt; 0, "H", "A"))</f>
        <v>A</v>
      </c>
      <c r="AA76" s="58" t="str">
        <f>IF(Fixtures[[#This Row],[userSide]] = "N/A", "N/A", IF(Fixtures[[#This Row],[userSide]] = "H", Fixtures[[#This Row],[awayTeam]], Fixtures[[#This Row],[homeTeam]]))</f>
        <v>Sunderland</v>
      </c>
      <c r="AB76" s="58" t="str" cm="1">
        <f t="array" ref="AB76">_xlfn._xlws.FILTER(Teams[teamID], Fixtures[[#This Row],[oppTeam]] = Teams[name], "N/A")</f>
        <v>C-ENG-SUNDERLAND</v>
      </c>
      <c r="AC76" s="58" t="str" cm="1">
        <f t="array" ref="AC76">_xlfn._xlws.FILTER(Teams[teamType], Fixtures[[#This Row],[oppTeam]] = Teams[name], "N/A")</f>
        <v>Club</v>
      </c>
      <c r="AD76" s="58">
        <f>IF(ISBLANK(Fixtures[[#This Row],[date]]), "N/A", IF(Fixtures[[#This Row],[userSide]]="H", Fixtures[[#This Row],[homeScore]], Fixtures[[#This Row],[awayScore]]))</f>
        <v>0</v>
      </c>
      <c r="AE76" s="58">
        <f>IF(ISBLANK(Fixtures[[#This Row],[date]]), "N/A", IF(Fixtures[[#This Row],[userScore]] = Fixtures[[#This Row],[homeScore]], Fixtures[[#This Row],[awayScore]], Fixtures[[#This Row],[homeScore]]))</f>
        <v>0</v>
      </c>
      <c r="AF76" s="58" t="b">
        <f>NOT(AND(ISBLANK(Fixtures[[#This Row],[homePens]]), ISBLANK(Fixtures[[#This Row],[awayPens]])))</f>
        <v>0</v>
      </c>
      <c r="AG76" s="58" t="str">
        <f>IF(Fixtures[[#This Row],[penalties]], IF(Fixtures[[#This Row],[userSide]]="H", Fixtures[[#This Row],[homePens]], Fixtures[[#This Row],[awayPens]]), "N/A")</f>
        <v>N/A</v>
      </c>
      <c r="AH76" s="58" t="str">
        <f>IF(Fixtures[[#This Row],[penalties]], IF(Fixtures[[#This Row],[userPens]]=Fixtures[[#This Row],[homePens]],Fixtures[[#This Row],[awayPens]],Fixtures[[#This Row],[homePens]]), "N/A")</f>
        <v>N/A</v>
      </c>
      <c r="AI76" s="58" t="b">
        <f>COUNTBLANK(Fixtures[[#This Row],[G]:[MOTM]]) = 0</f>
        <v>1</v>
      </c>
      <c r="AJ76" s="58">
        <f>IF(Fixtures[[#This Row],[APP]], Fixtures[[#This Row],[G]]+Fixtures[[#This Row],[A]], "N/A")</f>
        <v>0</v>
      </c>
      <c r="AK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76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[2024-08-10] Sunderland vs. Burnley (0-0) - EFL Championship</v>
      </c>
    </row>
    <row r="77" spans="1:40" ht="13">
      <c r="A77" s="55">
        <v>45517</v>
      </c>
      <c r="B77" s="61">
        <v>0.82291666666666663</v>
      </c>
      <c r="C77" s="56" t="s">
        <v>161</v>
      </c>
      <c r="D77" s="56" t="s">
        <v>119</v>
      </c>
      <c r="E77" s="56" t="s">
        <v>108</v>
      </c>
      <c r="F77" s="56" t="s">
        <v>180</v>
      </c>
      <c r="G77" s="56" t="s">
        <v>181</v>
      </c>
      <c r="H77" s="56" t="s">
        <v>169</v>
      </c>
      <c r="I77" s="56">
        <v>0</v>
      </c>
      <c r="J77" s="56">
        <v>1</v>
      </c>
      <c r="K77" s="56"/>
      <c r="L77" s="56"/>
      <c r="M77" s="56">
        <v>0</v>
      </c>
      <c r="N77" s="56">
        <v>0</v>
      </c>
      <c r="O77" s="56">
        <v>0</v>
      </c>
      <c r="P77" s="56">
        <v>0</v>
      </c>
      <c r="Q77" s="57">
        <v>6.2</v>
      </c>
      <c r="R77" s="56" t="b">
        <v>0</v>
      </c>
      <c r="S77" s="58" t="str" cm="1">
        <f t="array" ref="S77">_xlfn._xlws.FILTER(Competitions[compType], (Fixtures[[#This Row],[competition]] = Competitions[name]), "N/A")</f>
        <v>Domestic Cup</v>
      </c>
      <c r="T77" s="58" t="b" cm="1">
        <f t="array" ref="T77">_xlfn._xlws.FILTER(Competitions[exhibition], (Fixtures[[#This Row],[competition]] = Competitions[name]), "N/A")</f>
        <v>0</v>
      </c>
      <c r="U77" s="58" t="str" cm="1">
        <f t="array" ref="U77">_xlfn._xlws.FILTER(Competitions[compID], (Fixtures[[#This Row],[competition]] = Competitions[name]), "N/A")</f>
        <v>DC-OF-CARABAOCUP</v>
      </c>
      <c r="V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7" s="58" t="str" cm="1">
        <f t="array" ref="W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7" s="58" t="str" cm="1">
        <f t="array" ref="X77">_xlfn._xlws.FILTER(Teams[name], (Fixtures[[#This Row],[userTeamID]] = Teams[teamID]), "N/A")</f>
        <v>Burnley</v>
      </c>
      <c r="Y77" s="58" t="str" cm="1">
        <f t="array" ref="Y77">_xlfn._xlws.FILTER(Teams[teamType], (Fixtures[[#This Row],[userTeamID]] = Teams[teamID]), "N/A")</f>
        <v>Club</v>
      </c>
      <c r="Z77" s="58" t="str" cm="1">
        <f t="array" ref="Z77">IF(Fixtures[[#This Row],[userTeamID]] = "N/A", "N/A", IF(SUM(COUNTIF(Fixtures[[#This Row],[homeTeam]], _xlfn._xlws.FILTER(Teams[name], (Fixtures[[#This Row],[userTeamID]] = Teams[teamID])*(Teams[relevant])))) &gt; 0, "H", "A"))</f>
        <v>A</v>
      </c>
      <c r="AA77" s="58" t="str">
        <f>IF(Fixtures[[#This Row],[userSide]] = "N/A", "N/A", IF(Fixtures[[#This Row],[userSide]] = "H", Fixtures[[#This Row],[awayTeam]], Fixtures[[#This Row],[homeTeam]]))</f>
        <v>Exeter City</v>
      </c>
      <c r="AB77" s="58" t="str" cm="1">
        <f t="array" ref="AB77">_xlfn._xlws.FILTER(Teams[teamID], Fixtures[[#This Row],[oppTeam]] = Teams[name], "N/A")</f>
        <v>C-ENG-EXETERCITY</v>
      </c>
      <c r="AC77" s="58" t="str" cm="1">
        <f t="array" ref="AC77">_xlfn._xlws.FILTER(Teams[teamType], Fixtures[[#This Row],[oppTeam]] = Teams[name], "N/A")</f>
        <v>Club</v>
      </c>
      <c r="AD77" s="58">
        <f>IF(ISBLANK(Fixtures[[#This Row],[date]]), "N/A", IF(Fixtures[[#This Row],[userSide]]="H", Fixtures[[#This Row],[homeScore]], Fixtures[[#This Row],[awayScore]]))</f>
        <v>1</v>
      </c>
      <c r="AE77" s="58">
        <f>IF(ISBLANK(Fixtures[[#This Row],[date]]), "N/A", IF(Fixtures[[#This Row],[userScore]] = Fixtures[[#This Row],[homeScore]], Fixtures[[#This Row],[awayScore]], Fixtures[[#This Row],[homeScore]]))</f>
        <v>0</v>
      </c>
      <c r="AF77" s="58" t="b">
        <f>NOT(AND(ISBLANK(Fixtures[[#This Row],[homePens]]), ISBLANK(Fixtures[[#This Row],[awayPens]])))</f>
        <v>0</v>
      </c>
      <c r="AG77" s="58" t="str">
        <f>IF(Fixtures[[#This Row],[penalties]], IF(Fixtures[[#This Row],[userSide]]="H", Fixtures[[#This Row],[homePens]], Fixtures[[#This Row],[awayPens]]), "N/A")</f>
        <v>N/A</v>
      </c>
      <c r="AH77" s="58" t="str">
        <f>IF(Fixtures[[#This Row],[penalties]], IF(Fixtures[[#This Row],[userPens]]=Fixtures[[#This Row],[homePens]],Fixtures[[#This Row],[awayPens]],Fixtures[[#This Row],[homePens]]), "N/A")</f>
        <v>N/A</v>
      </c>
      <c r="AI77" s="58" t="b">
        <f>COUNTBLANK(Fixtures[[#This Row],[G]:[MOTM]]) = 0</f>
        <v>1</v>
      </c>
      <c r="AJ77" s="58">
        <f>IF(Fixtures[[#This Row],[APP]], Fixtures[[#This Row],[G]]+Fixtures[[#This Row],[A]], "N/A")</f>
        <v>0</v>
      </c>
      <c r="AK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7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[2024-08-13] Exeter City vs. Burnley (0-1) - Carabao Cup</v>
      </c>
      <c r="AN77" s="59" t="s">
        <v>182</v>
      </c>
    </row>
    <row r="78" spans="1:40" ht="13">
      <c r="A78" s="55">
        <v>45521</v>
      </c>
      <c r="B78" s="61">
        <v>0.625</v>
      </c>
      <c r="C78" s="56" t="s">
        <v>183</v>
      </c>
      <c r="D78" s="56" t="s">
        <v>175</v>
      </c>
      <c r="E78" s="56" t="s">
        <v>108</v>
      </c>
      <c r="F78" s="56" t="s">
        <v>176</v>
      </c>
      <c r="G78" s="56" t="s">
        <v>169</v>
      </c>
      <c r="H78" s="56" t="s">
        <v>184</v>
      </c>
      <c r="I78" s="56">
        <v>0</v>
      </c>
      <c r="J78" s="56">
        <v>0</v>
      </c>
      <c r="K78" s="56"/>
      <c r="L78" s="56"/>
      <c r="M78" s="56">
        <v>0</v>
      </c>
      <c r="N78" s="56">
        <v>0</v>
      </c>
      <c r="O78" s="56">
        <v>0</v>
      </c>
      <c r="P78" s="56">
        <v>0</v>
      </c>
      <c r="Q78" s="57">
        <v>6.6</v>
      </c>
      <c r="R78" s="56" t="b">
        <v>0</v>
      </c>
      <c r="S78" s="58" t="str" cm="1">
        <f t="array" ref="S78">_xlfn._xlws.FILTER(Competitions[compType], (Fixtures[[#This Row],[competition]] = Competitions[name]), "N/A")</f>
        <v>Domestic League</v>
      </c>
      <c r="T78" s="58" t="b" cm="1">
        <f t="array" ref="T78">_xlfn._xlws.FILTER(Competitions[exhibition], (Fixtures[[#This Row],[competition]] = Competitions[name]), "N/A")</f>
        <v>0</v>
      </c>
      <c r="U78" s="58" t="str" cm="1">
        <f t="array" ref="U78">_xlfn._xlws.FILTER(Competitions[compID], (Fixtures[[#This Row],[competition]] = Competitions[name]), "N/A")</f>
        <v>DL-OF-EFLCHAMPIONSHIP</v>
      </c>
      <c r="V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8" s="58" t="str" cm="1">
        <f t="array" ref="W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8" s="58" t="str" cm="1">
        <f t="array" ref="X78">_xlfn._xlws.FILTER(Teams[name], (Fixtures[[#This Row],[userTeamID]] = Teams[teamID]), "N/A")</f>
        <v>Burnley</v>
      </c>
      <c r="Y78" s="58" t="str" cm="1">
        <f t="array" ref="Y78">_xlfn._xlws.FILTER(Teams[teamType], (Fixtures[[#This Row],[userTeamID]] = Teams[teamID]), "N/A")</f>
        <v>Club</v>
      </c>
      <c r="Z78" s="58" t="str" cm="1">
        <f t="array" ref="Z78">IF(Fixtures[[#This Row],[userTeamID]] = "N/A", "N/A", IF(SUM(COUNTIF(Fixtures[[#This Row],[homeTeam]], _xlfn._xlws.FILTER(Teams[name], (Fixtures[[#This Row],[userTeamID]] = Teams[teamID])*(Teams[relevant])))) &gt; 0, "H", "A"))</f>
        <v>H</v>
      </c>
      <c r="AA78" s="58" t="str">
        <f>IF(Fixtures[[#This Row],[userSide]] = "N/A", "N/A", IF(Fixtures[[#This Row],[userSide]] = "H", Fixtures[[#This Row],[awayTeam]], Fixtures[[#This Row],[homeTeam]]))</f>
        <v>QPR</v>
      </c>
      <c r="AB78" s="58" t="str" cm="1">
        <f t="array" ref="AB78">_xlfn._xlws.FILTER(Teams[teamID], Fixtures[[#This Row],[oppTeam]] = Teams[name], "N/A")</f>
        <v>C-ENG-QPR</v>
      </c>
      <c r="AC78" s="58" t="str" cm="1">
        <f t="array" ref="AC78">_xlfn._xlws.FILTER(Teams[teamType], Fixtures[[#This Row],[oppTeam]] = Teams[name], "N/A")</f>
        <v>Club</v>
      </c>
      <c r="AD78" s="58">
        <f>IF(ISBLANK(Fixtures[[#This Row],[date]]), "N/A", IF(Fixtures[[#This Row],[userSide]]="H", Fixtures[[#This Row],[homeScore]], Fixtures[[#This Row],[awayScore]]))</f>
        <v>0</v>
      </c>
      <c r="AE78" s="58">
        <f>IF(ISBLANK(Fixtures[[#This Row],[date]]), "N/A", IF(Fixtures[[#This Row],[userScore]] = Fixtures[[#This Row],[homeScore]], Fixtures[[#This Row],[awayScore]], Fixtures[[#This Row],[homeScore]]))</f>
        <v>0</v>
      </c>
      <c r="AF78" s="58" t="b">
        <f>NOT(AND(ISBLANK(Fixtures[[#This Row],[homePens]]), ISBLANK(Fixtures[[#This Row],[awayPens]])))</f>
        <v>0</v>
      </c>
      <c r="AG78" s="58" t="str">
        <f>IF(Fixtures[[#This Row],[penalties]], IF(Fixtures[[#This Row],[userSide]]="H", Fixtures[[#This Row],[homePens]], Fixtures[[#This Row],[awayPens]]), "N/A")</f>
        <v>N/A</v>
      </c>
      <c r="AH78" s="58" t="str">
        <f>IF(Fixtures[[#This Row],[penalties]], IF(Fixtures[[#This Row],[userPens]]=Fixtures[[#This Row],[homePens]],Fixtures[[#This Row],[awayPens]],Fixtures[[#This Row],[homePens]]), "N/A")</f>
        <v>N/A</v>
      </c>
      <c r="AI78" s="58" t="b">
        <f>COUNTBLANK(Fixtures[[#This Row],[G]:[MOTM]]) = 0</f>
        <v>1</v>
      </c>
      <c r="AJ78" s="58">
        <f>IF(Fixtures[[#This Row],[APP]], Fixtures[[#This Row],[G]]+Fixtures[[#This Row],[A]], "N/A")</f>
        <v>0</v>
      </c>
      <c r="AK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7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[2024-08-17] Burnley vs. QPR (0-0) - EFL Championship</v>
      </c>
    </row>
    <row r="79" spans="1:40" ht="13">
      <c r="A79" s="55">
        <v>45525</v>
      </c>
      <c r="B79" s="61">
        <v>0.82291666666666663</v>
      </c>
      <c r="C79" s="56" t="s">
        <v>183</v>
      </c>
      <c r="D79" s="56" t="s">
        <v>185</v>
      </c>
      <c r="E79" s="56" t="s">
        <v>186</v>
      </c>
      <c r="F79" s="56" t="s">
        <v>176</v>
      </c>
      <c r="G79" s="56" t="s">
        <v>187</v>
      </c>
      <c r="H79" s="56" t="s">
        <v>169</v>
      </c>
      <c r="I79" s="56">
        <v>0</v>
      </c>
      <c r="J79" s="56">
        <v>0</v>
      </c>
      <c r="K79" s="56"/>
      <c r="L79" s="56"/>
      <c r="M79" s="56">
        <v>0</v>
      </c>
      <c r="N79" s="56">
        <v>0</v>
      </c>
      <c r="O79" s="56">
        <v>0</v>
      </c>
      <c r="P79" s="56">
        <v>0</v>
      </c>
      <c r="Q79" s="57">
        <v>6.6</v>
      </c>
      <c r="R79" s="56" t="b">
        <v>0</v>
      </c>
      <c r="S79" s="58" t="str" cm="1">
        <f t="array" ref="S79">_xlfn._xlws.FILTER(Competitions[compType], (Fixtures[[#This Row],[competition]] = Competitions[name]), "N/A")</f>
        <v>Domestic League</v>
      </c>
      <c r="T79" s="58" t="b" cm="1">
        <f t="array" ref="T79">_xlfn._xlws.FILTER(Competitions[exhibition], (Fixtures[[#This Row],[competition]] = Competitions[name]), "N/A")</f>
        <v>0</v>
      </c>
      <c r="U79" s="58" t="str" cm="1">
        <f t="array" ref="U79">_xlfn._xlws.FILTER(Competitions[compID], (Fixtures[[#This Row],[competition]] = Competitions[name]), "N/A")</f>
        <v>DL-OF-EFLCHAMPIONSHIP</v>
      </c>
      <c r="V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79" s="58" t="str" cm="1">
        <f t="array" ref="W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79" s="58" t="str" cm="1">
        <f t="array" ref="X79">_xlfn._xlws.FILTER(Teams[name], (Fixtures[[#This Row],[userTeamID]] = Teams[teamID]), "N/A")</f>
        <v>Burnley</v>
      </c>
      <c r="Y79" s="58" t="str" cm="1">
        <f t="array" ref="Y79">_xlfn._xlws.FILTER(Teams[teamType], (Fixtures[[#This Row],[userTeamID]] = Teams[teamID]), "N/A")</f>
        <v>Club</v>
      </c>
      <c r="Z79" s="58" t="str" cm="1">
        <f t="array" ref="Z79">IF(Fixtures[[#This Row],[userTeamID]] = "N/A", "N/A", IF(SUM(COUNTIF(Fixtures[[#This Row],[homeTeam]], _xlfn._xlws.FILTER(Teams[name], (Fixtures[[#This Row],[userTeamID]] = Teams[teamID])*(Teams[relevant])))) &gt; 0, "H", "A"))</f>
        <v>A</v>
      </c>
      <c r="AA79" s="58" t="str">
        <f>IF(Fixtures[[#This Row],[userSide]] = "N/A", "N/A", IF(Fixtures[[#This Row],[userSide]] = "H", Fixtures[[#This Row],[awayTeam]], Fixtures[[#This Row],[homeTeam]]))</f>
        <v>West Brom</v>
      </c>
      <c r="AB79" s="58" t="str" cm="1">
        <f t="array" ref="AB79">_xlfn._xlws.FILTER(Teams[teamID], Fixtures[[#This Row],[oppTeam]] = Teams[name], "N/A")</f>
        <v>C-ENG-WESTBROM</v>
      </c>
      <c r="AC79" s="58" t="str" cm="1">
        <f t="array" ref="AC79">_xlfn._xlws.FILTER(Teams[teamType], Fixtures[[#This Row],[oppTeam]] = Teams[name], "N/A")</f>
        <v>Club</v>
      </c>
      <c r="AD79" s="58">
        <f>IF(ISBLANK(Fixtures[[#This Row],[date]]), "N/A", IF(Fixtures[[#This Row],[userSide]]="H", Fixtures[[#This Row],[homeScore]], Fixtures[[#This Row],[awayScore]]))</f>
        <v>0</v>
      </c>
      <c r="AE79" s="58">
        <f>IF(ISBLANK(Fixtures[[#This Row],[date]]), "N/A", IF(Fixtures[[#This Row],[userScore]] = Fixtures[[#This Row],[homeScore]], Fixtures[[#This Row],[awayScore]], Fixtures[[#This Row],[homeScore]]))</f>
        <v>0</v>
      </c>
      <c r="AF79" s="58" t="b">
        <f>NOT(AND(ISBLANK(Fixtures[[#This Row],[homePens]]), ISBLANK(Fixtures[[#This Row],[awayPens]])))</f>
        <v>0</v>
      </c>
      <c r="AG79" s="58" t="str">
        <f>IF(Fixtures[[#This Row],[penalties]], IF(Fixtures[[#This Row],[userSide]]="H", Fixtures[[#This Row],[homePens]], Fixtures[[#This Row],[awayPens]]), "N/A")</f>
        <v>N/A</v>
      </c>
      <c r="AH79" s="58" t="str">
        <f>IF(Fixtures[[#This Row],[penalties]], IF(Fixtures[[#This Row],[userPens]]=Fixtures[[#This Row],[homePens]],Fixtures[[#This Row],[awayPens]],Fixtures[[#This Row],[homePens]]), "N/A")</f>
        <v>N/A</v>
      </c>
      <c r="AI79" s="58" t="b">
        <f>COUNTBLANK(Fixtures[[#This Row],[G]:[MOTM]]) = 0</f>
        <v>1</v>
      </c>
      <c r="AJ79" s="58">
        <f>IF(Fixtures[[#This Row],[APP]], Fixtures[[#This Row],[G]]+Fixtures[[#This Row],[A]], "N/A")</f>
        <v>0</v>
      </c>
      <c r="AK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7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[2024-08-21] West Brom vs. Burnley (0-0) - EFL Championship</v>
      </c>
    </row>
    <row r="80" spans="1:40" ht="13">
      <c r="A80" s="55">
        <v>45528</v>
      </c>
      <c r="B80" s="61">
        <v>0.625</v>
      </c>
      <c r="C80" s="56" t="s">
        <v>161</v>
      </c>
      <c r="D80" s="56" t="s">
        <v>175</v>
      </c>
      <c r="E80" s="56" t="s">
        <v>188</v>
      </c>
      <c r="F80" s="56" t="s">
        <v>176</v>
      </c>
      <c r="G80" s="56" t="s">
        <v>169</v>
      </c>
      <c r="H80" s="56" t="s">
        <v>189</v>
      </c>
      <c r="I80" s="56">
        <v>1</v>
      </c>
      <c r="J80" s="56">
        <v>0</v>
      </c>
      <c r="K80" s="56"/>
      <c r="L80" s="56"/>
      <c r="M80" s="56">
        <v>0</v>
      </c>
      <c r="N80" s="56">
        <v>1</v>
      </c>
      <c r="O80" s="56">
        <v>0</v>
      </c>
      <c r="P80" s="56">
        <v>0</v>
      </c>
      <c r="Q80" s="57">
        <v>7</v>
      </c>
      <c r="R80" s="56" t="b">
        <v>0</v>
      </c>
      <c r="S80" s="58" t="str" cm="1">
        <f t="array" ref="S80">_xlfn._xlws.FILTER(Competitions[compType], (Fixtures[[#This Row],[competition]] = Competitions[name]), "N/A")</f>
        <v>Domestic League</v>
      </c>
      <c r="T80" s="58" t="b" cm="1">
        <f t="array" ref="T80">_xlfn._xlws.FILTER(Competitions[exhibition], (Fixtures[[#This Row],[competition]] = Competitions[name]), "N/A")</f>
        <v>0</v>
      </c>
      <c r="U80" s="58" t="str" cm="1">
        <f t="array" ref="U80">_xlfn._xlws.FILTER(Competitions[compID], (Fixtures[[#This Row],[competition]] = Competitions[name]), "N/A")</f>
        <v>DL-OF-EFLCHAMPIONSHIP</v>
      </c>
      <c r="V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0" s="58" t="str" cm="1">
        <f t="array" ref="W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0" s="58" t="str" cm="1">
        <f t="array" ref="X80">_xlfn._xlws.FILTER(Teams[name], (Fixtures[[#This Row],[userTeamID]] = Teams[teamID]), "N/A")</f>
        <v>Burnley</v>
      </c>
      <c r="Y80" s="58" t="str" cm="1">
        <f t="array" ref="Y80">_xlfn._xlws.FILTER(Teams[teamType], (Fixtures[[#This Row],[userTeamID]] = Teams[teamID]), "N/A")</f>
        <v>Club</v>
      </c>
      <c r="Z80" s="58" t="str" cm="1">
        <f t="array" ref="Z80">IF(Fixtures[[#This Row],[userTeamID]] = "N/A", "N/A", IF(SUM(COUNTIF(Fixtures[[#This Row],[homeTeam]], _xlfn._xlws.FILTER(Teams[name], (Fixtures[[#This Row],[userTeamID]] = Teams[teamID])*(Teams[relevant])))) &gt; 0, "H", "A"))</f>
        <v>H</v>
      </c>
      <c r="AA80" s="58" t="str">
        <f>IF(Fixtures[[#This Row],[userSide]] = "N/A", "N/A", IF(Fixtures[[#This Row],[userSide]] = "H", Fixtures[[#This Row],[awayTeam]], Fixtures[[#This Row],[homeTeam]]))</f>
        <v>Sheffield Utd</v>
      </c>
      <c r="AB80" s="58" t="str" cm="1">
        <f t="array" ref="AB80">_xlfn._xlws.FILTER(Teams[teamID], Fixtures[[#This Row],[oppTeam]] = Teams[name], "N/A")</f>
        <v>C-ENG-SHEFFIELDUTD</v>
      </c>
      <c r="AC80" s="58" t="str" cm="1">
        <f t="array" ref="AC80">_xlfn._xlws.FILTER(Teams[teamType], Fixtures[[#This Row],[oppTeam]] = Teams[name], "N/A")</f>
        <v>Club</v>
      </c>
      <c r="AD80" s="58">
        <f>IF(ISBLANK(Fixtures[[#This Row],[date]]), "N/A", IF(Fixtures[[#This Row],[userSide]]="H", Fixtures[[#This Row],[homeScore]], Fixtures[[#This Row],[awayScore]]))</f>
        <v>1</v>
      </c>
      <c r="AE80" s="58">
        <f>IF(ISBLANK(Fixtures[[#This Row],[date]]), "N/A", IF(Fixtures[[#This Row],[userScore]] = Fixtures[[#This Row],[homeScore]], Fixtures[[#This Row],[awayScore]], Fixtures[[#This Row],[homeScore]]))</f>
        <v>0</v>
      </c>
      <c r="AF80" s="58" t="b">
        <f>NOT(AND(ISBLANK(Fixtures[[#This Row],[homePens]]), ISBLANK(Fixtures[[#This Row],[awayPens]])))</f>
        <v>0</v>
      </c>
      <c r="AG80" s="58" t="str">
        <f>IF(Fixtures[[#This Row],[penalties]], IF(Fixtures[[#This Row],[userSide]]="H", Fixtures[[#This Row],[homePens]], Fixtures[[#This Row],[awayPens]]), "N/A")</f>
        <v>N/A</v>
      </c>
      <c r="AH80" s="58" t="str">
        <f>IF(Fixtures[[#This Row],[penalties]], IF(Fixtures[[#This Row],[userPens]]=Fixtures[[#This Row],[homePens]],Fixtures[[#This Row],[awayPens]],Fixtures[[#This Row],[homePens]]), "N/A")</f>
        <v>N/A</v>
      </c>
      <c r="AI80" s="58" t="b">
        <f>COUNTBLANK(Fixtures[[#This Row],[G]:[MOTM]]) = 0</f>
        <v>1</v>
      </c>
      <c r="AJ80" s="58">
        <f>IF(Fixtures[[#This Row],[APP]], Fixtures[[#This Row],[G]]+Fixtures[[#This Row],[A]], "N/A")</f>
        <v>1</v>
      </c>
      <c r="AK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[2024-08-24] Burnley vs. Sheffield Utd (1-0) - EFL Championship</v>
      </c>
    </row>
    <row r="81" spans="1:40" ht="13">
      <c r="A81" s="55">
        <v>45531</v>
      </c>
      <c r="B81" s="61">
        <v>0.82291666666666663</v>
      </c>
      <c r="C81" s="56" t="s">
        <v>161</v>
      </c>
      <c r="D81" s="56" t="s">
        <v>190</v>
      </c>
      <c r="E81" s="56" t="s">
        <v>191</v>
      </c>
      <c r="F81" s="56" t="s">
        <v>180</v>
      </c>
      <c r="G81" s="56" t="s">
        <v>192</v>
      </c>
      <c r="H81" s="56" t="s">
        <v>169</v>
      </c>
      <c r="I81" s="56">
        <v>0</v>
      </c>
      <c r="J81" s="56">
        <v>0</v>
      </c>
      <c r="K81" s="56">
        <v>4</v>
      </c>
      <c r="L81" s="56">
        <v>1</v>
      </c>
      <c r="M81" s="56">
        <v>0</v>
      </c>
      <c r="N81" s="56">
        <v>0</v>
      </c>
      <c r="O81" s="56">
        <v>0</v>
      </c>
      <c r="P81" s="56">
        <v>0</v>
      </c>
      <c r="Q81" s="57">
        <v>6.8</v>
      </c>
      <c r="R81" s="56" t="b">
        <v>0</v>
      </c>
      <c r="S81" s="58" t="str" cm="1">
        <f t="array" ref="S81">_xlfn._xlws.FILTER(Competitions[compType], (Fixtures[[#This Row],[competition]] = Competitions[name]), "N/A")</f>
        <v>Domestic Cup</v>
      </c>
      <c r="T81" s="58" t="b" cm="1">
        <f t="array" ref="T81">_xlfn._xlws.FILTER(Competitions[exhibition], (Fixtures[[#This Row],[competition]] = Competitions[name]), "N/A")</f>
        <v>0</v>
      </c>
      <c r="U81" s="58" t="str" cm="1">
        <f t="array" ref="U81">_xlfn._xlws.FILTER(Competitions[compID], (Fixtures[[#This Row],[competition]] = Competitions[name]), "N/A")</f>
        <v>DC-OF-CARABAOCUP</v>
      </c>
      <c r="V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1" s="58" t="str" cm="1">
        <f t="array" ref="W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1" s="58" t="str" cm="1">
        <f t="array" ref="X81">_xlfn._xlws.FILTER(Teams[name], (Fixtures[[#This Row],[userTeamID]] = Teams[teamID]), "N/A")</f>
        <v>Burnley</v>
      </c>
      <c r="Y81" s="58" t="str" cm="1">
        <f t="array" ref="Y81">_xlfn._xlws.FILTER(Teams[teamType], (Fixtures[[#This Row],[userTeamID]] = Teams[teamID]), "N/A")</f>
        <v>Club</v>
      </c>
      <c r="Z81" s="58" t="str" cm="1">
        <f t="array" ref="Z81">IF(Fixtures[[#This Row],[userTeamID]] = "N/A", "N/A", IF(SUM(COUNTIF(Fixtures[[#This Row],[homeTeam]], _xlfn._xlws.FILTER(Teams[name], (Fixtures[[#This Row],[userTeamID]] = Teams[teamID])*(Teams[relevant])))) &gt; 0, "H", "A"))</f>
        <v>A</v>
      </c>
      <c r="AA81" s="58" t="str">
        <f>IF(Fixtures[[#This Row],[userSide]] = "N/A", "N/A", IF(Fixtures[[#This Row],[userSide]] = "H", Fixtures[[#This Row],[awayTeam]], Fixtures[[#This Row],[homeTeam]]))</f>
        <v>Blackpool</v>
      </c>
      <c r="AB81" s="58" t="str" cm="1">
        <f t="array" ref="AB81">_xlfn._xlws.FILTER(Teams[teamID], Fixtures[[#This Row],[oppTeam]] = Teams[name], "N/A")</f>
        <v>C-ENG-BLACKPOOL</v>
      </c>
      <c r="AC81" s="58" t="str" cm="1">
        <f t="array" ref="AC81">_xlfn._xlws.FILTER(Teams[teamType], Fixtures[[#This Row],[oppTeam]] = Teams[name], "N/A")</f>
        <v>Club</v>
      </c>
      <c r="AD81" s="58">
        <f>IF(ISBLANK(Fixtures[[#This Row],[date]]), "N/A", IF(Fixtures[[#This Row],[userSide]]="H", Fixtures[[#This Row],[homeScore]], Fixtures[[#This Row],[awayScore]]))</f>
        <v>0</v>
      </c>
      <c r="AE81" s="58">
        <f>IF(ISBLANK(Fixtures[[#This Row],[date]]), "N/A", IF(Fixtures[[#This Row],[userScore]] = Fixtures[[#This Row],[homeScore]], Fixtures[[#This Row],[awayScore]], Fixtures[[#This Row],[homeScore]]))</f>
        <v>0</v>
      </c>
      <c r="AF81" s="58" t="b">
        <f>NOT(AND(ISBLANK(Fixtures[[#This Row],[homePens]]), ISBLANK(Fixtures[[#This Row],[awayPens]])))</f>
        <v>1</v>
      </c>
      <c r="AG81" s="58">
        <f>IF(Fixtures[[#This Row],[penalties]], IF(Fixtures[[#This Row],[userSide]]="H", Fixtures[[#This Row],[homePens]], Fixtures[[#This Row],[awayPens]]), "N/A")</f>
        <v>1</v>
      </c>
      <c r="AH81" s="58">
        <f>IF(Fixtures[[#This Row],[penalties]], IF(Fixtures[[#This Row],[userPens]]=Fixtures[[#This Row],[homePens]],Fixtures[[#This Row],[awayPens]],Fixtures[[#This Row],[homePens]]), "N/A")</f>
        <v>4</v>
      </c>
      <c r="AI81" s="58" t="b">
        <f>COUNTBLANK(Fixtures[[#This Row],[G]:[MOTM]]) = 0</f>
        <v>1</v>
      </c>
      <c r="AJ81" s="58">
        <f>IF(Fixtures[[#This Row],[APP]], Fixtures[[#This Row],[G]]+Fixtures[[#This Row],[A]], "N/A")</f>
        <v>0</v>
      </c>
      <c r="AK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81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[2024-08-27] Blackpool vs. Burnley (0-0) [4-1][P] - Carabao Cup</v>
      </c>
    </row>
    <row r="82" spans="1:40" ht="13">
      <c r="A82" s="55">
        <v>45535</v>
      </c>
      <c r="B82" s="61">
        <v>0.52083333333333337</v>
      </c>
      <c r="C82" s="56" t="s">
        <v>161</v>
      </c>
      <c r="D82" s="56" t="s">
        <v>175</v>
      </c>
      <c r="E82" s="56" t="s">
        <v>193</v>
      </c>
      <c r="F82" s="56" t="s">
        <v>176</v>
      </c>
      <c r="G82" s="56" t="s">
        <v>169</v>
      </c>
      <c r="H82" s="56" t="s">
        <v>194</v>
      </c>
      <c r="I82" s="56">
        <v>2</v>
      </c>
      <c r="J82" s="56">
        <v>0</v>
      </c>
      <c r="K82" s="56"/>
      <c r="L82" s="56"/>
      <c r="M82" s="56">
        <v>1</v>
      </c>
      <c r="N82" s="56">
        <v>0</v>
      </c>
      <c r="O82" s="56">
        <v>0</v>
      </c>
      <c r="P82" s="56">
        <v>0</v>
      </c>
      <c r="Q82" s="57">
        <v>8.4</v>
      </c>
      <c r="R82" s="56" t="b">
        <v>1</v>
      </c>
      <c r="S82" s="58" t="str" cm="1">
        <f t="array" ref="S82">_xlfn._xlws.FILTER(Competitions[compType], (Fixtures[[#This Row],[competition]] = Competitions[name]), "N/A")</f>
        <v>Domestic League</v>
      </c>
      <c r="T82" s="58" t="b" cm="1">
        <f t="array" ref="T82">_xlfn._xlws.FILTER(Competitions[exhibition], (Fixtures[[#This Row],[competition]] = Competitions[name]), "N/A")</f>
        <v>0</v>
      </c>
      <c r="U82" s="58" t="str" cm="1">
        <f t="array" ref="U82">_xlfn._xlws.FILTER(Competitions[compID], (Fixtures[[#This Row],[competition]] = Competitions[name]), "N/A")</f>
        <v>DL-OF-EFLCHAMPIONSHIP</v>
      </c>
      <c r="V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2" s="58" t="str" cm="1">
        <f t="array" ref="W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2" s="58" t="str" cm="1">
        <f t="array" ref="X82">_xlfn._xlws.FILTER(Teams[name], (Fixtures[[#This Row],[userTeamID]] = Teams[teamID]), "N/A")</f>
        <v>Burnley</v>
      </c>
      <c r="Y82" s="58" t="str" cm="1">
        <f t="array" ref="Y82">_xlfn._xlws.FILTER(Teams[teamType], (Fixtures[[#This Row],[userTeamID]] = Teams[teamID]), "N/A")</f>
        <v>Club</v>
      </c>
      <c r="Z82" s="58" t="str" cm="1">
        <f t="array" ref="Z82">IF(Fixtures[[#This Row],[userTeamID]] = "N/A", "N/A", IF(SUM(COUNTIF(Fixtures[[#This Row],[homeTeam]], _xlfn._xlws.FILTER(Teams[name], (Fixtures[[#This Row],[userTeamID]] = Teams[teamID])*(Teams[relevant])))) &gt; 0, "H", "A"))</f>
        <v>H</v>
      </c>
      <c r="AA82" s="58" t="str">
        <f>IF(Fixtures[[#This Row],[userSide]] = "N/A", "N/A", IF(Fixtures[[#This Row],[userSide]] = "H", Fixtures[[#This Row],[awayTeam]], Fixtures[[#This Row],[homeTeam]]))</f>
        <v>Charlton Ath</v>
      </c>
      <c r="AB82" s="58" t="str" cm="1">
        <f t="array" ref="AB82">_xlfn._xlws.FILTER(Teams[teamID], Fixtures[[#This Row],[oppTeam]] = Teams[name], "N/A")</f>
        <v>C-ENG-CHARLTONATH</v>
      </c>
      <c r="AC82" s="58" t="str" cm="1">
        <f t="array" ref="AC82">_xlfn._xlws.FILTER(Teams[teamType], Fixtures[[#This Row],[oppTeam]] = Teams[name], "N/A")</f>
        <v>Club</v>
      </c>
      <c r="AD82" s="58">
        <f>IF(ISBLANK(Fixtures[[#This Row],[date]]), "N/A", IF(Fixtures[[#This Row],[userSide]]="H", Fixtures[[#This Row],[homeScore]], Fixtures[[#This Row],[awayScore]]))</f>
        <v>2</v>
      </c>
      <c r="AE82" s="58">
        <f>IF(ISBLANK(Fixtures[[#This Row],[date]]), "N/A", IF(Fixtures[[#This Row],[userScore]] = Fixtures[[#This Row],[homeScore]], Fixtures[[#This Row],[awayScore]], Fixtures[[#This Row],[homeScore]]))</f>
        <v>0</v>
      </c>
      <c r="AF82" s="58" t="b">
        <f>NOT(AND(ISBLANK(Fixtures[[#This Row],[homePens]]), ISBLANK(Fixtures[[#This Row],[awayPens]])))</f>
        <v>0</v>
      </c>
      <c r="AG82" s="58" t="str">
        <f>IF(Fixtures[[#This Row],[penalties]], IF(Fixtures[[#This Row],[userSide]]="H", Fixtures[[#This Row],[homePens]], Fixtures[[#This Row],[awayPens]]), "N/A")</f>
        <v>N/A</v>
      </c>
      <c r="AH82" s="58" t="str">
        <f>IF(Fixtures[[#This Row],[penalties]], IF(Fixtures[[#This Row],[userPens]]=Fixtures[[#This Row],[homePens]],Fixtures[[#This Row],[awayPens]],Fixtures[[#This Row],[homePens]]), "N/A")</f>
        <v>N/A</v>
      </c>
      <c r="AI82" s="58" t="b">
        <f>COUNTBLANK(Fixtures[[#This Row],[G]:[MOTM]]) = 0</f>
        <v>1</v>
      </c>
      <c r="AJ82" s="58">
        <f>IF(Fixtures[[#This Row],[APP]], Fixtures[[#This Row],[G]]+Fixtures[[#This Row],[A]], "N/A")</f>
        <v>1</v>
      </c>
      <c r="AK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2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[2024-08-31] Burnley vs. Charlton Ath (2-0) - EFL Championship</v>
      </c>
    </row>
    <row r="83" spans="1:40" ht="13">
      <c r="A83" s="55">
        <v>45542</v>
      </c>
      <c r="B83" s="61">
        <v>0.625</v>
      </c>
      <c r="C83" s="56" t="s">
        <v>195</v>
      </c>
      <c r="D83" s="56" t="s">
        <v>196</v>
      </c>
      <c r="E83" s="56" t="s">
        <v>188</v>
      </c>
      <c r="F83" s="56" t="s">
        <v>176</v>
      </c>
      <c r="G83" s="56" t="s">
        <v>197</v>
      </c>
      <c r="H83" s="56" t="s">
        <v>169</v>
      </c>
      <c r="I83" s="56">
        <v>0</v>
      </c>
      <c r="J83" s="56">
        <v>0</v>
      </c>
      <c r="K83" s="56"/>
      <c r="L83" s="56"/>
      <c r="M83" s="56">
        <v>0</v>
      </c>
      <c r="N83" s="56">
        <v>0</v>
      </c>
      <c r="O83" s="56">
        <v>0</v>
      </c>
      <c r="P83" s="56">
        <v>0</v>
      </c>
      <c r="Q83" s="57">
        <v>6.8</v>
      </c>
      <c r="R83" s="56" t="b">
        <v>0</v>
      </c>
      <c r="S83" s="58" t="str" cm="1">
        <f t="array" ref="S83">_xlfn._xlws.FILTER(Competitions[compType], (Fixtures[[#This Row],[competition]] = Competitions[name]), "N/A")</f>
        <v>Domestic League</v>
      </c>
      <c r="T83" s="58" t="b" cm="1">
        <f t="array" ref="T83">_xlfn._xlws.FILTER(Competitions[exhibition], (Fixtures[[#This Row],[competition]] = Competitions[name]), "N/A")</f>
        <v>0</v>
      </c>
      <c r="U83" s="58" t="str" cm="1">
        <f t="array" ref="U83">_xlfn._xlws.FILTER(Competitions[compID], (Fixtures[[#This Row],[competition]] = Competitions[name]), "N/A")</f>
        <v>DL-OF-EFLCHAMPIONSHIP</v>
      </c>
      <c r="V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3" s="58" t="str" cm="1">
        <f t="array" ref="W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3" s="58" t="str" cm="1">
        <f t="array" ref="X83">_xlfn._xlws.FILTER(Teams[name], (Fixtures[[#This Row],[userTeamID]] = Teams[teamID]), "N/A")</f>
        <v>Burnley</v>
      </c>
      <c r="Y83" s="58" t="str" cm="1">
        <f t="array" ref="Y83">_xlfn._xlws.FILTER(Teams[teamType], (Fixtures[[#This Row],[userTeamID]] = Teams[teamID]), "N/A")</f>
        <v>Club</v>
      </c>
      <c r="Z83" s="58" t="str" cm="1">
        <f t="array" ref="Z83">IF(Fixtures[[#This Row],[userTeamID]] = "N/A", "N/A", IF(SUM(COUNTIF(Fixtures[[#This Row],[homeTeam]], _xlfn._xlws.FILTER(Teams[name], (Fixtures[[#This Row],[userTeamID]] = Teams[teamID])*(Teams[relevant])))) &gt; 0, "H", "A"))</f>
        <v>A</v>
      </c>
      <c r="AA83" s="58" t="str">
        <f>IF(Fixtures[[#This Row],[userSide]] = "N/A", "N/A", IF(Fixtures[[#This Row],[userSide]] = "H", Fixtures[[#This Row],[awayTeam]], Fixtures[[#This Row],[homeTeam]]))</f>
        <v>Hull City</v>
      </c>
      <c r="AB83" s="58" t="str" cm="1">
        <f t="array" ref="AB83">_xlfn._xlws.FILTER(Teams[teamID], Fixtures[[#This Row],[oppTeam]] = Teams[name], "N/A")</f>
        <v>C-ENG-HULLCITY</v>
      </c>
      <c r="AC83" s="58" t="str" cm="1">
        <f t="array" ref="AC83">_xlfn._xlws.FILTER(Teams[teamType], Fixtures[[#This Row],[oppTeam]] = Teams[name], "N/A")</f>
        <v>Club</v>
      </c>
      <c r="AD83" s="58">
        <f>IF(ISBLANK(Fixtures[[#This Row],[date]]), "N/A", IF(Fixtures[[#This Row],[userSide]]="H", Fixtures[[#This Row],[homeScore]], Fixtures[[#This Row],[awayScore]]))</f>
        <v>0</v>
      </c>
      <c r="AE83" s="58">
        <f>IF(ISBLANK(Fixtures[[#This Row],[date]]), "N/A", IF(Fixtures[[#This Row],[userScore]] = Fixtures[[#This Row],[homeScore]], Fixtures[[#This Row],[awayScore]], Fixtures[[#This Row],[homeScore]]))</f>
        <v>0</v>
      </c>
      <c r="AF83" s="58" t="b">
        <f>NOT(AND(ISBLANK(Fixtures[[#This Row],[homePens]]), ISBLANK(Fixtures[[#This Row],[awayPens]])))</f>
        <v>0</v>
      </c>
      <c r="AG83" s="58" t="str">
        <f>IF(Fixtures[[#This Row],[penalties]], IF(Fixtures[[#This Row],[userSide]]="H", Fixtures[[#This Row],[homePens]], Fixtures[[#This Row],[awayPens]]), "N/A")</f>
        <v>N/A</v>
      </c>
      <c r="AH83" s="58" t="str">
        <f>IF(Fixtures[[#This Row],[penalties]], IF(Fixtures[[#This Row],[userPens]]=Fixtures[[#This Row],[homePens]],Fixtures[[#This Row],[awayPens]],Fixtures[[#This Row],[homePens]]), "N/A")</f>
        <v>N/A</v>
      </c>
      <c r="AI83" s="58" t="b">
        <f>COUNTBLANK(Fixtures[[#This Row],[G]:[MOTM]]) = 0</f>
        <v>1</v>
      </c>
      <c r="AJ83" s="58">
        <f>IF(Fixtures[[#This Row],[APP]], Fixtures[[#This Row],[G]]+Fixtures[[#This Row],[A]], "N/A")</f>
        <v>0</v>
      </c>
      <c r="AK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83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[2024-09-07] Hull City vs. Burnley (0-0) - EFL Championship</v>
      </c>
    </row>
    <row r="84" spans="1:40" ht="13">
      <c r="A84" s="55">
        <v>45545</v>
      </c>
      <c r="B84" s="61">
        <v>0.82291666666666663</v>
      </c>
      <c r="C84" s="56" t="s">
        <v>161</v>
      </c>
      <c r="D84" s="56" t="s">
        <v>175</v>
      </c>
      <c r="E84" s="56" t="s">
        <v>198</v>
      </c>
      <c r="F84" s="56" t="s">
        <v>176</v>
      </c>
      <c r="G84" s="56" t="s">
        <v>169</v>
      </c>
      <c r="H84" s="56" t="s">
        <v>199</v>
      </c>
      <c r="I84" s="56">
        <v>3</v>
      </c>
      <c r="J84" s="56">
        <v>0</v>
      </c>
      <c r="K84" s="56"/>
      <c r="L84" s="56"/>
      <c r="M84" s="56">
        <v>1</v>
      </c>
      <c r="N84" s="56">
        <v>1</v>
      </c>
      <c r="O84" s="56">
        <v>0</v>
      </c>
      <c r="P84" s="56">
        <v>0</v>
      </c>
      <c r="Q84" s="57">
        <v>8.1999999999999993</v>
      </c>
      <c r="R84" s="56" t="b">
        <v>1</v>
      </c>
      <c r="S84" s="58" t="str" cm="1">
        <f t="array" ref="S84">_xlfn._xlws.FILTER(Competitions[compType], (Fixtures[[#This Row],[competition]] = Competitions[name]), "N/A")</f>
        <v>Domestic League</v>
      </c>
      <c r="T84" s="58" t="b" cm="1">
        <f t="array" ref="T84">_xlfn._xlws.FILTER(Competitions[exhibition], (Fixtures[[#This Row],[competition]] = Competitions[name]), "N/A")</f>
        <v>0</v>
      </c>
      <c r="U84" s="58" t="str" cm="1">
        <f t="array" ref="U84">_xlfn._xlws.FILTER(Competitions[compID], (Fixtures[[#This Row],[competition]] = Competitions[name]), "N/A")</f>
        <v>DL-OF-EFLCHAMPIONSHIP</v>
      </c>
      <c r="V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4" s="58" t="str" cm="1">
        <f t="array" ref="W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4" s="58" t="str" cm="1">
        <f t="array" ref="X84">_xlfn._xlws.FILTER(Teams[name], (Fixtures[[#This Row],[userTeamID]] = Teams[teamID]), "N/A")</f>
        <v>Burnley</v>
      </c>
      <c r="Y84" s="58" t="str" cm="1">
        <f t="array" ref="Y84">_xlfn._xlws.FILTER(Teams[teamType], (Fixtures[[#This Row],[userTeamID]] = Teams[teamID]), "N/A")</f>
        <v>Club</v>
      </c>
      <c r="Z84" s="58" t="str" cm="1">
        <f t="array" ref="Z84">IF(Fixtures[[#This Row],[userTeamID]] = "N/A", "N/A", IF(SUM(COUNTIF(Fixtures[[#This Row],[homeTeam]], _xlfn._xlws.FILTER(Teams[name], (Fixtures[[#This Row],[userTeamID]] = Teams[teamID])*(Teams[relevant])))) &gt; 0, "H", "A"))</f>
        <v>H</v>
      </c>
      <c r="AA84" s="58" t="str">
        <f>IF(Fixtures[[#This Row],[userSide]] = "N/A", "N/A", IF(Fixtures[[#This Row],[userSide]] = "H", Fixtures[[#This Row],[awayTeam]], Fixtures[[#This Row],[homeTeam]]))</f>
        <v>Bolton</v>
      </c>
      <c r="AB84" s="58" t="str" cm="1">
        <f t="array" ref="AB84">_xlfn._xlws.FILTER(Teams[teamID], Fixtures[[#This Row],[oppTeam]] = Teams[name], "N/A")</f>
        <v>C-ENG-BOLTON</v>
      </c>
      <c r="AC84" s="58" t="str" cm="1">
        <f t="array" ref="AC84">_xlfn._xlws.FILTER(Teams[teamType], Fixtures[[#This Row],[oppTeam]] = Teams[name], "N/A")</f>
        <v>Club</v>
      </c>
      <c r="AD84" s="58">
        <f>IF(ISBLANK(Fixtures[[#This Row],[date]]), "N/A", IF(Fixtures[[#This Row],[userSide]]="H", Fixtures[[#This Row],[homeScore]], Fixtures[[#This Row],[awayScore]]))</f>
        <v>3</v>
      </c>
      <c r="AE84" s="58">
        <f>IF(ISBLANK(Fixtures[[#This Row],[date]]), "N/A", IF(Fixtures[[#This Row],[userScore]] = Fixtures[[#This Row],[homeScore]], Fixtures[[#This Row],[awayScore]], Fixtures[[#This Row],[homeScore]]))</f>
        <v>0</v>
      </c>
      <c r="AF84" s="58" t="b">
        <f>NOT(AND(ISBLANK(Fixtures[[#This Row],[homePens]]), ISBLANK(Fixtures[[#This Row],[awayPens]])))</f>
        <v>0</v>
      </c>
      <c r="AG84" s="58" t="str">
        <f>IF(Fixtures[[#This Row],[penalties]], IF(Fixtures[[#This Row],[userSide]]="H", Fixtures[[#This Row],[homePens]], Fixtures[[#This Row],[awayPens]]), "N/A")</f>
        <v>N/A</v>
      </c>
      <c r="AH84" s="58" t="str">
        <f>IF(Fixtures[[#This Row],[penalties]], IF(Fixtures[[#This Row],[userPens]]=Fixtures[[#This Row],[homePens]],Fixtures[[#This Row],[awayPens]],Fixtures[[#This Row],[homePens]]), "N/A")</f>
        <v>N/A</v>
      </c>
      <c r="AI84" s="58" t="b">
        <f>COUNTBLANK(Fixtures[[#This Row],[G]:[MOTM]]) = 0</f>
        <v>1</v>
      </c>
      <c r="AJ84" s="58">
        <f>IF(Fixtures[[#This Row],[APP]], Fixtures[[#This Row],[G]]+Fixtures[[#This Row],[A]], "N/A")</f>
        <v>2</v>
      </c>
      <c r="AK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4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[2024-09-10] Burnley vs. Bolton (3-0) - EFL Championship</v>
      </c>
    </row>
    <row r="85" spans="1:40" ht="13">
      <c r="A85" s="55">
        <v>45548</v>
      </c>
      <c r="B85" s="61">
        <v>0.48958333333333331</v>
      </c>
      <c r="C85" s="56" t="s">
        <v>161</v>
      </c>
      <c r="D85" s="56" t="s">
        <v>127</v>
      </c>
      <c r="E85" s="56" t="s">
        <v>200</v>
      </c>
      <c r="F85" s="56" t="s">
        <v>128</v>
      </c>
      <c r="G85" s="56" t="s">
        <v>16</v>
      </c>
      <c r="H85" s="56" t="s">
        <v>131</v>
      </c>
      <c r="I85" s="56">
        <v>1</v>
      </c>
      <c r="J85" s="56">
        <v>2</v>
      </c>
      <c r="K85" s="56"/>
      <c r="L85" s="56"/>
      <c r="M85" s="56">
        <v>1</v>
      </c>
      <c r="N85" s="56">
        <v>0</v>
      </c>
      <c r="O85" s="56">
        <v>0</v>
      </c>
      <c r="P85" s="56">
        <v>0</v>
      </c>
      <c r="Q85" s="57">
        <v>7.5</v>
      </c>
      <c r="R85" s="56" t="b">
        <v>0</v>
      </c>
      <c r="S85" s="58" t="str" cm="1">
        <f t="array" ref="S85">_xlfn._xlws.FILTER(Competitions[compType], (Fixtures[[#This Row],[competition]] = Competitions[name]), "N/A")</f>
        <v>International Friendly</v>
      </c>
      <c r="T85" s="58" t="b" cm="1">
        <f t="array" ref="T85">_xlfn._xlws.FILTER(Competitions[exhibition], (Fixtures[[#This Row],[competition]] = Competitions[name]), "N/A")</f>
        <v>1</v>
      </c>
      <c r="U85" s="58" t="str" cm="1">
        <f t="array" ref="U85">_xlfn._xlws.FILTER(Competitions[compID], (Fixtures[[#This Row],[competition]] = Competitions[name]), "N/A")</f>
        <v>IF-EX-INTERNATIONALFRIENDLY</v>
      </c>
      <c r="V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5" s="58" t="str" cm="1">
        <f t="array" ref="W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85" s="58" t="str" cm="1">
        <f t="array" ref="X85">_xlfn._xlws.FILTER(Teams[name], (Fixtures[[#This Row],[userTeamID]] = Teams[teamID]), "N/A")</f>
        <v>United States</v>
      </c>
      <c r="Y85" s="58" t="str" cm="1">
        <f t="array" ref="Y85">_xlfn._xlws.FILTER(Teams[teamType], (Fixtures[[#This Row],[userTeamID]] = Teams[teamID]), "N/A")</f>
        <v>National</v>
      </c>
      <c r="Z85" s="58" t="str" cm="1">
        <f t="array" ref="Z85">IF(Fixtures[[#This Row],[userTeamID]] = "N/A", "N/A", IF(SUM(COUNTIF(Fixtures[[#This Row],[homeTeam]], _xlfn._xlws.FILTER(Teams[name], (Fixtures[[#This Row],[userTeamID]] = Teams[teamID])*(Teams[relevant])))) &gt; 0, "H", "A"))</f>
        <v>H</v>
      </c>
      <c r="AA85" s="58" t="str">
        <f>IF(Fixtures[[#This Row],[userSide]] = "N/A", "N/A", IF(Fixtures[[#This Row],[userSide]] = "H", Fixtures[[#This Row],[awayTeam]], Fixtures[[#This Row],[homeTeam]]))</f>
        <v>Argentina</v>
      </c>
      <c r="AB85" s="58" t="str" cm="1">
        <f t="array" ref="AB85">_xlfn._xlws.FILTER(Teams[teamID], Fixtures[[#This Row],[oppTeam]] = Teams[name], "N/A")</f>
        <v>N-ARG-ARGENTINA</v>
      </c>
      <c r="AC85" s="58" t="str" cm="1">
        <f t="array" ref="AC85">_xlfn._xlws.FILTER(Teams[teamType], Fixtures[[#This Row],[oppTeam]] = Teams[name], "N/A")</f>
        <v>National</v>
      </c>
      <c r="AD85" s="58">
        <f>IF(ISBLANK(Fixtures[[#This Row],[date]]), "N/A", IF(Fixtures[[#This Row],[userSide]]="H", Fixtures[[#This Row],[homeScore]], Fixtures[[#This Row],[awayScore]]))</f>
        <v>1</v>
      </c>
      <c r="AE85" s="58">
        <f>IF(ISBLANK(Fixtures[[#This Row],[date]]), "N/A", IF(Fixtures[[#This Row],[userScore]] = Fixtures[[#This Row],[homeScore]], Fixtures[[#This Row],[awayScore]], Fixtures[[#This Row],[homeScore]]))</f>
        <v>2</v>
      </c>
      <c r="AF85" s="58" t="b">
        <f>NOT(AND(ISBLANK(Fixtures[[#This Row],[homePens]]), ISBLANK(Fixtures[[#This Row],[awayPens]])))</f>
        <v>0</v>
      </c>
      <c r="AG85" s="58" t="str">
        <f>IF(Fixtures[[#This Row],[penalties]], IF(Fixtures[[#This Row],[userSide]]="H", Fixtures[[#This Row],[homePens]], Fixtures[[#This Row],[awayPens]]), "N/A")</f>
        <v>N/A</v>
      </c>
      <c r="AH85" s="58" t="str">
        <f>IF(Fixtures[[#This Row],[penalties]], IF(Fixtures[[#This Row],[userPens]]=Fixtures[[#This Row],[homePens]],Fixtures[[#This Row],[awayPens]],Fixtures[[#This Row],[homePens]]), "N/A")</f>
        <v>N/A</v>
      </c>
      <c r="AI85" s="58" t="b">
        <f>COUNTBLANK(Fixtures[[#This Row],[G]:[MOTM]]) = 0</f>
        <v>1</v>
      </c>
      <c r="AJ85" s="58">
        <f>IF(Fixtures[[#This Row],[APP]], Fixtures[[#This Row],[G]]+Fixtures[[#This Row],[A]], "N/A")</f>
        <v>1</v>
      </c>
      <c r="AK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8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[2024-09-13] United States vs. Argentina (1-2) - International Friendly</v>
      </c>
      <c r="AN85" s="59" t="s">
        <v>201</v>
      </c>
    </row>
    <row r="86" spans="1:40" ht="13">
      <c r="A86" s="55">
        <v>45552</v>
      </c>
      <c r="B86" s="61">
        <v>0.48958333333333331</v>
      </c>
      <c r="C86" s="56" t="s">
        <v>183</v>
      </c>
      <c r="D86" s="56" t="s">
        <v>151</v>
      </c>
      <c r="E86" s="56" t="s">
        <v>202</v>
      </c>
      <c r="F86" s="56" t="s">
        <v>128</v>
      </c>
      <c r="G86" s="56" t="s">
        <v>152</v>
      </c>
      <c r="H86" s="56" t="s">
        <v>16</v>
      </c>
      <c r="I86" s="56">
        <v>0</v>
      </c>
      <c r="J86" s="56">
        <v>1</v>
      </c>
      <c r="K86" s="56"/>
      <c r="L86" s="56"/>
      <c r="M86" s="56">
        <v>0</v>
      </c>
      <c r="N86" s="56">
        <v>0</v>
      </c>
      <c r="O86" s="56">
        <v>0</v>
      </c>
      <c r="P86" s="56">
        <v>0</v>
      </c>
      <c r="Q86" s="57">
        <v>7.4</v>
      </c>
      <c r="R86" s="56" t="b">
        <v>0</v>
      </c>
      <c r="S86" s="58" t="str" cm="1">
        <f t="array" ref="S86">_xlfn._xlws.FILTER(Competitions[compType], (Fixtures[[#This Row],[competition]] = Competitions[name]), "N/A")</f>
        <v>International Friendly</v>
      </c>
      <c r="T86" s="58" t="b" cm="1">
        <f t="array" ref="T86">_xlfn._xlws.FILTER(Competitions[exhibition], (Fixtures[[#This Row],[competition]] = Competitions[name]), "N/A")</f>
        <v>1</v>
      </c>
      <c r="U86" s="58" t="str" cm="1">
        <f t="array" ref="U86">_xlfn._xlws.FILTER(Competitions[compID], (Fixtures[[#This Row],[competition]] = Competitions[name]), "N/A")</f>
        <v>IF-EX-INTERNATIONALFRIENDLY</v>
      </c>
      <c r="V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6" s="58" t="str" cm="1">
        <f t="array" ref="W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86" s="58" t="str" cm="1">
        <f t="array" ref="X86">_xlfn._xlws.FILTER(Teams[name], (Fixtures[[#This Row],[userTeamID]] = Teams[teamID]), "N/A")</f>
        <v>United States</v>
      </c>
      <c r="Y86" s="58" t="str" cm="1">
        <f t="array" ref="Y86">_xlfn._xlws.FILTER(Teams[teamType], (Fixtures[[#This Row],[userTeamID]] = Teams[teamID]), "N/A")</f>
        <v>National</v>
      </c>
      <c r="Z86" s="58" t="str" cm="1">
        <f t="array" ref="Z86">IF(Fixtures[[#This Row],[userTeamID]] = "N/A", "N/A", IF(SUM(COUNTIF(Fixtures[[#This Row],[homeTeam]], _xlfn._xlws.FILTER(Teams[name], (Fixtures[[#This Row],[userTeamID]] = Teams[teamID])*(Teams[relevant])))) &gt; 0, "H", "A"))</f>
        <v>A</v>
      </c>
      <c r="AA86" s="58" t="str">
        <f>IF(Fixtures[[#This Row],[userSide]] = "N/A", "N/A", IF(Fixtures[[#This Row],[userSide]] = "H", Fixtures[[#This Row],[awayTeam]], Fixtures[[#This Row],[homeTeam]]))</f>
        <v>England</v>
      </c>
      <c r="AB86" s="58" t="str" cm="1">
        <f t="array" ref="AB86">_xlfn._xlws.FILTER(Teams[teamID], Fixtures[[#This Row],[oppTeam]] = Teams[name], "N/A")</f>
        <v>N-ENG-ENGLAND</v>
      </c>
      <c r="AC86" s="58" t="str" cm="1">
        <f t="array" ref="AC86">_xlfn._xlws.FILTER(Teams[teamType], Fixtures[[#This Row],[oppTeam]] = Teams[name], "N/A")</f>
        <v>National</v>
      </c>
      <c r="AD86" s="58">
        <f>IF(ISBLANK(Fixtures[[#This Row],[date]]), "N/A", IF(Fixtures[[#This Row],[userSide]]="H", Fixtures[[#This Row],[homeScore]], Fixtures[[#This Row],[awayScore]]))</f>
        <v>1</v>
      </c>
      <c r="AE86" s="58">
        <f>IF(ISBLANK(Fixtures[[#This Row],[date]]), "N/A", IF(Fixtures[[#This Row],[userScore]] = Fixtures[[#This Row],[homeScore]], Fixtures[[#This Row],[awayScore]], Fixtures[[#This Row],[homeScore]]))</f>
        <v>0</v>
      </c>
      <c r="AF86" s="58" t="b">
        <f>NOT(AND(ISBLANK(Fixtures[[#This Row],[homePens]]), ISBLANK(Fixtures[[#This Row],[awayPens]])))</f>
        <v>0</v>
      </c>
      <c r="AG86" s="58" t="str">
        <f>IF(Fixtures[[#This Row],[penalties]], IF(Fixtures[[#This Row],[userSide]]="H", Fixtures[[#This Row],[homePens]], Fixtures[[#This Row],[awayPens]]), "N/A")</f>
        <v>N/A</v>
      </c>
      <c r="AH86" s="58" t="str">
        <f>IF(Fixtures[[#This Row],[penalties]], IF(Fixtures[[#This Row],[userPens]]=Fixtures[[#This Row],[homePens]],Fixtures[[#This Row],[awayPens]],Fixtures[[#This Row],[homePens]]), "N/A")</f>
        <v>N/A</v>
      </c>
      <c r="AI86" s="58" t="b">
        <f>COUNTBLANK(Fixtures[[#This Row],[G]:[MOTM]]) = 0</f>
        <v>1</v>
      </c>
      <c r="AJ86" s="58">
        <f>IF(Fixtures[[#This Row],[APP]], Fixtures[[#This Row],[G]]+Fixtures[[#This Row],[A]], "N/A")</f>
        <v>0</v>
      </c>
      <c r="AK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6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[2024-09-17] England vs. United States (0-1) - International Friendly</v>
      </c>
    </row>
    <row r="87" spans="1:40" ht="13">
      <c r="A87" s="55">
        <v>45556</v>
      </c>
      <c r="B87" s="61">
        <v>0.625</v>
      </c>
      <c r="C87" s="56" t="s">
        <v>203</v>
      </c>
      <c r="D87" s="56" t="s">
        <v>204</v>
      </c>
      <c r="E87" s="56" t="s">
        <v>205</v>
      </c>
      <c r="F87" s="56" t="s">
        <v>176</v>
      </c>
      <c r="G87" s="56" t="s">
        <v>206</v>
      </c>
      <c r="H87" s="56" t="s">
        <v>169</v>
      </c>
      <c r="I87" s="56">
        <v>0</v>
      </c>
      <c r="J87" s="56">
        <v>1</v>
      </c>
      <c r="K87" s="56"/>
      <c r="L87" s="56"/>
      <c r="M87" s="56">
        <v>0</v>
      </c>
      <c r="N87" s="56">
        <v>1</v>
      </c>
      <c r="O87" s="56">
        <v>0</v>
      </c>
      <c r="P87" s="56">
        <v>0</v>
      </c>
      <c r="Q87" s="57">
        <v>7.6</v>
      </c>
      <c r="R87" s="56" t="b">
        <v>1</v>
      </c>
      <c r="S87" s="58" t="str" cm="1">
        <f t="array" ref="S87">_xlfn._xlws.FILTER(Competitions[compType], (Fixtures[[#This Row],[competition]] = Competitions[name]), "N/A")</f>
        <v>Domestic League</v>
      </c>
      <c r="T87" s="58" t="b" cm="1">
        <f t="array" ref="T87">_xlfn._xlws.FILTER(Competitions[exhibition], (Fixtures[[#This Row],[competition]] = Competitions[name]), "N/A")</f>
        <v>0</v>
      </c>
      <c r="U87" s="58" t="str" cm="1">
        <f t="array" ref="U87">_xlfn._xlws.FILTER(Competitions[compID], (Fixtures[[#This Row],[competition]] = Competitions[name]), "N/A")</f>
        <v>DL-OF-EFLCHAMPIONSHIP</v>
      </c>
      <c r="V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7" s="58" t="str" cm="1">
        <f t="array" ref="W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7" s="58" t="str" cm="1">
        <f t="array" ref="X87">_xlfn._xlws.FILTER(Teams[name], (Fixtures[[#This Row],[userTeamID]] = Teams[teamID]), "N/A")</f>
        <v>Burnley</v>
      </c>
      <c r="Y87" s="58" t="str" cm="1">
        <f t="array" ref="Y87">_xlfn._xlws.FILTER(Teams[teamType], (Fixtures[[#This Row],[userTeamID]] = Teams[teamID]), "N/A")</f>
        <v>Club</v>
      </c>
      <c r="Z87" s="58" t="str" cm="1">
        <f t="array" ref="Z87">IF(Fixtures[[#This Row],[userTeamID]] = "N/A", "N/A", IF(SUM(COUNTIF(Fixtures[[#This Row],[homeTeam]], _xlfn._xlws.FILTER(Teams[name], (Fixtures[[#This Row],[userTeamID]] = Teams[teamID])*(Teams[relevant])))) &gt; 0, "H", "A"))</f>
        <v>A</v>
      </c>
      <c r="AA87" s="58" t="str">
        <f>IF(Fixtures[[#This Row],[userSide]] = "N/A", "N/A", IF(Fixtures[[#This Row],[userSide]] = "H", Fixtures[[#This Row],[awayTeam]], Fixtures[[#This Row],[homeTeam]]))</f>
        <v>Stoke City</v>
      </c>
      <c r="AB87" s="58" t="str" cm="1">
        <f t="array" ref="AB87">_xlfn._xlws.FILTER(Teams[teamID], Fixtures[[#This Row],[oppTeam]] = Teams[name], "N/A")</f>
        <v>C-ENG-STOKECITY</v>
      </c>
      <c r="AC87" s="58" t="str" cm="1">
        <f t="array" ref="AC87">_xlfn._xlws.FILTER(Teams[teamType], Fixtures[[#This Row],[oppTeam]] = Teams[name], "N/A")</f>
        <v>Club</v>
      </c>
      <c r="AD87" s="58">
        <f>IF(ISBLANK(Fixtures[[#This Row],[date]]), "N/A", IF(Fixtures[[#This Row],[userSide]]="H", Fixtures[[#This Row],[homeScore]], Fixtures[[#This Row],[awayScore]]))</f>
        <v>1</v>
      </c>
      <c r="AE87" s="58">
        <f>IF(ISBLANK(Fixtures[[#This Row],[date]]), "N/A", IF(Fixtures[[#This Row],[userScore]] = Fixtures[[#This Row],[homeScore]], Fixtures[[#This Row],[awayScore]], Fixtures[[#This Row],[homeScore]]))</f>
        <v>0</v>
      </c>
      <c r="AF87" s="58" t="b">
        <f>NOT(AND(ISBLANK(Fixtures[[#This Row],[homePens]]), ISBLANK(Fixtures[[#This Row],[awayPens]])))</f>
        <v>0</v>
      </c>
      <c r="AG87" s="58" t="str">
        <f>IF(Fixtures[[#This Row],[penalties]], IF(Fixtures[[#This Row],[userSide]]="H", Fixtures[[#This Row],[homePens]], Fixtures[[#This Row],[awayPens]]), "N/A")</f>
        <v>N/A</v>
      </c>
      <c r="AH87" s="58" t="str">
        <f>IF(Fixtures[[#This Row],[penalties]], IF(Fixtures[[#This Row],[userPens]]=Fixtures[[#This Row],[homePens]],Fixtures[[#This Row],[awayPens]],Fixtures[[#This Row],[homePens]]), "N/A")</f>
        <v>N/A</v>
      </c>
      <c r="AI87" s="58" t="b">
        <f>COUNTBLANK(Fixtures[[#This Row],[G]:[MOTM]]) = 0</f>
        <v>1</v>
      </c>
      <c r="AJ87" s="58">
        <f>IF(Fixtures[[#This Row],[APP]], Fixtures[[#This Row],[G]]+Fixtures[[#This Row],[A]], "N/A")</f>
        <v>1</v>
      </c>
      <c r="AK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[2024-09-21] Stoke City vs. Burnley (0-1) - EFL Championship</v>
      </c>
    </row>
    <row r="88" spans="1:40" ht="13">
      <c r="A88" s="55">
        <v>45563</v>
      </c>
      <c r="B88" s="61">
        <v>0.625</v>
      </c>
      <c r="C88" s="56" t="s">
        <v>203</v>
      </c>
      <c r="D88" s="56" t="s">
        <v>175</v>
      </c>
      <c r="E88" s="56" t="s">
        <v>205</v>
      </c>
      <c r="F88" s="56" t="s">
        <v>176</v>
      </c>
      <c r="G88" s="56" t="s">
        <v>169</v>
      </c>
      <c r="H88" s="56" t="s">
        <v>207</v>
      </c>
      <c r="I88" s="56">
        <v>1</v>
      </c>
      <c r="J88" s="56">
        <v>0</v>
      </c>
      <c r="K88" s="56"/>
      <c r="L88" s="56"/>
      <c r="M88" s="56">
        <v>1</v>
      </c>
      <c r="N88" s="56">
        <v>0</v>
      </c>
      <c r="O88" s="56">
        <v>0</v>
      </c>
      <c r="P88" s="56">
        <v>0</v>
      </c>
      <c r="Q88" s="57">
        <v>7.8</v>
      </c>
      <c r="R88" s="56" t="b">
        <v>1</v>
      </c>
      <c r="S88" s="58" t="str" cm="1">
        <f t="array" ref="S88">_xlfn._xlws.FILTER(Competitions[compType], (Fixtures[[#This Row],[competition]] = Competitions[name]), "N/A")</f>
        <v>Domestic League</v>
      </c>
      <c r="T88" s="58" t="b" cm="1">
        <f t="array" ref="T88">_xlfn._xlws.FILTER(Competitions[exhibition], (Fixtures[[#This Row],[competition]] = Competitions[name]), "N/A")</f>
        <v>0</v>
      </c>
      <c r="U88" s="58" t="str" cm="1">
        <f t="array" ref="U88">_xlfn._xlws.FILTER(Competitions[compID], (Fixtures[[#This Row],[competition]] = Competitions[name]), "N/A")</f>
        <v>DL-OF-EFLCHAMPIONSHIP</v>
      </c>
      <c r="V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8" s="58" t="str" cm="1">
        <f t="array" ref="W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8" s="58" t="str" cm="1">
        <f t="array" ref="X88">_xlfn._xlws.FILTER(Teams[name], (Fixtures[[#This Row],[userTeamID]] = Teams[teamID]), "N/A")</f>
        <v>Burnley</v>
      </c>
      <c r="Y88" s="58" t="str" cm="1">
        <f t="array" ref="Y88">_xlfn._xlws.FILTER(Teams[teamType], (Fixtures[[#This Row],[userTeamID]] = Teams[teamID]), "N/A")</f>
        <v>Club</v>
      </c>
      <c r="Z88" s="58" t="str" cm="1">
        <f t="array" ref="Z88">IF(Fixtures[[#This Row],[userTeamID]] = "N/A", "N/A", IF(SUM(COUNTIF(Fixtures[[#This Row],[homeTeam]], _xlfn._xlws.FILTER(Teams[name], (Fixtures[[#This Row],[userTeamID]] = Teams[teamID])*(Teams[relevant])))) &gt; 0, "H", "A"))</f>
        <v>H</v>
      </c>
      <c r="AA88" s="58" t="str">
        <f>IF(Fixtures[[#This Row],[userSide]] = "N/A", "N/A", IF(Fixtures[[#This Row],[userSide]] = "H", Fixtures[[#This Row],[awayTeam]], Fixtures[[#This Row],[homeTeam]]))</f>
        <v>Swansea City</v>
      </c>
      <c r="AB88" s="58" t="str" cm="1">
        <f t="array" ref="AB88">_xlfn._xlws.FILTER(Teams[teamID], Fixtures[[#This Row],[oppTeam]] = Teams[name], "N/A")</f>
        <v>C-ENG-SWANSEACITY</v>
      </c>
      <c r="AC88" s="58" t="str" cm="1">
        <f t="array" ref="AC88">_xlfn._xlws.FILTER(Teams[teamType], Fixtures[[#This Row],[oppTeam]] = Teams[name], "N/A")</f>
        <v>Club</v>
      </c>
      <c r="AD88" s="58">
        <f>IF(ISBLANK(Fixtures[[#This Row],[date]]), "N/A", IF(Fixtures[[#This Row],[userSide]]="H", Fixtures[[#This Row],[homeScore]], Fixtures[[#This Row],[awayScore]]))</f>
        <v>1</v>
      </c>
      <c r="AE88" s="58">
        <f>IF(ISBLANK(Fixtures[[#This Row],[date]]), "N/A", IF(Fixtures[[#This Row],[userScore]] = Fixtures[[#This Row],[homeScore]], Fixtures[[#This Row],[awayScore]], Fixtures[[#This Row],[homeScore]]))</f>
        <v>0</v>
      </c>
      <c r="AF88" s="58" t="b">
        <f>NOT(AND(ISBLANK(Fixtures[[#This Row],[homePens]]), ISBLANK(Fixtures[[#This Row],[awayPens]])))</f>
        <v>0</v>
      </c>
      <c r="AG88" s="58" t="str">
        <f>IF(Fixtures[[#This Row],[penalties]], IF(Fixtures[[#This Row],[userSide]]="H", Fixtures[[#This Row],[homePens]], Fixtures[[#This Row],[awayPens]]), "N/A")</f>
        <v>N/A</v>
      </c>
      <c r="AH88" s="58" t="str">
        <f>IF(Fixtures[[#This Row],[penalties]], IF(Fixtures[[#This Row],[userPens]]=Fixtures[[#This Row],[homePens]],Fixtures[[#This Row],[awayPens]],Fixtures[[#This Row],[homePens]]), "N/A")</f>
        <v>N/A</v>
      </c>
      <c r="AI88" s="58" t="b">
        <f>COUNTBLANK(Fixtures[[#This Row],[G]:[MOTM]]) = 0</f>
        <v>1</v>
      </c>
      <c r="AJ88" s="58">
        <f>IF(Fixtures[[#This Row],[APP]], Fixtures[[#This Row],[G]]+Fixtures[[#This Row],[A]], "N/A")</f>
        <v>1</v>
      </c>
      <c r="AK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[2024-09-28] Burnley vs. Swansea City (1-0) - EFL Championship</v>
      </c>
    </row>
    <row r="89" spans="1:40" ht="13">
      <c r="A89" s="55">
        <v>45567</v>
      </c>
      <c r="B89" s="61">
        <v>0.625</v>
      </c>
      <c r="C89" s="56" t="s">
        <v>161</v>
      </c>
      <c r="D89" s="56" t="s">
        <v>190</v>
      </c>
      <c r="E89" s="56" t="s">
        <v>208</v>
      </c>
      <c r="F89" s="56" t="s">
        <v>176</v>
      </c>
      <c r="G89" s="56" t="s">
        <v>209</v>
      </c>
      <c r="H89" s="56" t="s">
        <v>169</v>
      </c>
      <c r="I89" s="56">
        <v>0</v>
      </c>
      <c r="J89" s="56">
        <v>2</v>
      </c>
      <c r="K89" s="56"/>
      <c r="L89" s="56"/>
      <c r="M89" s="56">
        <v>0</v>
      </c>
      <c r="N89" s="56">
        <v>2</v>
      </c>
      <c r="O89" s="56">
        <v>0</v>
      </c>
      <c r="P89" s="56">
        <v>0</v>
      </c>
      <c r="Q89" s="57">
        <v>8.1</v>
      </c>
      <c r="R89" s="56" t="b">
        <v>1</v>
      </c>
      <c r="S89" s="58" t="str" cm="1">
        <f t="array" ref="S89">_xlfn._xlws.FILTER(Competitions[compType], (Fixtures[[#This Row],[competition]] = Competitions[name]), "N/A")</f>
        <v>Domestic League</v>
      </c>
      <c r="T89" s="58" t="b" cm="1">
        <f t="array" ref="T89">_xlfn._xlws.FILTER(Competitions[exhibition], (Fixtures[[#This Row],[competition]] = Competitions[name]), "N/A")</f>
        <v>0</v>
      </c>
      <c r="U89" s="58" t="str" cm="1">
        <f t="array" ref="U89">_xlfn._xlws.FILTER(Competitions[compID], (Fixtures[[#This Row],[competition]] = Competitions[name]), "N/A")</f>
        <v>DL-OF-EFLCHAMPIONSHIP</v>
      </c>
      <c r="V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89" s="58" t="str" cm="1">
        <f t="array" ref="W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89" s="58" t="str" cm="1">
        <f t="array" ref="X89">_xlfn._xlws.FILTER(Teams[name], (Fixtures[[#This Row],[userTeamID]] = Teams[teamID]), "N/A")</f>
        <v>Burnley</v>
      </c>
      <c r="Y89" s="58" t="str" cm="1">
        <f t="array" ref="Y89">_xlfn._xlws.FILTER(Teams[teamType], (Fixtures[[#This Row],[userTeamID]] = Teams[teamID]), "N/A")</f>
        <v>Club</v>
      </c>
      <c r="Z89" s="58" t="str" cm="1">
        <f t="array" ref="Z89">IF(Fixtures[[#This Row],[userTeamID]] = "N/A", "N/A", IF(SUM(COUNTIF(Fixtures[[#This Row],[homeTeam]], _xlfn._xlws.FILTER(Teams[name], (Fixtures[[#This Row],[userTeamID]] = Teams[teamID])*(Teams[relevant])))) &gt; 0, "H", "A"))</f>
        <v>A</v>
      </c>
      <c r="AA89" s="58" t="str">
        <f>IF(Fixtures[[#This Row],[userSide]] = "N/A", "N/A", IF(Fixtures[[#This Row],[userSide]] = "H", Fixtures[[#This Row],[awayTeam]], Fixtures[[#This Row],[homeTeam]]))</f>
        <v>Coventry City</v>
      </c>
      <c r="AB89" s="58" t="str" cm="1">
        <f t="array" ref="AB89">_xlfn._xlws.FILTER(Teams[teamID], Fixtures[[#This Row],[oppTeam]] = Teams[name], "N/A")</f>
        <v>C-ENG-COVENTRYCITY</v>
      </c>
      <c r="AC89" s="58" t="str" cm="1">
        <f t="array" ref="AC89">_xlfn._xlws.FILTER(Teams[teamType], Fixtures[[#This Row],[oppTeam]] = Teams[name], "N/A")</f>
        <v>Club</v>
      </c>
      <c r="AD89" s="58">
        <f>IF(ISBLANK(Fixtures[[#This Row],[date]]), "N/A", IF(Fixtures[[#This Row],[userSide]]="H", Fixtures[[#This Row],[homeScore]], Fixtures[[#This Row],[awayScore]]))</f>
        <v>2</v>
      </c>
      <c r="AE89" s="58">
        <f>IF(ISBLANK(Fixtures[[#This Row],[date]]), "N/A", IF(Fixtures[[#This Row],[userScore]] = Fixtures[[#This Row],[homeScore]], Fixtures[[#This Row],[awayScore]], Fixtures[[#This Row],[homeScore]]))</f>
        <v>0</v>
      </c>
      <c r="AF89" s="58" t="b">
        <f>NOT(AND(ISBLANK(Fixtures[[#This Row],[homePens]]), ISBLANK(Fixtures[[#This Row],[awayPens]])))</f>
        <v>0</v>
      </c>
      <c r="AG89" s="58" t="str">
        <f>IF(Fixtures[[#This Row],[penalties]], IF(Fixtures[[#This Row],[userSide]]="H", Fixtures[[#This Row],[homePens]], Fixtures[[#This Row],[awayPens]]), "N/A")</f>
        <v>N/A</v>
      </c>
      <c r="AH89" s="58" t="str">
        <f>IF(Fixtures[[#This Row],[penalties]], IF(Fixtures[[#This Row],[userPens]]=Fixtures[[#This Row],[homePens]],Fixtures[[#This Row],[awayPens]],Fixtures[[#This Row],[homePens]]), "N/A")</f>
        <v>N/A</v>
      </c>
      <c r="AI89" s="58" t="b">
        <f>COUNTBLANK(Fixtures[[#This Row],[G]:[MOTM]]) = 0</f>
        <v>1</v>
      </c>
      <c r="AJ89" s="58">
        <f>IF(Fixtures[[#This Row],[APP]], Fixtures[[#This Row],[G]]+Fixtures[[#This Row],[A]], "N/A")</f>
        <v>2</v>
      </c>
      <c r="AK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89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[2024-10-02] Coventry City vs. Burnley (0-2) - EFL Championship</v>
      </c>
    </row>
    <row r="90" spans="1:40" ht="13">
      <c r="A90" s="55">
        <v>45577</v>
      </c>
      <c r="B90" s="61">
        <v>0.625</v>
      </c>
      <c r="C90" s="56" t="s">
        <v>195</v>
      </c>
      <c r="D90" s="56" t="s">
        <v>175</v>
      </c>
      <c r="E90" s="56" t="s">
        <v>198</v>
      </c>
      <c r="F90" s="56" t="s">
        <v>176</v>
      </c>
      <c r="G90" s="56" t="s">
        <v>169</v>
      </c>
      <c r="H90" s="56" t="s">
        <v>210</v>
      </c>
      <c r="I90" s="56">
        <v>2</v>
      </c>
      <c r="J90" s="56">
        <v>0</v>
      </c>
      <c r="K90" s="56"/>
      <c r="L90" s="56"/>
      <c r="M90" s="56">
        <v>0</v>
      </c>
      <c r="N90" s="56">
        <v>2</v>
      </c>
      <c r="O90" s="56">
        <v>0</v>
      </c>
      <c r="P90" s="56">
        <v>0</v>
      </c>
      <c r="Q90" s="57">
        <v>7.7</v>
      </c>
      <c r="R90" s="56" t="b">
        <v>0</v>
      </c>
      <c r="S90" s="58" t="str" cm="1">
        <f t="array" ref="S90">_xlfn._xlws.FILTER(Competitions[compType], (Fixtures[[#This Row],[competition]] = Competitions[name]), "N/A")</f>
        <v>Domestic League</v>
      </c>
      <c r="T90" s="58" t="b" cm="1">
        <f t="array" ref="T90">_xlfn._xlws.FILTER(Competitions[exhibition], (Fixtures[[#This Row],[competition]] = Competitions[name]), "N/A")</f>
        <v>0</v>
      </c>
      <c r="U90" s="58" t="str" cm="1">
        <f t="array" ref="U90">_xlfn._xlws.FILTER(Competitions[compID], (Fixtures[[#This Row],[competition]] = Competitions[name]), "N/A")</f>
        <v>DL-OF-EFLCHAMPIONSHIP</v>
      </c>
      <c r="V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0" s="58" t="str" cm="1">
        <f t="array" ref="W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90" s="58" t="str" cm="1">
        <f t="array" ref="X90">_xlfn._xlws.FILTER(Teams[name], (Fixtures[[#This Row],[userTeamID]] = Teams[teamID]), "N/A")</f>
        <v>Burnley</v>
      </c>
      <c r="Y90" s="58" t="str" cm="1">
        <f t="array" ref="Y90">_xlfn._xlws.FILTER(Teams[teamType], (Fixtures[[#This Row],[userTeamID]] = Teams[teamID]), "N/A")</f>
        <v>Club</v>
      </c>
      <c r="Z90" s="58" t="str" cm="1">
        <f t="array" ref="Z90">IF(Fixtures[[#This Row],[userTeamID]] = "N/A", "N/A", IF(SUM(COUNTIF(Fixtures[[#This Row],[homeTeam]], _xlfn._xlws.FILTER(Teams[name], (Fixtures[[#This Row],[userTeamID]] = Teams[teamID])*(Teams[relevant])))) &gt; 0, "H", "A"))</f>
        <v>H</v>
      </c>
      <c r="AA90" s="58" t="str">
        <f>IF(Fixtures[[#This Row],[userSide]] = "N/A", "N/A", IF(Fixtures[[#This Row],[userSide]] = "H", Fixtures[[#This Row],[awayTeam]], Fixtures[[#This Row],[homeTeam]]))</f>
        <v>Luton Town</v>
      </c>
      <c r="AB90" s="58" t="str" cm="1">
        <f t="array" ref="AB90">_xlfn._xlws.FILTER(Teams[teamID], Fixtures[[#This Row],[oppTeam]] = Teams[name], "N/A")</f>
        <v>C-ENG-LUTONTOWN</v>
      </c>
      <c r="AC90" s="58" t="str" cm="1">
        <f t="array" ref="AC90">_xlfn._xlws.FILTER(Teams[teamType], Fixtures[[#This Row],[oppTeam]] = Teams[name], "N/A")</f>
        <v>Club</v>
      </c>
      <c r="AD90" s="58">
        <f>IF(ISBLANK(Fixtures[[#This Row],[date]]), "N/A", IF(Fixtures[[#This Row],[userSide]]="H", Fixtures[[#This Row],[homeScore]], Fixtures[[#This Row],[awayScore]]))</f>
        <v>2</v>
      </c>
      <c r="AE90" s="58">
        <f>IF(ISBLANK(Fixtures[[#This Row],[date]]), "N/A", IF(Fixtures[[#This Row],[userScore]] = Fixtures[[#This Row],[homeScore]], Fixtures[[#This Row],[awayScore]], Fixtures[[#This Row],[homeScore]]))</f>
        <v>0</v>
      </c>
      <c r="AF90" s="58" t="b">
        <f>NOT(AND(ISBLANK(Fixtures[[#This Row],[homePens]]), ISBLANK(Fixtures[[#This Row],[awayPens]])))</f>
        <v>0</v>
      </c>
      <c r="AG90" s="58" t="str">
        <f>IF(Fixtures[[#This Row],[penalties]], IF(Fixtures[[#This Row],[userSide]]="H", Fixtures[[#This Row],[homePens]], Fixtures[[#This Row],[awayPens]]), "N/A")</f>
        <v>N/A</v>
      </c>
      <c r="AH90" s="58" t="str">
        <f>IF(Fixtures[[#This Row],[penalties]], IF(Fixtures[[#This Row],[userPens]]=Fixtures[[#This Row],[homePens]],Fixtures[[#This Row],[awayPens]],Fixtures[[#This Row],[homePens]]), "N/A")</f>
        <v>N/A</v>
      </c>
      <c r="AI90" s="58" t="b">
        <f>COUNTBLANK(Fixtures[[#This Row],[G]:[MOTM]]) = 0</f>
        <v>1</v>
      </c>
      <c r="AJ90" s="58">
        <f>IF(Fixtures[[#This Row],[APP]], Fixtures[[#This Row],[G]]+Fixtures[[#This Row],[A]], "N/A")</f>
        <v>2</v>
      </c>
      <c r="AK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0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[2024-10-12] Burnley vs. Luton Town (2-0) - EFL Championship</v>
      </c>
    </row>
    <row r="91" spans="1:40" ht="13">
      <c r="A91" s="55">
        <v>45584</v>
      </c>
      <c r="B91" s="61">
        <v>0.33333333333333331</v>
      </c>
      <c r="C91" s="56" t="s">
        <v>161</v>
      </c>
      <c r="D91" s="56" t="s">
        <v>141</v>
      </c>
      <c r="E91" s="56" t="s">
        <v>211</v>
      </c>
      <c r="F91" s="56" t="s">
        <v>128</v>
      </c>
      <c r="G91" s="56" t="s">
        <v>142</v>
      </c>
      <c r="H91" s="56" t="s">
        <v>16</v>
      </c>
      <c r="I91" s="56">
        <v>0</v>
      </c>
      <c r="J91" s="56">
        <v>1</v>
      </c>
      <c r="K91" s="56"/>
      <c r="L91" s="56"/>
      <c r="M91" s="56">
        <v>0</v>
      </c>
      <c r="N91" s="56">
        <v>0</v>
      </c>
      <c r="O91" s="56">
        <v>0</v>
      </c>
      <c r="P91" s="56">
        <v>0</v>
      </c>
      <c r="Q91" s="57">
        <v>8.1999999999999993</v>
      </c>
      <c r="R91" s="56" t="b">
        <v>1</v>
      </c>
      <c r="S91" s="58" t="str" cm="1">
        <f t="array" ref="S91">_xlfn._xlws.FILTER(Competitions[compType], (Fixtures[[#This Row],[competition]] = Competitions[name]), "N/A")</f>
        <v>International Friendly</v>
      </c>
      <c r="T91" s="58" t="b" cm="1">
        <f t="array" ref="T91">_xlfn._xlws.FILTER(Competitions[exhibition], (Fixtures[[#This Row],[competition]] = Competitions[name]), "N/A")</f>
        <v>1</v>
      </c>
      <c r="U91" s="58" t="str" cm="1">
        <f t="array" ref="U91">_xlfn._xlws.FILTER(Competitions[compID], (Fixtures[[#This Row],[competition]] = Competitions[name]), "N/A")</f>
        <v>IF-EX-INTERNATIONALFRIENDLY</v>
      </c>
      <c r="V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1" s="58" t="str" cm="1">
        <f t="array" ref="W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91" s="58" t="str" cm="1">
        <f t="array" ref="X91">_xlfn._xlws.FILTER(Teams[name], (Fixtures[[#This Row],[userTeamID]] = Teams[teamID]), "N/A")</f>
        <v>United States</v>
      </c>
      <c r="Y91" s="58" t="str" cm="1">
        <f t="array" ref="Y91">_xlfn._xlws.FILTER(Teams[teamType], (Fixtures[[#This Row],[userTeamID]] = Teams[teamID]), "N/A")</f>
        <v>National</v>
      </c>
      <c r="Z91" s="58" t="str" cm="1">
        <f t="array" ref="Z91">IF(Fixtures[[#This Row],[userTeamID]] = "N/A", "N/A", IF(SUM(COUNTIF(Fixtures[[#This Row],[homeTeam]], _xlfn._xlws.FILTER(Teams[name], (Fixtures[[#This Row],[userTeamID]] = Teams[teamID])*(Teams[relevant])))) &gt; 0, "H", "A"))</f>
        <v>A</v>
      </c>
      <c r="AA91" s="58" t="str">
        <f>IF(Fixtures[[#This Row],[userSide]] = "N/A", "N/A", IF(Fixtures[[#This Row],[userSide]] = "H", Fixtures[[#This Row],[awayTeam]], Fixtures[[#This Row],[homeTeam]]))</f>
        <v>Finland</v>
      </c>
      <c r="AB91" s="58" t="str" cm="1">
        <f t="array" ref="AB91">_xlfn._xlws.FILTER(Teams[teamID], Fixtures[[#This Row],[oppTeam]] = Teams[name], "N/A")</f>
        <v>N-FIN-FINLAND</v>
      </c>
      <c r="AC91" s="58" t="str" cm="1">
        <f t="array" ref="AC91">_xlfn._xlws.FILTER(Teams[teamType], Fixtures[[#This Row],[oppTeam]] = Teams[name], "N/A")</f>
        <v>National</v>
      </c>
      <c r="AD91" s="58">
        <f>IF(ISBLANK(Fixtures[[#This Row],[date]]), "N/A", IF(Fixtures[[#This Row],[userSide]]="H", Fixtures[[#This Row],[homeScore]], Fixtures[[#This Row],[awayScore]]))</f>
        <v>1</v>
      </c>
      <c r="AE91" s="58">
        <f>IF(ISBLANK(Fixtures[[#This Row],[date]]), "N/A", IF(Fixtures[[#This Row],[userScore]] = Fixtures[[#This Row],[homeScore]], Fixtures[[#This Row],[awayScore]], Fixtures[[#This Row],[homeScore]]))</f>
        <v>0</v>
      </c>
      <c r="AF91" s="58" t="b">
        <f>NOT(AND(ISBLANK(Fixtures[[#This Row],[homePens]]), ISBLANK(Fixtures[[#This Row],[awayPens]])))</f>
        <v>0</v>
      </c>
      <c r="AG91" s="58" t="str">
        <f>IF(Fixtures[[#This Row],[penalties]], IF(Fixtures[[#This Row],[userSide]]="H", Fixtures[[#This Row],[homePens]], Fixtures[[#This Row],[awayPens]]), "N/A")</f>
        <v>N/A</v>
      </c>
      <c r="AH91" s="58" t="str">
        <f>IF(Fixtures[[#This Row],[penalties]], IF(Fixtures[[#This Row],[userPens]]=Fixtures[[#This Row],[homePens]],Fixtures[[#This Row],[awayPens]],Fixtures[[#This Row],[homePens]]), "N/A")</f>
        <v>N/A</v>
      </c>
      <c r="AI91" s="58" t="b">
        <f>COUNTBLANK(Fixtures[[#This Row],[G]:[MOTM]]) = 0</f>
        <v>1</v>
      </c>
      <c r="AJ91" s="58">
        <f>IF(Fixtures[[#This Row],[APP]], Fixtures[[#This Row],[G]]+Fixtures[[#This Row],[A]], "N/A")</f>
        <v>0</v>
      </c>
      <c r="AK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[2024-10-19] Finland vs. United States (0-1) - International Friendly</v>
      </c>
    </row>
    <row r="92" spans="1:40" ht="13">
      <c r="A92" s="55">
        <v>45587</v>
      </c>
      <c r="B92" s="61">
        <v>0.48958333333333331</v>
      </c>
      <c r="C92" s="56" t="s">
        <v>161</v>
      </c>
      <c r="D92" s="56" t="s">
        <v>115</v>
      </c>
      <c r="E92" s="56" t="s">
        <v>212</v>
      </c>
      <c r="F92" s="56" t="s">
        <v>128</v>
      </c>
      <c r="G92" s="56" t="s">
        <v>213</v>
      </c>
      <c r="H92" s="56" t="s">
        <v>16</v>
      </c>
      <c r="I92" s="56">
        <v>1</v>
      </c>
      <c r="J92" s="56">
        <v>2</v>
      </c>
      <c r="K92" s="56"/>
      <c r="L92" s="56"/>
      <c r="M92" s="56">
        <v>1</v>
      </c>
      <c r="N92" s="56">
        <v>1</v>
      </c>
      <c r="O92" s="56">
        <v>0</v>
      </c>
      <c r="P92" s="56">
        <v>0</v>
      </c>
      <c r="Q92" s="57">
        <v>8.5</v>
      </c>
      <c r="R92" s="56" t="b">
        <v>1</v>
      </c>
      <c r="S92" s="58" t="str" cm="1">
        <f t="array" ref="S92">_xlfn._xlws.FILTER(Competitions[compType], (Fixtures[[#This Row],[competition]] = Competitions[name]), "N/A")</f>
        <v>International Friendly</v>
      </c>
      <c r="T92" s="58" t="b" cm="1">
        <f t="array" ref="T92">_xlfn._xlws.FILTER(Competitions[exhibition], (Fixtures[[#This Row],[competition]] = Competitions[name]), "N/A")</f>
        <v>1</v>
      </c>
      <c r="U92" s="58" t="str" cm="1">
        <f t="array" ref="U92">_xlfn._xlws.FILTER(Competitions[compID], (Fixtures[[#This Row],[competition]] = Competitions[name]), "N/A")</f>
        <v>IF-EX-INTERNATIONALFRIENDLY</v>
      </c>
      <c r="V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2" s="58" t="str" cm="1">
        <f t="array" ref="W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92" s="58" t="str" cm="1">
        <f t="array" ref="X92">_xlfn._xlws.FILTER(Teams[name], (Fixtures[[#This Row],[userTeamID]] = Teams[teamID]), "N/A")</f>
        <v>United States</v>
      </c>
      <c r="Y92" s="58" t="str" cm="1">
        <f t="array" ref="Y92">_xlfn._xlws.FILTER(Teams[teamType], (Fixtures[[#This Row],[userTeamID]] = Teams[teamID]), "N/A")</f>
        <v>National</v>
      </c>
      <c r="Z92" s="58" t="str" cm="1">
        <f t="array" ref="Z92">IF(Fixtures[[#This Row],[userTeamID]] = "N/A", "N/A", IF(SUM(COUNTIF(Fixtures[[#This Row],[homeTeam]], _xlfn._xlws.FILTER(Teams[name], (Fixtures[[#This Row],[userTeamID]] = Teams[teamID])*(Teams[relevant])))) &gt; 0, "H", "A"))</f>
        <v>A</v>
      </c>
      <c r="AA92" s="58" t="str">
        <f>IF(Fixtures[[#This Row],[userSide]] = "N/A", "N/A", IF(Fixtures[[#This Row],[userSide]] = "H", Fixtures[[#This Row],[awayTeam]], Fixtures[[#This Row],[homeTeam]]))</f>
        <v>Poland</v>
      </c>
      <c r="AB92" s="58" t="str" cm="1">
        <f t="array" ref="AB92">_xlfn._xlws.FILTER(Teams[teamID], Fixtures[[#This Row],[oppTeam]] = Teams[name], "N/A")</f>
        <v>N-POL-POLAND</v>
      </c>
      <c r="AC92" s="58" t="str" cm="1">
        <f t="array" ref="AC92">_xlfn._xlws.FILTER(Teams[teamType], Fixtures[[#This Row],[oppTeam]] = Teams[name], "N/A")</f>
        <v>National</v>
      </c>
      <c r="AD92" s="58">
        <f>IF(ISBLANK(Fixtures[[#This Row],[date]]), "N/A", IF(Fixtures[[#This Row],[userSide]]="H", Fixtures[[#This Row],[homeScore]], Fixtures[[#This Row],[awayScore]]))</f>
        <v>2</v>
      </c>
      <c r="AE92" s="58">
        <f>IF(ISBLANK(Fixtures[[#This Row],[date]]), "N/A", IF(Fixtures[[#This Row],[userScore]] = Fixtures[[#This Row],[homeScore]], Fixtures[[#This Row],[awayScore]], Fixtures[[#This Row],[homeScore]]))</f>
        <v>1</v>
      </c>
      <c r="AF92" s="58" t="b">
        <f>NOT(AND(ISBLANK(Fixtures[[#This Row],[homePens]]), ISBLANK(Fixtures[[#This Row],[awayPens]])))</f>
        <v>0</v>
      </c>
      <c r="AG92" s="58" t="str">
        <f>IF(Fixtures[[#This Row],[penalties]], IF(Fixtures[[#This Row],[userSide]]="H", Fixtures[[#This Row],[homePens]], Fixtures[[#This Row],[awayPens]]), "N/A")</f>
        <v>N/A</v>
      </c>
      <c r="AH92" s="58" t="str">
        <f>IF(Fixtures[[#This Row],[penalties]], IF(Fixtures[[#This Row],[userPens]]=Fixtures[[#This Row],[homePens]],Fixtures[[#This Row],[awayPens]],Fixtures[[#This Row],[homePens]]), "N/A")</f>
        <v>N/A</v>
      </c>
      <c r="AI92" s="58" t="b">
        <f>COUNTBLANK(Fixtures[[#This Row],[G]:[MOTM]]) = 0</f>
        <v>1</v>
      </c>
      <c r="AJ92" s="58">
        <f>IF(Fixtures[[#This Row],[APP]], Fixtures[[#This Row],[G]]+Fixtures[[#This Row],[A]], "N/A")</f>
        <v>2</v>
      </c>
      <c r="AK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[2024-10-22] Poland vs. United States (1-2) - International Friendly</v>
      </c>
    </row>
    <row r="93" spans="1:40" ht="13">
      <c r="A93" s="55">
        <v>45588</v>
      </c>
      <c r="B93" s="61">
        <v>0.82291666666666663</v>
      </c>
      <c r="C93" s="56" t="s">
        <v>203</v>
      </c>
      <c r="D93" s="56" t="s">
        <v>214</v>
      </c>
      <c r="E93" s="56" t="s">
        <v>215</v>
      </c>
      <c r="F93" s="56" t="s">
        <v>176</v>
      </c>
      <c r="G93" s="56" t="s">
        <v>216</v>
      </c>
      <c r="H93" s="56" t="s">
        <v>169</v>
      </c>
      <c r="I93" s="56">
        <v>3</v>
      </c>
      <c r="J93" s="56">
        <v>1</v>
      </c>
      <c r="K93" s="56"/>
      <c r="L93" s="56"/>
      <c r="M93" s="56"/>
      <c r="N93" s="56"/>
      <c r="O93" s="56"/>
      <c r="P93" s="56"/>
      <c r="Q93" s="57"/>
      <c r="R93" s="56"/>
      <c r="S93" s="58" t="str" cm="1">
        <f t="array" ref="S93">_xlfn._xlws.FILTER(Competitions[compType], (Fixtures[[#This Row],[competition]] = Competitions[name]), "N/A")</f>
        <v>Domestic League</v>
      </c>
      <c r="T93" s="58" t="b" cm="1">
        <f t="array" ref="T93">_xlfn._xlws.FILTER(Competitions[exhibition], (Fixtures[[#This Row],[competition]] = Competitions[name]), "N/A")</f>
        <v>0</v>
      </c>
      <c r="U93" s="58" t="str" cm="1">
        <f t="array" ref="U93">_xlfn._xlws.FILTER(Competitions[compID], (Fixtures[[#This Row],[competition]] = Competitions[name]), "N/A")</f>
        <v>DL-OF-EFLCHAMPIONSHIP</v>
      </c>
      <c r="V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3" s="58" t="str" cm="1">
        <f t="array" ref="W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93" s="58" t="str" cm="1">
        <f t="array" ref="X93">_xlfn._xlws.FILTER(Teams[name], (Fixtures[[#This Row],[userTeamID]] = Teams[teamID]), "N/A")</f>
        <v>Burnley</v>
      </c>
      <c r="Y93" s="58" t="str" cm="1">
        <f t="array" ref="Y93">_xlfn._xlws.FILTER(Teams[teamType], (Fixtures[[#This Row],[userTeamID]] = Teams[teamID]), "N/A")</f>
        <v>Club</v>
      </c>
      <c r="Z93" s="58" t="str" cm="1">
        <f t="array" ref="Z93">IF(Fixtures[[#This Row],[userTeamID]] = "N/A", "N/A", IF(SUM(COUNTIF(Fixtures[[#This Row],[homeTeam]], _xlfn._xlws.FILTER(Teams[name], (Fixtures[[#This Row],[userTeamID]] = Teams[teamID])*(Teams[relevant])))) &gt; 0, "H", "A"))</f>
        <v>A</v>
      </c>
      <c r="AA93" s="58" t="str">
        <f>IF(Fixtures[[#This Row],[userSide]] = "N/A", "N/A", IF(Fixtures[[#This Row],[userSide]] = "H", Fixtures[[#This Row],[awayTeam]], Fixtures[[#This Row],[homeTeam]]))</f>
        <v>Watford</v>
      </c>
      <c r="AB93" s="58" t="str" cm="1">
        <f t="array" ref="AB93">_xlfn._xlws.FILTER(Teams[teamID], Fixtures[[#This Row],[oppTeam]] = Teams[name], "N/A")</f>
        <v>C-ENG-WATFORD</v>
      </c>
      <c r="AC93" s="58" t="str" cm="1">
        <f t="array" ref="AC93">_xlfn._xlws.FILTER(Teams[teamType], Fixtures[[#This Row],[oppTeam]] = Teams[name], "N/A")</f>
        <v>Club</v>
      </c>
      <c r="AD93" s="58">
        <f>IF(ISBLANK(Fixtures[[#This Row],[date]]), "N/A", IF(Fixtures[[#This Row],[userSide]]="H", Fixtures[[#This Row],[homeScore]], Fixtures[[#This Row],[awayScore]]))</f>
        <v>1</v>
      </c>
      <c r="AE93" s="58">
        <f>IF(ISBLANK(Fixtures[[#This Row],[date]]), "N/A", IF(Fixtures[[#This Row],[userScore]] = Fixtures[[#This Row],[homeScore]], Fixtures[[#This Row],[awayScore]], Fixtures[[#This Row],[homeScore]]))</f>
        <v>3</v>
      </c>
      <c r="AF93" s="58" t="b">
        <f>NOT(AND(ISBLANK(Fixtures[[#This Row],[homePens]]), ISBLANK(Fixtures[[#This Row],[awayPens]])))</f>
        <v>0</v>
      </c>
      <c r="AG93" s="58" t="str">
        <f>IF(Fixtures[[#This Row],[penalties]], IF(Fixtures[[#This Row],[userSide]]="H", Fixtures[[#This Row],[homePens]], Fixtures[[#This Row],[awayPens]]), "N/A")</f>
        <v>N/A</v>
      </c>
      <c r="AH93" s="58" t="str">
        <f>IF(Fixtures[[#This Row],[penalties]], IF(Fixtures[[#This Row],[userPens]]=Fixtures[[#This Row],[homePens]],Fixtures[[#This Row],[awayPens]],Fixtures[[#This Row],[homePens]]), "N/A")</f>
        <v>N/A</v>
      </c>
      <c r="AI93" s="58" t="b">
        <f>COUNTBLANK(Fixtures[[#This Row],[G]:[MOTM]]) = 0</f>
        <v>0</v>
      </c>
      <c r="AJ93" s="58" t="str">
        <f>IF(Fixtures[[#This Row],[APP]], Fixtures[[#This Row],[G]]+Fixtures[[#This Row],[A]], "N/A")</f>
        <v>N/A</v>
      </c>
      <c r="AK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93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[2024-10-23] Watford vs. Burnley (3-1) - EFL Championship</v>
      </c>
    </row>
    <row r="94" spans="1:40" ht="13">
      <c r="A94" s="55">
        <v>45591</v>
      </c>
      <c r="B94" s="61">
        <v>0.625</v>
      </c>
      <c r="C94" s="56" t="s">
        <v>203</v>
      </c>
      <c r="D94" s="56" t="s">
        <v>175</v>
      </c>
      <c r="E94" s="56" t="s">
        <v>217</v>
      </c>
      <c r="F94" s="56" t="s">
        <v>176</v>
      </c>
      <c r="G94" s="56" t="s">
        <v>169</v>
      </c>
      <c r="H94" s="56" t="s">
        <v>218</v>
      </c>
      <c r="I94" s="56">
        <v>3</v>
      </c>
      <c r="J94" s="56">
        <v>1</v>
      </c>
      <c r="K94" s="56"/>
      <c r="L94" s="56"/>
      <c r="M94" s="56">
        <v>1</v>
      </c>
      <c r="N94" s="56">
        <v>0</v>
      </c>
      <c r="O94" s="56">
        <v>0</v>
      </c>
      <c r="P94" s="56">
        <v>0</v>
      </c>
      <c r="Q94" s="57">
        <v>7.3</v>
      </c>
      <c r="R94" s="56" t="b">
        <v>0</v>
      </c>
      <c r="S94" s="58" t="str" cm="1">
        <f t="array" ref="S94">_xlfn._xlws.FILTER(Competitions[compType], (Fixtures[[#This Row],[competition]] = Competitions[name]), "N/A")</f>
        <v>Domestic League</v>
      </c>
      <c r="T94" s="58" t="b" cm="1">
        <f t="array" ref="T94">_xlfn._xlws.FILTER(Competitions[exhibition], (Fixtures[[#This Row],[competition]] = Competitions[name]), "N/A")</f>
        <v>0</v>
      </c>
      <c r="U94" s="58" t="str" cm="1">
        <f t="array" ref="U94">_xlfn._xlws.FILTER(Competitions[compID], (Fixtures[[#This Row],[competition]] = Competitions[name]), "N/A")</f>
        <v>DL-OF-EFLCHAMPIONSHIP</v>
      </c>
      <c r="V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4" s="58" t="str" cm="1">
        <f t="array" ref="W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94" s="58" t="str" cm="1">
        <f t="array" ref="X94">_xlfn._xlws.FILTER(Teams[name], (Fixtures[[#This Row],[userTeamID]] = Teams[teamID]), "N/A")</f>
        <v>Burnley</v>
      </c>
      <c r="Y94" s="58" t="str" cm="1">
        <f t="array" ref="Y94">_xlfn._xlws.FILTER(Teams[teamType], (Fixtures[[#This Row],[userTeamID]] = Teams[teamID]), "N/A")</f>
        <v>Club</v>
      </c>
      <c r="Z94" s="58" t="str" cm="1">
        <f t="array" ref="Z94">IF(Fixtures[[#This Row],[userTeamID]] = "N/A", "N/A", IF(SUM(COUNTIF(Fixtures[[#This Row],[homeTeam]], _xlfn._xlws.FILTER(Teams[name], (Fixtures[[#This Row],[userTeamID]] = Teams[teamID])*(Teams[relevant])))) &gt; 0, "H", "A"))</f>
        <v>H</v>
      </c>
      <c r="AA94" s="58" t="str">
        <f>IF(Fixtures[[#This Row],[userSide]] = "N/A", "N/A", IF(Fixtures[[#This Row],[userSide]] = "H", Fixtures[[#This Row],[awayTeam]], Fixtures[[#This Row],[homeTeam]]))</f>
        <v>Fleetwood Town</v>
      </c>
      <c r="AB94" s="58" t="str" cm="1">
        <f t="array" ref="AB94">_xlfn._xlws.FILTER(Teams[teamID], Fixtures[[#This Row],[oppTeam]] = Teams[name], "N/A")</f>
        <v>C-ENG-FLEETWOODTOWN</v>
      </c>
      <c r="AC94" s="58" t="str" cm="1">
        <f t="array" ref="AC94">_xlfn._xlws.FILTER(Teams[teamType], Fixtures[[#This Row],[oppTeam]] = Teams[name], "N/A")</f>
        <v>Club</v>
      </c>
      <c r="AD94" s="58">
        <f>IF(ISBLANK(Fixtures[[#This Row],[date]]), "N/A", IF(Fixtures[[#This Row],[userSide]]="H", Fixtures[[#This Row],[homeScore]], Fixtures[[#This Row],[awayScore]]))</f>
        <v>3</v>
      </c>
      <c r="AE94" s="58">
        <f>IF(ISBLANK(Fixtures[[#This Row],[date]]), "N/A", IF(Fixtures[[#This Row],[userScore]] = Fixtures[[#This Row],[homeScore]], Fixtures[[#This Row],[awayScore]], Fixtures[[#This Row],[homeScore]]))</f>
        <v>1</v>
      </c>
      <c r="AF94" s="58" t="b">
        <f>NOT(AND(ISBLANK(Fixtures[[#This Row],[homePens]]), ISBLANK(Fixtures[[#This Row],[awayPens]])))</f>
        <v>0</v>
      </c>
      <c r="AG94" s="58" t="str">
        <f>IF(Fixtures[[#This Row],[penalties]], IF(Fixtures[[#This Row],[userSide]]="H", Fixtures[[#This Row],[homePens]], Fixtures[[#This Row],[awayPens]]), "N/A")</f>
        <v>N/A</v>
      </c>
      <c r="AH94" s="58" t="str">
        <f>IF(Fixtures[[#This Row],[penalties]], IF(Fixtures[[#This Row],[userPens]]=Fixtures[[#This Row],[homePens]],Fixtures[[#This Row],[awayPens]],Fixtures[[#This Row],[homePens]]), "N/A")</f>
        <v>N/A</v>
      </c>
      <c r="AI94" s="58" t="b">
        <f>COUNTBLANK(Fixtures[[#This Row],[G]:[MOTM]]) = 0</f>
        <v>1</v>
      </c>
      <c r="AJ94" s="58">
        <f>IF(Fixtures[[#This Row],[APP]], Fixtures[[#This Row],[G]]+Fixtures[[#This Row],[A]], "N/A")</f>
        <v>1</v>
      </c>
      <c r="AK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4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[2024-10-26] Burnley vs. Fleetwood Town (3-1) - EFL Championship</v>
      </c>
    </row>
    <row r="95" spans="1:40" ht="13">
      <c r="A95" s="55">
        <v>45598</v>
      </c>
      <c r="B95" s="61">
        <v>0.625</v>
      </c>
      <c r="C95" s="56" t="s">
        <v>161</v>
      </c>
      <c r="D95" s="56" t="s">
        <v>147</v>
      </c>
      <c r="E95" s="56" t="s">
        <v>219</v>
      </c>
      <c r="F95" s="56" t="s">
        <v>176</v>
      </c>
      <c r="G95" s="56" t="s">
        <v>220</v>
      </c>
      <c r="H95" s="56" t="s">
        <v>169</v>
      </c>
      <c r="I95" s="56">
        <v>1</v>
      </c>
      <c r="J95" s="56">
        <v>3</v>
      </c>
      <c r="K95" s="56"/>
      <c r="L95" s="56"/>
      <c r="M95" s="56">
        <v>0</v>
      </c>
      <c r="N95" s="56">
        <v>0</v>
      </c>
      <c r="O95" s="56">
        <v>0</v>
      </c>
      <c r="P95" s="56">
        <v>0</v>
      </c>
      <c r="Q95" s="57">
        <v>6.8</v>
      </c>
      <c r="R95" s="56" t="b">
        <v>0</v>
      </c>
      <c r="S95" s="58" t="str" cm="1">
        <f t="array" ref="S95">_xlfn._xlws.FILTER(Competitions[compType], (Fixtures[[#This Row],[competition]] = Competitions[name]), "N/A")</f>
        <v>Domestic League</v>
      </c>
      <c r="T95" s="58" t="b" cm="1">
        <f t="array" ref="T95">_xlfn._xlws.FILTER(Competitions[exhibition], (Fixtures[[#This Row],[competition]] = Competitions[name]), "N/A")</f>
        <v>0</v>
      </c>
      <c r="U95" s="58" t="str" cm="1">
        <f t="array" ref="U95">_xlfn._xlws.FILTER(Competitions[compID], (Fixtures[[#This Row],[competition]] = Competitions[name]), "N/A")</f>
        <v>DL-OF-EFLCHAMPIONSHIP</v>
      </c>
      <c r="V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5" s="58" t="str" cm="1">
        <f t="array" ref="W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95" s="58" t="str" cm="1">
        <f t="array" ref="X95">_xlfn._xlws.FILTER(Teams[name], (Fixtures[[#This Row],[userTeamID]] = Teams[teamID]), "N/A")</f>
        <v>Burnley</v>
      </c>
      <c r="Y95" s="58" t="str" cm="1">
        <f t="array" ref="Y95">_xlfn._xlws.FILTER(Teams[teamType], (Fixtures[[#This Row],[userTeamID]] = Teams[teamID]), "N/A")</f>
        <v>Club</v>
      </c>
      <c r="Z95" s="58" t="str" cm="1">
        <f t="array" ref="Z95">IF(Fixtures[[#This Row],[userTeamID]] = "N/A", "N/A", IF(SUM(COUNTIF(Fixtures[[#This Row],[homeTeam]], _xlfn._xlws.FILTER(Teams[name], (Fixtures[[#This Row],[userTeamID]] = Teams[teamID])*(Teams[relevant])))) &gt; 0, "H", "A"))</f>
        <v>A</v>
      </c>
      <c r="AA95" s="58" t="str">
        <f>IF(Fixtures[[#This Row],[userSide]] = "N/A", "N/A", IF(Fixtures[[#This Row],[userSide]] = "H", Fixtures[[#This Row],[awayTeam]], Fixtures[[#This Row],[homeTeam]]))</f>
        <v>Bristol City</v>
      </c>
      <c r="AB95" s="58" t="str" cm="1">
        <f t="array" ref="AB95">_xlfn._xlws.FILTER(Teams[teamID], Fixtures[[#This Row],[oppTeam]] = Teams[name], "N/A")</f>
        <v>C-ENG-BRISTOLCITY</v>
      </c>
      <c r="AC95" s="58" t="str" cm="1">
        <f t="array" ref="AC95">_xlfn._xlws.FILTER(Teams[teamType], Fixtures[[#This Row],[oppTeam]] = Teams[name], "N/A")</f>
        <v>Club</v>
      </c>
      <c r="AD95" s="58">
        <f>IF(ISBLANK(Fixtures[[#This Row],[date]]), "N/A", IF(Fixtures[[#This Row],[userSide]]="H", Fixtures[[#This Row],[homeScore]], Fixtures[[#This Row],[awayScore]]))</f>
        <v>3</v>
      </c>
      <c r="AE95" s="58">
        <f>IF(ISBLANK(Fixtures[[#This Row],[date]]), "N/A", IF(Fixtures[[#This Row],[userScore]] = Fixtures[[#This Row],[homeScore]], Fixtures[[#This Row],[awayScore]], Fixtures[[#This Row],[homeScore]]))</f>
        <v>1</v>
      </c>
      <c r="AF95" s="58" t="b">
        <f>NOT(AND(ISBLANK(Fixtures[[#This Row],[homePens]]), ISBLANK(Fixtures[[#This Row],[awayPens]])))</f>
        <v>0</v>
      </c>
      <c r="AG95" s="58" t="str">
        <f>IF(Fixtures[[#This Row],[penalties]], IF(Fixtures[[#This Row],[userSide]]="H", Fixtures[[#This Row],[homePens]], Fixtures[[#This Row],[awayPens]]), "N/A")</f>
        <v>N/A</v>
      </c>
      <c r="AH95" s="58" t="str">
        <f>IF(Fixtures[[#This Row],[penalties]], IF(Fixtures[[#This Row],[userPens]]=Fixtures[[#This Row],[homePens]],Fixtures[[#This Row],[awayPens]],Fixtures[[#This Row],[homePens]]), "N/A")</f>
        <v>N/A</v>
      </c>
      <c r="AI95" s="58" t="b">
        <f>COUNTBLANK(Fixtures[[#This Row],[G]:[MOTM]]) = 0</f>
        <v>1</v>
      </c>
      <c r="AJ95" s="58">
        <f>IF(Fixtures[[#This Row],[APP]], Fixtures[[#This Row],[G]]+Fixtures[[#This Row],[A]], "N/A")</f>
        <v>0</v>
      </c>
      <c r="AK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5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[2024-11-02] Bristol City vs. Burnley (1-3) - EFL Championship</v>
      </c>
    </row>
    <row r="96" spans="1:40" ht="13">
      <c r="A96" s="55">
        <v>45612</v>
      </c>
      <c r="B96" s="61">
        <v>0.625</v>
      </c>
      <c r="C96" s="56" t="s">
        <v>195</v>
      </c>
      <c r="D96" s="56" t="s">
        <v>221</v>
      </c>
      <c r="E96" s="56" t="s">
        <v>108</v>
      </c>
      <c r="F96" s="56" t="s">
        <v>176</v>
      </c>
      <c r="G96" s="56" t="s">
        <v>222</v>
      </c>
      <c r="H96" s="56" t="s">
        <v>169</v>
      </c>
      <c r="I96" s="56">
        <v>0</v>
      </c>
      <c r="J96" s="56">
        <v>0</v>
      </c>
      <c r="K96" s="56"/>
      <c r="L96" s="56"/>
      <c r="M96" s="56">
        <v>0</v>
      </c>
      <c r="N96" s="56">
        <v>0</v>
      </c>
      <c r="O96" s="56">
        <v>0</v>
      </c>
      <c r="P96" s="56">
        <v>0</v>
      </c>
      <c r="Q96" s="57">
        <v>6.9</v>
      </c>
      <c r="R96" s="56" t="b">
        <v>0</v>
      </c>
      <c r="S96" s="58" t="str" cm="1">
        <f t="array" ref="S96">_xlfn._xlws.FILTER(Competitions[compType], (Fixtures[[#This Row],[competition]] = Competitions[name]), "N/A")</f>
        <v>Domestic League</v>
      </c>
      <c r="T96" s="58" t="b" cm="1">
        <f t="array" ref="T96">_xlfn._xlws.FILTER(Competitions[exhibition], (Fixtures[[#This Row],[competition]] = Competitions[name]), "N/A")</f>
        <v>0</v>
      </c>
      <c r="U96" s="58" t="str" cm="1">
        <f t="array" ref="U96">_xlfn._xlws.FILTER(Competitions[compID], (Fixtures[[#This Row],[competition]] = Competitions[name]), "N/A")</f>
        <v>DL-OF-EFLCHAMPIONSHIP</v>
      </c>
      <c r="V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6" s="58" t="str" cm="1">
        <f t="array" ref="W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96" s="58" t="str" cm="1">
        <f t="array" ref="X96">_xlfn._xlws.FILTER(Teams[name], (Fixtures[[#This Row],[userTeamID]] = Teams[teamID]), "N/A")</f>
        <v>Burnley</v>
      </c>
      <c r="Y96" s="58" t="str" cm="1">
        <f t="array" ref="Y96">_xlfn._xlws.FILTER(Teams[teamType], (Fixtures[[#This Row],[userTeamID]] = Teams[teamID]), "N/A")</f>
        <v>Club</v>
      </c>
      <c r="Z96" s="58" t="str" cm="1">
        <f t="array" ref="Z96">IF(Fixtures[[#This Row],[userTeamID]] = "N/A", "N/A", IF(SUM(COUNTIF(Fixtures[[#This Row],[homeTeam]], _xlfn._xlws.FILTER(Teams[name], (Fixtures[[#This Row],[userTeamID]] = Teams[teamID])*(Teams[relevant])))) &gt; 0, "H", "A"))</f>
        <v>A</v>
      </c>
      <c r="AA96" s="58" t="str">
        <f>IF(Fixtures[[#This Row],[userSide]] = "N/A", "N/A", IF(Fixtures[[#This Row],[userSide]] = "H", Fixtures[[#This Row],[awayTeam]], Fixtures[[#This Row],[homeTeam]]))</f>
        <v>Middlesbrough</v>
      </c>
      <c r="AB96" s="58" t="str" cm="1">
        <f t="array" ref="AB96">_xlfn._xlws.FILTER(Teams[teamID], Fixtures[[#This Row],[oppTeam]] = Teams[name], "N/A")</f>
        <v>C-ENG-MIDDLESBROUGH</v>
      </c>
      <c r="AC96" s="58" t="str" cm="1">
        <f t="array" ref="AC96">_xlfn._xlws.FILTER(Teams[teamType], Fixtures[[#This Row],[oppTeam]] = Teams[name], "N/A")</f>
        <v>Club</v>
      </c>
      <c r="AD96" s="58">
        <f>IF(ISBLANK(Fixtures[[#This Row],[date]]), "N/A", IF(Fixtures[[#This Row],[userSide]]="H", Fixtures[[#This Row],[homeScore]], Fixtures[[#This Row],[awayScore]]))</f>
        <v>0</v>
      </c>
      <c r="AE96" s="58">
        <f>IF(ISBLANK(Fixtures[[#This Row],[date]]), "N/A", IF(Fixtures[[#This Row],[userScore]] = Fixtures[[#This Row],[homeScore]], Fixtures[[#This Row],[awayScore]], Fixtures[[#This Row],[homeScore]]))</f>
        <v>0</v>
      </c>
      <c r="AF96" s="58" t="b">
        <f>NOT(AND(ISBLANK(Fixtures[[#This Row],[homePens]]), ISBLANK(Fixtures[[#This Row],[awayPens]])))</f>
        <v>0</v>
      </c>
      <c r="AG96" s="58" t="str">
        <f>IF(Fixtures[[#This Row],[penalties]], IF(Fixtures[[#This Row],[userSide]]="H", Fixtures[[#This Row],[homePens]], Fixtures[[#This Row],[awayPens]]), "N/A")</f>
        <v>N/A</v>
      </c>
      <c r="AH96" s="58" t="str">
        <f>IF(Fixtures[[#This Row],[penalties]], IF(Fixtures[[#This Row],[userPens]]=Fixtures[[#This Row],[homePens]],Fixtures[[#This Row],[awayPens]],Fixtures[[#This Row],[homePens]]), "N/A")</f>
        <v>N/A</v>
      </c>
      <c r="AI96" s="58" t="b">
        <f>COUNTBLANK(Fixtures[[#This Row],[G]:[MOTM]]) = 0</f>
        <v>1</v>
      </c>
      <c r="AJ96" s="58">
        <f>IF(Fixtures[[#This Row],[APP]], Fixtures[[#This Row],[G]]+Fixtures[[#This Row],[A]], "N/A")</f>
        <v>0</v>
      </c>
      <c r="AK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96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[2024-11-16] Middlesbrough vs. Burnley (0-0) - EFL Championship</v>
      </c>
    </row>
    <row r="97" spans="1:40" ht="13">
      <c r="A97" s="55">
        <v>45618</v>
      </c>
      <c r="B97" s="61">
        <v>0.48958333333333331</v>
      </c>
      <c r="C97" s="56" t="s">
        <v>161</v>
      </c>
      <c r="D97" s="56" t="s">
        <v>127</v>
      </c>
      <c r="E97" s="56" t="s">
        <v>223</v>
      </c>
      <c r="F97" s="56" t="s">
        <v>128</v>
      </c>
      <c r="G97" s="56" t="s">
        <v>16</v>
      </c>
      <c r="H97" s="56" t="s">
        <v>224</v>
      </c>
      <c r="I97" s="56">
        <v>2</v>
      </c>
      <c r="J97" s="56">
        <v>0</v>
      </c>
      <c r="K97" s="56"/>
      <c r="L97" s="56"/>
      <c r="M97" s="56">
        <v>0</v>
      </c>
      <c r="N97" s="56">
        <v>1</v>
      </c>
      <c r="O97" s="56">
        <v>0</v>
      </c>
      <c r="P97" s="56">
        <v>0</v>
      </c>
      <c r="Q97" s="57">
        <v>7.9</v>
      </c>
      <c r="R97" s="56" t="b">
        <v>1</v>
      </c>
      <c r="S97" s="58" t="str" cm="1">
        <f t="array" ref="S97">_xlfn._xlws.FILTER(Competitions[compType], (Fixtures[[#This Row],[competition]] = Competitions[name]), "N/A")</f>
        <v>International Friendly</v>
      </c>
      <c r="T97" s="58" t="b" cm="1">
        <f t="array" ref="T97">_xlfn._xlws.FILTER(Competitions[exhibition], (Fixtures[[#This Row],[competition]] = Competitions[name]), "N/A")</f>
        <v>1</v>
      </c>
      <c r="U97" s="58" t="str" cm="1">
        <f t="array" ref="U97">_xlfn._xlws.FILTER(Competitions[compID], (Fixtures[[#This Row],[competition]] = Competitions[name]), "N/A")</f>
        <v>IF-EX-INTERNATIONALFRIENDLY</v>
      </c>
      <c r="V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7" s="58" t="str" cm="1">
        <f t="array" ref="W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97" s="58" t="str" cm="1">
        <f t="array" ref="X97">_xlfn._xlws.FILTER(Teams[name], (Fixtures[[#This Row],[userTeamID]] = Teams[teamID]), "N/A")</f>
        <v>United States</v>
      </c>
      <c r="Y97" s="58" t="str" cm="1">
        <f t="array" ref="Y97">_xlfn._xlws.FILTER(Teams[teamType], (Fixtures[[#This Row],[userTeamID]] = Teams[teamID]), "N/A")</f>
        <v>National</v>
      </c>
      <c r="Z97" s="58" t="str" cm="1">
        <f t="array" ref="Z97">IF(Fixtures[[#This Row],[userTeamID]] = "N/A", "N/A", IF(SUM(COUNTIF(Fixtures[[#This Row],[homeTeam]], _xlfn._xlws.FILTER(Teams[name], (Fixtures[[#This Row],[userTeamID]] = Teams[teamID])*(Teams[relevant])))) &gt; 0, "H", "A"))</f>
        <v>H</v>
      </c>
      <c r="AA97" s="58" t="str">
        <f>IF(Fixtures[[#This Row],[userSide]] = "N/A", "N/A", IF(Fixtures[[#This Row],[userSide]] = "H", Fixtures[[#This Row],[awayTeam]], Fixtures[[#This Row],[homeTeam]]))</f>
        <v>Croatia</v>
      </c>
      <c r="AB97" s="58" t="str" cm="1">
        <f t="array" ref="AB97">_xlfn._xlws.FILTER(Teams[teamID], Fixtures[[#This Row],[oppTeam]] = Teams[name], "N/A")</f>
        <v>N-CRO-CROATIA</v>
      </c>
      <c r="AC97" s="58" t="str" cm="1">
        <f t="array" ref="AC97">_xlfn._xlws.FILTER(Teams[teamType], Fixtures[[#This Row],[oppTeam]] = Teams[name], "N/A")</f>
        <v>National</v>
      </c>
      <c r="AD97" s="58">
        <f>IF(ISBLANK(Fixtures[[#This Row],[date]]), "N/A", IF(Fixtures[[#This Row],[userSide]]="H", Fixtures[[#This Row],[homeScore]], Fixtures[[#This Row],[awayScore]]))</f>
        <v>2</v>
      </c>
      <c r="AE97" s="58">
        <f>IF(ISBLANK(Fixtures[[#This Row],[date]]), "N/A", IF(Fixtures[[#This Row],[userScore]] = Fixtures[[#This Row],[homeScore]], Fixtures[[#This Row],[awayScore]], Fixtures[[#This Row],[homeScore]]))</f>
        <v>0</v>
      </c>
      <c r="AF97" s="58" t="b">
        <f>NOT(AND(ISBLANK(Fixtures[[#This Row],[homePens]]), ISBLANK(Fixtures[[#This Row],[awayPens]])))</f>
        <v>0</v>
      </c>
      <c r="AG97" s="58" t="str">
        <f>IF(Fixtures[[#This Row],[penalties]], IF(Fixtures[[#This Row],[userSide]]="H", Fixtures[[#This Row],[homePens]], Fixtures[[#This Row],[awayPens]]), "N/A")</f>
        <v>N/A</v>
      </c>
      <c r="AH97" s="58" t="str">
        <f>IF(Fixtures[[#This Row],[penalties]], IF(Fixtures[[#This Row],[userPens]]=Fixtures[[#This Row],[homePens]],Fixtures[[#This Row],[awayPens]],Fixtures[[#This Row],[homePens]]), "N/A")</f>
        <v>N/A</v>
      </c>
      <c r="AI97" s="58" t="b">
        <f>COUNTBLANK(Fixtures[[#This Row],[G]:[MOTM]]) = 0</f>
        <v>1</v>
      </c>
      <c r="AJ97" s="58">
        <f>IF(Fixtures[[#This Row],[APP]], Fixtures[[#This Row],[G]]+Fixtures[[#This Row],[A]], "N/A")</f>
        <v>1</v>
      </c>
      <c r="AK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7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[2024-11-22] United States vs. Croatia (2-0) - International Friendly</v>
      </c>
    </row>
    <row r="98" spans="1:40" ht="13">
      <c r="A98" s="55">
        <v>45619</v>
      </c>
      <c r="B98" s="61">
        <v>0.625</v>
      </c>
      <c r="C98" s="56" t="s">
        <v>183</v>
      </c>
      <c r="D98" s="56" t="s">
        <v>175</v>
      </c>
      <c r="E98" s="56" t="s">
        <v>217</v>
      </c>
      <c r="F98" s="56" t="s">
        <v>176</v>
      </c>
      <c r="G98" s="56" t="s">
        <v>169</v>
      </c>
      <c r="H98" s="56" t="s">
        <v>225</v>
      </c>
      <c r="I98" s="56">
        <v>3</v>
      </c>
      <c r="J98" s="56">
        <v>2</v>
      </c>
      <c r="K98" s="56"/>
      <c r="L98" s="56"/>
      <c r="M98" s="56"/>
      <c r="N98" s="56"/>
      <c r="O98" s="56"/>
      <c r="P98" s="56"/>
      <c r="Q98" s="57"/>
      <c r="R98" s="56"/>
      <c r="S98" s="58" t="str" cm="1">
        <f t="array" ref="S98">_xlfn._xlws.FILTER(Competitions[compType], (Fixtures[[#This Row],[competition]] = Competitions[name]), "N/A")</f>
        <v>Domestic League</v>
      </c>
      <c r="T98" s="58" t="b" cm="1">
        <f t="array" ref="T98">_xlfn._xlws.FILTER(Competitions[exhibition], (Fixtures[[#This Row],[competition]] = Competitions[name]), "N/A")</f>
        <v>0</v>
      </c>
      <c r="U98" s="58" t="str" cm="1">
        <f t="array" ref="U98">_xlfn._xlws.FILTER(Competitions[compID], (Fixtures[[#This Row],[competition]] = Competitions[name]), "N/A")</f>
        <v>DL-OF-EFLCHAMPIONSHIP</v>
      </c>
      <c r="V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8" s="58" t="str" cm="1">
        <f t="array" ref="W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98" s="58" t="str" cm="1">
        <f t="array" ref="X98">_xlfn._xlws.FILTER(Teams[name], (Fixtures[[#This Row],[userTeamID]] = Teams[teamID]), "N/A")</f>
        <v>Burnley</v>
      </c>
      <c r="Y98" s="58" t="str" cm="1">
        <f t="array" ref="Y98">_xlfn._xlws.FILTER(Teams[teamType], (Fixtures[[#This Row],[userTeamID]] = Teams[teamID]), "N/A")</f>
        <v>Club</v>
      </c>
      <c r="Z98" s="58" t="str" cm="1">
        <f t="array" ref="Z98">IF(Fixtures[[#This Row],[userTeamID]] = "N/A", "N/A", IF(SUM(COUNTIF(Fixtures[[#This Row],[homeTeam]], _xlfn._xlws.FILTER(Teams[name], (Fixtures[[#This Row],[userTeamID]] = Teams[teamID])*(Teams[relevant])))) &gt; 0, "H", "A"))</f>
        <v>H</v>
      </c>
      <c r="AA98" s="58" t="str">
        <f>IF(Fixtures[[#This Row],[userSide]] = "N/A", "N/A", IF(Fixtures[[#This Row],[userSide]] = "H", Fixtures[[#This Row],[awayTeam]], Fixtures[[#This Row],[homeTeam]]))</f>
        <v>Preston</v>
      </c>
      <c r="AB98" s="58" t="str" cm="1">
        <f t="array" ref="AB98">_xlfn._xlws.FILTER(Teams[teamID], Fixtures[[#This Row],[oppTeam]] = Teams[name], "N/A")</f>
        <v>C-ENG-PRESTON</v>
      </c>
      <c r="AC98" s="58" t="str" cm="1">
        <f t="array" ref="AC98">_xlfn._xlws.FILTER(Teams[teamType], Fixtures[[#This Row],[oppTeam]] = Teams[name], "N/A")</f>
        <v>Club</v>
      </c>
      <c r="AD98" s="58">
        <f>IF(ISBLANK(Fixtures[[#This Row],[date]]), "N/A", IF(Fixtures[[#This Row],[userSide]]="H", Fixtures[[#This Row],[homeScore]], Fixtures[[#This Row],[awayScore]]))</f>
        <v>3</v>
      </c>
      <c r="AE98" s="58">
        <f>IF(ISBLANK(Fixtures[[#This Row],[date]]), "N/A", IF(Fixtures[[#This Row],[userScore]] = Fixtures[[#This Row],[homeScore]], Fixtures[[#This Row],[awayScore]], Fixtures[[#This Row],[homeScore]]))</f>
        <v>2</v>
      </c>
      <c r="AF98" s="58" t="b">
        <f>NOT(AND(ISBLANK(Fixtures[[#This Row],[homePens]]), ISBLANK(Fixtures[[#This Row],[awayPens]])))</f>
        <v>0</v>
      </c>
      <c r="AG98" s="58" t="str">
        <f>IF(Fixtures[[#This Row],[penalties]], IF(Fixtures[[#This Row],[userSide]]="H", Fixtures[[#This Row],[homePens]], Fixtures[[#This Row],[awayPens]]), "N/A")</f>
        <v>N/A</v>
      </c>
      <c r="AH98" s="58" t="str">
        <f>IF(Fixtures[[#This Row],[penalties]], IF(Fixtures[[#This Row],[userPens]]=Fixtures[[#This Row],[homePens]],Fixtures[[#This Row],[awayPens]],Fixtures[[#This Row],[homePens]]), "N/A")</f>
        <v>N/A</v>
      </c>
      <c r="AI98" s="58" t="b">
        <f>COUNTBLANK(Fixtures[[#This Row],[G]:[MOTM]]) = 0</f>
        <v>0</v>
      </c>
      <c r="AJ98" s="58" t="str">
        <f>IF(Fixtures[[#This Row],[APP]], Fixtures[[#This Row],[G]]+Fixtures[[#This Row],[A]], "N/A")</f>
        <v>N/A</v>
      </c>
      <c r="AK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[2024-11-23] Burnley vs. Preston (3-2) - EFL Championship</v>
      </c>
    </row>
    <row r="99" spans="1:40" ht="13">
      <c r="A99" s="55">
        <v>45622</v>
      </c>
      <c r="B99" s="61">
        <v>0.48958333333333331</v>
      </c>
      <c r="C99" s="56" t="s">
        <v>161</v>
      </c>
      <c r="D99" s="56" t="s">
        <v>190</v>
      </c>
      <c r="E99" s="56" t="s">
        <v>223</v>
      </c>
      <c r="F99" s="56" t="s">
        <v>128</v>
      </c>
      <c r="G99" s="56" t="s">
        <v>226</v>
      </c>
      <c r="H99" s="56" t="s">
        <v>16</v>
      </c>
      <c r="I99" s="56">
        <v>0</v>
      </c>
      <c r="J99" s="56">
        <v>1</v>
      </c>
      <c r="K99" s="56"/>
      <c r="L99" s="56"/>
      <c r="M99" s="56">
        <v>0</v>
      </c>
      <c r="N99" s="56">
        <v>1</v>
      </c>
      <c r="O99" s="56">
        <v>0</v>
      </c>
      <c r="P99" s="56">
        <v>0</v>
      </c>
      <c r="Q99" s="57">
        <v>7.3</v>
      </c>
      <c r="R99" s="56" t="b">
        <v>1</v>
      </c>
      <c r="S99" s="58" t="str" cm="1">
        <f t="array" ref="S99">_xlfn._xlws.FILTER(Competitions[compType], (Fixtures[[#This Row],[competition]] = Competitions[name]), "N/A")</f>
        <v>International Friendly</v>
      </c>
      <c r="T99" s="58" t="b" cm="1">
        <f t="array" ref="T99">_xlfn._xlws.FILTER(Competitions[exhibition], (Fixtures[[#This Row],[competition]] = Competitions[name]), "N/A")</f>
        <v>1</v>
      </c>
      <c r="U99" s="58" t="str" cm="1">
        <f t="array" ref="U99">_xlfn._xlws.FILTER(Competitions[compID], (Fixtures[[#This Row],[competition]] = Competitions[name]), "N/A")</f>
        <v>IF-EX-INTERNATIONALFRIENDLY</v>
      </c>
      <c r="V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99" s="58" t="str" cm="1">
        <f t="array" ref="W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99" s="58" t="str" cm="1">
        <f t="array" ref="X99">_xlfn._xlws.FILTER(Teams[name], (Fixtures[[#This Row],[userTeamID]] = Teams[teamID]), "N/A")</f>
        <v>United States</v>
      </c>
      <c r="Y99" s="58" t="str" cm="1">
        <f t="array" ref="Y99">_xlfn._xlws.FILTER(Teams[teamType], (Fixtures[[#This Row],[userTeamID]] = Teams[teamID]), "N/A")</f>
        <v>National</v>
      </c>
      <c r="Z99" s="58" t="str" cm="1">
        <f t="array" ref="Z99">IF(Fixtures[[#This Row],[userTeamID]] = "N/A", "N/A", IF(SUM(COUNTIF(Fixtures[[#This Row],[homeTeam]], _xlfn._xlws.FILTER(Teams[name], (Fixtures[[#This Row],[userTeamID]] = Teams[teamID])*(Teams[relevant])))) &gt; 0, "H", "A"))</f>
        <v>A</v>
      </c>
      <c r="AA99" s="58" t="str">
        <f>IF(Fixtures[[#This Row],[userSide]] = "N/A", "N/A", IF(Fixtures[[#This Row],[userSide]] = "H", Fixtures[[#This Row],[awayTeam]], Fixtures[[#This Row],[homeTeam]]))</f>
        <v>Northern Ireland</v>
      </c>
      <c r="AB99" s="58" t="str" cm="1">
        <f t="array" ref="AB99">_xlfn._xlws.FILTER(Teams[teamID], Fixtures[[#This Row],[oppTeam]] = Teams[name], "N/A")</f>
        <v>N-NOR-NORTHERNIRELAND</v>
      </c>
      <c r="AC99" s="58" t="str" cm="1">
        <f t="array" ref="AC99">_xlfn._xlws.FILTER(Teams[teamType], Fixtures[[#This Row],[oppTeam]] = Teams[name], "N/A")</f>
        <v>National</v>
      </c>
      <c r="AD99" s="58">
        <f>IF(ISBLANK(Fixtures[[#This Row],[date]]), "N/A", IF(Fixtures[[#This Row],[userSide]]="H", Fixtures[[#This Row],[homeScore]], Fixtures[[#This Row],[awayScore]]))</f>
        <v>1</v>
      </c>
      <c r="AE99" s="58">
        <f>IF(ISBLANK(Fixtures[[#This Row],[date]]), "N/A", IF(Fixtures[[#This Row],[userScore]] = Fixtures[[#This Row],[homeScore]], Fixtures[[#This Row],[awayScore]], Fixtures[[#This Row],[homeScore]]))</f>
        <v>0</v>
      </c>
      <c r="AF99" s="58" t="b">
        <f>NOT(AND(ISBLANK(Fixtures[[#This Row],[homePens]]), ISBLANK(Fixtures[[#This Row],[awayPens]])))</f>
        <v>0</v>
      </c>
      <c r="AG99" s="58" t="str">
        <f>IF(Fixtures[[#This Row],[penalties]], IF(Fixtures[[#This Row],[userSide]]="H", Fixtures[[#This Row],[homePens]], Fixtures[[#This Row],[awayPens]]), "N/A")</f>
        <v>N/A</v>
      </c>
      <c r="AH99" s="58" t="str">
        <f>IF(Fixtures[[#This Row],[penalties]], IF(Fixtures[[#This Row],[userPens]]=Fixtures[[#This Row],[homePens]],Fixtures[[#This Row],[awayPens]],Fixtures[[#This Row],[homePens]]), "N/A")</f>
        <v>N/A</v>
      </c>
      <c r="AI99" s="58" t="b">
        <f>COUNTBLANK(Fixtures[[#This Row],[G]:[MOTM]]) = 0</f>
        <v>1</v>
      </c>
      <c r="AJ99" s="58">
        <f>IF(Fixtures[[#This Row],[APP]], Fixtures[[#This Row],[G]]+Fixtures[[#This Row],[A]], "N/A")</f>
        <v>1</v>
      </c>
      <c r="AK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99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[2024-11-26] Northern Ireland vs. United States (0-1) - International Friendly</v>
      </c>
    </row>
    <row r="100" spans="1:40" ht="13">
      <c r="A100" s="55">
        <v>45623</v>
      </c>
      <c r="B100" s="61">
        <v>0.78125</v>
      </c>
      <c r="C100" s="56" t="s">
        <v>195</v>
      </c>
      <c r="D100" s="56" t="s">
        <v>175</v>
      </c>
      <c r="E100" s="56" t="s">
        <v>217</v>
      </c>
      <c r="F100" s="56" t="s">
        <v>176</v>
      </c>
      <c r="G100" s="56" t="s">
        <v>169</v>
      </c>
      <c r="H100" s="56" t="s">
        <v>227</v>
      </c>
      <c r="I100" s="56">
        <v>2</v>
      </c>
      <c r="J100" s="56">
        <v>1</v>
      </c>
      <c r="K100" s="56"/>
      <c r="L100" s="56"/>
      <c r="M100" s="56"/>
      <c r="N100" s="56"/>
      <c r="O100" s="56"/>
      <c r="P100" s="56"/>
      <c r="Q100" s="57"/>
      <c r="R100" s="56"/>
      <c r="S100" s="58" t="str" cm="1">
        <f t="array" ref="S100">_xlfn._xlws.FILTER(Competitions[compType], (Fixtures[[#This Row],[competition]] = Competitions[name]), "N/A")</f>
        <v>Domestic League</v>
      </c>
      <c r="T100" s="58" t="b" cm="1">
        <f t="array" ref="T100">_xlfn._xlws.FILTER(Competitions[exhibition], (Fixtures[[#This Row],[competition]] = Competitions[name]), "N/A")</f>
        <v>0</v>
      </c>
      <c r="U100" s="58" t="str" cm="1">
        <f t="array" ref="U100">_xlfn._xlws.FILTER(Competitions[compID], (Fixtures[[#This Row],[competition]] = Competitions[name]), "N/A")</f>
        <v>DL-OF-EFLCHAMPIONSHIP</v>
      </c>
      <c r="V1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0" s="58" t="str" cm="1">
        <f t="array" ref="W1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0" s="58" t="str" cm="1">
        <f t="array" ref="X100">_xlfn._xlws.FILTER(Teams[name], (Fixtures[[#This Row],[userTeamID]] = Teams[teamID]), "N/A")</f>
        <v>Burnley</v>
      </c>
      <c r="Y100" s="58" t="str" cm="1">
        <f t="array" ref="Y100">_xlfn._xlws.FILTER(Teams[teamType], (Fixtures[[#This Row],[userTeamID]] = Teams[teamID]), "N/A")</f>
        <v>Club</v>
      </c>
      <c r="Z100" s="58" t="str" cm="1">
        <f t="array" ref="Z100">IF(Fixtures[[#This Row],[userTeamID]] = "N/A", "N/A", IF(SUM(COUNTIF(Fixtures[[#This Row],[homeTeam]], _xlfn._xlws.FILTER(Teams[name], (Fixtures[[#This Row],[userTeamID]] = Teams[teamID])*(Teams[relevant])))) &gt; 0, "H", "A"))</f>
        <v>H</v>
      </c>
      <c r="AA100" s="58" t="str">
        <f>IF(Fixtures[[#This Row],[userSide]] = "N/A", "N/A", IF(Fixtures[[#This Row],[userSide]] = "H", Fixtures[[#This Row],[awayTeam]], Fixtures[[#This Row],[homeTeam]]))</f>
        <v>Ipswich</v>
      </c>
      <c r="AB100" s="58" t="str" cm="1">
        <f t="array" ref="AB100">_xlfn._xlws.FILTER(Teams[teamID], Fixtures[[#This Row],[oppTeam]] = Teams[name], "N/A")</f>
        <v>C-ENG-IPSWICH</v>
      </c>
      <c r="AC100" s="58" t="str" cm="1">
        <f t="array" ref="AC100">_xlfn._xlws.FILTER(Teams[teamType], Fixtures[[#This Row],[oppTeam]] = Teams[name], "N/A")</f>
        <v>Club</v>
      </c>
      <c r="AD100" s="58">
        <f>IF(ISBLANK(Fixtures[[#This Row],[date]]), "N/A", IF(Fixtures[[#This Row],[userSide]]="H", Fixtures[[#This Row],[homeScore]], Fixtures[[#This Row],[awayScore]]))</f>
        <v>2</v>
      </c>
      <c r="AE100" s="58">
        <f>IF(ISBLANK(Fixtures[[#This Row],[date]]), "N/A", IF(Fixtures[[#This Row],[userScore]] = Fixtures[[#This Row],[homeScore]], Fixtures[[#This Row],[awayScore]], Fixtures[[#This Row],[homeScore]]))</f>
        <v>1</v>
      </c>
      <c r="AF100" s="58" t="b">
        <f>NOT(AND(ISBLANK(Fixtures[[#This Row],[homePens]]), ISBLANK(Fixtures[[#This Row],[awayPens]])))</f>
        <v>0</v>
      </c>
      <c r="AG100" s="58" t="str">
        <f>IF(Fixtures[[#This Row],[penalties]], IF(Fixtures[[#This Row],[userSide]]="H", Fixtures[[#This Row],[homePens]], Fixtures[[#This Row],[awayPens]]), "N/A")</f>
        <v>N/A</v>
      </c>
      <c r="AH100" s="58" t="str">
        <f>IF(Fixtures[[#This Row],[penalties]], IF(Fixtures[[#This Row],[userPens]]=Fixtures[[#This Row],[homePens]],Fixtures[[#This Row],[awayPens]],Fixtures[[#This Row],[homePens]]), "N/A")</f>
        <v>N/A</v>
      </c>
      <c r="AI100" s="58" t="b">
        <f>COUNTBLANK(Fixtures[[#This Row],[G]:[MOTM]]) = 0</f>
        <v>0</v>
      </c>
      <c r="AJ100" s="58" t="str">
        <f>IF(Fixtures[[#This Row],[APP]], Fixtures[[#This Row],[G]]+Fixtures[[#This Row],[A]], "N/A")</f>
        <v>N/A</v>
      </c>
      <c r="AK1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[2024-11-27] Burnley vs. Ipswich (2-1) - EFL Championship</v>
      </c>
    </row>
    <row r="101" spans="1:40" ht="13">
      <c r="A101" s="55">
        <v>45626</v>
      </c>
      <c r="B101" s="61">
        <v>0.625</v>
      </c>
      <c r="C101" s="56" t="s">
        <v>161</v>
      </c>
      <c r="D101" s="56" t="s">
        <v>228</v>
      </c>
      <c r="E101" s="56" t="s">
        <v>108</v>
      </c>
      <c r="F101" s="56" t="s">
        <v>176</v>
      </c>
      <c r="G101" s="56" t="s">
        <v>229</v>
      </c>
      <c r="H101" s="56" t="s">
        <v>169</v>
      </c>
      <c r="I101" s="56">
        <v>0</v>
      </c>
      <c r="J101" s="56">
        <v>0</v>
      </c>
      <c r="K101" s="56"/>
      <c r="L101" s="56"/>
      <c r="M101" s="56">
        <v>0</v>
      </c>
      <c r="N101" s="56">
        <v>0</v>
      </c>
      <c r="O101" s="56">
        <v>0</v>
      </c>
      <c r="P101" s="56">
        <v>0</v>
      </c>
      <c r="Q101" s="57">
        <v>5.6</v>
      </c>
      <c r="R101" s="56" t="b">
        <v>0</v>
      </c>
      <c r="S101" s="58" t="str" cm="1">
        <f t="array" ref="S101">_xlfn._xlws.FILTER(Competitions[compType], (Fixtures[[#This Row],[competition]] = Competitions[name]), "N/A")</f>
        <v>Domestic League</v>
      </c>
      <c r="T101" s="58" t="b" cm="1">
        <f t="array" ref="T101">_xlfn._xlws.FILTER(Competitions[exhibition], (Fixtures[[#This Row],[competition]] = Competitions[name]), "N/A")</f>
        <v>0</v>
      </c>
      <c r="U101" s="58" t="str" cm="1">
        <f t="array" ref="U101">_xlfn._xlws.FILTER(Competitions[compID], (Fixtures[[#This Row],[competition]] = Competitions[name]), "N/A")</f>
        <v>DL-OF-EFLCHAMPIONSHIP</v>
      </c>
      <c r="V1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1" s="58" t="str" cm="1">
        <f t="array" ref="W1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1" s="58" t="str" cm="1">
        <f t="array" ref="X101">_xlfn._xlws.FILTER(Teams[name], (Fixtures[[#This Row],[userTeamID]] = Teams[teamID]), "N/A")</f>
        <v>Burnley</v>
      </c>
      <c r="Y101" s="58" t="str" cm="1">
        <f t="array" ref="Y101">_xlfn._xlws.FILTER(Teams[teamType], (Fixtures[[#This Row],[userTeamID]] = Teams[teamID]), "N/A")</f>
        <v>Club</v>
      </c>
      <c r="Z101" s="58" t="str" cm="1">
        <f t="array" ref="Z101">IF(Fixtures[[#This Row],[userTeamID]] = "N/A", "N/A", IF(SUM(COUNTIF(Fixtures[[#This Row],[homeTeam]], _xlfn._xlws.FILTER(Teams[name], (Fixtures[[#This Row],[userTeamID]] = Teams[teamID])*(Teams[relevant])))) &gt; 0, "H", "A"))</f>
        <v>A</v>
      </c>
      <c r="AA101" s="58" t="str">
        <f>IF(Fixtures[[#This Row],[userSide]] = "N/A", "N/A", IF(Fixtures[[#This Row],[userSide]] = "H", Fixtures[[#This Row],[awayTeam]], Fixtures[[#This Row],[homeTeam]]))</f>
        <v>Southampton</v>
      </c>
      <c r="AB101" s="58" t="str" cm="1">
        <f t="array" ref="AB101">_xlfn._xlws.FILTER(Teams[teamID], Fixtures[[#This Row],[oppTeam]] = Teams[name], "N/A")</f>
        <v>C-ENG-SOUTHAMPTON</v>
      </c>
      <c r="AC101" s="58" t="str" cm="1">
        <f t="array" ref="AC101">_xlfn._xlws.FILTER(Teams[teamType], Fixtures[[#This Row],[oppTeam]] = Teams[name], "N/A")</f>
        <v>Club</v>
      </c>
      <c r="AD101" s="58">
        <f>IF(ISBLANK(Fixtures[[#This Row],[date]]), "N/A", IF(Fixtures[[#This Row],[userSide]]="H", Fixtures[[#This Row],[homeScore]], Fixtures[[#This Row],[awayScore]]))</f>
        <v>0</v>
      </c>
      <c r="AE101" s="58">
        <f>IF(ISBLANK(Fixtures[[#This Row],[date]]), "N/A", IF(Fixtures[[#This Row],[userScore]] = Fixtures[[#This Row],[homeScore]], Fixtures[[#This Row],[awayScore]], Fixtures[[#This Row],[homeScore]]))</f>
        <v>0</v>
      </c>
      <c r="AF101" s="58" t="b">
        <f>NOT(AND(ISBLANK(Fixtures[[#This Row],[homePens]]), ISBLANK(Fixtures[[#This Row],[awayPens]])))</f>
        <v>0</v>
      </c>
      <c r="AG101" s="58" t="str">
        <f>IF(Fixtures[[#This Row],[penalties]], IF(Fixtures[[#This Row],[userSide]]="H", Fixtures[[#This Row],[homePens]], Fixtures[[#This Row],[awayPens]]), "N/A")</f>
        <v>N/A</v>
      </c>
      <c r="AH101" s="58" t="str">
        <f>IF(Fixtures[[#This Row],[penalties]], IF(Fixtures[[#This Row],[userPens]]=Fixtures[[#This Row],[homePens]],Fixtures[[#This Row],[awayPens]],Fixtures[[#This Row],[homePens]]), "N/A")</f>
        <v>N/A</v>
      </c>
      <c r="AI101" s="58" t="b">
        <f>COUNTBLANK(Fixtures[[#This Row],[G]:[MOTM]]) = 0</f>
        <v>1</v>
      </c>
      <c r="AJ101" s="58">
        <f>IF(Fixtures[[#This Row],[APP]], Fixtures[[#This Row],[G]]+Fixtures[[#This Row],[A]], "N/A")</f>
        <v>0</v>
      </c>
      <c r="AK1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01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[2024-11-30] Southampton vs. Burnley (0-0) - EFL Championship</v>
      </c>
    </row>
    <row r="102" spans="1:40" ht="13">
      <c r="A102" s="55">
        <v>45633</v>
      </c>
      <c r="B102" s="61">
        <v>0.625</v>
      </c>
      <c r="C102" s="56" t="s">
        <v>203</v>
      </c>
      <c r="D102" s="56" t="s">
        <v>175</v>
      </c>
      <c r="E102" s="56" t="s">
        <v>108</v>
      </c>
      <c r="F102" s="56" t="s">
        <v>176</v>
      </c>
      <c r="G102" s="56" t="s">
        <v>169</v>
      </c>
      <c r="H102" s="56" t="s">
        <v>230</v>
      </c>
      <c r="I102" s="56">
        <v>0</v>
      </c>
      <c r="J102" s="56">
        <v>0</v>
      </c>
      <c r="K102" s="56"/>
      <c r="L102" s="56"/>
      <c r="M102" s="56">
        <v>0</v>
      </c>
      <c r="N102" s="56">
        <v>0</v>
      </c>
      <c r="O102" s="56">
        <v>0</v>
      </c>
      <c r="P102" s="56">
        <v>0</v>
      </c>
      <c r="Q102" s="57">
        <v>5.8</v>
      </c>
      <c r="R102" s="56" t="b">
        <v>0</v>
      </c>
      <c r="S102" s="58" t="str" cm="1">
        <f t="array" ref="S102">_xlfn._xlws.FILTER(Competitions[compType], (Fixtures[[#This Row],[competition]] = Competitions[name]), "N/A")</f>
        <v>Domestic League</v>
      </c>
      <c r="T102" s="58" t="b" cm="1">
        <f t="array" ref="T102">_xlfn._xlws.FILTER(Competitions[exhibition], (Fixtures[[#This Row],[competition]] = Competitions[name]), "N/A")</f>
        <v>0</v>
      </c>
      <c r="U102" s="58" t="str" cm="1">
        <f t="array" ref="U102">_xlfn._xlws.FILTER(Competitions[compID], (Fixtures[[#This Row],[competition]] = Competitions[name]), "N/A")</f>
        <v>DL-OF-EFLCHAMPIONSHIP</v>
      </c>
      <c r="V1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2" s="58" t="str" cm="1">
        <f t="array" ref="W1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2" s="58" t="str" cm="1">
        <f t="array" ref="X102">_xlfn._xlws.FILTER(Teams[name], (Fixtures[[#This Row],[userTeamID]] = Teams[teamID]), "N/A")</f>
        <v>Burnley</v>
      </c>
      <c r="Y102" s="58" t="str" cm="1">
        <f t="array" ref="Y102">_xlfn._xlws.FILTER(Teams[teamType], (Fixtures[[#This Row],[userTeamID]] = Teams[teamID]), "N/A")</f>
        <v>Club</v>
      </c>
      <c r="Z102" s="58" t="str" cm="1">
        <f t="array" ref="Z102">IF(Fixtures[[#This Row],[userTeamID]] = "N/A", "N/A", IF(SUM(COUNTIF(Fixtures[[#This Row],[homeTeam]], _xlfn._xlws.FILTER(Teams[name], (Fixtures[[#This Row],[userTeamID]] = Teams[teamID])*(Teams[relevant])))) &gt; 0, "H", "A"))</f>
        <v>H</v>
      </c>
      <c r="AA102" s="58" t="str">
        <f>IF(Fixtures[[#This Row],[userSide]] = "N/A", "N/A", IF(Fixtures[[#This Row],[userSide]] = "H", Fixtures[[#This Row],[awayTeam]], Fixtures[[#This Row],[homeTeam]]))</f>
        <v>Cardiff City</v>
      </c>
      <c r="AB102" s="58" t="str" cm="1">
        <f t="array" ref="AB102">_xlfn._xlws.FILTER(Teams[teamID], Fixtures[[#This Row],[oppTeam]] = Teams[name], "N/A")</f>
        <v>C-ENG-CARDIFFCITY</v>
      </c>
      <c r="AC102" s="58" t="str" cm="1">
        <f t="array" ref="AC102">_xlfn._xlws.FILTER(Teams[teamType], Fixtures[[#This Row],[oppTeam]] = Teams[name], "N/A")</f>
        <v>Club</v>
      </c>
      <c r="AD102" s="58">
        <f>IF(ISBLANK(Fixtures[[#This Row],[date]]), "N/A", IF(Fixtures[[#This Row],[userSide]]="H", Fixtures[[#This Row],[homeScore]], Fixtures[[#This Row],[awayScore]]))</f>
        <v>0</v>
      </c>
      <c r="AE102" s="58">
        <f>IF(ISBLANK(Fixtures[[#This Row],[date]]), "N/A", IF(Fixtures[[#This Row],[userScore]] = Fixtures[[#This Row],[homeScore]], Fixtures[[#This Row],[awayScore]], Fixtures[[#This Row],[homeScore]]))</f>
        <v>0</v>
      </c>
      <c r="AF102" s="58" t="b">
        <f>NOT(AND(ISBLANK(Fixtures[[#This Row],[homePens]]), ISBLANK(Fixtures[[#This Row],[awayPens]])))</f>
        <v>0</v>
      </c>
      <c r="AG102" s="58" t="str">
        <f>IF(Fixtures[[#This Row],[penalties]], IF(Fixtures[[#This Row],[userSide]]="H", Fixtures[[#This Row],[homePens]], Fixtures[[#This Row],[awayPens]]), "N/A")</f>
        <v>N/A</v>
      </c>
      <c r="AH102" s="58" t="str">
        <f>IF(Fixtures[[#This Row],[penalties]], IF(Fixtures[[#This Row],[userPens]]=Fixtures[[#This Row],[homePens]],Fixtures[[#This Row],[awayPens]],Fixtures[[#This Row],[homePens]]), "N/A")</f>
        <v>N/A</v>
      </c>
      <c r="AI102" s="58" t="b">
        <f>COUNTBLANK(Fixtures[[#This Row],[G]:[MOTM]]) = 0</f>
        <v>1</v>
      </c>
      <c r="AJ102" s="58">
        <f>IF(Fixtures[[#This Row],[APP]], Fixtures[[#This Row],[G]]+Fixtures[[#This Row],[A]], "N/A")</f>
        <v>0</v>
      </c>
      <c r="AK1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02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[2024-12-07] Burnley vs. Cardiff City (0-0) - EFL Championship</v>
      </c>
    </row>
    <row r="103" spans="1:40" ht="13">
      <c r="A103" s="55">
        <v>45640</v>
      </c>
      <c r="B103" s="61">
        <v>0.625</v>
      </c>
      <c r="C103" s="56" t="s">
        <v>203</v>
      </c>
      <c r="D103" s="56" t="s">
        <v>231</v>
      </c>
      <c r="E103" s="56" t="s">
        <v>108</v>
      </c>
      <c r="F103" s="56" t="s">
        <v>176</v>
      </c>
      <c r="G103" s="56" t="s">
        <v>232</v>
      </c>
      <c r="H103" s="56" t="s">
        <v>169</v>
      </c>
      <c r="I103" s="56">
        <v>0</v>
      </c>
      <c r="J103" s="56">
        <v>0</v>
      </c>
      <c r="K103" s="56"/>
      <c r="L103" s="56"/>
      <c r="M103" s="56">
        <v>0</v>
      </c>
      <c r="N103" s="56">
        <v>0</v>
      </c>
      <c r="O103" s="56">
        <v>0</v>
      </c>
      <c r="P103" s="56">
        <v>0</v>
      </c>
      <c r="Q103" s="57">
        <v>7</v>
      </c>
      <c r="R103" s="56" t="b">
        <v>0</v>
      </c>
      <c r="S103" s="58" t="str" cm="1">
        <f t="array" ref="S103">_xlfn._xlws.FILTER(Competitions[compType], (Fixtures[[#This Row],[competition]] = Competitions[name]), "N/A")</f>
        <v>Domestic League</v>
      </c>
      <c r="T103" s="58" t="b" cm="1">
        <f t="array" ref="T103">_xlfn._xlws.FILTER(Competitions[exhibition], (Fixtures[[#This Row],[competition]] = Competitions[name]), "N/A")</f>
        <v>0</v>
      </c>
      <c r="U103" s="58" t="str" cm="1">
        <f t="array" ref="U103">_xlfn._xlws.FILTER(Competitions[compID], (Fixtures[[#This Row],[competition]] = Competitions[name]), "N/A")</f>
        <v>DL-OF-EFLCHAMPIONSHIP</v>
      </c>
      <c r="V1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3" s="58" t="str" cm="1">
        <f t="array" ref="W1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3" s="58" t="str" cm="1">
        <f t="array" ref="X103">_xlfn._xlws.FILTER(Teams[name], (Fixtures[[#This Row],[userTeamID]] = Teams[teamID]), "N/A")</f>
        <v>Burnley</v>
      </c>
      <c r="Y103" s="58" t="str" cm="1">
        <f t="array" ref="Y103">_xlfn._xlws.FILTER(Teams[teamType], (Fixtures[[#This Row],[userTeamID]] = Teams[teamID]), "N/A")</f>
        <v>Club</v>
      </c>
      <c r="Z103" s="58" t="str" cm="1">
        <f t="array" ref="Z103">IF(Fixtures[[#This Row],[userTeamID]] = "N/A", "N/A", IF(SUM(COUNTIF(Fixtures[[#This Row],[homeTeam]], _xlfn._xlws.FILTER(Teams[name], (Fixtures[[#This Row],[userTeamID]] = Teams[teamID])*(Teams[relevant])))) &gt; 0, "H", "A"))</f>
        <v>A</v>
      </c>
      <c r="AA103" s="58" t="str">
        <f>IF(Fixtures[[#This Row],[userSide]] = "N/A", "N/A", IF(Fixtures[[#This Row],[userSide]] = "H", Fixtures[[#This Row],[awayTeam]], Fixtures[[#This Row],[homeTeam]]))</f>
        <v>Huddersfield</v>
      </c>
      <c r="AB103" s="58" t="str" cm="1">
        <f t="array" ref="AB103">_xlfn._xlws.FILTER(Teams[teamID], Fixtures[[#This Row],[oppTeam]] = Teams[name], "N/A")</f>
        <v>C-ENG-HUDDERSFIELD</v>
      </c>
      <c r="AC103" s="58" t="str" cm="1">
        <f t="array" ref="AC103">_xlfn._xlws.FILTER(Teams[teamType], Fixtures[[#This Row],[oppTeam]] = Teams[name], "N/A")</f>
        <v>Club</v>
      </c>
      <c r="AD103" s="58">
        <f>IF(ISBLANK(Fixtures[[#This Row],[date]]), "N/A", IF(Fixtures[[#This Row],[userSide]]="H", Fixtures[[#This Row],[homeScore]], Fixtures[[#This Row],[awayScore]]))</f>
        <v>0</v>
      </c>
      <c r="AE103" s="58">
        <f>IF(ISBLANK(Fixtures[[#This Row],[date]]), "N/A", IF(Fixtures[[#This Row],[userScore]] = Fixtures[[#This Row],[homeScore]], Fixtures[[#This Row],[awayScore]], Fixtures[[#This Row],[homeScore]]))</f>
        <v>0</v>
      </c>
      <c r="AF103" s="58" t="b">
        <f>NOT(AND(ISBLANK(Fixtures[[#This Row],[homePens]]), ISBLANK(Fixtures[[#This Row],[awayPens]])))</f>
        <v>0</v>
      </c>
      <c r="AG103" s="58" t="str">
        <f>IF(Fixtures[[#This Row],[penalties]], IF(Fixtures[[#This Row],[userSide]]="H", Fixtures[[#This Row],[homePens]], Fixtures[[#This Row],[awayPens]]), "N/A")</f>
        <v>N/A</v>
      </c>
      <c r="AH103" s="58" t="str">
        <f>IF(Fixtures[[#This Row],[penalties]], IF(Fixtures[[#This Row],[userPens]]=Fixtures[[#This Row],[homePens]],Fixtures[[#This Row],[awayPens]],Fixtures[[#This Row],[homePens]]), "N/A")</f>
        <v>N/A</v>
      </c>
      <c r="AI103" s="58" t="b">
        <f>COUNTBLANK(Fixtures[[#This Row],[G]:[MOTM]]) = 0</f>
        <v>1</v>
      </c>
      <c r="AJ103" s="58">
        <f>IF(Fixtures[[#This Row],[APP]], Fixtures[[#This Row],[G]]+Fixtures[[#This Row],[A]], "N/A")</f>
        <v>0</v>
      </c>
      <c r="AK1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03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[2024-12-14] Huddersfield vs. Burnley (0-0) - EFL Championship</v>
      </c>
    </row>
    <row r="104" spans="1:40" ht="13">
      <c r="A104" s="55">
        <v>45647</v>
      </c>
      <c r="B104" s="61">
        <v>0.625</v>
      </c>
      <c r="C104" s="56" t="s">
        <v>183</v>
      </c>
      <c r="D104" s="56" t="s">
        <v>175</v>
      </c>
      <c r="E104" s="56" t="s">
        <v>108</v>
      </c>
      <c r="F104" s="56" t="s">
        <v>176</v>
      </c>
      <c r="G104" s="56" t="s">
        <v>169</v>
      </c>
      <c r="H104" s="56" t="s">
        <v>233</v>
      </c>
      <c r="I104" s="56">
        <v>2</v>
      </c>
      <c r="J104" s="56">
        <v>0</v>
      </c>
      <c r="K104" s="56"/>
      <c r="L104" s="56"/>
      <c r="M104" s="56">
        <v>0</v>
      </c>
      <c r="N104" s="56">
        <v>1</v>
      </c>
      <c r="O104" s="56">
        <v>0</v>
      </c>
      <c r="P104" s="56">
        <v>0</v>
      </c>
      <c r="Q104" s="57">
        <v>6.6</v>
      </c>
      <c r="R104" s="56" t="b">
        <v>0</v>
      </c>
      <c r="S104" s="58" t="str" cm="1">
        <f t="array" ref="S104">_xlfn._xlws.FILTER(Competitions[compType], (Fixtures[[#This Row],[competition]] = Competitions[name]), "N/A")</f>
        <v>Domestic League</v>
      </c>
      <c r="T104" s="58" t="b" cm="1">
        <f t="array" ref="T104">_xlfn._xlws.FILTER(Competitions[exhibition], (Fixtures[[#This Row],[competition]] = Competitions[name]), "N/A")</f>
        <v>0</v>
      </c>
      <c r="U104" s="58" t="str" cm="1">
        <f t="array" ref="U104">_xlfn._xlws.FILTER(Competitions[compID], (Fixtures[[#This Row],[competition]] = Competitions[name]), "N/A")</f>
        <v>DL-OF-EFLCHAMPIONSHIP</v>
      </c>
      <c r="V1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4" s="58" t="str" cm="1">
        <f t="array" ref="W1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4" s="58" t="str" cm="1">
        <f t="array" ref="X104">_xlfn._xlws.FILTER(Teams[name], (Fixtures[[#This Row],[userTeamID]] = Teams[teamID]), "N/A")</f>
        <v>Burnley</v>
      </c>
      <c r="Y104" s="58" t="str" cm="1">
        <f t="array" ref="Y104">_xlfn._xlws.FILTER(Teams[teamType], (Fixtures[[#This Row],[userTeamID]] = Teams[teamID]), "N/A")</f>
        <v>Club</v>
      </c>
      <c r="Z104" s="58" t="str" cm="1">
        <f t="array" ref="Z104">IF(Fixtures[[#This Row],[userTeamID]] = "N/A", "N/A", IF(SUM(COUNTIF(Fixtures[[#This Row],[homeTeam]], _xlfn._xlws.FILTER(Teams[name], (Fixtures[[#This Row],[userTeamID]] = Teams[teamID])*(Teams[relevant])))) &gt; 0, "H", "A"))</f>
        <v>H</v>
      </c>
      <c r="AA104" s="58" t="str">
        <f>IF(Fixtures[[#This Row],[userSide]] = "N/A", "N/A", IF(Fixtures[[#This Row],[userSide]] = "H", Fixtures[[#This Row],[awayTeam]], Fixtures[[#This Row],[homeTeam]]))</f>
        <v>Birmingham City</v>
      </c>
      <c r="AB104" s="58" t="str" cm="1">
        <f t="array" ref="AB104">_xlfn._xlws.FILTER(Teams[teamID], Fixtures[[#This Row],[oppTeam]] = Teams[name], "N/A")</f>
        <v>C-ENG-BIRMINGHAMCITY</v>
      </c>
      <c r="AC104" s="58" t="str" cm="1">
        <f t="array" ref="AC104">_xlfn._xlws.FILTER(Teams[teamType], Fixtures[[#This Row],[oppTeam]] = Teams[name], "N/A")</f>
        <v>Club</v>
      </c>
      <c r="AD104" s="58">
        <f>IF(ISBLANK(Fixtures[[#This Row],[date]]), "N/A", IF(Fixtures[[#This Row],[userSide]]="H", Fixtures[[#This Row],[homeScore]], Fixtures[[#This Row],[awayScore]]))</f>
        <v>2</v>
      </c>
      <c r="AE104" s="58">
        <f>IF(ISBLANK(Fixtures[[#This Row],[date]]), "N/A", IF(Fixtures[[#This Row],[userScore]] = Fixtures[[#This Row],[homeScore]], Fixtures[[#This Row],[awayScore]], Fixtures[[#This Row],[homeScore]]))</f>
        <v>0</v>
      </c>
      <c r="AF104" s="58" t="b">
        <f>NOT(AND(ISBLANK(Fixtures[[#This Row],[homePens]]), ISBLANK(Fixtures[[#This Row],[awayPens]])))</f>
        <v>0</v>
      </c>
      <c r="AG104" s="58" t="str">
        <f>IF(Fixtures[[#This Row],[penalties]], IF(Fixtures[[#This Row],[userSide]]="H", Fixtures[[#This Row],[homePens]], Fixtures[[#This Row],[awayPens]]), "N/A")</f>
        <v>N/A</v>
      </c>
      <c r="AH104" s="58" t="str">
        <f>IF(Fixtures[[#This Row],[penalties]], IF(Fixtures[[#This Row],[userPens]]=Fixtures[[#This Row],[homePens]],Fixtures[[#This Row],[awayPens]],Fixtures[[#This Row],[homePens]]), "N/A")</f>
        <v>N/A</v>
      </c>
      <c r="AI104" s="58" t="b">
        <f>COUNTBLANK(Fixtures[[#This Row],[G]:[MOTM]]) = 0</f>
        <v>1</v>
      </c>
      <c r="AJ104" s="58">
        <f>IF(Fixtures[[#This Row],[APP]], Fixtures[[#This Row],[G]]+Fixtures[[#This Row],[A]], "N/A")</f>
        <v>1</v>
      </c>
      <c r="AK1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4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[2024-12-21] Burnley vs. Birmingham City (2-0) - EFL Championship</v>
      </c>
    </row>
    <row r="105" spans="1:40" ht="13">
      <c r="A105" s="55">
        <v>45654</v>
      </c>
      <c r="B105" s="61">
        <v>0.625</v>
      </c>
      <c r="C105" s="56" t="s">
        <v>183</v>
      </c>
      <c r="D105" s="56" t="s">
        <v>234</v>
      </c>
      <c r="E105" s="56" t="s">
        <v>108</v>
      </c>
      <c r="F105" s="56" t="s">
        <v>176</v>
      </c>
      <c r="G105" s="56" t="s">
        <v>235</v>
      </c>
      <c r="H105" s="56" t="s">
        <v>169</v>
      </c>
      <c r="I105" s="56">
        <v>0</v>
      </c>
      <c r="J105" s="56">
        <v>1</v>
      </c>
      <c r="K105" s="56"/>
      <c r="L105" s="56"/>
      <c r="M105" s="56">
        <v>0</v>
      </c>
      <c r="N105" s="56">
        <v>1</v>
      </c>
      <c r="O105" s="56">
        <v>0</v>
      </c>
      <c r="P105" s="56">
        <v>0</v>
      </c>
      <c r="Q105" s="57">
        <v>7.7</v>
      </c>
      <c r="R105" s="56" t="b">
        <v>1</v>
      </c>
      <c r="S105" s="58" t="str" cm="1">
        <f t="array" ref="S105">_xlfn._xlws.FILTER(Competitions[compType], (Fixtures[[#This Row],[competition]] = Competitions[name]), "N/A")</f>
        <v>Domestic League</v>
      </c>
      <c r="T105" s="58" t="b" cm="1">
        <f t="array" ref="T105">_xlfn._xlws.FILTER(Competitions[exhibition], (Fixtures[[#This Row],[competition]] = Competitions[name]), "N/A")</f>
        <v>0</v>
      </c>
      <c r="U105" s="58" t="str" cm="1">
        <f t="array" ref="U105">_xlfn._xlws.FILTER(Competitions[compID], (Fixtures[[#This Row],[competition]] = Competitions[name]), "N/A")</f>
        <v>DL-OF-EFLCHAMPIONSHIP</v>
      </c>
      <c r="V1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5" s="58" t="str" cm="1">
        <f t="array" ref="W1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5" s="58" t="str" cm="1">
        <f t="array" ref="X105">_xlfn._xlws.FILTER(Teams[name], (Fixtures[[#This Row],[userTeamID]] = Teams[teamID]), "N/A")</f>
        <v>Burnley</v>
      </c>
      <c r="Y105" s="58" t="str" cm="1">
        <f t="array" ref="Y105">_xlfn._xlws.FILTER(Teams[teamType], (Fixtures[[#This Row],[userTeamID]] = Teams[teamID]), "N/A")</f>
        <v>Club</v>
      </c>
      <c r="Z105" s="58" t="str" cm="1">
        <f t="array" ref="Z105">IF(Fixtures[[#This Row],[userTeamID]] = "N/A", "N/A", IF(SUM(COUNTIF(Fixtures[[#This Row],[homeTeam]], _xlfn._xlws.FILTER(Teams[name], (Fixtures[[#This Row],[userTeamID]] = Teams[teamID])*(Teams[relevant])))) &gt; 0, "H", "A"))</f>
        <v>A</v>
      </c>
      <c r="AA105" s="58" t="str">
        <f>IF(Fixtures[[#This Row],[userSide]] = "N/A", "N/A", IF(Fixtures[[#This Row],[userSide]] = "H", Fixtures[[#This Row],[awayTeam]], Fixtures[[#This Row],[homeTeam]]))</f>
        <v>Millwall</v>
      </c>
      <c r="AB105" s="58" t="str" cm="1">
        <f t="array" ref="AB105">_xlfn._xlws.FILTER(Teams[teamID], Fixtures[[#This Row],[oppTeam]] = Teams[name], "N/A")</f>
        <v>C-ENG-MILLWALL</v>
      </c>
      <c r="AC105" s="58" t="str" cm="1">
        <f t="array" ref="AC105">_xlfn._xlws.FILTER(Teams[teamType], Fixtures[[#This Row],[oppTeam]] = Teams[name], "N/A")</f>
        <v>Club</v>
      </c>
      <c r="AD105" s="58">
        <f>IF(ISBLANK(Fixtures[[#This Row],[date]]), "N/A", IF(Fixtures[[#This Row],[userSide]]="H", Fixtures[[#This Row],[homeScore]], Fixtures[[#This Row],[awayScore]]))</f>
        <v>1</v>
      </c>
      <c r="AE105" s="58">
        <f>IF(ISBLANK(Fixtures[[#This Row],[date]]), "N/A", IF(Fixtures[[#This Row],[userScore]] = Fixtures[[#This Row],[homeScore]], Fixtures[[#This Row],[awayScore]], Fixtures[[#This Row],[homeScore]]))</f>
        <v>0</v>
      </c>
      <c r="AF105" s="58" t="b">
        <f>NOT(AND(ISBLANK(Fixtures[[#This Row],[homePens]]), ISBLANK(Fixtures[[#This Row],[awayPens]])))</f>
        <v>0</v>
      </c>
      <c r="AG105" s="58" t="str">
        <f>IF(Fixtures[[#This Row],[penalties]], IF(Fixtures[[#This Row],[userSide]]="H", Fixtures[[#This Row],[homePens]], Fixtures[[#This Row],[awayPens]]), "N/A")</f>
        <v>N/A</v>
      </c>
      <c r="AH105" s="58" t="str">
        <f>IF(Fixtures[[#This Row],[penalties]], IF(Fixtures[[#This Row],[userPens]]=Fixtures[[#This Row],[homePens]],Fixtures[[#This Row],[awayPens]],Fixtures[[#This Row],[homePens]]), "N/A")</f>
        <v>N/A</v>
      </c>
      <c r="AI105" s="58" t="b">
        <f>COUNTBLANK(Fixtures[[#This Row],[G]:[MOTM]]) = 0</f>
        <v>1</v>
      </c>
      <c r="AJ105" s="58">
        <f>IF(Fixtures[[#This Row],[APP]], Fixtures[[#This Row],[G]]+Fixtures[[#This Row],[A]], "N/A")</f>
        <v>1</v>
      </c>
      <c r="AK1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[2024-12-28] Millwall vs. Burnley (0-1) - EFL Championship</v>
      </c>
    </row>
    <row r="106" spans="1:40" ht="13">
      <c r="A106" s="55">
        <v>45657</v>
      </c>
      <c r="B106" s="61">
        <v>0.625</v>
      </c>
      <c r="C106" s="56" t="s">
        <v>161</v>
      </c>
      <c r="D106" s="56" t="s">
        <v>236</v>
      </c>
      <c r="E106" s="56" t="s">
        <v>237</v>
      </c>
      <c r="F106" s="56" t="s">
        <v>176</v>
      </c>
      <c r="G106" s="56" t="s">
        <v>230</v>
      </c>
      <c r="H106" s="56" t="s">
        <v>169</v>
      </c>
      <c r="I106" s="56">
        <v>0</v>
      </c>
      <c r="J106" s="56">
        <v>1</v>
      </c>
      <c r="K106" s="56"/>
      <c r="L106" s="56"/>
      <c r="M106" s="56">
        <v>0</v>
      </c>
      <c r="N106" s="56">
        <v>0</v>
      </c>
      <c r="O106" s="56">
        <v>0</v>
      </c>
      <c r="P106" s="56">
        <v>0</v>
      </c>
      <c r="Q106" s="57">
        <v>7</v>
      </c>
      <c r="R106" s="56" t="b">
        <v>0</v>
      </c>
      <c r="S106" s="58" t="str" cm="1">
        <f t="array" ref="S106">_xlfn._xlws.FILTER(Competitions[compType], (Fixtures[[#This Row],[competition]] = Competitions[name]), "N/A")</f>
        <v>Domestic League</v>
      </c>
      <c r="T106" s="58" t="b" cm="1">
        <f t="array" ref="T106">_xlfn._xlws.FILTER(Competitions[exhibition], (Fixtures[[#This Row],[competition]] = Competitions[name]), "N/A")</f>
        <v>0</v>
      </c>
      <c r="U106" s="58" t="str" cm="1">
        <f t="array" ref="U106">_xlfn._xlws.FILTER(Competitions[compID], (Fixtures[[#This Row],[competition]] = Competitions[name]), "N/A")</f>
        <v>DL-OF-EFLCHAMPIONSHIP</v>
      </c>
      <c r="V1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6" s="58" t="str" cm="1">
        <f t="array" ref="W1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6" s="58" t="str" cm="1">
        <f t="array" ref="X106">_xlfn._xlws.FILTER(Teams[name], (Fixtures[[#This Row],[userTeamID]] = Teams[teamID]), "N/A")</f>
        <v>Burnley</v>
      </c>
      <c r="Y106" s="58" t="str" cm="1">
        <f t="array" ref="Y106">_xlfn._xlws.FILTER(Teams[teamType], (Fixtures[[#This Row],[userTeamID]] = Teams[teamID]), "N/A")</f>
        <v>Club</v>
      </c>
      <c r="Z106" s="58" t="str" cm="1">
        <f t="array" ref="Z106">IF(Fixtures[[#This Row],[userTeamID]] = "N/A", "N/A", IF(SUM(COUNTIF(Fixtures[[#This Row],[homeTeam]], _xlfn._xlws.FILTER(Teams[name], (Fixtures[[#This Row],[userTeamID]] = Teams[teamID])*(Teams[relevant])))) &gt; 0, "H", "A"))</f>
        <v>A</v>
      </c>
      <c r="AA106" s="58" t="str">
        <f>IF(Fixtures[[#This Row],[userSide]] = "N/A", "N/A", IF(Fixtures[[#This Row],[userSide]] = "H", Fixtures[[#This Row],[awayTeam]], Fixtures[[#This Row],[homeTeam]]))</f>
        <v>Cardiff City</v>
      </c>
      <c r="AB106" s="58" t="str" cm="1">
        <f t="array" ref="AB106">_xlfn._xlws.FILTER(Teams[teamID], Fixtures[[#This Row],[oppTeam]] = Teams[name], "N/A")</f>
        <v>C-ENG-CARDIFFCITY</v>
      </c>
      <c r="AC106" s="58" t="str" cm="1">
        <f t="array" ref="AC106">_xlfn._xlws.FILTER(Teams[teamType], Fixtures[[#This Row],[oppTeam]] = Teams[name], "N/A")</f>
        <v>Club</v>
      </c>
      <c r="AD106" s="58">
        <f>IF(ISBLANK(Fixtures[[#This Row],[date]]), "N/A", IF(Fixtures[[#This Row],[userSide]]="H", Fixtures[[#This Row],[homeScore]], Fixtures[[#This Row],[awayScore]]))</f>
        <v>1</v>
      </c>
      <c r="AE106" s="58">
        <f>IF(ISBLANK(Fixtures[[#This Row],[date]]), "N/A", IF(Fixtures[[#This Row],[userScore]] = Fixtures[[#This Row],[homeScore]], Fixtures[[#This Row],[awayScore]], Fixtures[[#This Row],[homeScore]]))</f>
        <v>0</v>
      </c>
      <c r="AF106" s="58" t="b">
        <f>NOT(AND(ISBLANK(Fixtures[[#This Row],[homePens]]), ISBLANK(Fixtures[[#This Row],[awayPens]])))</f>
        <v>0</v>
      </c>
      <c r="AG106" s="58" t="str">
        <f>IF(Fixtures[[#This Row],[penalties]], IF(Fixtures[[#This Row],[userSide]]="H", Fixtures[[#This Row],[homePens]], Fixtures[[#This Row],[awayPens]]), "N/A")</f>
        <v>N/A</v>
      </c>
      <c r="AH106" s="58" t="str">
        <f>IF(Fixtures[[#This Row],[penalties]], IF(Fixtures[[#This Row],[userPens]]=Fixtures[[#This Row],[homePens]],Fixtures[[#This Row],[awayPens]],Fixtures[[#This Row],[homePens]]), "N/A")</f>
        <v>N/A</v>
      </c>
      <c r="AI106" s="58" t="b">
        <f>COUNTBLANK(Fixtures[[#This Row],[G]:[MOTM]]) = 0</f>
        <v>1</v>
      </c>
      <c r="AJ106" s="58">
        <f>IF(Fixtures[[#This Row],[APP]], Fixtures[[#This Row],[G]]+Fixtures[[#This Row],[A]], "N/A")</f>
        <v>0</v>
      </c>
      <c r="AK1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6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[2024-12-31] Cardiff City vs. Burnley (0-1) - EFL Championship</v>
      </c>
    </row>
    <row r="107" spans="1:40" ht="13">
      <c r="A107" s="55">
        <v>45661</v>
      </c>
      <c r="B107" s="61">
        <v>0.625</v>
      </c>
      <c r="C107" s="56" t="s">
        <v>203</v>
      </c>
      <c r="D107" s="56" t="s">
        <v>175</v>
      </c>
      <c r="E107" s="56" t="s">
        <v>238</v>
      </c>
      <c r="F107" s="56" t="s">
        <v>176</v>
      </c>
      <c r="G107" s="56" t="s">
        <v>169</v>
      </c>
      <c r="H107" s="56" t="s">
        <v>229</v>
      </c>
      <c r="I107" s="56">
        <v>4</v>
      </c>
      <c r="J107" s="56">
        <v>0</v>
      </c>
      <c r="K107" s="56"/>
      <c r="L107" s="56"/>
      <c r="M107" s="56">
        <v>3</v>
      </c>
      <c r="N107" s="56">
        <v>1</v>
      </c>
      <c r="O107" s="56">
        <v>0</v>
      </c>
      <c r="P107" s="56">
        <v>0</v>
      </c>
      <c r="Q107" s="57">
        <v>10</v>
      </c>
      <c r="R107" s="56" t="b">
        <v>1</v>
      </c>
      <c r="S107" s="58" t="str" cm="1">
        <f t="array" ref="S107">_xlfn._xlws.FILTER(Competitions[compType], (Fixtures[[#This Row],[competition]] = Competitions[name]), "N/A")</f>
        <v>Domestic League</v>
      </c>
      <c r="T107" s="58" t="b" cm="1">
        <f t="array" ref="T107">_xlfn._xlws.FILTER(Competitions[exhibition], (Fixtures[[#This Row],[competition]] = Competitions[name]), "N/A")</f>
        <v>0</v>
      </c>
      <c r="U107" s="58" t="str" cm="1">
        <f t="array" ref="U107">_xlfn._xlws.FILTER(Competitions[compID], (Fixtures[[#This Row],[competition]] = Competitions[name]), "N/A")</f>
        <v>DL-OF-EFLCHAMPIONSHIP</v>
      </c>
      <c r="V1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7" s="58" t="str" cm="1">
        <f t="array" ref="W1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7" s="58" t="str" cm="1">
        <f t="array" ref="X107">_xlfn._xlws.FILTER(Teams[name], (Fixtures[[#This Row],[userTeamID]] = Teams[teamID]), "N/A")</f>
        <v>Burnley</v>
      </c>
      <c r="Y107" s="58" t="str" cm="1">
        <f t="array" ref="Y107">_xlfn._xlws.FILTER(Teams[teamType], (Fixtures[[#This Row],[userTeamID]] = Teams[teamID]), "N/A")</f>
        <v>Club</v>
      </c>
      <c r="Z107" s="58" t="str" cm="1">
        <f t="array" ref="Z107">IF(Fixtures[[#This Row],[userTeamID]] = "N/A", "N/A", IF(SUM(COUNTIF(Fixtures[[#This Row],[homeTeam]], _xlfn._xlws.FILTER(Teams[name], (Fixtures[[#This Row],[userTeamID]] = Teams[teamID])*(Teams[relevant])))) &gt; 0, "H", "A"))</f>
        <v>H</v>
      </c>
      <c r="AA107" s="58" t="str">
        <f>IF(Fixtures[[#This Row],[userSide]] = "N/A", "N/A", IF(Fixtures[[#This Row],[userSide]] = "H", Fixtures[[#This Row],[awayTeam]], Fixtures[[#This Row],[homeTeam]]))</f>
        <v>Southampton</v>
      </c>
      <c r="AB107" s="58" t="str" cm="1">
        <f t="array" ref="AB107">_xlfn._xlws.FILTER(Teams[teamID], Fixtures[[#This Row],[oppTeam]] = Teams[name], "N/A")</f>
        <v>C-ENG-SOUTHAMPTON</v>
      </c>
      <c r="AC107" s="58" t="str" cm="1">
        <f t="array" ref="AC107">_xlfn._xlws.FILTER(Teams[teamType], Fixtures[[#This Row],[oppTeam]] = Teams[name], "N/A")</f>
        <v>Club</v>
      </c>
      <c r="AD107" s="58">
        <f>IF(ISBLANK(Fixtures[[#This Row],[date]]), "N/A", IF(Fixtures[[#This Row],[userSide]]="H", Fixtures[[#This Row],[homeScore]], Fixtures[[#This Row],[awayScore]]))</f>
        <v>4</v>
      </c>
      <c r="AE107" s="58">
        <f>IF(ISBLANK(Fixtures[[#This Row],[date]]), "N/A", IF(Fixtures[[#This Row],[userScore]] = Fixtures[[#This Row],[homeScore]], Fixtures[[#This Row],[awayScore]], Fixtures[[#This Row],[homeScore]]))</f>
        <v>0</v>
      </c>
      <c r="AF107" s="58" t="b">
        <f>NOT(AND(ISBLANK(Fixtures[[#This Row],[homePens]]), ISBLANK(Fixtures[[#This Row],[awayPens]])))</f>
        <v>0</v>
      </c>
      <c r="AG107" s="58" t="str">
        <f>IF(Fixtures[[#This Row],[penalties]], IF(Fixtures[[#This Row],[userSide]]="H", Fixtures[[#This Row],[homePens]], Fixtures[[#This Row],[awayPens]]), "N/A")</f>
        <v>N/A</v>
      </c>
      <c r="AH107" s="58" t="str">
        <f>IF(Fixtures[[#This Row],[penalties]], IF(Fixtures[[#This Row],[userPens]]=Fixtures[[#This Row],[homePens]],Fixtures[[#This Row],[awayPens]],Fixtures[[#This Row],[homePens]]), "N/A")</f>
        <v>N/A</v>
      </c>
      <c r="AI107" s="58" t="b">
        <f>COUNTBLANK(Fixtures[[#This Row],[G]:[MOTM]]) = 0</f>
        <v>1</v>
      </c>
      <c r="AJ107" s="58">
        <f>IF(Fixtures[[#This Row],[APP]], Fixtures[[#This Row],[G]]+Fixtures[[#This Row],[A]], "N/A")</f>
        <v>4</v>
      </c>
      <c r="AK1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7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1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[2025-01-04] Burnley vs. Southampton (4-0) - EFL Championship</v>
      </c>
      <c r="AN107" s="59" t="s">
        <v>239</v>
      </c>
    </row>
    <row r="108" spans="1:40" ht="13">
      <c r="A108" s="55">
        <v>45665</v>
      </c>
      <c r="B108" s="61">
        <v>0.78125</v>
      </c>
      <c r="C108" s="56" t="s">
        <v>203</v>
      </c>
      <c r="D108" s="56" t="s">
        <v>234</v>
      </c>
      <c r="E108" s="56" t="s">
        <v>240</v>
      </c>
      <c r="F108" s="56" t="s">
        <v>176</v>
      </c>
      <c r="G108" s="56" t="s">
        <v>227</v>
      </c>
      <c r="H108" s="56" t="s">
        <v>169</v>
      </c>
      <c r="I108" s="56">
        <v>0</v>
      </c>
      <c r="J108" s="56">
        <v>1</v>
      </c>
      <c r="K108" s="56"/>
      <c r="L108" s="56"/>
      <c r="M108" s="56">
        <v>0</v>
      </c>
      <c r="N108" s="56">
        <v>0</v>
      </c>
      <c r="O108" s="56">
        <v>0</v>
      </c>
      <c r="P108" s="56">
        <v>0</v>
      </c>
      <c r="Q108" s="57">
        <v>6.9</v>
      </c>
      <c r="R108" s="56" t="b">
        <v>0</v>
      </c>
      <c r="S108" s="58" t="str" cm="1">
        <f t="array" ref="S108">_xlfn._xlws.FILTER(Competitions[compType], (Fixtures[[#This Row],[competition]] = Competitions[name]), "N/A")</f>
        <v>Domestic League</v>
      </c>
      <c r="T108" s="58" t="b" cm="1">
        <f t="array" ref="T108">_xlfn._xlws.FILTER(Competitions[exhibition], (Fixtures[[#This Row],[competition]] = Competitions[name]), "N/A")</f>
        <v>0</v>
      </c>
      <c r="U108" s="58" t="str" cm="1">
        <f t="array" ref="U108">_xlfn._xlws.FILTER(Competitions[compID], (Fixtures[[#This Row],[competition]] = Competitions[name]), "N/A")</f>
        <v>DL-OF-EFLCHAMPIONSHIP</v>
      </c>
      <c r="V1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8" s="58" t="str" cm="1">
        <f t="array" ref="W1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8" s="58" t="str" cm="1">
        <f t="array" ref="X108">_xlfn._xlws.FILTER(Teams[name], (Fixtures[[#This Row],[userTeamID]] = Teams[teamID]), "N/A")</f>
        <v>Burnley</v>
      </c>
      <c r="Y108" s="58" t="str" cm="1">
        <f t="array" ref="Y108">_xlfn._xlws.FILTER(Teams[teamType], (Fixtures[[#This Row],[userTeamID]] = Teams[teamID]), "N/A")</f>
        <v>Club</v>
      </c>
      <c r="Z108" s="58" t="str" cm="1">
        <f t="array" ref="Z108">IF(Fixtures[[#This Row],[userTeamID]] = "N/A", "N/A", IF(SUM(COUNTIF(Fixtures[[#This Row],[homeTeam]], _xlfn._xlws.FILTER(Teams[name], (Fixtures[[#This Row],[userTeamID]] = Teams[teamID])*(Teams[relevant])))) &gt; 0, "H", "A"))</f>
        <v>A</v>
      </c>
      <c r="AA108" s="58" t="str">
        <f>IF(Fixtures[[#This Row],[userSide]] = "N/A", "N/A", IF(Fixtures[[#This Row],[userSide]] = "H", Fixtures[[#This Row],[awayTeam]], Fixtures[[#This Row],[homeTeam]]))</f>
        <v>Ipswich</v>
      </c>
      <c r="AB108" s="58" t="str" cm="1">
        <f t="array" ref="AB108">_xlfn._xlws.FILTER(Teams[teamID], Fixtures[[#This Row],[oppTeam]] = Teams[name], "N/A")</f>
        <v>C-ENG-IPSWICH</v>
      </c>
      <c r="AC108" s="58" t="str" cm="1">
        <f t="array" ref="AC108">_xlfn._xlws.FILTER(Teams[teamType], Fixtures[[#This Row],[oppTeam]] = Teams[name], "N/A")</f>
        <v>Club</v>
      </c>
      <c r="AD108" s="58">
        <f>IF(ISBLANK(Fixtures[[#This Row],[date]]), "N/A", IF(Fixtures[[#This Row],[userSide]]="H", Fixtures[[#This Row],[homeScore]], Fixtures[[#This Row],[awayScore]]))</f>
        <v>1</v>
      </c>
      <c r="AE108" s="58">
        <f>IF(ISBLANK(Fixtures[[#This Row],[date]]), "N/A", IF(Fixtures[[#This Row],[userScore]] = Fixtures[[#This Row],[homeScore]], Fixtures[[#This Row],[awayScore]], Fixtures[[#This Row],[homeScore]]))</f>
        <v>0</v>
      </c>
      <c r="AF108" s="58" t="b">
        <f>NOT(AND(ISBLANK(Fixtures[[#This Row],[homePens]]), ISBLANK(Fixtures[[#This Row],[awayPens]])))</f>
        <v>0</v>
      </c>
      <c r="AG108" s="58" t="str">
        <f>IF(Fixtures[[#This Row],[penalties]], IF(Fixtures[[#This Row],[userSide]]="H", Fixtures[[#This Row],[homePens]], Fixtures[[#This Row],[awayPens]]), "N/A")</f>
        <v>N/A</v>
      </c>
      <c r="AH108" s="58" t="str">
        <f>IF(Fixtures[[#This Row],[penalties]], IF(Fixtures[[#This Row],[userPens]]=Fixtures[[#This Row],[homePens]],Fixtures[[#This Row],[awayPens]],Fixtures[[#This Row],[homePens]]), "N/A")</f>
        <v>N/A</v>
      </c>
      <c r="AI108" s="58" t="b">
        <f>COUNTBLANK(Fixtures[[#This Row],[G]:[MOTM]]) = 0</f>
        <v>1</v>
      </c>
      <c r="AJ108" s="58">
        <f>IF(Fixtures[[#This Row],[APP]], Fixtures[[#This Row],[G]]+Fixtures[[#This Row],[A]], "N/A")</f>
        <v>0</v>
      </c>
      <c r="AK1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0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[2025-01-08] Ipswich vs. Burnley (0-1) - EFL Championship</v>
      </c>
    </row>
    <row r="109" spans="1:40" ht="13">
      <c r="A109" s="55">
        <v>45668</v>
      </c>
      <c r="B109" s="61">
        <v>0.625</v>
      </c>
      <c r="C109" s="56" t="s">
        <v>203</v>
      </c>
      <c r="D109" s="56" t="s">
        <v>241</v>
      </c>
      <c r="E109" s="56" t="s">
        <v>242</v>
      </c>
      <c r="F109" s="56" t="s">
        <v>243</v>
      </c>
      <c r="G109" s="56" t="s">
        <v>189</v>
      </c>
      <c r="H109" s="56" t="s">
        <v>169</v>
      </c>
      <c r="I109" s="56">
        <v>1</v>
      </c>
      <c r="J109" s="56">
        <v>1</v>
      </c>
      <c r="K109" s="56"/>
      <c r="L109" s="56"/>
      <c r="M109" s="56">
        <v>0</v>
      </c>
      <c r="N109" s="56">
        <v>1</v>
      </c>
      <c r="O109" s="56">
        <v>0</v>
      </c>
      <c r="P109" s="56">
        <v>0</v>
      </c>
      <c r="Q109" s="57">
        <v>7.6</v>
      </c>
      <c r="R109" s="56" t="b">
        <v>1</v>
      </c>
      <c r="S109" s="58" t="str" cm="1">
        <f t="array" ref="S109">_xlfn._xlws.FILTER(Competitions[compType], (Fixtures[[#This Row],[competition]] = Competitions[name]), "N/A")</f>
        <v>Domestic Cup</v>
      </c>
      <c r="T109" s="58" t="b" cm="1">
        <f t="array" ref="T109">_xlfn._xlws.FILTER(Competitions[exhibition], (Fixtures[[#This Row],[competition]] = Competitions[name]), "N/A")</f>
        <v>0</v>
      </c>
      <c r="U109" s="58" t="str" cm="1">
        <f t="array" ref="U109">_xlfn._xlws.FILTER(Competitions[compID], (Fixtures[[#This Row],[competition]] = Competitions[name]), "N/A")</f>
        <v>DC-OF-EMIRATESFACUP</v>
      </c>
      <c r="V1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09" s="58" t="str" cm="1">
        <f t="array" ref="W1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09" s="58" t="str" cm="1">
        <f t="array" ref="X109">_xlfn._xlws.FILTER(Teams[name], (Fixtures[[#This Row],[userTeamID]] = Teams[teamID]), "N/A")</f>
        <v>Burnley</v>
      </c>
      <c r="Y109" s="58" t="str" cm="1">
        <f t="array" ref="Y109">_xlfn._xlws.FILTER(Teams[teamType], (Fixtures[[#This Row],[userTeamID]] = Teams[teamID]), "N/A")</f>
        <v>Club</v>
      </c>
      <c r="Z109" s="58" t="str" cm="1">
        <f t="array" ref="Z109">IF(Fixtures[[#This Row],[userTeamID]] = "N/A", "N/A", IF(SUM(COUNTIF(Fixtures[[#This Row],[homeTeam]], _xlfn._xlws.FILTER(Teams[name], (Fixtures[[#This Row],[userTeamID]] = Teams[teamID])*(Teams[relevant])))) &gt; 0, "H", "A"))</f>
        <v>A</v>
      </c>
      <c r="AA109" s="58" t="str">
        <f>IF(Fixtures[[#This Row],[userSide]] = "N/A", "N/A", IF(Fixtures[[#This Row],[userSide]] = "H", Fixtures[[#This Row],[awayTeam]], Fixtures[[#This Row],[homeTeam]]))</f>
        <v>Sheffield Utd</v>
      </c>
      <c r="AB109" s="58" t="str" cm="1">
        <f t="array" ref="AB109">_xlfn._xlws.FILTER(Teams[teamID], Fixtures[[#This Row],[oppTeam]] = Teams[name], "N/A")</f>
        <v>C-ENG-SHEFFIELDUTD</v>
      </c>
      <c r="AC109" s="58" t="str" cm="1">
        <f t="array" ref="AC109">_xlfn._xlws.FILTER(Teams[teamType], Fixtures[[#This Row],[oppTeam]] = Teams[name], "N/A")</f>
        <v>Club</v>
      </c>
      <c r="AD109" s="58">
        <f>IF(ISBLANK(Fixtures[[#This Row],[date]]), "N/A", IF(Fixtures[[#This Row],[userSide]]="H", Fixtures[[#This Row],[homeScore]], Fixtures[[#This Row],[awayScore]]))</f>
        <v>1</v>
      </c>
      <c r="AE109" s="58">
        <f>IF(ISBLANK(Fixtures[[#This Row],[date]]), "N/A", IF(Fixtures[[#This Row],[userScore]] = Fixtures[[#This Row],[homeScore]], Fixtures[[#This Row],[awayScore]], Fixtures[[#This Row],[homeScore]]))</f>
        <v>1</v>
      </c>
      <c r="AF109" s="58" t="b">
        <f>NOT(AND(ISBLANK(Fixtures[[#This Row],[homePens]]), ISBLANK(Fixtures[[#This Row],[awayPens]])))</f>
        <v>0</v>
      </c>
      <c r="AG109" s="58" t="str">
        <f>IF(Fixtures[[#This Row],[penalties]], IF(Fixtures[[#This Row],[userSide]]="H", Fixtures[[#This Row],[homePens]], Fixtures[[#This Row],[awayPens]]), "N/A")</f>
        <v>N/A</v>
      </c>
      <c r="AH109" s="58" t="str">
        <f>IF(Fixtures[[#This Row],[penalties]], IF(Fixtures[[#This Row],[userPens]]=Fixtures[[#This Row],[homePens]],Fixtures[[#This Row],[awayPens]],Fixtures[[#This Row],[homePens]]), "N/A")</f>
        <v>N/A</v>
      </c>
      <c r="AI109" s="58" t="b">
        <f>COUNTBLANK(Fixtures[[#This Row],[G]:[MOTM]]) = 0</f>
        <v>1</v>
      </c>
      <c r="AJ109" s="58">
        <f>IF(Fixtures[[#This Row],[APP]], Fixtures[[#This Row],[G]]+Fixtures[[#This Row],[A]], "N/A")</f>
        <v>1</v>
      </c>
      <c r="AK1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0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[2025-01-11] Sheffield Utd vs. Burnley (1-1) - Emirates FA Cup</v>
      </c>
    </row>
    <row r="110" spans="1:40" ht="13">
      <c r="A110" s="55">
        <v>45675</v>
      </c>
      <c r="B110" s="61">
        <v>0.625</v>
      </c>
      <c r="C110" s="56" t="s">
        <v>183</v>
      </c>
      <c r="D110" s="56" t="s">
        <v>175</v>
      </c>
      <c r="E110" s="56" t="s">
        <v>198</v>
      </c>
      <c r="F110" s="56" t="s">
        <v>176</v>
      </c>
      <c r="G110" s="56" t="s">
        <v>169</v>
      </c>
      <c r="H110" s="56" t="s">
        <v>220</v>
      </c>
      <c r="I110" s="56">
        <v>0</v>
      </c>
      <c r="J110" s="56">
        <v>0</v>
      </c>
      <c r="K110" s="56"/>
      <c r="L110" s="56"/>
      <c r="M110" s="56">
        <v>0</v>
      </c>
      <c r="N110" s="56">
        <v>0</v>
      </c>
      <c r="O110" s="56">
        <v>0</v>
      </c>
      <c r="P110" s="56">
        <v>0</v>
      </c>
      <c r="Q110" s="57">
        <v>7.3</v>
      </c>
      <c r="R110" s="56" t="b">
        <v>0</v>
      </c>
      <c r="S110" s="58" t="str" cm="1">
        <f t="array" ref="S110">_xlfn._xlws.FILTER(Competitions[compType], (Fixtures[[#This Row],[competition]] = Competitions[name]), "N/A")</f>
        <v>Domestic League</v>
      </c>
      <c r="T110" s="58" t="b" cm="1">
        <f t="array" ref="T110">_xlfn._xlws.FILTER(Competitions[exhibition], (Fixtures[[#This Row],[competition]] = Competitions[name]), "N/A")</f>
        <v>0</v>
      </c>
      <c r="U110" s="58" t="str" cm="1">
        <f t="array" ref="U110">_xlfn._xlws.FILTER(Competitions[compID], (Fixtures[[#This Row],[competition]] = Competitions[name]), "N/A")</f>
        <v>DL-OF-EFLCHAMPIONSHIP</v>
      </c>
      <c r="V1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0" s="58" t="str" cm="1">
        <f t="array" ref="W1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0" s="58" t="str" cm="1">
        <f t="array" ref="X110">_xlfn._xlws.FILTER(Teams[name], (Fixtures[[#This Row],[userTeamID]] = Teams[teamID]), "N/A")</f>
        <v>Burnley</v>
      </c>
      <c r="Y110" s="58" t="str" cm="1">
        <f t="array" ref="Y110">_xlfn._xlws.FILTER(Teams[teamType], (Fixtures[[#This Row],[userTeamID]] = Teams[teamID]), "N/A")</f>
        <v>Club</v>
      </c>
      <c r="Z110" s="58" t="str" cm="1">
        <f t="array" ref="Z110">IF(Fixtures[[#This Row],[userTeamID]] = "N/A", "N/A", IF(SUM(COUNTIF(Fixtures[[#This Row],[homeTeam]], _xlfn._xlws.FILTER(Teams[name], (Fixtures[[#This Row],[userTeamID]] = Teams[teamID])*(Teams[relevant])))) &gt; 0, "H", "A"))</f>
        <v>H</v>
      </c>
      <c r="AA110" s="58" t="str">
        <f>IF(Fixtures[[#This Row],[userSide]] = "N/A", "N/A", IF(Fixtures[[#This Row],[userSide]] = "H", Fixtures[[#This Row],[awayTeam]], Fixtures[[#This Row],[homeTeam]]))</f>
        <v>Bristol City</v>
      </c>
      <c r="AB110" s="58" t="str" cm="1">
        <f t="array" ref="AB110">_xlfn._xlws.FILTER(Teams[teamID], Fixtures[[#This Row],[oppTeam]] = Teams[name], "N/A")</f>
        <v>C-ENG-BRISTOLCITY</v>
      </c>
      <c r="AC110" s="58" t="str" cm="1">
        <f t="array" ref="AC110">_xlfn._xlws.FILTER(Teams[teamType], Fixtures[[#This Row],[oppTeam]] = Teams[name], "N/A")</f>
        <v>Club</v>
      </c>
      <c r="AD110" s="58">
        <f>IF(ISBLANK(Fixtures[[#This Row],[date]]), "N/A", IF(Fixtures[[#This Row],[userSide]]="H", Fixtures[[#This Row],[homeScore]], Fixtures[[#This Row],[awayScore]]))</f>
        <v>0</v>
      </c>
      <c r="AE110" s="58">
        <f>IF(ISBLANK(Fixtures[[#This Row],[date]]), "N/A", IF(Fixtures[[#This Row],[userScore]] = Fixtures[[#This Row],[homeScore]], Fixtures[[#This Row],[awayScore]], Fixtures[[#This Row],[homeScore]]))</f>
        <v>0</v>
      </c>
      <c r="AF110" s="58" t="b">
        <f>NOT(AND(ISBLANK(Fixtures[[#This Row],[homePens]]), ISBLANK(Fixtures[[#This Row],[awayPens]])))</f>
        <v>0</v>
      </c>
      <c r="AG110" s="58" t="str">
        <f>IF(Fixtures[[#This Row],[penalties]], IF(Fixtures[[#This Row],[userSide]]="H", Fixtures[[#This Row],[homePens]], Fixtures[[#This Row],[awayPens]]), "N/A")</f>
        <v>N/A</v>
      </c>
      <c r="AH110" s="58" t="str">
        <f>IF(Fixtures[[#This Row],[penalties]], IF(Fixtures[[#This Row],[userPens]]=Fixtures[[#This Row],[homePens]],Fixtures[[#This Row],[awayPens]],Fixtures[[#This Row],[homePens]]), "N/A")</f>
        <v>N/A</v>
      </c>
      <c r="AI110" s="58" t="b">
        <f>COUNTBLANK(Fixtures[[#This Row],[G]:[MOTM]]) = 0</f>
        <v>1</v>
      </c>
      <c r="AJ110" s="58">
        <f>IF(Fixtures[[#This Row],[APP]], Fixtures[[#This Row],[G]]+Fixtures[[#This Row],[A]], "N/A")</f>
        <v>0</v>
      </c>
      <c r="AK1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10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[2025-01-18] Burnley vs. Bristol City (0-0) - EFL Championship</v>
      </c>
    </row>
    <row r="111" spans="1:40" ht="13">
      <c r="A111" s="55">
        <v>45678</v>
      </c>
      <c r="B111" s="61">
        <v>0.82291666666666663</v>
      </c>
      <c r="C111" s="56" t="s">
        <v>203</v>
      </c>
      <c r="D111" s="56" t="s">
        <v>175</v>
      </c>
      <c r="E111" s="56" t="s">
        <v>244</v>
      </c>
      <c r="F111" s="56" t="s">
        <v>243</v>
      </c>
      <c r="G111" s="56" t="s">
        <v>169</v>
      </c>
      <c r="H111" s="56" t="s">
        <v>189</v>
      </c>
      <c r="I111" s="56">
        <v>2</v>
      </c>
      <c r="J111" s="56">
        <v>0</v>
      </c>
      <c r="K111" s="56"/>
      <c r="L111" s="56"/>
      <c r="M111" s="56">
        <v>1</v>
      </c>
      <c r="N111" s="56">
        <v>1</v>
      </c>
      <c r="O111" s="56">
        <v>0</v>
      </c>
      <c r="P111" s="56">
        <v>0</v>
      </c>
      <c r="Q111" s="57">
        <v>8.6</v>
      </c>
      <c r="R111" s="56" t="b">
        <v>1</v>
      </c>
      <c r="S111" s="58" t="str" cm="1">
        <f t="array" ref="S111">_xlfn._xlws.FILTER(Competitions[compType], (Fixtures[[#This Row],[competition]] = Competitions[name]), "N/A")</f>
        <v>Domestic Cup</v>
      </c>
      <c r="T111" s="58" t="b" cm="1">
        <f t="array" ref="T111">_xlfn._xlws.FILTER(Competitions[exhibition], (Fixtures[[#This Row],[competition]] = Competitions[name]), "N/A")</f>
        <v>0</v>
      </c>
      <c r="U111" s="58" t="str" cm="1">
        <f t="array" ref="U111">_xlfn._xlws.FILTER(Competitions[compID], (Fixtures[[#This Row],[competition]] = Competitions[name]), "N/A")</f>
        <v>DC-OF-EMIRATESFACUP</v>
      </c>
      <c r="V1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1" s="58" t="str" cm="1">
        <f t="array" ref="W1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1" s="58" t="str" cm="1">
        <f t="array" ref="X111">_xlfn._xlws.FILTER(Teams[name], (Fixtures[[#This Row],[userTeamID]] = Teams[teamID]), "N/A")</f>
        <v>Burnley</v>
      </c>
      <c r="Y111" s="58" t="str" cm="1">
        <f t="array" ref="Y111">_xlfn._xlws.FILTER(Teams[teamType], (Fixtures[[#This Row],[userTeamID]] = Teams[teamID]), "N/A")</f>
        <v>Club</v>
      </c>
      <c r="Z111" s="58" t="str" cm="1">
        <f t="array" ref="Z111">IF(Fixtures[[#This Row],[userTeamID]] = "N/A", "N/A", IF(SUM(COUNTIF(Fixtures[[#This Row],[homeTeam]], _xlfn._xlws.FILTER(Teams[name], (Fixtures[[#This Row],[userTeamID]] = Teams[teamID])*(Teams[relevant])))) &gt; 0, "H", "A"))</f>
        <v>H</v>
      </c>
      <c r="AA111" s="58" t="str">
        <f>IF(Fixtures[[#This Row],[userSide]] = "N/A", "N/A", IF(Fixtures[[#This Row],[userSide]] = "H", Fixtures[[#This Row],[awayTeam]], Fixtures[[#This Row],[homeTeam]]))</f>
        <v>Sheffield Utd</v>
      </c>
      <c r="AB111" s="58" t="str" cm="1">
        <f t="array" ref="AB111">_xlfn._xlws.FILTER(Teams[teamID], Fixtures[[#This Row],[oppTeam]] = Teams[name], "N/A")</f>
        <v>C-ENG-SHEFFIELDUTD</v>
      </c>
      <c r="AC111" s="58" t="str" cm="1">
        <f t="array" ref="AC111">_xlfn._xlws.FILTER(Teams[teamType], Fixtures[[#This Row],[oppTeam]] = Teams[name], "N/A")</f>
        <v>Club</v>
      </c>
      <c r="AD111" s="58">
        <f>IF(ISBLANK(Fixtures[[#This Row],[date]]), "N/A", IF(Fixtures[[#This Row],[userSide]]="H", Fixtures[[#This Row],[homeScore]], Fixtures[[#This Row],[awayScore]]))</f>
        <v>2</v>
      </c>
      <c r="AE111" s="58">
        <f>IF(ISBLANK(Fixtures[[#This Row],[date]]), "N/A", IF(Fixtures[[#This Row],[userScore]] = Fixtures[[#This Row],[homeScore]], Fixtures[[#This Row],[awayScore]], Fixtures[[#This Row],[homeScore]]))</f>
        <v>0</v>
      </c>
      <c r="AF111" s="58" t="b">
        <f>NOT(AND(ISBLANK(Fixtures[[#This Row],[homePens]]), ISBLANK(Fixtures[[#This Row],[awayPens]])))</f>
        <v>0</v>
      </c>
      <c r="AG111" s="58" t="str">
        <f>IF(Fixtures[[#This Row],[penalties]], IF(Fixtures[[#This Row],[userSide]]="H", Fixtures[[#This Row],[homePens]], Fixtures[[#This Row],[awayPens]]), "N/A")</f>
        <v>N/A</v>
      </c>
      <c r="AH111" s="58" t="str">
        <f>IF(Fixtures[[#This Row],[penalties]], IF(Fixtures[[#This Row],[userPens]]=Fixtures[[#This Row],[homePens]],Fixtures[[#This Row],[awayPens]],Fixtures[[#This Row],[homePens]]), "N/A")</f>
        <v>N/A</v>
      </c>
      <c r="AI111" s="58" t="b">
        <f>COUNTBLANK(Fixtures[[#This Row],[G]:[MOTM]]) = 0</f>
        <v>1</v>
      </c>
      <c r="AJ111" s="58">
        <f>IF(Fixtures[[#This Row],[APP]], Fixtures[[#This Row],[G]]+Fixtures[[#This Row],[A]], "N/A")</f>
        <v>2</v>
      </c>
      <c r="AK1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11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[2025-01-21] Burnley vs. Sheffield Utd (2-0) - Emirates FA Cup</v>
      </c>
    </row>
    <row r="112" spans="1:40" ht="13">
      <c r="A112" s="55">
        <v>45682</v>
      </c>
      <c r="B112" s="61">
        <v>0.625</v>
      </c>
      <c r="C112" s="56" t="s">
        <v>161</v>
      </c>
      <c r="D112" s="56" t="s">
        <v>245</v>
      </c>
      <c r="E112" s="56" t="s">
        <v>217</v>
      </c>
      <c r="F112" s="56" t="s">
        <v>176</v>
      </c>
      <c r="G112" s="56" t="s">
        <v>199</v>
      </c>
      <c r="H112" s="56" t="s">
        <v>169</v>
      </c>
      <c r="I112" s="56">
        <v>0</v>
      </c>
      <c r="J112" s="56">
        <v>2</v>
      </c>
      <c r="K112" s="56"/>
      <c r="L112" s="56"/>
      <c r="M112" s="56">
        <v>0</v>
      </c>
      <c r="N112" s="56">
        <v>1</v>
      </c>
      <c r="O112" s="56">
        <v>0</v>
      </c>
      <c r="P112" s="56">
        <v>0</v>
      </c>
      <c r="Q112" s="57">
        <v>7.9</v>
      </c>
      <c r="R112" s="56" t="b">
        <v>1</v>
      </c>
      <c r="S112" s="58" t="str" cm="1">
        <f t="array" ref="S112">_xlfn._xlws.FILTER(Competitions[compType], (Fixtures[[#This Row],[competition]] = Competitions[name]), "N/A")</f>
        <v>Domestic League</v>
      </c>
      <c r="T112" s="58" t="b" cm="1">
        <f t="array" ref="T112">_xlfn._xlws.FILTER(Competitions[exhibition], (Fixtures[[#This Row],[competition]] = Competitions[name]), "N/A")</f>
        <v>0</v>
      </c>
      <c r="U112" s="58" t="str" cm="1">
        <f t="array" ref="U112">_xlfn._xlws.FILTER(Competitions[compID], (Fixtures[[#This Row],[competition]] = Competitions[name]), "N/A")</f>
        <v>DL-OF-EFLCHAMPIONSHIP</v>
      </c>
      <c r="V1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2" s="58" t="str" cm="1">
        <f t="array" ref="W1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2" s="58" t="str" cm="1">
        <f t="array" ref="X112">_xlfn._xlws.FILTER(Teams[name], (Fixtures[[#This Row],[userTeamID]] = Teams[teamID]), "N/A")</f>
        <v>Burnley</v>
      </c>
      <c r="Y112" s="58" t="str" cm="1">
        <f t="array" ref="Y112">_xlfn._xlws.FILTER(Teams[teamType], (Fixtures[[#This Row],[userTeamID]] = Teams[teamID]), "N/A")</f>
        <v>Club</v>
      </c>
      <c r="Z112" s="58" t="str" cm="1">
        <f t="array" ref="Z112">IF(Fixtures[[#This Row],[userTeamID]] = "N/A", "N/A", IF(SUM(COUNTIF(Fixtures[[#This Row],[homeTeam]], _xlfn._xlws.FILTER(Teams[name], (Fixtures[[#This Row],[userTeamID]] = Teams[teamID])*(Teams[relevant])))) &gt; 0, "H", "A"))</f>
        <v>A</v>
      </c>
      <c r="AA112" s="58" t="str">
        <f>IF(Fixtures[[#This Row],[userSide]] = "N/A", "N/A", IF(Fixtures[[#This Row],[userSide]] = "H", Fixtures[[#This Row],[awayTeam]], Fixtures[[#This Row],[homeTeam]]))</f>
        <v>Bolton</v>
      </c>
      <c r="AB112" s="58" t="str" cm="1">
        <f t="array" ref="AB112">_xlfn._xlws.FILTER(Teams[teamID], Fixtures[[#This Row],[oppTeam]] = Teams[name], "N/A")</f>
        <v>C-ENG-BOLTON</v>
      </c>
      <c r="AC112" s="58" t="str" cm="1">
        <f t="array" ref="AC112">_xlfn._xlws.FILTER(Teams[teamType], Fixtures[[#This Row],[oppTeam]] = Teams[name], "N/A")</f>
        <v>Club</v>
      </c>
      <c r="AD112" s="58">
        <f>IF(ISBLANK(Fixtures[[#This Row],[date]]), "N/A", IF(Fixtures[[#This Row],[userSide]]="H", Fixtures[[#This Row],[homeScore]], Fixtures[[#This Row],[awayScore]]))</f>
        <v>2</v>
      </c>
      <c r="AE112" s="58">
        <f>IF(ISBLANK(Fixtures[[#This Row],[date]]), "N/A", IF(Fixtures[[#This Row],[userScore]] = Fixtures[[#This Row],[homeScore]], Fixtures[[#This Row],[awayScore]], Fixtures[[#This Row],[homeScore]]))</f>
        <v>0</v>
      </c>
      <c r="AF112" s="58" t="b">
        <f>NOT(AND(ISBLANK(Fixtures[[#This Row],[homePens]]), ISBLANK(Fixtures[[#This Row],[awayPens]])))</f>
        <v>0</v>
      </c>
      <c r="AG112" s="58" t="str">
        <f>IF(Fixtures[[#This Row],[penalties]], IF(Fixtures[[#This Row],[userSide]]="H", Fixtures[[#This Row],[homePens]], Fixtures[[#This Row],[awayPens]]), "N/A")</f>
        <v>N/A</v>
      </c>
      <c r="AH112" s="58" t="str">
        <f>IF(Fixtures[[#This Row],[penalties]], IF(Fixtures[[#This Row],[userPens]]=Fixtures[[#This Row],[homePens]],Fixtures[[#This Row],[awayPens]],Fixtures[[#This Row],[homePens]]), "N/A")</f>
        <v>N/A</v>
      </c>
      <c r="AI112" s="58" t="b">
        <f>COUNTBLANK(Fixtures[[#This Row],[G]:[MOTM]]) = 0</f>
        <v>1</v>
      </c>
      <c r="AJ112" s="58">
        <f>IF(Fixtures[[#This Row],[APP]], Fixtures[[#This Row],[G]]+Fixtures[[#This Row],[A]], "N/A")</f>
        <v>1</v>
      </c>
      <c r="AK1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12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[2025-01-25] Bolton vs. Burnley (0-2) - EFL Championship</v>
      </c>
    </row>
    <row r="113" spans="1:39" ht="13">
      <c r="A113" s="55">
        <v>45689</v>
      </c>
      <c r="B113" s="61">
        <v>0.625</v>
      </c>
      <c r="C113" s="56" t="s">
        <v>183</v>
      </c>
      <c r="D113" s="56" t="s">
        <v>175</v>
      </c>
      <c r="E113" s="56" t="s">
        <v>246</v>
      </c>
      <c r="F113" s="56" t="s">
        <v>243</v>
      </c>
      <c r="G113" s="56" t="s">
        <v>169</v>
      </c>
      <c r="H113" s="56" t="s">
        <v>247</v>
      </c>
      <c r="I113" s="56">
        <v>0</v>
      </c>
      <c r="J113" s="56">
        <v>1</v>
      </c>
      <c r="K113" s="56"/>
      <c r="L113" s="56"/>
      <c r="M113" s="56">
        <v>0</v>
      </c>
      <c r="N113" s="56">
        <v>0</v>
      </c>
      <c r="O113" s="56">
        <v>0</v>
      </c>
      <c r="P113" s="56">
        <v>0</v>
      </c>
      <c r="Q113" s="57">
        <v>7.1</v>
      </c>
      <c r="R113" s="56" t="b">
        <v>0</v>
      </c>
      <c r="S113" s="58" t="str" cm="1">
        <f t="array" ref="S113">_xlfn._xlws.FILTER(Competitions[compType], (Fixtures[[#This Row],[competition]] = Competitions[name]), "N/A")</f>
        <v>Domestic Cup</v>
      </c>
      <c r="T113" s="58" t="b" cm="1">
        <f t="array" ref="T113">_xlfn._xlws.FILTER(Competitions[exhibition], (Fixtures[[#This Row],[competition]] = Competitions[name]), "N/A")</f>
        <v>0</v>
      </c>
      <c r="U113" s="58" t="str" cm="1">
        <f t="array" ref="U113">_xlfn._xlws.FILTER(Competitions[compID], (Fixtures[[#This Row],[competition]] = Competitions[name]), "N/A")</f>
        <v>DC-OF-EMIRATESFACUP</v>
      </c>
      <c r="V1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3" s="58" t="str" cm="1">
        <f t="array" ref="W1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3" s="58" t="str" cm="1">
        <f t="array" ref="X113">_xlfn._xlws.FILTER(Teams[name], (Fixtures[[#This Row],[userTeamID]] = Teams[teamID]), "N/A")</f>
        <v>Burnley</v>
      </c>
      <c r="Y113" s="58" t="str" cm="1">
        <f t="array" ref="Y113">_xlfn._xlws.FILTER(Teams[teamType], (Fixtures[[#This Row],[userTeamID]] = Teams[teamID]), "N/A")</f>
        <v>Club</v>
      </c>
      <c r="Z113" s="58" t="str" cm="1">
        <f t="array" ref="Z113">IF(Fixtures[[#This Row],[userTeamID]] = "N/A", "N/A", IF(SUM(COUNTIF(Fixtures[[#This Row],[homeTeam]], _xlfn._xlws.FILTER(Teams[name], (Fixtures[[#This Row],[userTeamID]] = Teams[teamID])*(Teams[relevant])))) &gt; 0, "H", "A"))</f>
        <v>H</v>
      </c>
      <c r="AA113" s="58" t="str">
        <f>IF(Fixtures[[#This Row],[userSide]] = "N/A", "N/A", IF(Fixtures[[#This Row],[userSide]] = "H", Fixtures[[#This Row],[awayTeam]], Fixtures[[#This Row],[homeTeam]]))</f>
        <v>Norwich</v>
      </c>
      <c r="AB113" s="58" t="str" cm="1">
        <f t="array" ref="AB113">_xlfn._xlws.FILTER(Teams[teamID], Fixtures[[#This Row],[oppTeam]] = Teams[name], "N/A")</f>
        <v>C-ENG-NORWICH</v>
      </c>
      <c r="AC113" s="58" t="str" cm="1">
        <f t="array" ref="AC113">_xlfn._xlws.FILTER(Teams[teamType], Fixtures[[#This Row],[oppTeam]] = Teams[name], "N/A")</f>
        <v>Club</v>
      </c>
      <c r="AD113" s="58">
        <f>IF(ISBLANK(Fixtures[[#This Row],[date]]), "N/A", IF(Fixtures[[#This Row],[userSide]]="H", Fixtures[[#This Row],[homeScore]], Fixtures[[#This Row],[awayScore]]))</f>
        <v>0</v>
      </c>
      <c r="AE113" s="58">
        <f>IF(ISBLANK(Fixtures[[#This Row],[date]]), "N/A", IF(Fixtures[[#This Row],[userScore]] = Fixtures[[#This Row],[homeScore]], Fixtures[[#This Row],[awayScore]], Fixtures[[#This Row],[homeScore]]))</f>
        <v>1</v>
      </c>
      <c r="AF113" s="58" t="b">
        <f>NOT(AND(ISBLANK(Fixtures[[#This Row],[homePens]]), ISBLANK(Fixtures[[#This Row],[awayPens]])))</f>
        <v>0</v>
      </c>
      <c r="AG113" s="58" t="str">
        <f>IF(Fixtures[[#This Row],[penalties]], IF(Fixtures[[#This Row],[userSide]]="H", Fixtures[[#This Row],[homePens]], Fixtures[[#This Row],[awayPens]]), "N/A")</f>
        <v>N/A</v>
      </c>
      <c r="AH113" s="58" t="str">
        <f>IF(Fixtures[[#This Row],[penalties]], IF(Fixtures[[#This Row],[userPens]]=Fixtures[[#This Row],[homePens]],Fixtures[[#This Row],[awayPens]],Fixtures[[#This Row],[homePens]]), "N/A")</f>
        <v>N/A</v>
      </c>
      <c r="AI113" s="58" t="b">
        <f>COUNTBLANK(Fixtures[[#This Row],[G]:[MOTM]]) = 0</f>
        <v>1</v>
      </c>
      <c r="AJ113" s="58">
        <f>IF(Fixtures[[#This Row],[APP]], Fixtures[[#This Row],[G]]+Fixtures[[#This Row],[A]], "N/A")</f>
        <v>0</v>
      </c>
      <c r="AK1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13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[2025-02-01] Burnley vs. Norwich (0-1) - Emirates FA Cup</v>
      </c>
    </row>
    <row r="114" spans="1:39" ht="13">
      <c r="A114" s="55">
        <v>45692</v>
      </c>
      <c r="B114" s="61">
        <v>0.78125</v>
      </c>
      <c r="C114" s="56" t="s">
        <v>183</v>
      </c>
      <c r="D114" s="56" t="s">
        <v>234</v>
      </c>
      <c r="E114" s="56" t="s">
        <v>248</v>
      </c>
      <c r="F114" s="56" t="s">
        <v>176</v>
      </c>
      <c r="G114" s="56" t="s">
        <v>225</v>
      </c>
      <c r="H114" s="56" t="s">
        <v>169</v>
      </c>
      <c r="I114" s="56">
        <v>0</v>
      </c>
      <c r="J114" s="56">
        <v>0</v>
      </c>
      <c r="K114" s="56"/>
      <c r="L114" s="56"/>
      <c r="M114" s="56">
        <v>0</v>
      </c>
      <c r="N114" s="56">
        <v>0</v>
      </c>
      <c r="O114" s="56">
        <v>0</v>
      </c>
      <c r="P114" s="56">
        <v>0</v>
      </c>
      <c r="Q114" s="57">
        <v>6.8</v>
      </c>
      <c r="R114" s="56" t="b">
        <v>0</v>
      </c>
      <c r="S114" s="58" t="str" cm="1">
        <f t="array" ref="S114">_xlfn._xlws.FILTER(Competitions[compType], (Fixtures[[#This Row],[competition]] = Competitions[name]), "N/A")</f>
        <v>Domestic League</v>
      </c>
      <c r="T114" s="58" t="b" cm="1">
        <f t="array" ref="T114">_xlfn._xlws.FILTER(Competitions[exhibition], (Fixtures[[#This Row],[competition]] = Competitions[name]), "N/A")</f>
        <v>0</v>
      </c>
      <c r="U114" s="58" t="str" cm="1">
        <f t="array" ref="U114">_xlfn._xlws.FILTER(Competitions[compID], (Fixtures[[#This Row],[competition]] = Competitions[name]), "N/A")</f>
        <v>DL-OF-EFLCHAMPIONSHIP</v>
      </c>
      <c r="V1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4" s="58" t="str" cm="1">
        <f t="array" ref="W1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4" s="58" t="str" cm="1">
        <f t="array" ref="X114">_xlfn._xlws.FILTER(Teams[name], (Fixtures[[#This Row],[userTeamID]] = Teams[teamID]), "N/A")</f>
        <v>Burnley</v>
      </c>
      <c r="Y114" s="58" t="str" cm="1">
        <f t="array" ref="Y114">_xlfn._xlws.FILTER(Teams[teamType], (Fixtures[[#This Row],[userTeamID]] = Teams[teamID]), "N/A")</f>
        <v>Club</v>
      </c>
      <c r="Z114" s="58" t="str" cm="1">
        <f t="array" ref="Z114">IF(Fixtures[[#This Row],[userTeamID]] = "N/A", "N/A", IF(SUM(COUNTIF(Fixtures[[#This Row],[homeTeam]], _xlfn._xlws.FILTER(Teams[name], (Fixtures[[#This Row],[userTeamID]] = Teams[teamID])*(Teams[relevant])))) &gt; 0, "H", "A"))</f>
        <v>A</v>
      </c>
      <c r="AA114" s="58" t="str">
        <f>IF(Fixtures[[#This Row],[userSide]] = "N/A", "N/A", IF(Fixtures[[#This Row],[userSide]] = "H", Fixtures[[#This Row],[awayTeam]], Fixtures[[#This Row],[homeTeam]]))</f>
        <v>Preston</v>
      </c>
      <c r="AB114" s="58" t="str" cm="1">
        <f t="array" ref="AB114">_xlfn._xlws.FILTER(Teams[teamID], Fixtures[[#This Row],[oppTeam]] = Teams[name], "N/A")</f>
        <v>C-ENG-PRESTON</v>
      </c>
      <c r="AC114" s="58" t="str" cm="1">
        <f t="array" ref="AC114">_xlfn._xlws.FILTER(Teams[teamType], Fixtures[[#This Row],[oppTeam]] = Teams[name], "N/A")</f>
        <v>Club</v>
      </c>
      <c r="AD114" s="58">
        <f>IF(ISBLANK(Fixtures[[#This Row],[date]]), "N/A", IF(Fixtures[[#This Row],[userSide]]="H", Fixtures[[#This Row],[homeScore]], Fixtures[[#This Row],[awayScore]]))</f>
        <v>0</v>
      </c>
      <c r="AE114" s="58">
        <f>IF(ISBLANK(Fixtures[[#This Row],[date]]), "N/A", IF(Fixtures[[#This Row],[userScore]] = Fixtures[[#This Row],[homeScore]], Fixtures[[#This Row],[awayScore]], Fixtures[[#This Row],[homeScore]]))</f>
        <v>0</v>
      </c>
      <c r="AF114" s="58" t="b">
        <f>NOT(AND(ISBLANK(Fixtures[[#This Row],[homePens]]), ISBLANK(Fixtures[[#This Row],[awayPens]])))</f>
        <v>0</v>
      </c>
      <c r="AG114" s="58" t="str">
        <f>IF(Fixtures[[#This Row],[penalties]], IF(Fixtures[[#This Row],[userSide]]="H", Fixtures[[#This Row],[homePens]], Fixtures[[#This Row],[awayPens]]), "N/A")</f>
        <v>N/A</v>
      </c>
      <c r="AH114" s="58" t="str">
        <f>IF(Fixtures[[#This Row],[penalties]], IF(Fixtures[[#This Row],[userPens]]=Fixtures[[#This Row],[homePens]],Fixtures[[#This Row],[awayPens]],Fixtures[[#This Row],[homePens]]), "N/A")</f>
        <v>N/A</v>
      </c>
      <c r="AI114" s="58" t="b">
        <f>COUNTBLANK(Fixtures[[#This Row],[G]:[MOTM]]) = 0</f>
        <v>1</v>
      </c>
      <c r="AJ114" s="58">
        <f>IF(Fixtures[[#This Row],[APP]], Fixtures[[#This Row],[G]]+Fixtures[[#This Row],[A]], "N/A")</f>
        <v>0</v>
      </c>
      <c r="AK1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14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[2025-02-04] Preston vs. Burnley (0-0) - EFL Championship</v>
      </c>
    </row>
    <row r="115" spans="1:39" ht="13">
      <c r="A115" s="55">
        <v>45696</v>
      </c>
      <c r="B115" s="61">
        <v>0.58333333333333337</v>
      </c>
      <c r="C115" s="56" t="s">
        <v>203</v>
      </c>
      <c r="D115" s="56" t="s">
        <v>175</v>
      </c>
      <c r="E115" s="56" t="s">
        <v>205</v>
      </c>
      <c r="F115" s="56" t="s">
        <v>176</v>
      </c>
      <c r="G115" s="56" t="s">
        <v>169</v>
      </c>
      <c r="H115" s="56" t="s">
        <v>222</v>
      </c>
      <c r="I115" s="56">
        <v>0</v>
      </c>
      <c r="J115" s="56">
        <v>0</v>
      </c>
      <c r="K115" s="56"/>
      <c r="L115" s="56"/>
      <c r="M115" s="56">
        <v>0</v>
      </c>
      <c r="N115" s="56">
        <v>0</v>
      </c>
      <c r="O115" s="56">
        <v>0</v>
      </c>
      <c r="P115" s="56">
        <v>0</v>
      </c>
      <c r="Q115" s="57">
        <v>7.5</v>
      </c>
      <c r="R115" s="56" t="b">
        <v>1</v>
      </c>
      <c r="S115" s="58" t="str" cm="1">
        <f t="array" ref="S115">_xlfn._xlws.FILTER(Competitions[compType], (Fixtures[[#This Row],[competition]] = Competitions[name]), "N/A")</f>
        <v>Domestic League</v>
      </c>
      <c r="T115" s="58" t="b" cm="1">
        <f t="array" ref="T115">_xlfn._xlws.FILTER(Competitions[exhibition], (Fixtures[[#This Row],[competition]] = Competitions[name]), "N/A")</f>
        <v>0</v>
      </c>
      <c r="U115" s="58" t="str" cm="1">
        <f t="array" ref="U115">_xlfn._xlws.FILTER(Competitions[compID], (Fixtures[[#This Row],[competition]] = Competitions[name]), "N/A")</f>
        <v>DL-OF-EFLCHAMPIONSHIP</v>
      </c>
      <c r="V1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5" s="58" t="str" cm="1">
        <f t="array" ref="W1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5" s="58" t="str" cm="1">
        <f t="array" ref="X115">_xlfn._xlws.FILTER(Teams[name], (Fixtures[[#This Row],[userTeamID]] = Teams[teamID]), "N/A")</f>
        <v>Burnley</v>
      </c>
      <c r="Y115" s="58" t="str" cm="1">
        <f t="array" ref="Y115">_xlfn._xlws.FILTER(Teams[teamType], (Fixtures[[#This Row],[userTeamID]] = Teams[teamID]), "N/A")</f>
        <v>Club</v>
      </c>
      <c r="Z115" s="58" t="str" cm="1">
        <f t="array" ref="Z115">IF(Fixtures[[#This Row],[userTeamID]] = "N/A", "N/A", IF(SUM(COUNTIF(Fixtures[[#This Row],[homeTeam]], _xlfn._xlws.FILTER(Teams[name], (Fixtures[[#This Row],[userTeamID]] = Teams[teamID])*(Teams[relevant])))) &gt; 0, "H", "A"))</f>
        <v>H</v>
      </c>
      <c r="AA115" s="58" t="str">
        <f>IF(Fixtures[[#This Row],[userSide]] = "N/A", "N/A", IF(Fixtures[[#This Row],[userSide]] = "H", Fixtures[[#This Row],[awayTeam]], Fixtures[[#This Row],[homeTeam]]))</f>
        <v>Middlesbrough</v>
      </c>
      <c r="AB115" s="58" t="str" cm="1">
        <f t="array" ref="AB115">_xlfn._xlws.FILTER(Teams[teamID], Fixtures[[#This Row],[oppTeam]] = Teams[name], "N/A")</f>
        <v>C-ENG-MIDDLESBROUGH</v>
      </c>
      <c r="AC115" s="58" t="str" cm="1">
        <f t="array" ref="AC115">_xlfn._xlws.FILTER(Teams[teamType], Fixtures[[#This Row],[oppTeam]] = Teams[name], "N/A")</f>
        <v>Club</v>
      </c>
      <c r="AD115" s="58">
        <f>IF(ISBLANK(Fixtures[[#This Row],[date]]), "N/A", IF(Fixtures[[#This Row],[userSide]]="H", Fixtures[[#This Row],[homeScore]], Fixtures[[#This Row],[awayScore]]))</f>
        <v>0</v>
      </c>
      <c r="AE115" s="58">
        <f>IF(ISBLANK(Fixtures[[#This Row],[date]]), "N/A", IF(Fixtures[[#This Row],[userScore]] = Fixtures[[#This Row],[homeScore]], Fixtures[[#This Row],[awayScore]], Fixtures[[#This Row],[homeScore]]))</f>
        <v>0</v>
      </c>
      <c r="AF115" s="58" t="b">
        <f>NOT(AND(ISBLANK(Fixtures[[#This Row],[homePens]]), ISBLANK(Fixtures[[#This Row],[awayPens]])))</f>
        <v>0</v>
      </c>
      <c r="AG115" s="58" t="str">
        <f>IF(Fixtures[[#This Row],[penalties]], IF(Fixtures[[#This Row],[userSide]]="H", Fixtures[[#This Row],[homePens]], Fixtures[[#This Row],[awayPens]]), "N/A")</f>
        <v>N/A</v>
      </c>
      <c r="AH115" s="58" t="str">
        <f>IF(Fixtures[[#This Row],[penalties]], IF(Fixtures[[#This Row],[userPens]]=Fixtures[[#This Row],[homePens]],Fixtures[[#This Row],[awayPens]],Fixtures[[#This Row],[homePens]]), "N/A")</f>
        <v>N/A</v>
      </c>
      <c r="AI115" s="58" t="b">
        <f>COUNTBLANK(Fixtures[[#This Row],[G]:[MOTM]]) = 0</f>
        <v>1</v>
      </c>
      <c r="AJ115" s="58">
        <f>IF(Fixtures[[#This Row],[APP]], Fixtures[[#This Row],[G]]+Fixtures[[#This Row],[A]], "N/A")</f>
        <v>0</v>
      </c>
      <c r="AK1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15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[2025-02-08] Burnley vs. Middlesbrough (0-0) - EFL Championship</v>
      </c>
    </row>
    <row r="116" spans="1:39" ht="13">
      <c r="A116" s="55">
        <v>45703</v>
      </c>
      <c r="B116" s="61">
        <v>0.625</v>
      </c>
      <c r="C116" s="56" t="s">
        <v>183</v>
      </c>
      <c r="D116" s="56" t="s">
        <v>119</v>
      </c>
      <c r="E116" s="56" t="s">
        <v>249</v>
      </c>
      <c r="F116" s="56" t="s">
        <v>176</v>
      </c>
      <c r="G116" s="56" t="s">
        <v>218</v>
      </c>
      <c r="H116" s="56" t="s">
        <v>169</v>
      </c>
      <c r="I116" s="56">
        <v>0</v>
      </c>
      <c r="J116" s="56">
        <v>4</v>
      </c>
      <c r="K116" s="56"/>
      <c r="L116" s="56"/>
      <c r="M116" s="56">
        <v>1</v>
      </c>
      <c r="N116" s="56">
        <v>1</v>
      </c>
      <c r="O116" s="56">
        <v>0</v>
      </c>
      <c r="P116" s="56">
        <v>0</v>
      </c>
      <c r="Q116" s="57">
        <v>8.5</v>
      </c>
      <c r="R116" s="56" t="b">
        <v>1</v>
      </c>
      <c r="S116" s="58" t="str" cm="1">
        <f t="array" ref="S116">_xlfn._xlws.FILTER(Competitions[compType], (Fixtures[[#This Row],[competition]] = Competitions[name]), "N/A")</f>
        <v>Domestic League</v>
      </c>
      <c r="T116" s="58" t="b" cm="1">
        <f t="array" ref="T116">_xlfn._xlws.FILTER(Competitions[exhibition], (Fixtures[[#This Row],[competition]] = Competitions[name]), "N/A")</f>
        <v>0</v>
      </c>
      <c r="U116" s="58" t="str" cm="1">
        <f t="array" ref="U116">_xlfn._xlws.FILTER(Competitions[compID], (Fixtures[[#This Row],[competition]] = Competitions[name]), "N/A")</f>
        <v>DL-OF-EFLCHAMPIONSHIP</v>
      </c>
      <c r="V1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6" s="58" t="str" cm="1">
        <f t="array" ref="W1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6" s="58" t="str" cm="1">
        <f t="array" ref="X116">_xlfn._xlws.FILTER(Teams[name], (Fixtures[[#This Row],[userTeamID]] = Teams[teamID]), "N/A")</f>
        <v>Burnley</v>
      </c>
      <c r="Y116" s="58" t="str" cm="1">
        <f t="array" ref="Y116">_xlfn._xlws.FILTER(Teams[teamType], (Fixtures[[#This Row],[userTeamID]] = Teams[teamID]), "N/A")</f>
        <v>Club</v>
      </c>
      <c r="Z116" s="58" t="str" cm="1">
        <f t="array" ref="Z116">IF(Fixtures[[#This Row],[userTeamID]] = "N/A", "N/A", IF(SUM(COUNTIF(Fixtures[[#This Row],[homeTeam]], _xlfn._xlws.FILTER(Teams[name], (Fixtures[[#This Row],[userTeamID]] = Teams[teamID])*(Teams[relevant])))) &gt; 0, "H", "A"))</f>
        <v>A</v>
      </c>
      <c r="AA116" s="58" t="str">
        <f>IF(Fixtures[[#This Row],[userSide]] = "N/A", "N/A", IF(Fixtures[[#This Row],[userSide]] = "H", Fixtures[[#This Row],[awayTeam]], Fixtures[[#This Row],[homeTeam]]))</f>
        <v>Fleetwood Town</v>
      </c>
      <c r="AB116" s="58" t="str" cm="1">
        <f t="array" ref="AB116">_xlfn._xlws.FILTER(Teams[teamID], Fixtures[[#This Row],[oppTeam]] = Teams[name], "N/A")</f>
        <v>C-ENG-FLEETWOODTOWN</v>
      </c>
      <c r="AC116" s="58" t="str" cm="1">
        <f t="array" ref="AC116">_xlfn._xlws.FILTER(Teams[teamType], Fixtures[[#This Row],[oppTeam]] = Teams[name], "N/A")</f>
        <v>Club</v>
      </c>
      <c r="AD116" s="58">
        <f>IF(ISBLANK(Fixtures[[#This Row],[date]]), "N/A", IF(Fixtures[[#This Row],[userSide]]="H", Fixtures[[#This Row],[homeScore]], Fixtures[[#This Row],[awayScore]]))</f>
        <v>4</v>
      </c>
      <c r="AE116" s="58">
        <f>IF(ISBLANK(Fixtures[[#This Row],[date]]), "N/A", IF(Fixtures[[#This Row],[userScore]] = Fixtures[[#This Row],[homeScore]], Fixtures[[#This Row],[awayScore]], Fixtures[[#This Row],[homeScore]]))</f>
        <v>0</v>
      </c>
      <c r="AF116" s="58" t="b">
        <f>NOT(AND(ISBLANK(Fixtures[[#This Row],[homePens]]), ISBLANK(Fixtures[[#This Row],[awayPens]])))</f>
        <v>0</v>
      </c>
      <c r="AG116" s="58" t="str">
        <f>IF(Fixtures[[#This Row],[penalties]], IF(Fixtures[[#This Row],[userSide]]="H", Fixtures[[#This Row],[homePens]], Fixtures[[#This Row],[awayPens]]), "N/A")</f>
        <v>N/A</v>
      </c>
      <c r="AH116" s="58" t="str">
        <f>IF(Fixtures[[#This Row],[penalties]], IF(Fixtures[[#This Row],[userPens]]=Fixtures[[#This Row],[homePens]],Fixtures[[#This Row],[awayPens]],Fixtures[[#This Row],[homePens]]), "N/A")</f>
        <v>N/A</v>
      </c>
      <c r="AI116" s="58" t="b">
        <f>COUNTBLANK(Fixtures[[#This Row],[G]:[MOTM]]) = 0</f>
        <v>1</v>
      </c>
      <c r="AJ116" s="58">
        <f>IF(Fixtures[[#This Row],[APP]], Fixtures[[#This Row],[G]]+Fixtures[[#This Row],[A]], "N/A")</f>
        <v>2</v>
      </c>
      <c r="AK1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16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1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[2025-02-15] Fleetwood Town vs. Burnley (0-4) - EFL Championship</v>
      </c>
    </row>
    <row r="117" spans="1:39" ht="13">
      <c r="A117" s="55">
        <v>45706</v>
      </c>
      <c r="B117" s="61">
        <v>0.82291666666666663</v>
      </c>
      <c r="C117" s="56" t="s">
        <v>203</v>
      </c>
      <c r="D117" s="56" t="s">
        <v>175</v>
      </c>
      <c r="E117" s="56" t="s">
        <v>186</v>
      </c>
      <c r="F117" s="56" t="s">
        <v>176</v>
      </c>
      <c r="G117" s="56" t="s">
        <v>169</v>
      </c>
      <c r="H117" s="56" t="s">
        <v>197</v>
      </c>
      <c r="I117" s="56">
        <v>1</v>
      </c>
      <c r="J117" s="56">
        <v>1</v>
      </c>
      <c r="K117" s="56"/>
      <c r="L117" s="56"/>
      <c r="M117" s="56">
        <v>0</v>
      </c>
      <c r="N117" s="56">
        <v>1</v>
      </c>
      <c r="O117" s="56">
        <v>0</v>
      </c>
      <c r="P117" s="56">
        <v>0</v>
      </c>
      <c r="Q117" s="57">
        <v>7.2</v>
      </c>
      <c r="R117" s="56" t="b">
        <v>0</v>
      </c>
      <c r="S117" s="58" t="str" cm="1">
        <f t="array" ref="S117">_xlfn._xlws.FILTER(Competitions[compType], (Fixtures[[#This Row],[competition]] = Competitions[name]), "N/A")</f>
        <v>Domestic League</v>
      </c>
      <c r="T117" s="58" t="b" cm="1">
        <f t="array" ref="T117">_xlfn._xlws.FILTER(Competitions[exhibition], (Fixtures[[#This Row],[competition]] = Competitions[name]), "N/A")</f>
        <v>0</v>
      </c>
      <c r="U117" s="58" t="str" cm="1">
        <f t="array" ref="U117">_xlfn._xlws.FILTER(Competitions[compID], (Fixtures[[#This Row],[competition]] = Competitions[name]), "N/A")</f>
        <v>DL-OF-EFLCHAMPIONSHIP</v>
      </c>
      <c r="V1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7" s="58" t="str" cm="1">
        <f t="array" ref="W1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7" s="58" t="str" cm="1">
        <f t="array" ref="X117">_xlfn._xlws.FILTER(Teams[name], (Fixtures[[#This Row],[userTeamID]] = Teams[teamID]), "N/A")</f>
        <v>Burnley</v>
      </c>
      <c r="Y117" s="58" t="str" cm="1">
        <f t="array" ref="Y117">_xlfn._xlws.FILTER(Teams[teamType], (Fixtures[[#This Row],[userTeamID]] = Teams[teamID]), "N/A")</f>
        <v>Club</v>
      </c>
      <c r="Z117" s="58" t="str" cm="1">
        <f t="array" ref="Z117">IF(Fixtures[[#This Row],[userTeamID]] = "N/A", "N/A", IF(SUM(COUNTIF(Fixtures[[#This Row],[homeTeam]], _xlfn._xlws.FILTER(Teams[name], (Fixtures[[#This Row],[userTeamID]] = Teams[teamID])*(Teams[relevant])))) &gt; 0, "H", "A"))</f>
        <v>H</v>
      </c>
      <c r="AA117" s="58" t="str">
        <f>IF(Fixtures[[#This Row],[userSide]] = "N/A", "N/A", IF(Fixtures[[#This Row],[userSide]] = "H", Fixtures[[#This Row],[awayTeam]], Fixtures[[#This Row],[homeTeam]]))</f>
        <v>Hull City</v>
      </c>
      <c r="AB117" s="58" t="str" cm="1">
        <f t="array" ref="AB117">_xlfn._xlws.FILTER(Teams[teamID], Fixtures[[#This Row],[oppTeam]] = Teams[name], "N/A")</f>
        <v>C-ENG-HULLCITY</v>
      </c>
      <c r="AC117" s="58" t="str" cm="1">
        <f t="array" ref="AC117">_xlfn._xlws.FILTER(Teams[teamType], Fixtures[[#This Row],[oppTeam]] = Teams[name], "N/A")</f>
        <v>Club</v>
      </c>
      <c r="AD117" s="58">
        <f>IF(ISBLANK(Fixtures[[#This Row],[date]]), "N/A", IF(Fixtures[[#This Row],[userSide]]="H", Fixtures[[#This Row],[homeScore]], Fixtures[[#This Row],[awayScore]]))</f>
        <v>1</v>
      </c>
      <c r="AE117" s="58">
        <f>IF(ISBLANK(Fixtures[[#This Row],[date]]), "N/A", IF(Fixtures[[#This Row],[userScore]] = Fixtures[[#This Row],[homeScore]], Fixtures[[#This Row],[awayScore]], Fixtures[[#This Row],[homeScore]]))</f>
        <v>1</v>
      </c>
      <c r="AF117" s="58" t="b">
        <f>NOT(AND(ISBLANK(Fixtures[[#This Row],[homePens]]), ISBLANK(Fixtures[[#This Row],[awayPens]])))</f>
        <v>0</v>
      </c>
      <c r="AG117" s="58" t="str">
        <f>IF(Fixtures[[#This Row],[penalties]], IF(Fixtures[[#This Row],[userSide]]="H", Fixtures[[#This Row],[homePens]], Fixtures[[#This Row],[awayPens]]), "N/A")</f>
        <v>N/A</v>
      </c>
      <c r="AH117" s="58" t="str">
        <f>IF(Fixtures[[#This Row],[penalties]], IF(Fixtures[[#This Row],[userPens]]=Fixtures[[#This Row],[homePens]],Fixtures[[#This Row],[awayPens]],Fixtures[[#This Row],[homePens]]), "N/A")</f>
        <v>N/A</v>
      </c>
      <c r="AI117" s="58" t="b">
        <f>COUNTBLANK(Fixtures[[#This Row],[G]:[MOTM]]) = 0</f>
        <v>1</v>
      </c>
      <c r="AJ117" s="58">
        <f>IF(Fixtures[[#This Row],[APP]], Fixtures[[#This Row],[G]]+Fixtures[[#This Row],[A]], "N/A")</f>
        <v>1</v>
      </c>
      <c r="AK1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17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[2025-02-18] Burnley vs. Hull City (1-1) - EFL Championship</v>
      </c>
    </row>
    <row r="118" spans="1:39" ht="13">
      <c r="A118" s="55">
        <v>45710</v>
      </c>
      <c r="B118" s="61">
        <v>0.625</v>
      </c>
      <c r="C118" s="56" t="s">
        <v>183</v>
      </c>
      <c r="D118" s="56" t="s">
        <v>175</v>
      </c>
      <c r="E118" s="56" t="s">
        <v>250</v>
      </c>
      <c r="F118" s="56" t="s">
        <v>176</v>
      </c>
      <c r="G118" s="56" t="s">
        <v>169</v>
      </c>
      <c r="H118" s="56" t="s">
        <v>216</v>
      </c>
      <c r="I118" s="56">
        <v>0</v>
      </c>
      <c r="J118" s="56">
        <v>1</v>
      </c>
      <c r="K118" s="56"/>
      <c r="L118" s="56"/>
      <c r="M118" s="56">
        <v>0</v>
      </c>
      <c r="N118" s="56">
        <v>0</v>
      </c>
      <c r="O118" s="56">
        <v>0</v>
      </c>
      <c r="P118" s="56">
        <v>0</v>
      </c>
      <c r="Q118" s="57">
        <v>6.9</v>
      </c>
      <c r="R118" s="56" t="b">
        <v>0</v>
      </c>
      <c r="S118" s="58" t="str" cm="1">
        <f t="array" ref="S118">_xlfn._xlws.FILTER(Competitions[compType], (Fixtures[[#This Row],[competition]] = Competitions[name]), "N/A")</f>
        <v>Domestic League</v>
      </c>
      <c r="T118" s="58" t="b" cm="1">
        <f t="array" ref="T118">_xlfn._xlws.FILTER(Competitions[exhibition], (Fixtures[[#This Row],[competition]] = Competitions[name]), "N/A")</f>
        <v>0</v>
      </c>
      <c r="U118" s="58" t="str" cm="1">
        <f t="array" ref="U118">_xlfn._xlws.FILTER(Competitions[compID], (Fixtures[[#This Row],[competition]] = Competitions[name]), "N/A")</f>
        <v>DL-OF-EFLCHAMPIONSHIP</v>
      </c>
      <c r="V1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8" s="58" t="str" cm="1">
        <f t="array" ref="W1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8" s="58" t="str" cm="1">
        <f t="array" ref="X118">_xlfn._xlws.FILTER(Teams[name], (Fixtures[[#This Row],[userTeamID]] = Teams[teamID]), "N/A")</f>
        <v>Burnley</v>
      </c>
      <c r="Y118" s="58" t="str" cm="1">
        <f t="array" ref="Y118">_xlfn._xlws.FILTER(Teams[teamType], (Fixtures[[#This Row],[userTeamID]] = Teams[teamID]), "N/A")</f>
        <v>Club</v>
      </c>
      <c r="Z118" s="58" t="str" cm="1">
        <f t="array" ref="Z118">IF(Fixtures[[#This Row],[userTeamID]] = "N/A", "N/A", IF(SUM(COUNTIF(Fixtures[[#This Row],[homeTeam]], _xlfn._xlws.FILTER(Teams[name], (Fixtures[[#This Row],[userTeamID]] = Teams[teamID])*(Teams[relevant])))) &gt; 0, "H", "A"))</f>
        <v>H</v>
      </c>
      <c r="AA118" s="58" t="str">
        <f>IF(Fixtures[[#This Row],[userSide]] = "N/A", "N/A", IF(Fixtures[[#This Row],[userSide]] = "H", Fixtures[[#This Row],[awayTeam]], Fixtures[[#This Row],[homeTeam]]))</f>
        <v>Watford</v>
      </c>
      <c r="AB118" s="58" t="str" cm="1">
        <f t="array" ref="AB118">_xlfn._xlws.FILTER(Teams[teamID], Fixtures[[#This Row],[oppTeam]] = Teams[name], "N/A")</f>
        <v>C-ENG-WATFORD</v>
      </c>
      <c r="AC118" s="58" t="str" cm="1">
        <f t="array" ref="AC118">_xlfn._xlws.FILTER(Teams[teamType], Fixtures[[#This Row],[oppTeam]] = Teams[name], "N/A")</f>
        <v>Club</v>
      </c>
      <c r="AD118" s="58">
        <f>IF(ISBLANK(Fixtures[[#This Row],[date]]), "N/A", IF(Fixtures[[#This Row],[userSide]]="H", Fixtures[[#This Row],[homeScore]], Fixtures[[#This Row],[awayScore]]))</f>
        <v>0</v>
      </c>
      <c r="AE118" s="58">
        <f>IF(ISBLANK(Fixtures[[#This Row],[date]]), "N/A", IF(Fixtures[[#This Row],[userScore]] = Fixtures[[#This Row],[homeScore]], Fixtures[[#This Row],[awayScore]], Fixtures[[#This Row],[homeScore]]))</f>
        <v>1</v>
      </c>
      <c r="AF118" s="58" t="b">
        <f>NOT(AND(ISBLANK(Fixtures[[#This Row],[homePens]]), ISBLANK(Fixtures[[#This Row],[awayPens]])))</f>
        <v>0</v>
      </c>
      <c r="AG118" s="58" t="str">
        <f>IF(Fixtures[[#This Row],[penalties]], IF(Fixtures[[#This Row],[userSide]]="H", Fixtures[[#This Row],[homePens]], Fixtures[[#This Row],[awayPens]]), "N/A")</f>
        <v>N/A</v>
      </c>
      <c r="AH118" s="58" t="str">
        <f>IF(Fixtures[[#This Row],[penalties]], IF(Fixtures[[#This Row],[userPens]]=Fixtures[[#This Row],[homePens]],Fixtures[[#This Row],[awayPens]],Fixtures[[#This Row],[homePens]]), "N/A")</f>
        <v>N/A</v>
      </c>
      <c r="AI118" s="58" t="b">
        <f>COUNTBLANK(Fixtures[[#This Row],[G]:[MOTM]]) = 0</f>
        <v>1</v>
      </c>
      <c r="AJ118" s="58">
        <f>IF(Fixtures[[#This Row],[APP]], Fixtures[[#This Row],[G]]+Fixtures[[#This Row],[A]], "N/A")</f>
        <v>0</v>
      </c>
      <c r="AK1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1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[2025-02-22] Burnley vs. Watford (0-1) - EFL Championship</v>
      </c>
    </row>
    <row r="119" spans="1:39" ht="13">
      <c r="A119" s="55">
        <v>45718</v>
      </c>
      <c r="B119" s="61">
        <v>0.625</v>
      </c>
      <c r="C119" s="56" t="s">
        <v>183</v>
      </c>
      <c r="D119" s="56" t="s">
        <v>234</v>
      </c>
      <c r="E119" s="56" t="s">
        <v>108</v>
      </c>
      <c r="F119" s="56" t="s">
        <v>176</v>
      </c>
      <c r="G119" s="56" t="s">
        <v>233</v>
      </c>
      <c r="H119" s="56" t="s">
        <v>169</v>
      </c>
      <c r="I119" s="56">
        <v>1</v>
      </c>
      <c r="J119" s="56">
        <v>3</v>
      </c>
      <c r="K119" s="56"/>
      <c r="L119" s="56"/>
      <c r="M119" s="56">
        <v>0</v>
      </c>
      <c r="N119" s="56">
        <v>2</v>
      </c>
      <c r="O119" s="56">
        <v>0</v>
      </c>
      <c r="P119" s="56">
        <v>0</v>
      </c>
      <c r="Q119" s="57">
        <v>8.6999999999999993</v>
      </c>
      <c r="R119" s="56" t="b">
        <v>1</v>
      </c>
      <c r="S119" s="58" t="str" cm="1">
        <f t="array" ref="S119">_xlfn._xlws.FILTER(Competitions[compType], (Fixtures[[#This Row],[competition]] = Competitions[name]), "N/A")</f>
        <v>Domestic League</v>
      </c>
      <c r="T119" s="58" t="b" cm="1">
        <f t="array" ref="T119">_xlfn._xlws.FILTER(Competitions[exhibition], (Fixtures[[#This Row],[competition]] = Competitions[name]), "N/A")</f>
        <v>0</v>
      </c>
      <c r="U119" s="58" t="str" cm="1">
        <f t="array" ref="U119">_xlfn._xlws.FILTER(Competitions[compID], (Fixtures[[#This Row],[competition]] = Competitions[name]), "N/A")</f>
        <v>DL-OF-EFLCHAMPIONSHIP</v>
      </c>
      <c r="V1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19" s="58" t="str" cm="1">
        <f t="array" ref="W1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19" s="58" t="str" cm="1">
        <f t="array" ref="X119">_xlfn._xlws.FILTER(Teams[name], (Fixtures[[#This Row],[userTeamID]] = Teams[teamID]), "N/A")</f>
        <v>Burnley</v>
      </c>
      <c r="Y119" s="58" t="str" cm="1">
        <f t="array" ref="Y119">_xlfn._xlws.FILTER(Teams[teamType], (Fixtures[[#This Row],[userTeamID]] = Teams[teamID]), "N/A")</f>
        <v>Club</v>
      </c>
      <c r="Z119" s="58" t="str" cm="1">
        <f t="array" ref="Z119">IF(Fixtures[[#This Row],[userTeamID]] = "N/A", "N/A", IF(SUM(COUNTIF(Fixtures[[#This Row],[homeTeam]], _xlfn._xlws.FILTER(Teams[name], (Fixtures[[#This Row],[userTeamID]] = Teams[teamID])*(Teams[relevant])))) &gt; 0, "H", "A"))</f>
        <v>A</v>
      </c>
      <c r="AA119" s="58" t="str">
        <f>IF(Fixtures[[#This Row],[userSide]] = "N/A", "N/A", IF(Fixtures[[#This Row],[userSide]] = "H", Fixtures[[#This Row],[awayTeam]], Fixtures[[#This Row],[homeTeam]]))</f>
        <v>Birmingham City</v>
      </c>
      <c r="AB119" s="58" t="str" cm="1">
        <f t="array" ref="AB119">_xlfn._xlws.FILTER(Teams[teamID], Fixtures[[#This Row],[oppTeam]] = Teams[name], "N/A")</f>
        <v>C-ENG-BIRMINGHAMCITY</v>
      </c>
      <c r="AC119" s="58" t="str" cm="1">
        <f t="array" ref="AC119">_xlfn._xlws.FILTER(Teams[teamType], Fixtures[[#This Row],[oppTeam]] = Teams[name], "N/A")</f>
        <v>Club</v>
      </c>
      <c r="AD119" s="58">
        <f>IF(ISBLANK(Fixtures[[#This Row],[date]]), "N/A", IF(Fixtures[[#This Row],[userSide]]="H", Fixtures[[#This Row],[homeScore]], Fixtures[[#This Row],[awayScore]]))</f>
        <v>3</v>
      </c>
      <c r="AE119" s="58">
        <f>IF(ISBLANK(Fixtures[[#This Row],[date]]), "N/A", IF(Fixtures[[#This Row],[userScore]] = Fixtures[[#This Row],[homeScore]], Fixtures[[#This Row],[awayScore]], Fixtures[[#This Row],[homeScore]]))</f>
        <v>1</v>
      </c>
      <c r="AF119" s="58" t="b">
        <f>NOT(AND(ISBLANK(Fixtures[[#This Row],[homePens]]), ISBLANK(Fixtures[[#This Row],[awayPens]])))</f>
        <v>0</v>
      </c>
      <c r="AG119" s="58" t="str">
        <f>IF(Fixtures[[#This Row],[penalties]], IF(Fixtures[[#This Row],[userSide]]="H", Fixtures[[#This Row],[homePens]], Fixtures[[#This Row],[awayPens]]), "N/A")</f>
        <v>N/A</v>
      </c>
      <c r="AH119" s="58" t="str">
        <f>IF(Fixtures[[#This Row],[penalties]], IF(Fixtures[[#This Row],[userPens]]=Fixtures[[#This Row],[homePens]],Fixtures[[#This Row],[awayPens]],Fixtures[[#This Row],[homePens]]), "N/A")</f>
        <v>N/A</v>
      </c>
      <c r="AI119" s="58" t="b">
        <f>COUNTBLANK(Fixtures[[#This Row],[G]:[MOTM]]) = 0</f>
        <v>1</v>
      </c>
      <c r="AJ119" s="58">
        <f>IF(Fixtures[[#This Row],[APP]], Fixtures[[#This Row],[G]]+Fixtures[[#This Row],[A]], "N/A")</f>
        <v>2</v>
      </c>
      <c r="AK1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19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[2025-03-02] Birmingham City vs. Burnley (1-3) - EFL Championship</v>
      </c>
    </row>
    <row r="120" spans="1:39" ht="13">
      <c r="A120" s="55">
        <v>45724</v>
      </c>
      <c r="B120" s="61">
        <v>0.58333333333333337</v>
      </c>
      <c r="C120" s="56" t="s">
        <v>161</v>
      </c>
      <c r="D120" s="56" t="s">
        <v>175</v>
      </c>
      <c r="E120" s="56" t="s">
        <v>240</v>
      </c>
      <c r="F120" s="56" t="s">
        <v>176</v>
      </c>
      <c r="G120" s="56" t="s">
        <v>169</v>
      </c>
      <c r="H120" s="56" t="s">
        <v>232</v>
      </c>
      <c r="I120" s="56">
        <v>1</v>
      </c>
      <c r="J120" s="56">
        <v>0</v>
      </c>
      <c r="K120" s="56"/>
      <c r="L120" s="56"/>
      <c r="M120" s="56">
        <v>0</v>
      </c>
      <c r="N120" s="56">
        <v>0</v>
      </c>
      <c r="O120" s="56">
        <v>0</v>
      </c>
      <c r="P120" s="56">
        <v>0</v>
      </c>
      <c r="Q120" s="57">
        <v>8.1</v>
      </c>
      <c r="R120" s="56" t="b">
        <v>1</v>
      </c>
      <c r="S120" s="58" t="str" cm="1">
        <f t="array" ref="S120">_xlfn._xlws.FILTER(Competitions[compType], (Fixtures[[#This Row],[competition]] = Competitions[name]), "N/A")</f>
        <v>Domestic League</v>
      </c>
      <c r="T120" s="58" t="b" cm="1">
        <f t="array" ref="T120">_xlfn._xlws.FILTER(Competitions[exhibition], (Fixtures[[#This Row],[competition]] = Competitions[name]), "N/A")</f>
        <v>0</v>
      </c>
      <c r="U120" s="58" t="str" cm="1">
        <f t="array" ref="U120">_xlfn._xlws.FILTER(Competitions[compID], (Fixtures[[#This Row],[competition]] = Competitions[name]), "N/A")</f>
        <v>DL-OF-EFLCHAMPIONSHIP</v>
      </c>
      <c r="V1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0" s="58" t="str" cm="1">
        <f t="array" ref="W1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0" s="58" t="str" cm="1">
        <f t="array" ref="X120">_xlfn._xlws.FILTER(Teams[name], (Fixtures[[#This Row],[userTeamID]] = Teams[teamID]), "N/A")</f>
        <v>Burnley</v>
      </c>
      <c r="Y120" s="58" t="str" cm="1">
        <f t="array" ref="Y120">_xlfn._xlws.FILTER(Teams[teamType], (Fixtures[[#This Row],[userTeamID]] = Teams[teamID]), "N/A")</f>
        <v>Club</v>
      </c>
      <c r="Z120" s="58" t="str" cm="1">
        <f t="array" ref="Z120">IF(Fixtures[[#This Row],[userTeamID]] = "N/A", "N/A", IF(SUM(COUNTIF(Fixtures[[#This Row],[homeTeam]], _xlfn._xlws.FILTER(Teams[name], (Fixtures[[#This Row],[userTeamID]] = Teams[teamID])*(Teams[relevant])))) &gt; 0, "H", "A"))</f>
        <v>H</v>
      </c>
      <c r="AA120" s="58" t="str">
        <f>IF(Fixtures[[#This Row],[userSide]] = "N/A", "N/A", IF(Fixtures[[#This Row],[userSide]] = "H", Fixtures[[#This Row],[awayTeam]], Fixtures[[#This Row],[homeTeam]]))</f>
        <v>Huddersfield</v>
      </c>
      <c r="AB120" s="58" t="str" cm="1">
        <f t="array" ref="AB120">_xlfn._xlws.FILTER(Teams[teamID], Fixtures[[#This Row],[oppTeam]] = Teams[name], "N/A")</f>
        <v>C-ENG-HUDDERSFIELD</v>
      </c>
      <c r="AC120" s="58" t="str" cm="1">
        <f t="array" ref="AC120">_xlfn._xlws.FILTER(Teams[teamType], Fixtures[[#This Row],[oppTeam]] = Teams[name], "N/A")</f>
        <v>Club</v>
      </c>
      <c r="AD120" s="58">
        <f>IF(ISBLANK(Fixtures[[#This Row],[date]]), "N/A", IF(Fixtures[[#This Row],[userSide]]="H", Fixtures[[#This Row],[homeScore]], Fixtures[[#This Row],[awayScore]]))</f>
        <v>1</v>
      </c>
      <c r="AE120" s="58">
        <f>IF(ISBLANK(Fixtures[[#This Row],[date]]), "N/A", IF(Fixtures[[#This Row],[userScore]] = Fixtures[[#This Row],[homeScore]], Fixtures[[#This Row],[awayScore]], Fixtures[[#This Row],[homeScore]]))</f>
        <v>0</v>
      </c>
      <c r="AF120" s="58" t="b">
        <f>NOT(AND(ISBLANK(Fixtures[[#This Row],[homePens]]), ISBLANK(Fixtures[[#This Row],[awayPens]])))</f>
        <v>0</v>
      </c>
      <c r="AG120" s="58" t="str">
        <f>IF(Fixtures[[#This Row],[penalties]], IF(Fixtures[[#This Row],[userSide]]="H", Fixtures[[#This Row],[homePens]], Fixtures[[#This Row],[awayPens]]), "N/A")</f>
        <v>N/A</v>
      </c>
      <c r="AH120" s="58" t="str">
        <f>IF(Fixtures[[#This Row],[penalties]], IF(Fixtures[[#This Row],[userPens]]=Fixtures[[#This Row],[homePens]],Fixtures[[#This Row],[awayPens]],Fixtures[[#This Row],[homePens]]), "N/A")</f>
        <v>N/A</v>
      </c>
      <c r="AI120" s="58" t="b">
        <f>COUNTBLANK(Fixtures[[#This Row],[G]:[MOTM]]) = 0</f>
        <v>1</v>
      </c>
      <c r="AJ120" s="58">
        <f>IF(Fixtures[[#This Row],[APP]], Fixtures[[#This Row],[G]]+Fixtures[[#This Row],[A]], "N/A")</f>
        <v>0</v>
      </c>
      <c r="AK1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2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[2025-03-08] Burnley vs. Huddersfield (1-0) - EFL Championship</v>
      </c>
    </row>
    <row r="121" spans="1:39" ht="13">
      <c r="A121" s="55">
        <v>45731</v>
      </c>
      <c r="B121" s="61">
        <v>0.625</v>
      </c>
      <c r="C121" s="56" t="s">
        <v>195</v>
      </c>
      <c r="D121" s="56" t="s">
        <v>175</v>
      </c>
      <c r="E121" s="56" t="s">
        <v>108</v>
      </c>
      <c r="F121" s="56" t="s">
        <v>176</v>
      </c>
      <c r="G121" s="56" t="s">
        <v>169</v>
      </c>
      <c r="H121" s="56" t="s">
        <v>187</v>
      </c>
      <c r="I121" s="56">
        <v>1</v>
      </c>
      <c r="J121" s="56">
        <v>2</v>
      </c>
      <c r="K121" s="56"/>
      <c r="L121" s="56"/>
      <c r="M121" s="56">
        <v>1</v>
      </c>
      <c r="N121" s="56">
        <v>0</v>
      </c>
      <c r="O121" s="56">
        <v>0</v>
      </c>
      <c r="P121" s="56">
        <v>0</v>
      </c>
      <c r="Q121" s="57">
        <v>6.7</v>
      </c>
      <c r="R121" s="56" t="b">
        <v>0</v>
      </c>
      <c r="S121" s="58" t="str" cm="1">
        <f t="array" ref="S121">_xlfn._xlws.FILTER(Competitions[compType], (Fixtures[[#This Row],[competition]] = Competitions[name]), "N/A")</f>
        <v>Domestic League</v>
      </c>
      <c r="T121" s="58" t="b" cm="1">
        <f t="array" ref="T121">_xlfn._xlws.FILTER(Competitions[exhibition], (Fixtures[[#This Row],[competition]] = Competitions[name]), "N/A")</f>
        <v>0</v>
      </c>
      <c r="U121" s="58" t="str" cm="1">
        <f t="array" ref="U121">_xlfn._xlws.FILTER(Competitions[compID], (Fixtures[[#This Row],[competition]] = Competitions[name]), "N/A")</f>
        <v>DL-OF-EFLCHAMPIONSHIP</v>
      </c>
      <c r="V1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1" s="58" t="str" cm="1">
        <f t="array" ref="W1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1" s="58" t="str" cm="1">
        <f t="array" ref="X121">_xlfn._xlws.FILTER(Teams[name], (Fixtures[[#This Row],[userTeamID]] = Teams[teamID]), "N/A")</f>
        <v>Burnley</v>
      </c>
      <c r="Y121" s="58" t="str" cm="1">
        <f t="array" ref="Y121">_xlfn._xlws.FILTER(Teams[teamType], (Fixtures[[#This Row],[userTeamID]] = Teams[teamID]), "N/A")</f>
        <v>Club</v>
      </c>
      <c r="Z121" s="58" t="str" cm="1">
        <f t="array" ref="Z121">IF(Fixtures[[#This Row],[userTeamID]] = "N/A", "N/A", IF(SUM(COUNTIF(Fixtures[[#This Row],[homeTeam]], _xlfn._xlws.FILTER(Teams[name], (Fixtures[[#This Row],[userTeamID]] = Teams[teamID])*(Teams[relevant])))) &gt; 0, "H", "A"))</f>
        <v>H</v>
      </c>
      <c r="AA121" s="58" t="str">
        <f>IF(Fixtures[[#This Row],[userSide]] = "N/A", "N/A", IF(Fixtures[[#This Row],[userSide]] = "H", Fixtures[[#This Row],[awayTeam]], Fixtures[[#This Row],[homeTeam]]))</f>
        <v>West Brom</v>
      </c>
      <c r="AB121" s="58" t="str" cm="1">
        <f t="array" ref="AB121">_xlfn._xlws.FILTER(Teams[teamID], Fixtures[[#This Row],[oppTeam]] = Teams[name], "N/A")</f>
        <v>C-ENG-WESTBROM</v>
      </c>
      <c r="AC121" s="58" t="str" cm="1">
        <f t="array" ref="AC121">_xlfn._xlws.FILTER(Teams[teamType], Fixtures[[#This Row],[oppTeam]] = Teams[name], "N/A")</f>
        <v>Club</v>
      </c>
      <c r="AD121" s="58">
        <f>IF(ISBLANK(Fixtures[[#This Row],[date]]), "N/A", IF(Fixtures[[#This Row],[userSide]]="H", Fixtures[[#This Row],[homeScore]], Fixtures[[#This Row],[awayScore]]))</f>
        <v>1</v>
      </c>
      <c r="AE121" s="58">
        <f>IF(ISBLANK(Fixtures[[#This Row],[date]]), "N/A", IF(Fixtures[[#This Row],[userScore]] = Fixtures[[#This Row],[homeScore]], Fixtures[[#This Row],[awayScore]], Fixtures[[#This Row],[homeScore]]))</f>
        <v>2</v>
      </c>
      <c r="AF121" s="58" t="b">
        <f>NOT(AND(ISBLANK(Fixtures[[#This Row],[homePens]]), ISBLANK(Fixtures[[#This Row],[awayPens]])))</f>
        <v>0</v>
      </c>
      <c r="AG121" s="58" t="str">
        <f>IF(Fixtures[[#This Row],[penalties]], IF(Fixtures[[#This Row],[userSide]]="H", Fixtures[[#This Row],[homePens]], Fixtures[[#This Row],[awayPens]]), "N/A")</f>
        <v>N/A</v>
      </c>
      <c r="AH121" s="58" t="str">
        <f>IF(Fixtures[[#This Row],[penalties]], IF(Fixtures[[#This Row],[userPens]]=Fixtures[[#This Row],[homePens]],Fixtures[[#This Row],[awayPens]],Fixtures[[#This Row],[homePens]]), "N/A")</f>
        <v>N/A</v>
      </c>
      <c r="AI121" s="58" t="b">
        <f>COUNTBLANK(Fixtures[[#This Row],[G]:[MOTM]]) = 0</f>
        <v>1</v>
      </c>
      <c r="AJ121" s="58">
        <f>IF(Fixtures[[#This Row],[APP]], Fixtures[[#This Row],[G]]+Fixtures[[#This Row],[A]], "N/A")</f>
        <v>1</v>
      </c>
      <c r="AK1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2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[2025-03-15] Burnley vs. West Brom (1-2) - EFL Championship</v>
      </c>
    </row>
    <row r="122" spans="1:39" ht="13">
      <c r="A122" s="55">
        <v>45742</v>
      </c>
      <c r="B122" s="61">
        <v>0.48958333333333331</v>
      </c>
      <c r="C122" s="56" t="s">
        <v>161</v>
      </c>
      <c r="D122" s="56" t="s">
        <v>127</v>
      </c>
      <c r="E122" s="56" t="s">
        <v>251</v>
      </c>
      <c r="F122" s="56" t="s">
        <v>128</v>
      </c>
      <c r="G122" s="56" t="s">
        <v>16</v>
      </c>
      <c r="H122" s="56" t="s">
        <v>252</v>
      </c>
      <c r="I122" s="56">
        <v>2</v>
      </c>
      <c r="J122" s="56">
        <v>1</v>
      </c>
      <c r="K122" s="56"/>
      <c r="L122" s="56"/>
      <c r="M122" s="56">
        <v>0</v>
      </c>
      <c r="N122" s="56">
        <v>1</v>
      </c>
      <c r="O122" s="56">
        <v>0</v>
      </c>
      <c r="P122" s="56">
        <v>0</v>
      </c>
      <c r="Q122" s="57">
        <v>7.4</v>
      </c>
      <c r="R122" s="56" t="b">
        <v>0</v>
      </c>
      <c r="S122" s="58" t="str" cm="1">
        <f t="array" ref="S122">_xlfn._xlws.FILTER(Competitions[compType], (Fixtures[[#This Row],[competition]] = Competitions[name]), "N/A")</f>
        <v>International Friendly</v>
      </c>
      <c r="T122" s="58" t="b" cm="1">
        <f t="array" ref="T122">_xlfn._xlws.FILTER(Competitions[exhibition], (Fixtures[[#This Row],[competition]] = Competitions[name]), "N/A")</f>
        <v>1</v>
      </c>
      <c r="U122" s="58" t="str" cm="1">
        <f t="array" ref="U122">_xlfn._xlws.FILTER(Competitions[compID], (Fixtures[[#This Row],[competition]] = Competitions[name]), "N/A")</f>
        <v>IF-EX-INTERNATIONALFRIENDLY</v>
      </c>
      <c r="V1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2" s="58" t="str" cm="1">
        <f t="array" ref="W1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22" s="58" t="str" cm="1">
        <f t="array" ref="X122">_xlfn._xlws.FILTER(Teams[name], (Fixtures[[#This Row],[userTeamID]] = Teams[teamID]), "N/A")</f>
        <v>United States</v>
      </c>
      <c r="Y122" s="58" t="str" cm="1">
        <f t="array" ref="Y122">_xlfn._xlws.FILTER(Teams[teamType], (Fixtures[[#This Row],[userTeamID]] = Teams[teamID]), "N/A")</f>
        <v>National</v>
      </c>
      <c r="Z122" s="58" t="str" cm="1">
        <f t="array" ref="Z122">IF(Fixtures[[#This Row],[userTeamID]] = "N/A", "N/A", IF(SUM(COUNTIF(Fixtures[[#This Row],[homeTeam]], _xlfn._xlws.FILTER(Teams[name], (Fixtures[[#This Row],[userTeamID]] = Teams[teamID])*(Teams[relevant])))) &gt; 0, "H", "A"))</f>
        <v>H</v>
      </c>
      <c r="AA122" s="58" t="str">
        <f>IF(Fixtures[[#This Row],[userSide]] = "N/A", "N/A", IF(Fixtures[[#This Row],[userSide]] = "H", Fixtures[[#This Row],[awayTeam]], Fixtures[[#This Row],[homeTeam]]))</f>
        <v>Mexico</v>
      </c>
      <c r="AB122" s="58" t="str" cm="1">
        <f t="array" ref="AB122">_xlfn._xlws.FILTER(Teams[teamID], Fixtures[[#This Row],[oppTeam]] = Teams[name], "N/A")</f>
        <v>N-MEX-MEXICO</v>
      </c>
      <c r="AC122" s="58" t="str" cm="1">
        <f t="array" ref="AC122">_xlfn._xlws.FILTER(Teams[teamType], Fixtures[[#This Row],[oppTeam]] = Teams[name], "N/A")</f>
        <v>National</v>
      </c>
      <c r="AD122" s="58">
        <f>IF(ISBLANK(Fixtures[[#This Row],[date]]), "N/A", IF(Fixtures[[#This Row],[userSide]]="H", Fixtures[[#This Row],[homeScore]], Fixtures[[#This Row],[awayScore]]))</f>
        <v>2</v>
      </c>
      <c r="AE122" s="58">
        <f>IF(ISBLANK(Fixtures[[#This Row],[date]]), "N/A", IF(Fixtures[[#This Row],[userScore]] = Fixtures[[#This Row],[homeScore]], Fixtures[[#This Row],[awayScore]], Fixtures[[#This Row],[homeScore]]))</f>
        <v>1</v>
      </c>
      <c r="AF122" s="58" t="b">
        <f>NOT(AND(ISBLANK(Fixtures[[#This Row],[homePens]]), ISBLANK(Fixtures[[#This Row],[awayPens]])))</f>
        <v>0</v>
      </c>
      <c r="AG122" s="58" t="str">
        <f>IF(Fixtures[[#This Row],[penalties]], IF(Fixtures[[#This Row],[userSide]]="H", Fixtures[[#This Row],[homePens]], Fixtures[[#This Row],[awayPens]]), "N/A")</f>
        <v>N/A</v>
      </c>
      <c r="AH122" s="58" t="str">
        <f>IF(Fixtures[[#This Row],[penalties]], IF(Fixtures[[#This Row],[userPens]]=Fixtures[[#This Row],[homePens]],Fixtures[[#This Row],[awayPens]],Fixtures[[#This Row],[homePens]]), "N/A")</f>
        <v>N/A</v>
      </c>
      <c r="AI122" s="58" t="b">
        <f>COUNTBLANK(Fixtures[[#This Row],[G]:[MOTM]]) = 0</f>
        <v>1</v>
      </c>
      <c r="AJ122" s="58">
        <f>IF(Fixtures[[#This Row],[APP]], Fixtures[[#This Row],[G]]+Fixtures[[#This Row],[A]], "N/A")</f>
        <v>1</v>
      </c>
      <c r="AK1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2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[2025-03-26] United States vs. Mexico (2-1) - International Friendly</v>
      </c>
    </row>
    <row r="123" spans="1:39" ht="13">
      <c r="A123" s="55">
        <v>45745</v>
      </c>
      <c r="B123" s="61">
        <v>0.41666666666666669</v>
      </c>
      <c r="C123" s="56" t="s">
        <v>161</v>
      </c>
      <c r="D123" s="56" t="s">
        <v>127</v>
      </c>
      <c r="E123" s="56" t="s">
        <v>253</v>
      </c>
      <c r="F123" s="56" t="s">
        <v>128</v>
      </c>
      <c r="G123" s="56" t="s">
        <v>16</v>
      </c>
      <c r="H123" s="56" t="s">
        <v>254</v>
      </c>
      <c r="I123" s="56">
        <v>1</v>
      </c>
      <c r="J123" s="56">
        <v>1</v>
      </c>
      <c r="K123" s="56"/>
      <c r="L123" s="56"/>
      <c r="M123" s="56">
        <v>0</v>
      </c>
      <c r="N123" s="56">
        <v>1</v>
      </c>
      <c r="O123" s="56">
        <v>0</v>
      </c>
      <c r="P123" s="56">
        <v>0</v>
      </c>
      <c r="Q123" s="57">
        <v>7.5</v>
      </c>
      <c r="R123" s="56" t="b">
        <v>0</v>
      </c>
      <c r="S123" s="58" t="str" cm="1">
        <f t="array" ref="S123">_xlfn._xlws.FILTER(Competitions[compType], (Fixtures[[#This Row],[competition]] = Competitions[name]), "N/A")</f>
        <v>International Friendly</v>
      </c>
      <c r="T123" s="58" t="b" cm="1">
        <f t="array" ref="T123">_xlfn._xlws.FILTER(Competitions[exhibition], (Fixtures[[#This Row],[competition]] = Competitions[name]), "N/A")</f>
        <v>1</v>
      </c>
      <c r="U123" s="58" t="str" cm="1">
        <f t="array" ref="U123">_xlfn._xlws.FILTER(Competitions[compID], (Fixtures[[#This Row],[competition]] = Competitions[name]), "N/A")</f>
        <v>IF-EX-INTERNATIONALFRIENDLY</v>
      </c>
      <c r="V1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3" s="58" t="str" cm="1">
        <f t="array" ref="W1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23" s="58" t="str" cm="1">
        <f t="array" ref="X123">_xlfn._xlws.FILTER(Teams[name], (Fixtures[[#This Row],[userTeamID]] = Teams[teamID]), "N/A")</f>
        <v>United States</v>
      </c>
      <c r="Y123" s="58" t="str" cm="1">
        <f t="array" ref="Y123">_xlfn._xlws.FILTER(Teams[teamType], (Fixtures[[#This Row],[userTeamID]] = Teams[teamID]), "N/A")</f>
        <v>National</v>
      </c>
      <c r="Z123" s="58" t="str" cm="1">
        <f t="array" ref="Z123">IF(Fixtures[[#This Row],[userTeamID]] = "N/A", "N/A", IF(SUM(COUNTIF(Fixtures[[#This Row],[homeTeam]], _xlfn._xlws.FILTER(Teams[name], (Fixtures[[#This Row],[userTeamID]] = Teams[teamID])*(Teams[relevant])))) &gt; 0, "H", "A"))</f>
        <v>H</v>
      </c>
      <c r="AA123" s="58" t="str">
        <f>IF(Fixtures[[#This Row],[userSide]] = "N/A", "N/A", IF(Fixtures[[#This Row],[userSide]] = "H", Fixtures[[#This Row],[awayTeam]], Fixtures[[#This Row],[homeTeam]]))</f>
        <v>Italy</v>
      </c>
      <c r="AB123" s="58" t="str" cm="1">
        <f t="array" ref="AB123">_xlfn._xlws.FILTER(Teams[teamID], Fixtures[[#This Row],[oppTeam]] = Teams[name], "N/A")</f>
        <v>N-ITA-ITALY</v>
      </c>
      <c r="AC123" s="58" t="str" cm="1">
        <f t="array" ref="AC123">_xlfn._xlws.FILTER(Teams[teamType], Fixtures[[#This Row],[oppTeam]] = Teams[name], "N/A")</f>
        <v>National</v>
      </c>
      <c r="AD123" s="58">
        <f>IF(ISBLANK(Fixtures[[#This Row],[date]]), "N/A", IF(Fixtures[[#This Row],[userSide]]="H", Fixtures[[#This Row],[homeScore]], Fixtures[[#This Row],[awayScore]]))</f>
        <v>1</v>
      </c>
      <c r="AE123" s="58">
        <f>IF(ISBLANK(Fixtures[[#This Row],[date]]), "N/A", IF(Fixtures[[#This Row],[userScore]] = Fixtures[[#This Row],[homeScore]], Fixtures[[#This Row],[awayScore]], Fixtures[[#This Row],[homeScore]]))</f>
        <v>1</v>
      </c>
      <c r="AF123" s="58" t="b">
        <f>NOT(AND(ISBLANK(Fixtures[[#This Row],[homePens]]), ISBLANK(Fixtures[[#This Row],[awayPens]])))</f>
        <v>0</v>
      </c>
      <c r="AG123" s="58" t="str">
        <f>IF(Fixtures[[#This Row],[penalties]], IF(Fixtures[[#This Row],[userSide]]="H", Fixtures[[#This Row],[homePens]], Fixtures[[#This Row],[awayPens]]), "N/A")</f>
        <v>N/A</v>
      </c>
      <c r="AH123" s="58" t="str">
        <f>IF(Fixtures[[#This Row],[penalties]], IF(Fixtures[[#This Row],[userPens]]=Fixtures[[#This Row],[homePens]],Fixtures[[#This Row],[awayPens]],Fixtures[[#This Row],[homePens]]), "N/A")</f>
        <v>N/A</v>
      </c>
      <c r="AI123" s="58" t="b">
        <f>COUNTBLANK(Fixtures[[#This Row],[G]:[MOTM]]) = 0</f>
        <v>1</v>
      </c>
      <c r="AJ123" s="58">
        <f>IF(Fixtures[[#This Row],[APP]], Fixtures[[#This Row],[G]]+Fixtures[[#This Row],[A]], "N/A")</f>
        <v>1</v>
      </c>
      <c r="AK1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23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[2025-03-29] United States vs. Italy (1-1) - International Friendly</v>
      </c>
    </row>
    <row r="124" spans="1:39" ht="13">
      <c r="A124" s="55">
        <v>45745</v>
      </c>
      <c r="B124" s="61">
        <v>0.625</v>
      </c>
      <c r="C124" s="56" t="s">
        <v>203</v>
      </c>
      <c r="D124" s="56" t="s">
        <v>255</v>
      </c>
      <c r="E124" s="56" t="s">
        <v>237</v>
      </c>
      <c r="F124" s="56" t="s">
        <v>176</v>
      </c>
      <c r="G124" s="56" t="s">
        <v>207</v>
      </c>
      <c r="H124" s="56" t="s">
        <v>169</v>
      </c>
      <c r="I124" s="56">
        <v>2</v>
      </c>
      <c r="J124" s="56">
        <v>1</v>
      </c>
      <c r="K124" s="56"/>
      <c r="L124" s="56"/>
      <c r="M124" s="56"/>
      <c r="N124" s="56"/>
      <c r="O124" s="56"/>
      <c r="P124" s="56"/>
      <c r="Q124" s="57"/>
      <c r="R124" s="56"/>
      <c r="S124" s="58" t="str" cm="1">
        <f t="array" ref="S124">_xlfn._xlws.FILTER(Competitions[compType], (Fixtures[[#This Row],[competition]] = Competitions[name]), "N/A")</f>
        <v>Domestic League</v>
      </c>
      <c r="T124" s="58" t="b" cm="1">
        <f t="array" ref="T124">_xlfn._xlws.FILTER(Competitions[exhibition], (Fixtures[[#This Row],[competition]] = Competitions[name]), "N/A")</f>
        <v>0</v>
      </c>
      <c r="U124" s="58" t="str" cm="1">
        <f t="array" ref="U124">_xlfn._xlws.FILTER(Competitions[compID], (Fixtures[[#This Row],[competition]] = Competitions[name]), "N/A")</f>
        <v>DL-OF-EFLCHAMPIONSHIP</v>
      </c>
      <c r="V1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4" s="58" t="str" cm="1">
        <f t="array" ref="W1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4" s="58" t="str" cm="1">
        <f t="array" ref="X124">_xlfn._xlws.FILTER(Teams[name], (Fixtures[[#This Row],[userTeamID]] = Teams[teamID]), "N/A")</f>
        <v>Burnley</v>
      </c>
      <c r="Y124" s="58" t="str" cm="1">
        <f t="array" ref="Y124">_xlfn._xlws.FILTER(Teams[teamType], (Fixtures[[#This Row],[userTeamID]] = Teams[teamID]), "N/A")</f>
        <v>Club</v>
      </c>
      <c r="Z124" s="58" t="str" cm="1">
        <f t="array" ref="Z124">IF(Fixtures[[#This Row],[userTeamID]] = "N/A", "N/A", IF(SUM(COUNTIF(Fixtures[[#This Row],[homeTeam]], _xlfn._xlws.FILTER(Teams[name], (Fixtures[[#This Row],[userTeamID]] = Teams[teamID])*(Teams[relevant])))) &gt; 0, "H", "A"))</f>
        <v>A</v>
      </c>
      <c r="AA124" s="58" t="str">
        <f>IF(Fixtures[[#This Row],[userSide]] = "N/A", "N/A", IF(Fixtures[[#This Row],[userSide]] = "H", Fixtures[[#This Row],[awayTeam]], Fixtures[[#This Row],[homeTeam]]))</f>
        <v>Swansea City</v>
      </c>
      <c r="AB124" s="58" t="str" cm="1">
        <f t="array" ref="AB124">_xlfn._xlws.FILTER(Teams[teamID], Fixtures[[#This Row],[oppTeam]] = Teams[name], "N/A")</f>
        <v>C-ENG-SWANSEACITY</v>
      </c>
      <c r="AC124" s="58" t="str" cm="1">
        <f t="array" ref="AC124">_xlfn._xlws.FILTER(Teams[teamType], Fixtures[[#This Row],[oppTeam]] = Teams[name], "N/A")</f>
        <v>Club</v>
      </c>
      <c r="AD124" s="58">
        <f>IF(ISBLANK(Fixtures[[#This Row],[date]]), "N/A", IF(Fixtures[[#This Row],[userSide]]="H", Fixtures[[#This Row],[homeScore]], Fixtures[[#This Row],[awayScore]]))</f>
        <v>1</v>
      </c>
      <c r="AE124" s="58">
        <f>IF(ISBLANK(Fixtures[[#This Row],[date]]), "N/A", IF(Fixtures[[#This Row],[userScore]] = Fixtures[[#This Row],[homeScore]], Fixtures[[#This Row],[awayScore]], Fixtures[[#This Row],[homeScore]]))</f>
        <v>2</v>
      </c>
      <c r="AF124" s="58" t="b">
        <f>NOT(AND(ISBLANK(Fixtures[[#This Row],[homePens]]), ISBLANK(Fixtures[[#This Row],[awayPens]])))</f>
        <v>0</v>
      </c>
      <c r="AG124" s="58" t="str">
        <f>IF(Fixtures[[#This Row],[penalties]], IF(Fixtures[[#This Row],[userSide]]="H", Fixtures[[#This Row],[homePens]], Fixtures[[#This Row],[awayPens]]), "N/A")</f>
        <v>N/A</v>
      </c>
      <c r="AH124" s="58" t="str">
        <f>IF(Fixtures[[#This Row],[penalties]], IF(Fixtures[[#This Row],[userPens]]=Fixtures[[#This Row],[homePens]],Fixtures[[#This Row],[awayPens]],Fixtures[[#This Row],[homePens]]), "N/A")</f>
        <v>N/A</v>
      </c>
      <c r="AI124" s="58" t="b">
        <f>COUNTBLANK(Fixtures[[#This Row],[G]:[MOTM]]) = 0</f>
        <v>0</v>
      </c>
      <c r="AJ124" s="58" t="str">
        <f>IF(Fixtures[[#This Row],[APP]], Fixtures[[#This Row],[G]]+Fixtures[[#This Row],[A]], "N/A")</f>
        <v>N/A</v>
      </c>
      <c r="AK1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2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[2025-03-29] Swansea City vs. Burnley (2-1) - EFL Championship</v>
      </c>
    </row>
    <row r="125" spans="1:39" ht="13">
      <c r="A125" s="55">
        <v>45749</v>
      </c>
      <c r="B125" s="61">
        <v>0.82291666666666663</v>
      </c>
      <c r="C125" s="56" t="s">
        <v>203</v>
      </c>
      <c r="D125" s="56" t="s">
        <v>256</v>
      </c>
      <c r="E125" s="56" t="s">
        <v>257</v>
      </c>
      <c r="F125" s="56" t="s">
        <v>176</v>
      </c>
      <c r="G125" s="56" t="s">
        <v>184</v>
      </c>
      <c r="H125" s="56" t="s">
        <v>169</v>
      </c>
      <c r="I125" s="56">
        <v>0</v>
      </c>
      <c r="J125" s="56">
        <v>1</v>
      </c>
      <c r="K125" s="56"/>
      <c r="L125" s="56"/>
      <c r="M125" s="56">
        <v>0</v>
      </c>
      <c r="N125" s="56">
        <v>0</v>
      </c>
      <c r="O125" s="56">
        <v>0</v>
      </c>
      <c r="P125" s="56">
        <v>0</v>
      </c>
      <c r="Q125" s="57">
        <v>6.5</v>
      </c>
      <c r="R125" s="56" t="b">
        <v>0</v>
      </c>
      <c r="S125" s="58" t="str" cm="1">
        <f t="array" ref="S125">_xlfn._xlws.FILTER(Competitions[compType], (Fixtures[[#This Row],[competition]] = Competitions[name]), "N/A")</f>
        <v>Domestic League</v>
      </c>
      <c r="T125" s="58" t="b" cm="1">
        <f t="array" ref="T125">_xlfn._xlws.FILTER(Competitions[exhibition], (Fixtures[[#This Row],[competition]] = Competitions[name]), "N/A")</f>
        <v>0</v>
      </c>
      <c r="U125" s="58" t="str" cm="1">
        <f t="array" ref="U125">_xlfn._xlws.FILTER(Competitions[compID], (Fixtures[[#This Row],[competition]] = Competitions[name]), "N/A")</f>
        <v>DL-OF-EFLCHAMPIONSHIP</v>
      </c>
      <c r="V1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5" s="58" t="str" cm="1">
        <f t="array" ref="W1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5" s="58" t="str" cm="1">
        <f t="array" ref="X125">_xlfn._xlws.FILTER(Teams[name], (Fixtures[[#This Row],[userTeamID]] = Teams[teamID]), "N/A")</f>
        <v>Burnley</v>
      </c>
      <c r="Y125" s="58" t="str" cm="1">
        <f t="array" ref="Y125">_xlfn._xlws.FILTER(Teams[teamType], (Fixtures[[#This Row],[userTeamID]] = Teams[teamID]), "N/A")</f>
        <v>Club</v>
      </c>
      <c r="Z125" s="58" t="str" cm="1">
        <f t="array" ref="Z125">IF(Fixtures[[#This Row],[userTeamID]] = "N/A", "N/A", IF(SUM(COUNTIF(Fixtures[[#This Row],[homeTeam]], _xlfn._xlws.FILTER(Teams[name], (Fixtures[[#This Row],[userTeamID]] = Teams[teamID])*(Teams[relevant])))) &gt; 0, "H", "A"))</f>
        <v>A</v>
      </c>
      <c r="AA125" s="58" t="str">
        <f>IF(Fixtures[[#This Row],[userSide]] = "N/A", "N/A", IF(Fixtures[[#This Row],[userSide]] = "H", Fixtures[[#This Row],[awayTeam]], Fixtures[[#This Row],[homeTeam]]))</f>
        <v>QPR</v>
      </c>
      <c r="AB125" s="58" t="str" cm="1">
        <f t="array" ref="AB125">_xlfn._xlws.FILTER(Teams[teamID], Fixtures[[#This Row],[oppTeam]] = Teams[name], "N/A")</f>
        <v>C-ENG-QPR</v>
      </c>
      <c r="AC125" s="58" t="str" cm="1">
        <f t="array" ref="AC125">_xlfn._xlws.FILTER(Teams[teamType], Fixtures[[#This Row],[oppTeam]] = Teams[name], "N/A")</f>
        <v>Club</v>
      </c>
      <c r="AD125" s="58">
        <f>IF(ISBLANK(Fixtures[[#This Row],[date]]), "N/A", IF(Fixtures[[#This Row],[userSide]]="H", Fixtures[[#This Row],[homeScore]], Fixtures[[#This Row],[awayScore]]))</f>
        <v>1</v>
      </c>
      <c r="AE125" s="58">
        <f>IF(ISBLANK(Fixtures[[#This Row],[date]]), "N/A", IF(Fixtures[[#This Row],[userScore]] = Fixtures[[#This Row],[homeScore]], Fixtures[[#This Row],[awayScore]], Fixtures[[#This Row],[homeScore]]))</f>
        <v>0</v>
      </c>
      <c r="AF125" s="58" t="b">
        <f>NOT(AND(ISBLANK(Fixtures[[#This Row],[homePens]]), ISBLANK(Fixtures[[#This Row],[awayPens]])))</f>
        <v>0</v>
      </c>
      <c r="AG125" s="58" t="str">
        <f>IF(Fixtures[[#This Row],[penalties]], IF(Fixtures[[#This Row],[userSide]]="H", Fixtures[[#This Row],[homePens]], Fixtures[[#This Row],[awayPens]]), "N/A")</f>
        <v>N/A</v>
      </c>
      <c r="AH125" s="58" t="str">
        <f>IF(Fixtures[[#This Row],[penalties]], IF(Fixtures[[#This Row],[userPens]]=Fixtures[[#This Row],[homePens]],Fixtures[[#This Row],[awayPens]],Fixtures[[#This Row],[homePens]]), "N/A")</f>
        <v>N/A</v>
      </c>
      <c r="AI125" s="58" t="b">
        <f>COUNTBLANK(Fixtures[[#This Row],[G]:[MOTM]]) = 0</f>
        <v>1</v>
      </c>
      <c r="AJ125" s="58">
        <f>IF(Fixtures[[#This Row],[APP]], Fixtures[[#This Row],[G]]+Fixtures[[#This Row],[A]], "N/A")</f>
        <v>0</v>
      </c>
      <c r="AK1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2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[2025-04-02] QPR vs. Burnley (0-1) - EFL Championship</v>
      </c>
    </row>
    <row r="126" spans="1:39" ht="13">
      <c r="A126" s="55">
        <v>45752</v>
      </c>
      <c r="B126" s="61">
        <v>0.58333333333333337</v>
      </c>
      <c r="C126" s="56" t="s">
        <v>161</v>
      </c>
      <c r="D126" s="56" t="s">
        <v>175</v>
      </c>
      <c r="E126" s="56" t="s">
        <v>208</v>
      </c>
      <c r="F126" s="56" t="s">
        <v>176</v>
      </c>
      <c r="G126" s="56" t="s">
        <v>169</v>
      </c>
      <c r="H126" s="56" t="s">
        <v>206</v>
      </c>
      <c r="I126" s="56">
        <v>1</v>
      </c>
      <c r="J126" s="56">
        <v>0</v>
      </c>
      <c r="K126" s="56"/>
      <c r="L126" s="56"/>
      <c r="M126" s="56">
        <v>1</v>
      </c>
      <c r="N126" s="56">
        <v>0</v>
      </c>
      <c r="O126" s="56">
        <v>0</v>
      </c>
      <c r="P126" s="56">
        <v>0</v>
      </c>
      <c r="Q126" s="57">
        <v>7.4</v>
      </c>
      <c r="R126" s="56" t="b">
        <v>1</v>
      </c>
      <c r="S126" s="58" t="str" cm="1">
        <f t="array" ref="S126">_xlfn._xlws.FILTER(Competitions[compType], (Fixtures[[#This Row],[competition]] = Competitions[name]), "N/A")</f>
        <v>Domestic League</v>
      </c>
      <c r="T126" s="58" t="b" cm="1">
        <f t="array" ref="T126">_xlfn._xlws.FILTER(Competitions[exhibition], (Fixtures[[#This Row],[competition]] = Competitions[name]), "N/A")</f>
        <v>0</v>
      </c>
      <c r="U126" s="58" t="str" cm="1">
        <f t="array" ref="U126">_xlfn._xlws.FILTER(Competitions[compID], (Fixtures[[#This Row],[competition]] = Competitions[name]), "N/A")</f>
        <v>DL-OF-EFLCHAMPIONSHIP</v>
      </c>
      <c r="V1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6" s="58" t="str" cm="1">
        <f t="array" ref="W1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6" s="58" t="str" cm="1">
        <f t="array" ref="X126">_xlfn._xlws.FILTER(Teams[name], (Fixtures[[#This Row],[userTeamID]] = Teams[teamID]), "N/A")</f>
        <v>Burnley</v>
      </c>
      <c r="Y126" s="58" t="str" cm="1">
        <f t="array" ref="Y126">_xlfn._xlws.FILTER(Teams[teamType], (Fixtures[[#This Row],[userTeamID]] = Teams[teamID]), "N/A")</f>
        <v>Club</v>
      </c>
      <c r="Z126" s="58" t="str" cm="1">
        <f t="array" ref="Z126">IF(Fixtures[[#This Row],[userTeamID]] = "N/A", "N/A", IF(SUM(COUNTIF(Fixtures[[#This Row],[homeTeam]], _xlfn._xlws.FILTER(Teams[name], (Fixtures[[#This Row],[userTeamID]] = Teams[teamID])*(Teams[relevant])))) &gt; 0, "H", "A"))</f>
        <v>H</v>
      </c>
      <c r="AA126" s="58" t="str">
        <f>IF(Fixtures[[#This Row],[userSide]] = "N/A", "N/A", IF(Fixtures[[#This Row],[userSide]] = "H", Fixtures[[#This Row],[awayTeam]], Fixtures[[#This Row],[homeTeam]]))</f>
        <v>Stoke City</v>
      </c>
      <c r="AB126" s="58" t="str" cm="1">
        <f t="array" ref="AB126">_xlfn._xlws.FILTER(Teams[teamID], Fixtures[[#This Row],[oppTeam]] = Teams[name], "N/A")</f>
        <v>C-ENG-STOKECITY</v>
      </c>
      <c r="AC126" s="58" t="str" cm="1">
        <f t="array" ref="AC126">_xlfn._xlws.FILTER(Teams[teamType], Fixtures[[#This Row],[oppTeam]] = Teams[name], "N/A")</f>
        <v>Club</v>
      </c>
      <c r="AD126" s="58">
        <f>IF(ISBLANK(Fixtures[[#This Row],[date]]), "N/A", IF(Fixtures[[#This Row],[userSide]]="H", Fixtures[[#This Row],[homeScore]], Fixtures[[#This Row],[awayScore]]))</f>
        <v>1</v>
      </c>
      <c r="AE126" s="58">
        <f>IF(ISBLANK(Fixtures[[#This Row],[date]]), "N/A", IF(Fixtures[[#This Row],[userScore]] = Fixtures[[#This Row],[homeScore]], Fixtures[[#This Row],[awayScore]], Fixtures[[#This Row],[homeScore]]))</f>
        <v>0</v>
      </c>
      <c r="AF126" s="58" t="b">
        <f>NOT(AND(ISBLANK(Fixtures[[#This Row],[homePens]]), ISBLANK(Fixtures[[#This Row],[awayPens]])))</f>
        <v>0</v>
      </c>
      <c r="AG126" s="58" t="str">
        <f>IF(Fixtures[[#This Row],[penalties]], IF(Fixtures[[#This Row],[userSide]]="H", Fixtures[[#This Row],[homePens]], Fixtures[[#This Row],[awayPens]]), "N/A")</f>
        <v>N/A</v>
      </c>
      <c r="AH126" s="58" t="str">
        <f>IF(Fixtures[[#This Row],[penalties]], IF(Fixtures[[#This Row],[userPens]]=Fixtures[[#This Row],[homePens]],Fixtures[[#This Row],[awayPens]],Fixtures[[#This Row],[homePens]]), "N/A")</f>
        <v>N/A</v>
      </c>
      <c r="AI126" s="58" t="b">
        <f>COUNTBLANK(Fixtures[[#This Row],[G]:[MOTM]]) = 0</f>
        <v>1</v>
      </c>
      <c r="AJ126" s="58">
        <f>IF(Fixtures[[#This Row],[APP]], Fixtures[[#This Row],[G]]+Fixtures[[#This Row],[A]], "N/A")</f>
        <v>1</v>
      </c>
      <c r="AK1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26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[2025-04-05] Burnley vs. Stoke City (1-0) - EFL Championship</v>
      </c>
    </row>
    <row r="127" spans="1:39" ht="13">
      <c r="A127" s="55">
        <v>45755</v>
      </c>
      <c r="B127" s="61">
        <v>0.82291666666666663</v>
      </c>
      <c r="C127" s="56" t="s">
        <v>195</v>
      </c>
      <c r="D127" s="56" t="s">
        <v>175</v>
      </c>
      <c r="E127" s="56" t="s">
        <v>257</v>
      </c>
      <c r="F127" s="56" t="s">
        <v>176</v>
      </c>
      <c r="G127" s="56" t="s">
        <v>169</v>
      </c>
      <c r="H127" s="56" t="s">
        <v>179</v>
      </c>
      <c r="I127" s="56">
        <v>0</v>
      </c>
      <c r="J127" s="56">
        <v>1</v>
      </c>
      <c r="K127" s="56"/>
      <c r="L127" s="56"/>
      <c r="M127" s="56">
        <v>0</v>
      </c>
      <c r="N127" s="56">
        <v>0</v>
      </c>
      <c r="O127" s="56">
        <v>0</v>
      </c>
      <c r="P127" s="56">
        <v>0</v>
      </c>
      <c r="Q127" s="57">
        <v>7.2</v>
      </c>
      <c r="R127" s="56" t="b">
        <v>1</v>
      </c>
      <c r="S127" s="58" t="str" cm="1">
        <f t="array" ref="S127">_xlfn._xlws.FILTER(Competitions[compType], (Fixtures[[#This Row],[competition]] = Competitions[name]), "N/A")</f>
        <v>Domestic League</v>
      </c>
      <c r="T127" s="58" t="b" cm="1">
        <f t="array" ref="T127">_xlfn._xlws.FILTER(Competitions[exhibition], (Fixtures[[#This Row],[competition]] = Competitions[name]), "N/A")</f>
        <v>0</v>
      </c>
      <c r="U127" s="58" t="str" cm="1">
        <f t="array" ref="U127">_xlfn._xlws.FILTER(Competitions[compID], (Fixtures[[#This Row],[competition]] = Competitions[name]), "N/A")</f>
        <v>DL-OF-EFLCHAMPIONSHIP</v>
      </c>
      <c r="V1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7" s="58" t="str" cm="1">
        <f t="array" ref="W1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7" s="58" t="str" cm="1">
        <f t="array" ref="X127">_xlfn._xlws.FILTER(Teams[name], (Fixtures[[#This Row],[userTeamID]] = Teams[teamID]), "N/A")</f>
        <v>Burnley</v>
      </c>
      <c r="Y127" s="58" t="str" cm="1">
        <f t="array" ref="Y127">_xlfn._xlws.FILTER(Teams[teamType], (Fixtures[[#This Row],[userTeamID]] = Teams[teamID]), "N/A")</f>
        <v>Club</v>
      </c>
      <c r="Z127" s="58" t="str" cm="1">
        <f t="array" ref="Z127">IF(Fixtures[[#This Row],[userTeamID]] = "N/A", "N/A", IF(SUM(COUNTIF(Fixtures[[#This Row],[homeTeam]], _xlfn._xlws.FILTER(Teams[name], (Fixtures[[#This Row],[userTeamID]] = Teams[teamID])*(Teams[relevant])))) &gt; 0, "H", "A"))</f>
        <v>H</v>
      </c>
      <c r="AA127" s="58" t="str">
        <f>IF(Fixtures[[#This Row],[userSide]] = "N/A", "N/A", IF(Fixtures[[#This Row],[userSide]] = "H", Fixtures[[#This Row],[awayTeam]], Fixtures[[#This Row],[homeTeam]]))</f>
        <v>Sunderland</v>
      </c>
      <c r="AB127" s="58" t="str" cm="1">
        <f t="array" ref="AB127">_xlfn._xlws.FILTER(Teams[teamID], Fixtures[[#This Row],[oppTeam]] = Teams[name], "N/A")</f>
        <v>C-ENG-SUNDERLAND</v>
      </c>
      <c r="AC127" s="58" t="str" cm="1">
        <f t="array" ref="AC127">_xlfn._xlws.FILTER(Teams[teamType], Fixtures[[#This Row],[oppTeam]] = Teams[name], "N/A")</f>
        <v>Club</v>
      </c>
      <c r="AD127" s="58">
        <f>IF(ISBLANK(Fixtures[[#This Row],[date]]), "N/A", IF(Fixtures[[#This Row],[userSide]]="H", Fixtures[[#This Row],[homeScore]], Fixtures[[#This Row],[awayScore]]))</f>
        <v>0</v>
      </c>
      <c r="AE127" s="58">
        <f>IF(ISBLANK(Fixtures[[#This Row],[date]]), "N/A", IF(Fixtures[[#This Row],[userScore]] = Fixtures[[#This Row],[homeScore]], Fixtures[[#This Row],[awayScore]], Fixtures[[#This Row],[homeScore]]))</f>
        <v>1</v>
      </c>
      <c r="AF127" s="58" t="b">
        <f>NOT(AND(ISBLANK(Fixtures[[#This Row],[homePens]]), ISBLANK(Fixtures[[#This Row],[awayPens]])))</f>
        <v>0</v>
      </c>
      <c r="AG127" s="58" t="str">
        <f>IF(Fixtures[[#This Row],[penalties]], IF(Fixtures[[#This Row],[userSide]]="H", Fixtures[[#This Row],[homePens]], Fixtures[[#This Row],[awayPens]]), "N/A")</f>
        <v>N/A</v>
      </c>
      <c r="AH127" s="58" t="str">
        <f>IF(Fixtures[[#This Row],[penalties]], IF(Fixtures[[#This Row],[userPens]]=Fixtures[[#This Row],[homePens]],Fixtures[[#This Row],[awayPens]],Fixtures[[#This Row],[homePens]]), "N/A")</f>
        <v>N/A</v>
      </c>
      <c r="AI127" s="58" t="b">
        <f>COUNTBLANK(Fixtures[[#This Row],[G]:[MOTM]]) = 0</f>
        <v>1</v>
      </c>
      <c r="AJ127" s="58">
        <f>IF(Fixtures[[#This Row],[APP]], Fixtures[[#This Row],[G]]+Fixtures[[#This Row],[A]], "N/A")</f>
        <v>0</v>
      </c>
      <c r="AK1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2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[2025-04-08] Burnley vs. Sunderland (0-1) - EFL Championship</v>
      </c>
    </row>
    <row r="128" spans="1:39" ht="13">
      <c r="A128" s="55">
        <v>45760</v>
      </c>
      <c r="B128" s="61">
        <v>0.625</v>
      </c>
      <c r="C128" s="56" t="s">
        <v>161</v>
      </c>
      <c r="D128" s="56" t="s">
        <v>234</v>
      </c>
      <c r="E128" s="56" t="s">
        <v>208</v>
      </c>
      <c r="F128" s="56" t="s">
        <v>176</v>
      </c>
      <c r="G128" s="56" t="s">
        <v>177</v>
      </c>
      <c r="H128" s="56" t="s">
        <v>169</v>
      </c>
      <c r="I128" s="56">
        <v>0</v>
      </c>
      <c r="J128" s="56">
        <v>1</v>
      </c>
      <c r="K128" s="56"/>
      <c r="L128" s="56"/>
      <c r="M128" s="56">
        <v>0</v>
      </c>
      <c r="N128" s="56">
        <v>0</v>
      </c>
      <c r="O128" s="56">
        <v>0</v>
      </c>
      <c r="P128" s="56">
        <v>0</v>
      </c>
      <c r="Q128" s="57">
        <v>6.6</v>
      </c>
      <c r="R128" s="56" t="b">
        <v>0</v>
      </c>
      <c r="S128" s="58" t="str" cm="1">
        <f t="array" ref="S128">_xlfn._xlws.FILTER(Competitions[compType], (Fixtures[[#This Row],[competition]] = Competitions[name]), "N/A")</f>
        <v>Domestic League</v>
      </c>
      <c r="T128" s="58" t="b" cm="1">
        <f t="array" ref="T128">_xlfn._xlws.FILTER(Competitions[exhibition], (Fixtures[[#This Row],[competition]] = Competitions[name]), "N/A")</f>
        <v>0</v>
      </c>
      <c r="U128" s="58" t="str" cm="1">
        <f t="array" ref="U128">_xlfn._xlws.FILTER(Competitions[compID], (Fixtures[[#This Row],[competition]] = Competitions[name]), "N/A")</f>
        <v>DL-OF-EFLCHAMPIONSHIP</v>
      </c>
      <c r="V1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8" s="58" t="str" cm="1">
        <f t="array" ref="W1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8" s="58" t="str" cm="1">
        <f t="array" ref="X128">_xlfn._xlws.FILTER(Teams[name], (Fixtures[[#This Row],[userTeamID]] = Teams[teamID]), "N/A")</f>
        <v>Burnley</v>
      </c>
      <c r="Y128" s="58" t="str" cm="1">
        <f t="array" ref="Y128">_xlfn._xlws.FILTER(Teams[teamType], (Fixtures[[#This Row],[userTeamID]] = Teams[teamID]), "N/A")</f>
        <v>Club</v>
      </c>
      <c r="Z128" s="58" t="str" cm="1">
        <f t="array" ref="Z128">IF(Fixtures[[#This Row],[userTeamID]] = "N/A", "N/A", IF(SUM(COUNTIF(Fixtures[[#This Row],[homeTeam]], _xlfn._xlws.FILTER(Teams[name], (Fixtures[[#This Row],[userTeamID]] = Teams[teamID])*(Teams[relevant])))) &gt; 0, "H", "A"))</f>
        <v>A</v>
      </c>
      <c r="AA128" s="58" t="str">
        <f>IF(Fixtures[[#This Row],[userSide]] = "N/A", "N/A", IF(Fixtures[[#This Row],[userSide]] = "H", Fixtures[[#This Row],[awayTeam]], Fixtures[[#This Row],[homeTeam]]))</f>
        <v>Blackburn Rovers</v>
      </c>
      <c r="AB128" s="58" t="str" cm="1">
        <f t="array" ref="AB128">_xlfn._xlws.FILTER(Teams[teamID], Fixtures[[#This Row],[oppTeam]] = Teams[name], "N/A")</f>
        <v>C-ENG-BLACKBURNROVERS</v>
      </c>
      <c r="AC128" s="58" t="str" cm="1">
        <f t="array" ref="AC128">_xlfn._xlws.FILTER(Teams[teamType], Fixtures[[#This Row],[oppTeam]] = Teams[name], "N/A")</f>
        <v>Club</v>
      </c>
      <c r="AD128" s="58">
        <f>IF(ISBLANK(Fixtures[[#This Row],[date]]), "N/A", IF(Fixtures[[#This Row],[userSide]]="H", Fixtures[[#This Row],[homeScore]], Fixtures[[#This Row],[awayScore]]))</f>
        <v>1</v>
      </c>
      <c r="AE128" s="58">
        <f>IF(ISBLANK(Fixtures[[#This Row],[date]]), "N/A", IF(Fixtures[[#This Row],[userScore]] = Fixtures[[#This Row],[homeScore]], Fixtures[[#This Row],[awayScore]], Fixtures[[#This Row],[homeScore]]))</f>
        <v>0</v>
      </c>
      <c r="AF128" s="58" t="b">
        <f>NOT(AND(ISBLANK(Fixtures[[#This Row],[homePens]]), ISBLANK(Fixtures[[#This Row],[awayPens]])))</f>
        <v>0</v>
      </c>
      <c r="AG128" s="58" t="str">
        <f>IF(Fixtures[[#This Row],[penalties]], IF(Fixtures[[#This Row],[userSide]]="H", Fixtures[[#This Row],[homePens]], Fixtures[[#This Row],[awayPens]]), "N/A")</f>
        <v>N/A</v>
      </c>
      <c r="AH128" s="58" t="str">
        <f>IF(Fixtures[[#This Row],[penalties]], IF(Fixtures[[#This Row],[userPens]]=Fixtures[[#This Row],[homePens]],Fixtures[[#This Row],[awayPens]],Fixtures[[#This Row],[homePens]]), "N/A")</f>
        <v>N/A</v>
      </c>
      <c r="AI128" s="58" t="b">
        <f>COUNTBLANK(Fixtures[[#This Row],[G]:[MOTM]]) = 0</f>
        <v>1</v>
      </c>
      <c r="AJ128" s="58">
        <f>IF(Fixtures[[#This Row],[APP]], Fixtures[[#This Row],[G]]+Fixtures[[#This Row],[A]], "N/A")</f>
        <v>0</v>
      </c>
      <c r="AK1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2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[2025-04-13] Blackburn Rovers vs. Burnley (0-1) - EFL Championship</v>
      </c>
    </row>
    <row r="129" spans="1:39" ht="13">
      <c r="A129" s="55">
        <v>45766</v>
      </c>
      <c r="B129" s="61">
        <v>0.625</v>
      </c>
      <c r="C129" s="56" t="s">
        <v>195</v>
      </c>
      <c r="D129" s="56" t="s">
        <v>158</v>
      </c>
      <c r="E129" s="56" t="s">
        <v>258</v>
      </c>
      <c r="F129" s="56" t="s">
        <v>176</v>
      </c>
      <c r="G129" s="56" t="s">
        <v>210</v>
      </c>
      <c r="H129" s="56" t="s">
        <v>169</v>
      </c>
      <c r="I129" s="56">
        <v>0</v>
      </c>
      <c r="J129" s="56">
        <v>1</v>
      </c>
      <c r="K129" s="56"/>
      <c r="L129" s="56"/>
      <c r="M129" s="56">
        <v>0</v>
      </c>
      <c r="N129" s="56">
        <v>1</v>
      </c>
      <c r="O129" s="56">
        <v>0</v>
      </c>
      <c r="P129" s="56">
        <v>0</v>
      </c>
      <c r="Q129" s="57">
        <v>7.5</v>
      </c>
      <c r="R129" s="56" t="b">
        <v>1</v>
      </c>
      <c r="S129" s="58" t="str" cm="1">
        <f t="array" ref="S129">_xlfn._xlws.FILTER(Competitions[compType], (Fixtures[[#This Row],[competition]] = Competitions[name]), "N/A")</f>
        <v>Domestic League</v>
      </c>
      <c r="T129" s="58" t="b" cm="1">
        <f t="array" ref="T129">_xlfn._xlws.FILTER(Competitions[exhibition], (Fixtures[[#This Row],[competition]] = Competitions[name]), "N/A")</f>
        <v>0</v>
      </c>
      <c r="U129" s="58" t="str" cm="1">
        <f t="array" ref="U129">_xlfn._xlws.FILTER(Competitions[compID], (Fixtures[[#This Row],[competition]] = Competitions[name]), "N/A")</f>
        <v>DL-OF-EFLCHAMPIONSHIP</v>
      </c>
      <c r="V1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29" s="58" t="str" cm="1">
        <f t="array" ref="W1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29" s="58" t="str" cm="1">
        <f t="array" ref="X129">_xlfn._xlws.FILTER(Teams[name], (Fixtures[[#This Row],[userTeamID]] = Teams[teamID]), "N/A")</f>
        <v>Burnley</v>
      </c>
      <c r="Y129" s="58" t="str" cm="1">
        <f t="array" ref="Y129">_xlfn._xlws.FILTER(Teams[teamType], (Fixtures[[#This Row],[userTeamID]] = Teams[teamID]), "N/A")</f>
        <v>Club</v>
      </c>
      <c r="Z129" s="58" t="str" cm="1">
        <f t="array" ref="Z129">IF(Fixtures[[#This Row],[userTeamID]] = "N/A", "N/A", IF(SUM(COUNTIF(Fixtures[[#This Row],[homeTeam]], _xlfn._xlws.FILTER(Teams[name], (Fixtures[[#This Row],[userTeamID]] = Teams[teamID])*(Teams[relevant])))) &gt; 0, "H", "A"))</f>
        <v>A</v>
      </c>
      <c r="AA129" s="58" t="str">
        <f>IF(Fixtures[[#This Row],[userSide]] = "N/A", "N/A", IF(Fixtures[[#This Row],[userSide]] = "H", Fixtures[[#This Row],[awayTeam]], Fixtures[[#This Row],[homeTeam]]))</f>
        <v>Luton Town</v>
      </c>
      <c r="AB129" s="58" t="str" cm="1">
        <f t="array" ref="AB129">_xlfn._xlws.FILTER(Teams[teamID], Fixtures[[#This Row],[oppTeam]] = Teams[name], "N/A")</f>
        <v>C-ENG-LUTONTOWN</v>
      </c>
      <c r="AC129" s="58" t="str" cm="1">
        <f t="array" ref="AC129">_xlfn._xlws.FILTER(Teams[teamType], Fixtures[[#This Row],[oppTeam]] = Teams[name], "N/A")</f>
        <v>Club</v>
      </c>
      <c r="AD129" s="58">
        <f>IF(ISBLANK(Fixtures[[#This Row],[date]]), "N/A", IF(Fixtures[[#This Row],[userSide]]="H", Fixtures[[#This Row],[homeScore]], Fixtures[[#This Row],[awayScore]]))</f>
        <v>1</v>
      </c>
      <c r="AE129" s="58">
        <f>IF(ISBLANK(Fixtures[[#This Row],[date]]), "N/A", IF(Fixtures[[#This Row],[userScore]] = Fixtures[[#This Row],[homeScore]], Fixtures[[#This Row],[awayScore]], Fixtures[[#This Row],[homeScore]]))</f>
        <v>0</v>
      </c>
      <c r="AF129" s="58" t="b">
        <f>NOT(AND(ISBLANK(Fixtures[[#This Row],[homePens]]), ISBLANK(Fixtures[[#This Row],[awayPens]])))</f>
        <v>0</v>
      </c>
      <c r="AG129" s="58" t="str">
        <f>IF(Fixtures[[#This Row],[penalties]], IF(Fixtures[[#This Row],[userSide]]="H", Fixtures[[#This Row],[homePens]], Fixtures[[#This Row],[awayPens]]), "N/A")</f>
        <v>N/A</v>
      </c>
      <c r="AH129" s="58" t="str">
        <f>IF(Fixtures[[#This Row],[penalties]], IF(Fixtures[[#This Row],[userPens]]=Fixtures[[#This Row],[homePens]],Fixtures[[#This Row],[awayPens]],Fixtures[[#This Row],[homePens]]), "N/A")</f>
        <v>N/A</v>
      </c>
      <c r="AI129" s="58" t="b">
        <f>COUNTBLANK(Fixtures[[#This Row],[G]:[MOTM]]) = 0</f>
        <v>1</v>
      </c>
      <c r="AJ129" s="58">
        <f>IF(Fixtures[[#This Row],[APP]], Fixtures[[#This Row],[G]]+Fixtures[[#This Row],[A]], "N/A")</f>
        <v>1</v>
      </c>
      <c r="AK1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29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[2025-04-19] Luton Town vs. Burnley (0-1) - EFL Championship</v>
      </c>
    </row>
    <row r="130" spans="1:39" ht="13">
      <c r="A130" s="55">
        <v>45773</v>
      </c>
      <c r="B130" s="61">
        <v>0.625</v>
      </c>
      <c r="C130" s="56" t="s">
        <v>203</v>
      </c>
      <c r="D130" s="56" t="s">
        <v>175</v>
      </c>
      <c r="E130" s="56" t="s">
        <v>208</v>
      </c>
      <c r="F130" s="56" t="s">
        <v>176</v>
      </c>
      <c r="G130" s="56" t="s">
        <v>169</v>
      </c>
      <c r="H130" s="56" t="s">
        <v>209</v>
      </c>
      <c r="I130" s="56">
        <v>2</v>
      </c>
      <c r="J130" s="56">
        <v>1</v>
      </c>
      <c r="K130" s="56"/>
      <c r="L130" s="56"/>
      <c r="M130" s="56">
        <v>1</v>
      </c>
      <c r="N130" s="56">
        <v>1</v>
      </c>
      <c r="O130" s="56">
        <v>0</v>
      </c>
      <c r="P130" s="56">
        <v>0</v>
      </c>
      <c r="Q130" s="57">
        <v>8.1999999999999993</v>
      </c>
      <c r="R130" s="56" t="b">
        <v>1</v>
      </c>
      <c r="S130" s="58" t="str" cm="1">
        <f t="array" ref="S130">_xlfn._xlws.FILTER(Competitions[compType], (Fixtures[[#This Row],[competition]] = Competitions[name]), "N/A")</f>
        <v>Domestic League</v>
      </c>
      <c r="T130" s="58" t="b" cm="1">
        <f t="array" ref="T130">_xlfn._xlws.FILTER(Competitions[exhibition], (Fixtures[[#This Row],[competition]] = Competitions[name]), "N/A")</f>
        <v>0</v>
      </c>
      <c r="U130" s="58" t="str" cm="1">
        <f t="array" ref="U130">_xlfn._xlws.FILTER(Competitions[compID], (Fixtures[[#This Row],[competition]] = Competitions[name]), "N/A")</f>
        <v>DL-OF-EFLCHAMPIONSHIP</v>
      </c>
      <c r="V1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30" s="58" t="str" cm="1">
        <f t="array" ref="W1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30" s="58" t="str" cm="1">
        <f t="array" ref="X130">_xlfn._xlws.FILTER(Teams[name], (Fixtures[[#This Row],[userTeamID]] = Teams[teamID]), "N/A")</f>
        <v>Burnley</v>
      </c>
      <c r="Y130" s="58" t="str" cm="1">
        <f t="array" ref="Y130">_xlfn._xlws.FILTER(Teams[teamType], (Fixtures[[#This Row],[userTeamID]] = Teams[teamID]), "N/A")</f>
        <v>Club</v>
      </c>
      <c r="Z130" s="58" t="str" cm="1">
        <f t="array" ref="Z130">IF(Fixtures[[#This Row],[userTeamID]] = "N/A", "N/A", IF(SUM(COUNTIF(Fixtures[[#This Row],[homeTeam]], _xlfn._xlws.FILTER(Teams[name], (Fixtures[[#This Row],[userTeamID]] = Teams[teamID])*(Teams[relevant])))) &gt; 0, "H", "A"))</f>
        <v>H</v>
      </c>
      <c r="AA130" s="58" t="str">
        <f>IF(Fixtures[[#This Row],[userSide]] = "N/A", "N/A", IF(Fixtures[[#This Row],[userSide]] = "H", Fixtures[[#This Row],[awayTeam]], Fixtures[[#This Row],[homeTeam]]))</f>
        <v>Coventry City</v>
      </c>
      <c r="AB130" s="58" t="str" cm="1">
        <f t="array" ref="AB130">_xlfn._xlws.FILTER(Teams[teamID], Fixtures[[#This Row],[oppTeam]] = Teams[name], "N/A")</f>
        <v>C-ENG-COVENTRYCITY</v>
      </c>
      <c r="AC130" s="58" t="str" cm="1">
        <f t="array" ref="AC130">_xlfn._xlws.FILTER(Teams[teamType], Fixtures[[#This Row],[oppTeam]] = Teams[name], "N/A")</f>
        <v>Club</v>
      </c>
      <c r="AD130" s="58">
        <f>IF(ISBLANK(Fixtures[[#This Row],[date]]), "N/A", IF(Fixtures[[#This Row],[userSide]]="H", Fixtures[[#This Row],[homeScore]], Fixtures[[#This Row],[awayScore]]))</f>
        <v>2</v>
      </c>
      <c r="AE130" s="58">
        <f>IF(ISBLANK(Fixtures[[#This Row],[date]]), "N/A", IF(Fixtures[[#This Row],[userScore]] = Fixtures[[#This Row],[homeScore]], Fixtures[[#This Row],[awayScore]], Fixtures[[#This Row],[homeScore]]))</f>
        <v>1</v>
      </c>
      <c r="AF130" s="58" t="b">
        <f>NOT(AND(ISBLANK(Fixtures[[#This Row],[homePens]]), ISBLANK(Fixtures[[#This Row],[awayPens]])))</f>
        <v>0</v>
      </c>
      <c r="AG130" s="58" t="str">
        <f>IF(Fixtures[[#This Row],[penalties]], IF(Fixtures[[#This Row],[userSide]]="H", Fixtures[[#This Row],[homePens]], Fixtures[[#This Row],[awayPens]]), "N/A")</f>
        <v>N/A</v>
      </c>
      <c r="AH130" s="58" t="str">
        <f>IF(Fixtures[[#This Row],[penalties]], IF(Fixtures[[#This Row],[userPens]]=Fixtures[[#This Row],[homePens]],Fixtures[[#This Row],[awayPens]],Fixtures[[#This Row],[homePens]]), "N/A")</f>
        <v>N/A</v>
      </c>
      <c r="AI130" s="58" t="b">
        <f>COUNTBLANK(Fixtures[[#This Row],[G]:[MOTM]]) = 0</f>
        <v>1</v>
      </c>
      <c r="AJ130" s="58">
        <f>IF(Fixtures[[#This Row],[APP]], Fixtures[[#This Row],[G]]+Fixtures[[#This Row],[A]], "N/A")</f>
        <v>2</v>
      </c>
      <c r="AK1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[2025-04-26] Burnley vs. Coventry City (2-1) - EFL Championship</v>
      </c>
    </row>
    <row r="131" spans="1:39" ht="13">
      <c r="A131" s="55">
        <v>45780</v>
      </c>
      <c r="B131" s="61">
        <v>0.625</v>
      </c>
      <c r="C131" s="56" t="s">
        <v>183</v>
      </c>
      <c r="D131" s="56" t="s">
        <v>156</v>
      </c>
      <c r="E131" s="56" t="s">
        <v>186</v>
      </c>
      <c r="F131" s="56" t="s">
        <v>176</v>
      </c>
      <c r="G131" s="56" t="s">
        <v>194</v>
      </c>
      <c r="H131" s="56" t="s">
        <v>169</v>
      </c>
      <c r="I131" s="56">
        <v>0</v>
      </c>
      <c r="J131" s="56">
        <v>1</v>
      </c>
      <c r="K131" s="56"/>
      <c r="L131" s="56"/>
      <c r="M131" s="56">
        <v>0</v>
      </c>
      <c r="N131" s="56">
        <v>0</v>
      </c>
      <c r="O131" s="56">
        <v>0</v>
      </c>
      <c r="P131" s="56">
        <v>0</v>
      </c>
      <c r="Q131" s="57">
        <v>6.9</v>
      </c>
      <c r="R131" s="56" t="b">
        <v>0</v>
      </c>
      <c r="S131" s="58" t="str" cm="1">
        <f t="array" ref="S131">_xlfn._xlws.FILTER(Competitions[compType], (Fixtures[[#This Row],[competition]] = Competitions[name]), "N/A")</f>
        <v>Domestic League</v>
      </c>
      <c r="T131" s="58" t="b" cm="1">
        <f t="array" ref="T131">_xlfn._xlws.FILTER(Competitions[exhibition], (Fixtures[[#This Row],[competition]] = Competitions[name]), "N/A")</f>
        <v>0</v>
      </c>
      <c r="U131" s="58" t="str" cm="1">
        <f t="array" ref="U131">_xlfn._xlws.FILTER(Competitions[compID], (Fixtures[[#This Row],[competition]] = Competitions[name]), "N/A")</f>
        <v>DL-OF-EFLCHAMPIONSHIP</v>
      </c>
      <c r="V1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31" s="58" t="str" cm="1">
        <f t="array" ref="W1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31" s="58" t="str" cm="1">
        <f t="array" ref="X131">_xlfn._xlws.FILTER(Teams[name], (Fixtures[[#This Row],[userTeamID]] = Teams[teamID]), "N/A")</f>
        <v>Burnley</v>
      </c>
      <c r="Y131" s="58" t="str" cm="1">
        <f t="array" ref="Y131">_xlfn._xlws.FILTER(Teams[teamType], (Fixtures[[#This Row],[userTeamID]] = Teams[teamID]), "N/A")</f>
        <v>Club</v>
      </c>
      <c r="Z131" s="58" t="str" cm="1">
        <f t="array" ref="Z131">IF(Fixtures[[#This Row],[userTeamID]] = "N/A", "N/A", IF(SUM(COUNTIF(Fixtures[[#This Row],[homeTeam]], _xlfn._xlws.FILTER(Teams[name], (Fixtures[[#This Row],[userTeamID]] = Teams[teamID])*(Teams[relevant])))) &gt; 0, "H", "A"))</f>
        <v>A</v>
      </c>
      <c r="AA131" s="58" t="str">
        <f>IF(Fixtures[[#This Row],[userSide]] = "N/A", "N/A", IF(Fixtures[[#This Row],[userSide]] = "H", Fixtures[[#This Row],[awayTeam]], Fixtures[[#This Row],[homeTeam]]))</f>
        <v>Charlton Ath</v>
      </c>
      <c r="AB131" s="58" t="str" cm="1">
        <f t="array" ref="AB131">_xlfn._xlws.FILTER(Teams[teamID], Fixtures[[#This Row],[oppTeam]] = Teams[name], "N/A")</f>
        <v>C-ENG-CHARLTONATH</v>
      </c>
      <c r="AC131" s="58" t="str" cm="1">
        <f t="array" ref="AC131">_xlfn._xlws.FILTER(Teams[teamType], Fixtures[[#This Row],[oppTeam]] = Teams[name], "N/A")</f>
        <v>Club</v>
      </c>
      <c r="AD131" s="58">
        <f>IF(ISBLANK(Fixtures[[#This Row],[date]]), "N/A", IF(Fixtures[[#This Row],[userSide]]="H", Fixtures[[#This Row],[homeScore]], Fixtures[[#This Row],[awayScore]]))</f>
        <v>1</v>
      </c>
      <c r="AE131" s="58">
        <f>IF(ISBLANK(Fixtures[[#This Row],[date]]), "N/A", IF(Fixtures[[#This Row],[userScore]] = Fixtures[[#This Row],[homeScore]], Fixtures[[#This Row],[awayScore]], Fixtures[[#This Row],[homeScore]]))</f>
        <v>0</v>
      </c>
      <c r="AF131" s="58" t="b">
        <f>NOT(AND(ISBLANK(Fixtures[[#This Row],[homePens]]), ISBLANK(Fixtures[[#This Row],[awayPens]])))</f>
        <v>0</v>
      </c>
      <c r="AG131" s="58" t="str">
        <f>IF(Fixtures[[#This Row],[penalties]], IF(Fixtures[[#This Row],[userSide]]="H", Fixtures[[#This Row],[homePens]], Fixtures[[#This Row],[awayPens]]), "N/A")</f>
        <v>N/A</v>
      </c>
      <c r="AH131" s="58" t="str">
        <f>IF(Fixtures[[#This Row],[penalties]], IF(Fixtures[[#This Row],[userPens]]=Fixtures[[#This Row],[homePens]],Fixtures[[#This Row],[awayPens]],Fixtures[[#This Row],[homePens]]), "N/A")</f>
        <v>N/A</v>
      </c>
      <c r="AI131" s="58" t="b">
        <f>COUNTBLANK(Fixtures[[#This Row],[G]:[MOTM]]) = 0</f>
        <v>1</v>
      </c>
      <c r="AJ131" s="58">
        <f>IF(Fixtures[[#This Row],[APP]], Fixtures[[#This Row],[G]]+Fixtures[[#This Row],[A]], "N/A")</f>
        <v>0</v>
      </c>
      <c r="AK1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[2025-05-03] Charlton Ath vs. Burnley (0-1) - EFL Championship</v>
      </c>
    </row>
    <row r="132" spans="1:39" ht="13">
      <c r="A132" s="55">
        <v>45787</v>
      </c>
      <c r="B132" s="61">
        <v>0.625</v>
      </c>
      <c r="C132" s="56" t="s">
        <v>161</v>
      </c>
      <c r="D132" s="56" t="s">
        <v>241</v>
      </c>
      <c r="E132" s="56" t="s">
        <v>258</v>
      </c>
      <c r="F132" s="56" t="s">
        <v>176</v>
      </c>
      <c r="G132" s="56" t="s">
        <v>189</v>
      </c>
      <c r="H132" s="56" t="s">
        <v>169</v>
      </c>
      <c r="I132" s="56">
        <v>1</v>
      </c>
      <c r="J132" s="56">
        <v>2</v>
      </c>
      <c r="K132" s="56"/>
      <c r="L132" s="56"/>
      <c r="M132" s="56">
        <v>0</v>
      </c>
      <c r="N132" s="56">
        <v>1</v>
      </c>
      <c r="O132" s="56">
        <v>0</v>
      </c>
      <c r="P132" s="56">
        <v>0</v>
      </c>
      <c r="Q132" s="57">
        <v>7.3</v>
      </c>
      <c r="R132" s="56" t="b">
        <v>0</v>
      </c>
      <c r="S132" s="58" t="str" cm="1">
        <f t="array" ref="S132">_xlfn._xlws.FILTER(Competitions[compType], (Fixtures[[#This Row],[competition]] = Competitions[name]), "N/A")</f>
        <v>Domestic League</v>
      </c>
      <c r="T132" s="58" t="b" cm="1">
        <f t="array" ref="T132">_xlfn._xlws.FILTER(Competitions[exhibition], (Fixtures[[#This Row],[competition]] = Competitions[name]), "N/A")</f>
        <v>0</v>
      </c>
      <c r="U132" s="58" t="str" cm="1">
        <f t="array" ref="U132">_xlfn._xlws.FILTER(Competitions[compID], (Fixtures[[#This Row],[competition]] = Competitions[name]), "N/A")</f>
        <v>DL-OF-EFLCHAMPIONSHIP</v>
      </c>
      <c r="V1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32" s="58" t="str" cm="1">
        <f t="array" ref="W1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32" s="58" t="str" cm="1">
        <f t="array" ref="X132">_xlfn._xlws.FILTER(Teams[name], (Fixtures[[#This Row],[userTeamID]] = Teams[teamID]), "N/A")</f>
        <v>Burnley</v>
      </c>
      <c r="Y132" s="58" t="str" cm="1">
        <f t="array" ref="Y132">_xlfn._xlws.FILTER(Teams[teamType], (Fixtures[[#This Row],[userTeamID]] = Teams[teamID]), "N/A")</f>
        <v>Club</v>
      </c>
      <c r="Z132" s="58" t="str" cm="1">
        <f t="array" ref="Z132">IF(Fixtures[[#This Row],[userTeamID]] = "N/A", "N/A", IF(SUM(COUNTIF(Fixtures[[#This Row],[homeTeam]], _xlfn._xlws.FILTER(Teams[name], (Fixtures[[#This Row],[userTeamID]] = Teams[teamID])*(Teams[relevant])))) &gt; 0, "H", "A"))</f>
        <v>A</v>
      </c>
      <c r="AA132" s="58" t="str">
        <f>IF(Fixtures[[#This Row],[userSide]] = "N/A", "N/A", IF(Fixtures[[#This Row],[userSide]] = "H", Fixtures[[#This Row],[awayTeam]], Fixtures[[#This Row],[homeTeam]]))</f>
        <v>Sheffield Utd</v>
      </c>
      <c r="AB132" s="58" t="str" cm="1">
        <f t="array" ref="AB132">_xlfn._xlws.FILTER(Teams[teamID], Fixtures[[#This Row],[oppTeam]] = Teams[name], "N/A")</f>
        <v>C-ENG-SHEFFIELDUTD</v>
      </c>
      <c r="AC132" s="58" t="str" cm="1">
        <f t="array" ref="AC132">_xlfn._xlws.FILTER(Teams[teamType], Fixtures[[#This Row],[oppTeam]] = Teams[name], "N/A")</f>
        <v>Club</v>
      </c>
      <c r="AD132" s="58">
        <f>IF(ISBLANK(Fixtures[[#This Row],[date]]), "N/A", IF(Fixtures[[#This Row],[userSide]]="H", Fixtures[[#This Row],[homeScore]], Fixtures[[#This Row],[awayScore]]))</f>
        <v>2</v>
      </c>
      <c r="AE132" s="58">
        <f>IF(ISBLANK(Fixtures[[#This Row],[date]]), "N/A", IF(Fixtures[[#This Row],[userScore]] = Fixtures[[#This Row],[homeScore]], Fixtures[[#This Row],[awayScore]], Fixtures[[#This Row],[homeScore]]))</f>
        <v>1</v>
      </c>
      <c r="AF132" s="58" t="b">
        <f>NOT(AND(ISBLANK(Fixtures[[#This Row],[homePens]]), ISBLANK(Fixtures[[#This Row],[awayPens]])))</f>
        <v>0</v>
      </c>
      <c r="AG132" s="58" t="str">
        <f>IF(Fixtures[[#This Row],[penalties]], IF(Fixtures[[#This Row],[userSide]]="H", Fixtures[[#This Row],[homePens]], Fixtures[[#This Row],[awayPens]]), "N/A")</f>
        <v>N/A</v>
      </c>
      <c r="AH132" s="58" t="str">
        <f>IF(Fixtures[[#This Row],[penalties]], IF(Fixtures[[#This Row],[userPens]]=Fixtures[[#This Row],[homePens]],Fixtures[[#This Row],[awayPens]],Fixtures[[#This Row],[homePens]]), "N/A")</f>
        <v>N/A</v>
      </c>
      <c r="AI132" s="58" t="b">
        <f>COUNTBLANK(Fixtures[[#This Row],[G]:[MOTM]]) = 0</f>
        <v>1</v>
      </c>
      <c r="AJ132" s="58">
        <f>IF(Fixtures[[#This Row],[APP]], Fixtures[[#This Row],[G]]+Fixtures[[#This Row],[A]], "N/A")</f>
        <v>1</v>
      </c>
      <c r="AK1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[2025-05-10] Sheffield Utd vs. Burnley (1-2) - EFL Championship</v>
      </c>
    </row>
    <row r="133" spans="1:39" ht="13">
      <c r="A133" s="55">
        <v>45794</v>
      </c>
      <c r="B133" s="61">
        <v>0.58333333333333337</v>
      </c>
      <c r="C133" s="56" t="s">
        <v>183</v>
      </c>
      <c r="D133" s="56" t="s">
        <v>175</v>
      </c>
      <c r="E133" s="56" t="s">
        <v>219</v>
      </c>
      <c r="F133" s="56" t="s">
        <v>176</v>
      </c>
      <c r="G133" s="56" t="s">
        <v>169</v>
      </c>
      <c r="H133" s="56" t="s">
        <v>235</v>
      </c>
      <c r="I133" s="56">
        <v>3</v>
      </c>
      <c r="J133" s="56">
        <v>1</v>
      </c>
      <c r="K133" s="56"/>
      <c r="L133" s="56"/>
      <c r="M133" s="56">
        <v>0</v>
      </c>
      <c r="N133" s="56">
        <v>2</v>
      </c>
      <c r="O133" s="56">
        <v>0</v>
      </c>
      <c r="P133" s="56">
        <v>0</v>
      </c>
      <c r="Q133" s="57">
        <v>7.5</v>
      </c>
      <c r="R133" s="56" t="b">
        <v>0</v>
      </c>
      <c r="S133" s="58" t="str" cm="1">
        <f t="array" ref="S133">_xlfn._xlws.FILTER(Competitions[compType], (Fixtures[[#This Row],[competition]] = Competitions[name]), "N/A")</f>
        <v>Domestic League</v>
      </c>
      <c r="T133" s="58" t="b" cm="1">
        <f t="array" ref="T133">_xlfn._xlws.FILTER(Competitions[exhibition], (Fixtures[[#This Row],[competition]] = Competitions[name]), "N/A")</f>
        <v>0</v>
      </c>
      <c r="U133" s="58" t="str" cm="1">
        <f t="array" ref="U133">_xlfn._xlws.FILTER(Competitions[compID], (Fixtures[[#This Row],[competition]] = Competitions[name]), "N/A")</f>
        <v>DL-OF-EFLCHAMPIONSHIP</v>
      </c>
      <c r="V1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2024/2025</v>
      </c>
      <c r="W133" s="58" t="str" cm="1">
        <f t="array" ref="W1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C-ENG-BURNLEY</v>
      </c>
      <c r="X133" s="58" t="str" cm="1">
        <f t="array" ref="X133">_xlfn._xlws.FILTER(Teams[name], (Fixtures[[#This Row],[userTeamID]] = Teams[teamID]), "N/A")</f>
        <v>Burnley</v>
      </c>
      <c r="Y133" s="58" t="str" cm="1">
        <f t="array" ref="Y133">_xlfn._xlws.FILTER(Teams[teamType], (Fixtures[[#This Row],[userTeamID]] = Teams[teamID]), "N/A")</f>
        <v>Club</v>
      </c>
      <c r="Z133" s="58" t="str" cm="1">
        <f t="array" ref="Z133">IF(Fixtures[[#This Row],[userTeamID]] = "N/A", "N/A", IF(SUM(COUNTIF(Fixtures[[#This Row],[homeTeam]], _xlfn._xlws.FILTER(Teams[name], (Fixtures[[#This Row],[userTeamID]] = Teams[teamID])*(Teams[relevant])))) &gt; 0, "H", "A"))</f>
        <v>H</v>
      </c>
      <c r="AA133" s="58" t="str">
        <f>IF(Fixtures[[#This Row],[userSide]] = "N/A", "N/A", IF(Fixtures[[#This Row],[userSide]] = "H", Fixtures[[#This Row],[awayTeam]], Fixtures[[#This Row],[homeTeam]]))</f>
        <v>Millwall</v>
      </c>
      <c r="AB133" s="58" t="str" cm="1">
        <f t="array" ref="AB133">_xlfn._xlws.FILTER(Teams[teamID], Fixtures[[#This Row],[oppTeam]] = Teams[name], "N/A")</f>
        <v>C-ENG-MILLWALL</v>
      </c>
      <c r="AC133" s="58" t="str" cm="1">
        <f t="array" ref="AC133">_xlfn._xlws.FILTER(Teams[teamType], Fixtures[[#This Row],[oppTeam]] = Teams[name], "N/A")</f>
        <v>Club</v>
      </c>
      <c r="AD133" s="58">
        <f>IF(ISBLANK(Fixtures[[#This Row],[date]]), "N/A", IF(Fixtures[[#This Row],[userSide]]="H", Fixtures[[#This Row],[homeScore]], Fixtures[[#This Row],[awayScore]]))</f>
        <v>3</v>
      </c>
      <c r="AE133" s="58">
        <f>IF(ISBLANK(Fixtures[[#This Row],[date]]), "N/A", IF(Fixtures[[#This Row],[userScore]] = Fixtures[[#This Row],[homeScore]], Fixtures[[#This Row],[awayScore]], Fixtures[[#This Row],[homeScore]]))</f>
        <v>1</v>
      </c>
      <c r="AF133" s="58" t="b">
        <f>NOT(AND(ISBLANK(Fixtures[[#This Row],[homePens]]), ISBLANK(Fixtures[[#This Row],[awayPens]])))</f>
        <v>0</v>
      </c>
      <c r="AG133" s="58" t="str">
        <f>IF(Fixtures[[#This Row],[penalties]], IF(Fixtures[[#This Row],[userSide]]="H", Fixtures[[#This Row],[homePens]], Fixtures[[#This Row],[awayPens]]), "N/A")</f>
        <v>N/A</v>
      </c>
      <c r="AH133" s="58" t="str">
        <f>IF(Fixtures[[#This Row],[penalties]], IF(Fixtures[[#This Row],[userPens]]=Fixtures[[#This Row],[homePens]],Fixtures[[#This Row],[awayPens]],Fixtures[[#This Row],[homePens]]), "N/A")</f>
        <v>N/A</v>
      </c>
      <c r="AI133" s="58" t="b">
        <f>COUNTBLANK(Fixtures[[#This Row],[G]:[MOTM]]) = 0</f>
        <v>1</v>
      </c>
      <c r="AJ133" s="58">
        <f>IF(Fixtures[[#This Row],[APP]], Fixtures[[#This Row],[G]]+Fixtures[[#This Row],[A]], "N/A")</f>
        <v>2</v>
      </c>
      <c r="AK1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3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[2025-05-17] Burnley vs. Millwall (3-1) - EFL Championship</v>
      </c>
    </row>
    <row r="134" spans="1:39" ht="13">
      <c r="A134" s="55">
        <v>45892</v>
      </c>
      <c r="B134" s="61">
        <v>0.64583333333333337</v>
      </c>
      <c r="C134" s="56" t="s">
        <v>195</v>
      </c>
      <c r="D134" s="56" t="s">
        <v>259</v>
      </c>
      <c r="E134" s="56" t="s">
        <v>260</v>
      </c>
      <c r="F134" s="56" t="s">
        <v>261</v>
      </c>
      <c r="G134" s="56" t="s">
        <v>262</v>
      </c>
      <c r="H134" s="56" t="s">
        <v>263</v>
      </c>
      <c r="I134" s="56">
        <v>3</v>
      </c>
      <c r="J134" s="56">
        <v>2</v>
      </c>
      <c r="K134" s="56"/>
      <c r="L134" s="56"/>
      <c r="M134" s="56">
        <v>0</v>
      </c>
      <c r="N134" s="56">
        <v>1</v>
      </c>
      <c r="O134" s="56">
        <v>0</v>
      </c>
      <c r="P134" s="56">
        <v>0</v>
      </c>
      <c r="Q134" s="57">
        <v>7</v>
      </c>
      <c r="R134" s="56" t="b">
        <v>0</v>
      </c>
      <c r="S134" s="58" t="str" cm="1">
        <f t="array" ref="S134">_xlfn._xlws.FILTER(Competitions[compType], (Fixtures[[#This Row],[competition]] = Competitions[name]), "N/A")</f>
        <v>Domestic League</v>
      </c>
      <c r="T134" s="58" t="b" cm="1">
        <f t="array" ref="T134">_xlfn._xlws.FILTER(Competitions[exhibition], (Fixtures[[#This Row],[competition]] = Competitions[name]), "N/A")</f>
        <v>0</v>
      </c>
      <c r="U134" s="58" t="str" cm="1">
        <f t="array" ref="U134">_xlfn._xlws.FILTER(Competitions[compID], (Fixtures[[#This Row],[competition]] = Competitions[name]), "N/A")</f>
        <v>DL-OF-BUNDESLIGA</v>
      </c>
      <c r="V1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34" s="58" t="str" cm="1">
        <f t="array" ref="W1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34" s="58" t="str" cm="1">
        <f t="array" ref="X134">_xlfn._xlws.FILTER(Teams[name], (Fixtures[[#This Row],[userTeamID]] = Teams[teamID]), "N/A")</f>
        <v>RB Leipzig</v>
      </c>
      <c r="Y134" s="58" t="str" cm="1">
        <f t="array" ref="Y134">_xlfn._xlws.FILTER(Teams[teamType], (Fixtures[[#This Row],[userTeamID]] = Teams[teamID]), "N/A")</f>
        <v>Club</v>
      </c>
      <c r="Z134" s="58" t="str" cm="1">
        <f t="array" ref="Z134">IF(Fixtures[[#This Row],[userTeamID]] = "N/A", "N/A", IF(SUM(COUNTIF(Fixtures[[#This Row],[homeTeam]], _xlfn._xlws.FILTER(Teams[name], (Fixtures[[#This Row],[userTeamID]] = Teams[teamID])*(Teams[relevant])))) &gt; 0, "H", "A"))</f>
        <v>H</v>
      </c>
      <c r="AA134" s="58" t="str">
        <f>IF(Fixtures[[#This Row],[userSide]] = "N/A", "N/A", IF(Fixtures[[#This Row],[userSide]] = "H", Fixtures[[#This Row],[awayTeam]], Fixtures[[#This Row],[homeTeam]]))</f>
        <v>Leverkusen</v>
      </c>
      <c r="AB134" s="58" t="str" cm="1">
        <f t="array" ref="AB134">_xlfn._xlws.FILTER(Teams[teamID], Fixtures[[#This Row],[oppTeam]] = Teams[name], "N/A")</f>
        <v>C-GER-LEVERKUSEN</v>
      </c>
      <c r="AC134" s="58" t="str" cm="1">
        <f t="array" ref="AC134">_xlfn._xlws.FILTER(Teams[teamType], Fixtures[[#This Row],[oppTeam]] = Teams[name], "N/A")</f>
        <v>Club</v>
      </c>
      <c r="AD134" s="58">
        <f>IF(ISBLANK(Fixtures[[#This Row],[date]]), "N/A", IF(Fixtures[[#This Row],[userSide]]="H", Fixtures[[#This Row],[homeScore]], Fixtures[[#This Row],[awayScore]]))</f>
        <v>3</v>
      </c>
      <c r="AE134" s="58">
        <f>IF(ISBLANK(Fixtures[[#This Row],[date]]), "N/A", IF(Fixtures[[#This Row],[userScore]] = Fixtures[[#This Row],[homeScore]], Fixtures[[#This Row],[awayScore]], Fixtures[[#This Row],[homeScore]]))</f>
        <v>2</v>
      </c>
      <c r="AF134" s="58" t="b">
        <f>NOT(AND(ISBLANK(Fixtures[[#This Row],[homePens]]), ISBLANK(Fixtures[[#This Row],[awayPens]])))</f>
        <v>0</v>
      </c>
      <c r="AG134" s="58" t="str">
        <f>IF(Fixtures[[#This Row],[penalties]], IF(Fixtures[[#This Row],[userSide]]="H", Fixtures[[#This Row],[homePens]], Fixtures[[#This Row],[awayPens]]), "N/A")</f>
        <v>N/A</v>
      </c>
      <c r="AH134" s="58" t="str">
        <f>IF(Fixtures[[#This Row],[penalties]], IF(Fixtures[[#This Row],[userPens]]=Fixtures[[#This Row],[homePens]],Fixtures[[#This Row],[awayPens]],Fixtures[[#This Row],[homePens]]), "N/A")</f>
        <v>N/A</v>
      </c>
      <c r="AI134" s="58" t="b">
        <f>COUNTBLANK(Fixtures[[#This Row],[G]:[MOTM]]) = 0</f>
        <v>1</v>
      </c>
      <c r="AJ134" s="58">
        <f>IF(Fixtures[[#This Row],[APP]], Fixtures[[#This Row],[G]]+Fixtures[[#This Row],[A]], "N/A")</f>
        <v>1</v>
      </c>
      <c r="AK1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[2025-08-23] RB Leipzig vs. Leverkusen (3-2) - Bundesliga</v>
      </c>
    </row>
    <row r="135" spans="1:39" ht="13">
      <c r="A135" s="55">
        <v>45899</v>
      </c>
      <c r="B135" s="61">
        <v>0.64583333333333337</v>
      </c>
      <c r="C135" s="56" t="s">
        <v>161</v>
      </c>
      <c r="D135" s="56" t="s">
        <v>264</v>
      </c>
      <c r="E135" s="56" t="s">
        <v>265</v>
      </c>
      <c r="F135" s="56" t="s">
        <v>261</v>
      </c>
      <c r="G135" s="56" t="s">
        <v>266</v>
      </c>
      <c r="H135" s="56" t="s">
        <v>262</v>
      </c>
      <c r="I135" s="56">
        <v>1</v>
      </c>
      <c r="J135" s="56">
        <v>2</v>
      </c>
      <c r="K135" s="56"/>
      <c r="L135" s="56"/>
      <c r="M135" s="56">
        <v>0</v>
      </c>
      <c r="N135" s="56">
        <v>0</v>
      </c>
      <c r="O135" s="56">
        <v>0</v>
      </c>
      <c r="P135" s="56">
        <v>0</v>
      </c>
      <c r="Q135" s="57">
        <v>7.6</v>
      </c>
      <c r="R135" s="56" t="b">
        <v>0</v>
      </c>
      <c r="S135" s="58" t="str" cm="1">
        <f t="array" ref="S135">_xlfn._xlws.FILTER(Competitions[compType], (Fixtures[[#This Row],[competition]] = Competitions[name]), "N/A")</f>
        <v>Domestic League</v>
      </c>
      <c r="T135" s="58" t="b" cm="1">
        <f t="array" ref="T135">_xlfn._xlws.FILTER(Competitions[exhibition], (Fixtures[[#This Row],[competition]] = Competitions[name]), "N/A")</f>
        <v>0</v>
      </c>
      <c r="U135" s="58" t="str" cm="1">
        <f t="array" ref="U135">_xlfn._xlws.FILTER(Competitions[compID], (Fixtures[[#This Row],[competition]] = Competitions[name]), "N/A")</f>
        <v>DL-OF-BUNDESLIGA</v>
      </c>
      <c r="V1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35" s="58" t="str" cm="1">
        <f t="array" ref="W1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35" s="58" t="str" cm="1">
        <f t="array" ref="X135">_xlfn._xlws.FILTER(Teams[name], (Fixtures[[#This Row],[userTeamID]] = Teams[teamID]), "N/A")</f>
        <v>RB Leipzig</v>
      </c>
      <c r="Y135" s="58" t="str" cm="1">
        <f t="array" ref="Y135">_xlfn._xlws.FILTER(Teams[teamType], (Fixtures[[#This Row],[userTeamID]] = Teams[teamID]), "N/A")</f>
        <v>Club</v>
      </c>
      <c r="Z135" s="58" t="str" cm="1">
        <f t="array" ref="Z135">IF(Fixtures[[#This Row],[userTeamID]] = "N/A", "N/A", IF(SUM(COUNTIF(Fixtures[[#This Row],[homeTeam]], _xlfn._xlws.FILTER(Teams[name], (Fixtures[[#This Row],[userTeamID]] = Teams[teamID])*(Teams[relevant])))) &gt; 0, "H", "A"))</f>
        <v>A</v>
      </c>
      <c r="AA135" s="58" t="str">
        <f>IF(Fixtures[[#This Row],[userSide]] = "N/A", "N/A", IF(Fixtures[[#This Row],[userSide]] = "H", Fixtures[[#This Row],[awayTeam]], Fixtures[[#This Row],[homeTeam]]))</f>
        <v>1. FSV Mainz 05</v>
      </c>
      <c r="AB135" s="58" t="str" cm="1">
        <f t="array" ref="AB135">_xlfn._xlws.FILTER(Teams[teamID], Fixtures[[#This Row],[oppTeam]] = Teams[name], "N/A")</f>
        <v>C-GER-1FSVMAINZ05</v>
      </c>
      <c r="AC135" s="58" t="str" cm="1">
        <f t="array" ref="AC135">_xlfn._xlws.FILTER(Teams[teamType], Fixtures[[#This Row],[oppTeam]] = Teams[name], "N/A")</f>
        <v>Club</v>
      </c>
      <c r="AD135" s="58">
        <f>IF(ISBLANK(Fixtures[[#This Row],[date]]), "N/A", IF(Fixtures[[#This Row],[userSide]]="H", Fixtures[[#This Row],[homeScore]], Fixtures[[#This Row],[awayScore]]))</f>
        <v>2</v>
      </c>
      <c r="AE135" s="58">
        <f>IF(ISBLANK(Fixtures[[#This Row],[date]]), "N/A", IF(Fixtures[[#This Row],[userScore]] = Fixtures[[#This Row],[homeScore]], Fixtures[[#This Row],[awayScore]], Fixtures[[#This Row],[homeScore]]))</f>
        <v>1</v>
      </c>
      <c r="AF135" s="58" t="b">
        <f>NOT(AND(ISBLANK(Fixtures[[#This Row],[homePens]]), ISBLANK(Fixtures[[#This Row],[awayPens]])))</f>
        <v>0</v>
      </c>
      <c r="AG135" s="58" t="str">
        <f>IF(Fixtures[[#This Row],[penalties]], IF(Fixtures[[#This Row],[userSide]]="H", Fixtures[[#This Row],[homePens]], Fixtures[[#This Row],[awayPens]]), "N/A")</f>
        <v>N/A</v>
      </c>
      <c r="AH135" s="58" t="str">
        <f>IF(Fixtures[[#This Row],[penalties]], IF(Fixtures[[#This Row],[userPens]]=Fixtures[[#This Row],[homePens]],Fixtures[[#This Row],[awayPens]],Fixtures[[#This Row],[homePens]]), "N/A")</f>
        <v>N/A</v>
      </c>
      <c r="AI135" s="58" t="b">
        <f>COUNTBLANK(Fixtures[[#This Row],[G]:[MOTM]]) = 0</f>
        <v>1</v>
      </c>
      <c r="AJ135" s="58">
        <f>IF(Fixtures[[#This Row],[APP]], Fixtures[[#This Row],[G]]+Fixtures[[#This Row],[A]], "N/A")</f>
        <v>0</v>
      </c>
      <c r="AK1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[2025-08-30] 1. FSV Mainz 05 vs. RB Leipzig (1-2) - Bundesliga</v>
      </c>
    </row>
    <row r="136" spans="1:39" ht="13">
      <c r="A136" s="55">
        <v>45906</v>
      </c>
      <c r="B136" s="61">
        <v>0.64583333333333337</v>
      </c>
      <c r="C136" s="56" t="s">
        <v>161</v>
      </c>
      <c r="D136" s="56" t="s">
        <v>259</v>
      </c>
      <c r="E136" s="56" t="s">
        <v>267</v>
      </c>
      <c r="F136" s="56" t="s">
        <v>261</v>
      </c>
      <c r="G136" s="56" t="s">
        <v>262</v>
      </c>
      <c r="H136" s="56" t="s">
        <v>268</v>
      </c>
      <c r="I136" s="56">
        <v>2</v>
      </c>
      <c r="J136" s="56">
        <v>0</v>
      </c>
      <c r="K136" s="56"/>
      <c r="L136" s="56"/>
      <c r="M136" s="56">
        <v>1</v>
      </c>
      <c r="N136" s="56">
        <v>1</v>
      </c>
      <c r="O136" s="56">
        <v>0</v>
      </c>
      <c r="P136" s="56">
        <v>0</v>
      </c>
      <c r="Q136" s="57">
        <v>8.8000000000000007</v>
      </c>
      <c r="R136" s="56" t="b">
        <v>1</v>
      </c>
      <c r="S136" s="58" t="str" cm="1">
        <f t="array" ref="S136">_xlfn._xlws.FILTER(Competitions[compType], (Fixtures[[#This Row],[competition]] = Competitions[name]), "N/A")</f>
        <v>Domestic League</v>
      </c>
      <c r="T136" s="58" t="b" cm="1">
        <f t="array" ref="T136">_xlfn._xlws.FILTER(Competitions[exhibition], (Fixtures[[#This Row],[competition]] = Competitions[name]), "N/A")</f>
        <v>0</v>
      </c>
      <c r="U136" s="58" t="str" cm="1">
        <f t="array" ref="U136">_xlfn._xlws.FILTER(Competitions[compID], (Fixtures[[#This Row],[competition]] = Competitions[name]), "N/A")</f>
        <v>DL-OF-BUNDESLIGA</v>
      </c>
      <c r="V1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36" s="58" t="str" cm="1">
        <f t="array" ref="W1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36" s="58" t="str" cm="1">
        <f t="array" ref="X136">_xlfn._xlws.FILTER(Teams[name], (Fixtures[[#This Row],[userTeamID]] = Teams[teamID]), "N/A")</f>
        <v>RB Leipzig</v>
      </c>
      <c r="Y136" s="58" t="str" cm="1">
        <f t="array" ref="Y136">_xlfn._xlws.FILTER(Teams[teamType], (Fixtures[[#This Row],[userTeamID]] = Teams[teamID]), "N/A")</f>
        <v>Club</v>
      </c>
      <c r="Z136" s="58" t="str" cm="1">
        <f t="array" ref="Z136">IF(Fixtures[[#This Row],[userTeamID]] = "N/A", "N/A", IF(SUM(COUNTIF(Fixtures[[#This Row],[homeTeam]], _xlfn._xlws.FILTER(Teams[name], (Fixtures[[#This Row],[userTeamID]] = Teams[teamID])*(Teams[relevant])))) &gt; 0, "H", "A"))</f>
        <v>H</v>
      </c>
      <c r="AA136" s="58" t="str">
        <f>IF(Fixtures[[#This Row],[userSide]] = "N/A", "N/A", IF(Fixtures[[#This Row],[userSide]] = "H", Fixtures[[#This Row],[awayTeam]], Fixtures[[#This Row],[homeTeam]]))</f>
        <v>SC Freiburg</v>
      </c>
      <c r="AB136" s="58" t="str" cm="1">
        <f t="array" ref="AB136">_xlfn._xlws.FILTER(Teams[teamID], Fixtures[[#This Row],[oppTeam]] = Teams[name], "N/A")</f>
        <v>C-GER-SCFREIBURG</v>
      </c>
      <c r="AC136" s="58" t="str" cm="1">
        <f t="array" ref="AC136">_xlfn._xlws.FILTER(Teams[teamType], Fixtures[[#This Row],[oppTeam]] = Teams[name], "N/A")</f>
        <v>Club</v>
      </c>
      <c r="AD136" s="58">
        <f>IF(ISBLANK(Fixtures[[#This Row],[date]]), "N/A", IF(Fixtures[[#This Row],[userSide]]="H", Fixtures[[#This Row],[homeScore]], Fixtures[[#This Row],[awayScore]]))</f>
        <v>2</v>
      </c>
      <c r="AE136" s="58">
        <f>IF(ISBLANK(Fixtures[[#This Row],[date]]), "N/A", IF(Fixtures[[#This Row],[userScore]] = Fixtures[[#This Row],[homeScore]], Fixtures[[#This Row],[awayScore]], Fixtures[[#This Row],[homeScore]]))</f>
        <v>0</v>
      </c>
      <c r="AF136" s="58" t="b">
        <f>NOT(AND(ISBLANK(Fixtures[[#This Row],[homePens]]), ISBLANK(Fixtures[[#This Row],[awayPens]])))</f>
        <v>0</v>
      </c>
      <c r="AG136" s="58" t="str">
        <f>IF(Fixtures[[#This Row],[penalties]], IF(Fixtures[[#This Row],[userSide]]="H", Fixtures[[#This Row],[homePens]], Fixtures[[#This Row],[awayPens]]), "N/A")</f>
        <v>N/A</v>
      </c>
      <c r="AH136" s="58" t="str">
        <f>IF(Fixtures[[#This Row],[penalties]], IF(Fixtures[[#This Row],[userPens]]=Fixtures[[#This Row],[homePens]],Fixtures[[#This Row],[awayPens]],Fixtures[[#This Row],[homePens]]), "N/A")</f>
        <v>N/A</v>
      </c>
      <c r="AI136" s="58" t="b">
        <f>COUNTBLANK(Fixtures[[#This Row],[G]:[MOTM]]) = 0</f>
        <v>1</v>
      </c>
      <c r="AJ136" s="58">
        <f>IF(Fixtures[[#This Row],[APP]], Fixtures[[#This Row],[G]]+Fixtures[[#This Row],[A]], "N/A")</f>
        <v>2</v>
      </c>
      <c r="AK1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36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[2025-09-06] RB Leipzig vs. SC Freiburg (2-0) - Bundesliga</v>
      </c>
    </row>
    <row r="137" spans="1:39" ht="13">
      <c r="A137" s="55">
        <v>45912</v>
      </c>
      <c r="B137" s="61">
        <v>0.48958333333333331</v>
      </c>
      <c r="C137" s="56" t="s">
        <v>161</v>
      </c>
      <c r="D137" s="56" t="s">
        <v>115</v>
      </c>
      <c r="E137" s="56" t="s">
        <v>253</v>
      </c>
      <c r="F137" s="56" t="s">
        <v>128</v>
      </c>
      <c r="G137" s="56" t="s">
        <v>213</v>
      </c>
      <c r="H137" s="56" t="s">
        <v>16</v>
      </c>
      <c r="I137" s="56">
        <v>1</v>
      </c>
      <c r="J137" s="56">
        <v>1</v>
      </c>
      <c r="K137" s="56"/>
      <c r="L137" s="56"/>
      <c r="M137" s="56">
        <v>0</v>
      </c>
      <c r="N137" s="56">
        <v>0</v>
      </c>
      <c r="O137" s="56">
        <v>0</v>
      </c>
      <c r="P137" s="56">
        <v>0</v>
      </c>
      <c r="Q137" s="57">
        <v>6.4</v>
      </c>
      <c r="R137" s="56" t="b">
        <v>0</v>
      </c>
      <c r="S137" s="58" t="str" cm="1">
        <f t="array" ref="S137">_xlfn._xlws.FILTER(Competitions[compType], (Fixtures[[#This Row],[competition]] = Competitions[name]), "N/A")</f>
        <v>International Friendly</v>
      </c>
      <c r="T137" s="58" t="b" cm="1">
        <f t="array" ref="T137">_xlfn._xlws.FILTER(Competitions[exhibition], (Fixtures[[#This Row],[competition]] = Competitions[name]), "N/A")</f>
        <v>1</v>
      </c>
      <c r="U137" s="58" t="str" cm="1">
        <f t="array" ref="U137">_xlfn._xlws.FILTER(Competitions[compID], (Fixtures[[#This Row],[competition]] = Competitions[name]), "N/A")</f>
        <v>IF-EX-INTERNATIONALFRIENDLY</v>
      </c>
      <c r="V1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37" s="58" t="str" cm="1">
        <f t="array" ref="W1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37" s="58" t="str" cm="1">
        <f t="array" ref="X137">_xlfn._xlws.FILTER(Teams[name], (Fixtures[[#This Row],[userTeamID]] = Teams[teamID]), "N/A")</f>
        <v>United States</v>
      </c>
      <c r="Y137" s="58" t="str" cm="1">
        <f t="array" ref="Y137">_xlfn._xlws.FILTER(Teams[teamType], (Fixtures[[#This Row],[userTeamID]] = Teams[teamID]), "N/A")</f>
        <v>National</v>
      </c>
      <c r="Z137" s="58" t="str" cm="1">
        <f t="array" ref="Z137">IF(Fixtures[[#This Row],[userTeamID]] = "N/A", "N/A", IF(SUM(COUNTIF(Fixtures[[#This Row],[homeTeam]], _xlfn._xlws.FILTER(Teams[name], (Fixtures[[#This Row],[userTeamID]] = Teams[teamID])*(Teams[relevant])))) &gt; 0, "H", "A"))</f>
        <v>A</v>
      </c>
      <c r="AA137" s="58" t="str">
        <f>IF(Fixtures[[#This Row],[userSide]] = "N/A", "N/A", IF(Fixtures[[#This Row],[userSide]] = "H", Fixtures[[#This Row],[awayTeam]], Fixtures[[#This Row],[homeTeam]]))</f>
        <v>Poland</v>
      </c>
      <c r="AB137" s="58" t="str" cm="1">
        <f t="array" ref="AB137">_xlfn._xlws.FILTER(Teams[teamID], Fixtures[[#This Row],[oppTeam]] = Teams[name], "N/A")</f>
        <v>N-POL-POLAND</v>
      </c>
      <c r="AC137" s="58" t="str" cm="1">
        <f t="array" ref="AC137">_xlfn._xlws.FILTER(Teams[teamType], Fixtures[[#This Row],[oppTeam]] = Teams[name], "N/A")</f>
        <v>National</v>
      </c>
      <c r="AD137" s="58">
        <f>IF(ISBLANK(Fixtures[[#This Row],[date]]), "N/A", IF(Fixtures[[#This Row],[userSide]]="H", Fixtures[[#This Row],[homeScore]], Fixtures[[#This Row],[awayScore]]))</f>
        <v>1</v>
      </c>
      <c r="AE137" s="58">
        <f>IF(ISBLANK(Fixtures[[#This Row],[date]]), "N/A", IF(Fixtures[[#This Row],[userScore]] = Fixtures[[#This Row],[homeScore]], Fixtures[[#This Row],[awayScore]], Fixtures[[#This Row],[homeScore]]))</f>
        <v>1</v>
      </c>
      <c r="AF137" s="58" t="b">
        <f>NOT(AND(ISBLANK(Fixtures[[#This Row],[homePens]]), ISBLANK(Fixtures[[#This Row],[awayPens]])))</f>
        <v>0</v>
      </c>
      <c r="AG137" s="58" t="str">
        <f>IF(Fixtures[[#This Row],[penalties]], IF(Fixtures[[#This Row],[userSide]]="H", Fixtures[[#This Row],[homePens]], Fixtures[[#This Row],[awayPens]]), "N/A")</f>
        <v>N/A</v>
      </c>
      <c r="AH137" s="58" t="str">
        <f>IF(Fixtures[[#This Row],[penalties]], IF(Fixtures[[#This Row],[userPens]]=Fixtures[[#This Row],[homePens]],Fixtures[[#This Row],[awayPens]],Fixtures[[#This Row],[homePens]]), "N/A")</f>
        <v>N/A</v>
      </c>
      <c r="AI137" s="58" t="b">
        <f>COUNTBLANK(Fixtures[[#This Row],[G]:[MOTM]]) = 0</f>
        <v>1</v>
      </c>
      <c r="AJ137" s="58">
        <f>IF(Fixtures[[#This Row],[APP]], Fixtures[[#This Row],[G]]+Fixtures[[#This Row],[A]], "N/A")</f>
        <v>0</v>
      </c>
      <c r="AK1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37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[2025-09-12] Poland vs. United States (1-1) - International Friendly</v>
      </c>
    </row>
    <row r="138" spans="1:39" ht="13">
      <c r="A138" s="55">
        <v>45916</v>
      </c>
      <c r="B138" s="61">
        <v>0.48958333333333331</v>
      </c>
      <c r="C138" s="56" t="s">
        <v>161</v>
      </c>
      <c r="D138" s="56" t="s">
        <v>127</v>
      </c>
      <c r="E138" s="56" t="s">
        <v>269</v>
      </c>
      <c r="F138" s="56" t="s">
        <v>128</v>
      </c>
      <c r="G138" s="56" t="s">
        <v>16</v>
      </c>
      <c r="H138" s="56" t="s">
        <v>270</v>
      </c>
      <c r="I138" s="56">
        <v>0</v>
      </c>
      <c r="J138" s="56">
        <v>1</v>
      </c>
      <c r="K138" s="56"/>
      <c r="L138" s="56"/>
      <c r="M138" s="56">
        <v>0</v>
      </c>
      <c r="N138" s="56">
        <v>0</v>
      </c>
      <c r="O138" s="56">
        <v>0</v>
      </c>
      <c r="P138" s="56">
        <v>0</v>
      </c>
      <c r="Q138" s="57">
        <v>7.5</v>
      </c>
      <c r="R138" s="56" t="b">
        <v>0</v>
      </c>
      <c r="S138" s="58" t="str" cm="1">
        <f t="array" ref="S138">_xlfn._xlws.FILTER(Competitions[compType], (Fixtures[[#This Row],[competition]] = Competitions[name]), "N/A")</f>
        <v>International Friendly</v>
      </c>
      <c r="T138" s="58" t="b" cm="1">
        <f t="array" ref="T138">_xlfn._xlws.FILTER(Competitions[exhibition], (Fixtures[[#This Row],[competition]] = Competitions[name]), "N/A")</f>
        <v>1</v>
      </c>
      <c r="U138" s="58" t="str" cm="1">
        <f t="array" ref="U138">_xlfn._xlws.FILTER(Competitions[compID], (Fixtures[[#This Row],[competition]] = Competitions[name]), "N/A")</f>
        <v>IF-EX-INTERNATIONALFRIENDLY</v>
      </c>
      <c r="V1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38" s="58" t="str" cm="1">
        <f t="array" ref="W1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38" s="58" t="str" cm="1">
        <f t="array" ref="X138">_xlfn._xlws.FILTER(Teams[name], (Fixtures[[#This Row],[userTeamID]] = Teams[teamID]), "N/A")</f>
        <v>United States</v>
      </c>
      <c r="Y138" s="58" t="str" cm="1">
        <f t="array" ref="Y138">_xlfn._xlws.FILTER(Teams[teamType], (Fixtures[[#This Row],[userTeamID]] = Teams[teamID]), "N/A")</f>
        <v>National</v>
      </c>
      <c r="Z138" s="58" t="str" cm="1">
        <f t="array" ref="Z138">IF(Fixtures[[#This Row],[userTeamID]] = "N/A", "N/A", IF(SUM(COUNTIF(Fixtures[[#This Row],[homeTeam]], _xlfn._xlws.FILTER(Teams[name], (Fixtures[[#This Row],[userTeamID]] = Teams[teamID])*(Teams[relevant])))) &gt; 0, "H", "A"))</f>
        <v>H</v>
      </c>
      <c r="AA138" s="58" t="str">
        <f>IF(Fixtures[[#This Row],[userSide]] = "N/A", "N/A", IF(Fixtures[[#This Row],[userSide]] = "H", Fixtures[[#This Row],[awayTeam]], Fixtures[[#This Row],[homeTeam]]))</f>
        <v>Ireland</v>
      </c>
      <c r="AB138" s="58" t="str" cm="1">
        <f t="array" ref="AB138">_xlfn._xlws.FILTER(Teams[teamID], Fixtures[[#This Row],[oppTeam]] = Teams[name], "N/A")</f>
        <v>N-IRE-IRELAND</v>
      </c>
      <c r="AC138" s="58" t="str" cm="1">
        <f t="array" ref="AC138">_xlfn._xlws.FILTER(Teams[teamType], Fixtures[[#This Row],[oppTeam]] = Teams[name], "N/A")</f>
        <v>National</v>
      </c>
      <c r="AD138" s="58">
        <f>IF(ISBLANK(Fixtures[[#This Row],[date]]), "N/A", IF(Fixtures[[#This Row],[userSide]]="H", Fixtures[[#This Row],[homeScore]], Fixtures[[#This Row],[awayScore]]))</f>
        <v>0</v>
      </c>
      <c r="AE138" s="58">
        <f>IF(ISBLANK(Fixtures[[#This Row],[date]]), "N/A", IF(Fixtures[[#This Row],[userScore]] = Fixtures[[#This Row],[homeScore]], Fixtures[[#This Row],[awayScore]], Fixtures[[#This Row],[homeScore]]))</f>
        <v>1</v>
      </c>
      <c r="AF138" s="58" t="b">
        <f>NOT(AND(ISBLANK(Fixtures[[#This Row],[homePens]]), ISBLANK(Fixtures[[#This Row],[awayPens]])))</f>
        <v>0</v>
      </c>
      <c r="AG138" s="58" t="str">
        <f>IF(Fixtures[[#This Row],[penalties]], IF(Fixtures[[#This Row],[userSide]]="H", Fixtures[[#This Row],[homePens]], Fixtures[[#This Row],[awayPens]]), "N/A")</f>
        <v>N/A</v>
      </c>
      <c r="AH138" s="58" t="str">
        <f>IF(Fixtures[[#This Row],[penalties]], IF(Fixtures[[#This Row],[userPens]]=Fixtures[[#This Row],[homePens]],Fixtures[[#This Row],[awayPens]],Fixtures[[#This Row],[homePens]]), "N/A")</f>
        <v>N/A</v>
      </c>
      <c r="AI138" s="58" t="b">
        <f>COUNTBLANK(Fixtures[[#This Row],[G]:[MOTM]]) = 0</f>
        <v>1</v>
      </c>
      <c r="AJ138" s="58">
        <f>IF(Fixtures[[#This Row],[APP]], Fixtures[[#This Row],[G]]+Fixtures[[#This Row],[A]], "N/A")</f>
        <v>0</v>
      </c>
      <c r="AK1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3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[2025-09-16] United States vs. Ireland (0-1) - International Friendly</v>
      </c>
    </row>
    <row r="139" spans="1:39" ht="13">
      <c r="A139" s="55">
        <v>45921</v>
      </c>
      <c r="B139" s="61">
        <v>0.64583333333333337</v>
      </c>
      <c r="C139" s="56" t="s">
        <v>161</v>
      </c>
      <c r="D139" s="56" t="s">
        <v>271</v>
      </c>
      <c r="E139" s="56" t="s">
        <v>108</v>
      </c>
      <c r="F139" s="56" t="s">
        <v>261</v>
      </c>
      <c r="G139" s="56" t="s">
        <v>272</v>
      </c>
      <c r="H139" s="56" t="s">
        <v>262</v>
      </c>
      <c r="I139" s="56">
        <v>1</v>
      </c>
      <c r="J139" s="56">
        <v>1</v>
      </c>
      <c r="K139" s="56"/>
      <c r="L139" s="56"/>
      <c r="M139" s="56">
        <v>0</v>
      </c>
      <c r="N139" s="56">
        <v>0</v>
      </c>
      <c r="O139" s="56">
        <v>0</v>
      </c>
      <c r="P139" s="56">
        <v>0</v>
      </c>
      <c r="Q139" s="57">
        <v>5.8</v>
      </c>
      <c r="R139" s="56" t="b">
        <v>0</v>
      </c>
      <c r="S139" s="58" t="str" cm="1">
        <f t="array" ref="S139">_xlfn._xlws.FILTER(Competitions[compType], (Fixtures[[#This Row],[competition]] = Competitions[name]), "N/A")</f>
        <v>Domestic League</v>
      </c>
      <c r="T139" s="58" t="b" cm="1">
        <f t="array" ref="T139">_xlfn._xlws.FILTER(Competitions[exhibition], (Fixtures[[#This Row],[competition]] = Competitions[name]), "N/A")</f>
        <v>0</v>
      </c>
      <c r="U139" s="58" t="str" cm="1">
        <f t="array" ref="U139">_xlfn._xlws.FILTER(Competitions[compID], (Fixtures[[#This Row],[competition]] = Competitions[name]), "N/A")</f>
        <v>DL-OF-BUNDESLIGA</v>
      </c>
      <c r="V1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39" s="58" t="str" cm="1">
        <f t="array" ref="W1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39" s="58" t="str" cm="1">
        <f t="array" ref="X139">_xlfn._xlws.FILTER(Teams[name], (Fixtures[[#This Row],[userTeamID]] = Teams[teamID]), "N/A")</f>
        <v>RB Leipzig</v>
      </c>
      <c r="Y139" s="58" t="str" cm="1">
        <f t="array" ref="Y139">_xlfn._xlws.FILTER(Teams[teamType], (Fixtures[[#This Row],[userTeamID]] = Teams[teamID]), "N/A")</f>
        <v>Club</v>
      </c>
      <c r="Z139" s="58" t="str" cm="1">
        <f t="array" ref="Z139">IF(Fixtures[[#This Row],[userTeamID]] = "N/A", "N/A", IF(SUM(COUNTIF(Fixtures[[#This Row],[homeTeam]], _xlfn._xlws.FILTER(Teams[name], (Fixtures[[#This Row],[userTeamID]] = Teams[teamID])*(Teams[relevant])))) &gt; 0, "H", "A"))</f>
        <v>A</v>
      </c>
      <c r="AA139" s="58" t="str">
        <f>IF(Fixtures[[#This Row],[userSide]] = "N/A", "N/A", IF(Fixtures[[#This Row],[userSide]] = "H", Fixtures[[#This Row],[awayTeam]], Fixtures[[#This Row],[homeTeam]]))</f>
        <v>VfL Wolfsburg</v>
      </c>
      <c r="AB139" s="58" t="str" cm="1">
        <f t="array" ref="AB139">_xlfn._xlws.FILTER(Teams[teamID], Fixtures[[#This Row],[oppTeam]] = Teams[name], "N/A")</f>
        <v>C-GER-VFLWOLFSBURG</v>
      </c>
      <c r="AC139" s="58" t="str" cm="1">
        <f t="array" ref="AC139">_xlfn._xlws.FILTER(Teams[teamType], Fixtures[[#This Row],[oppTeam]] = Teams[name], "N/A")</f>
        <v>Club</v>
      </c>
      <c r="AD139" s="58">
        <f>IF(ISBLANK(Fixtures[[#This Row],[date]]), "N/A", IF(Fixtures[[#This Row],[userSide]]="H", Fixtures[[#This Row],[homeScore]], Fixtures[[#This Row],[awayScore]]))</f>
        <v>1</v>
      </c>
      <c r="AE139" s="58">
        <f>IF(ISBLANK(Fixtures[[#This Row],[date]]), "N/A", IF(Fixtures[[#This Row],[userScore]] = Fixtures[[#This Row],[homeScore]], Fixtures[[#This Row],[awayScore]], Fixtures[[#This Row],[homeScore]]))</f>
        <v>1</v>
      </c>
      <c r="AF139" s="58" t="b">
        <f>NOT(AND(ISBLANK(Fixtures[[#This Row],[homePens]]), ISBLANK(Fixtures[[#This Row],[awayPens]])))</f>
        <v>0</v>
      </c>
      <c r="AG139" s="58" t="str">
        <f>IF(Fixtures[[#This Row],[penalties]], IF(Fixtures[[#This Row],[userSide]]="H", Fixtures[[#This Row],[homePens]], Fixtures[[#This Row],[awayPens]]), "N/A")</f>
        <v>N/A</v>
      </c>
      <c r="AH139" s="58" t="str">
        <f>IF(Fixtures[[#This Row],[penalties]], IF(Fixtures[[#This Row],[userPens]]=Fixtures[[#This Row],[homePens]],Fixtures[[#This Row],[awayPens]],Fixtures[[#This Row],[homePens]]), "N/A")</f>
        <v>N/A</v>
      </c>
      <c r="AI139" s="58" t="b">
        <f>COUNTBLANK(Fixtures[[#This Row],[G]:[MOTM]]) = 0</f>
        <v>1</v>
      </c>
      <c r="AJ139" s="58">
        <f>IF(Fixtures[[#This Row],[APP]], Fixtures[[#This Row],[G]]+Fixtures[[#This Row],[A]], "N/A")</f>
        <v>0</v>
      </c>
      <c r="AK1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3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[2025-09-21] VfL Wolfsburg vs. RB Leipzig (1-1) - Bundesliga</v>
      </c>
    </row>
    <row r="140" spans="1:39" ht="13">
      <c r="A140" s="55">
        <v>45924</v>
      </c>
      <c r="B140" s="61">
        <v>0.83333333333333337</v>
      </c>
      <c r="C140" s="56" t="s">
        <v>203</v>
      </c>
      <c r="D140" s="56" t="s">
        <v>273</v>
      </c>
      <c r="E140" s="56" t="s">
        <v>108</v>
      </c>
      <c r="F140" s="56" t="s">
        <v>274</v>
      </c>
      <c r="G140" s="56" t="s">
        <v>275</v>
      </c>
      <c r="H140" s="56" t="s">
        <v>262</v>
      </c>
      <c r="I140" s="56">
        <v>0</v>
      </c>
      <c r="J140" s="56">
        <v>2</v>
      </c>
      <c r="K140" s="56"/>
      <c r="L140" s="56"/>
      <c r="M140" s="56">
        <v>0</v>
      </c>
      <c r="N140" s="56">
        <v>0</v>
      </c>
      <c r="O140" s="56">
        <v>0</v>
      </c>
      <c r="P140" s="56">
        <v>0</v>
      </c>
      <c r="Q140" s="57">
        <v>6.6</v>
      </c>
      <c r="R140" s="56" t="b">
        <v>0</v>
      </c>
      <c r="S140" s="58" t="str" cm="1">
        <f t="array" ref="S140">_xlfn._xlws.FILTER(Competitions[compType], (Fixtures[[#This Row],[competition]] = Competitions[name]), "N/A")</f>
        <v>Continental Cup</v>
      </c>
      <c r="T140" s="58" t="b" cm="1">
        <f t="array" ref="T140">_xlfn._xlws.FILTER(Competitions[exhibition], (Fixtures[[#This Row],[competition]] = Competitions[name]), "N/A")</f>
        <v>0</v>
      </c>
      <c r="U140" s="58" t="str" cm="1">
        <f t="array" ref="U140">_xlfn._xlws.FILTER(Competitions[compID], (Fixtures[[#This Row],[competition]] = Competitions[name]), "N/A")</f>
        <v>CC-OF-UEFACHAMPIONSLEAGUE</v>
      </c>
      <c r="V1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0" s="58" t="str" cm="1">
        <f t="array" ref="W1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0" s="58" t="str" cm="1">
        <f t="array" ref="X140">_xlfn._xlws.FILTER(Teams[name], (Fixtures[[#This Row],[userTeamID]] = Teams[teamID]), "N/A")</f>
        <v>RB Leipzig</v>
      </c>
      <c r="Y140" s="58" t="str" cm="1">
        <f t="array" ref="Y140">_xlfn._xlws.FILTER(Teams[teamType], (Fixtures[[#This Row],[userTeamID]] = Teams[teamID]), "N/A")</f>
        <v>Club</v>
      </c>
      <c r="Z140" s="58" t="str" cm="1">
        <f t="array" ref="Z140">IF(Fixtures[[#This Row],[userTeamID]] = "N/A", "N/A", IF(SUM(COUNTIF(Fixtures[[#This Row],[homeTeam]], _xlfn._xlws.FILTER(Teams[name], (Fixtures[[#This Row],[userTeamID]] = Teams[teamID])*(Teams[relevant])))) &gt; 0, "H", "A"))</f>
        <v>A</v>
      </c>
      <c r="AA140" s="58" t="str">
        <f>IF(Fixtures[[#This Row],[userSide]] = "N/A", "N/A", IF(Fixtures[[#This Row],[userSide]] = "H", Fixtures[[#This Row],[awayTeam]], Fixtures[[#This Row],[homeTeam]]))</f>
        <v>Manchester City</v>
      </c>
      <c r="AB140" s="58" t="str" cm="1">
        <f t="array" ref="AB140">_xlfn._xlws.FILTER(Teams[teamID], Fixtures[[#This Row],[oppTeam]] = Teams[name], "N/A")</f>
        <v>C-ENG-MANCHESTERCITY</v>
      </c>
      <c r="AC140" s="58" t="str" cm="1">
        <f t="array" ref="AC140">_xlfn._xlws.FILTER(Teams[teamType], Fixtures[[#This Row],[oppTeam]] = Teams[name], "N/A")</f>
        <v>Club</v>
      </c>
      <c r="AD140" s="58">
        <f>IF(ISBLANK(Fixtures[[#This Row],[date]]), "N/A", IF(Fixtures[[#This Row],[userSide]]="H", Fixtures[[#This Row],[homeScore]], Fixtures[[#This Row],[awayScore]]))</f>
        <v>2</v>
      </c>
      <c r="AE140" s="58">
        <f>IF(ISBLANK(Fixtures[[#This Row],[date]]), "N/A", IF(Fixtures[[#This Row],[userScore]] = Fixtures[[#This Row],[homeScore]], Fixtures[[#This Row],[awayScore]], Fixtures[[#This Row],[homeScore]]))</f>
        <v>0</v>
      </c>
      <c r="AF140" s="58" t="b">
        <f>NOT(AND(ISBLANK(Fixtures[[#This Row],[homePens]]), ISBLANK(Fixtures[[#This Row],[awayPens]])))</f>
        <v>0</v>
      </c>
      <c r="AG140" s="58" t="str">
        <f>IF(Fixtures[[#This Row],[penalties]], IF(Fixtures[[#This Row],[userSide]]="H", Fixtures[[#This Row],[homePens]], Fixtures[[#This Row],[awayPens]]), "N/A")</f>
        <v>N/A</v>
      </c>
      <c r="AH140" s="58" t="str">
        <f>IF(Fixtures[[#This Row],[penalties]], IF(Fixtures[[#This Row],[userPens]]=Fixtures[[#This Row],[homePens]],Fixtures[[#This Row],[awayPens]],Fixtures[[#This Row],[homePens]]), "N/A")</f>
        <v>N/A</v>
      </c>
      <c r="AI140" s="58" t="b">
        <f>COUNTBLANK(Fixtures[[#This Row],[G]:[MOTM]]) = 0</f>
        <v>1</v>
      </c>
      <c r="AJ140" s="58">
        <f>IF(Fixtures[[#This Row],[APP]], Fixtures[[#This Row],[G]]+Fixtures[[#This Row],[A]], "N/A")</f>
        <v>0</v>
      </c>
      <c r="AK1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40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[2025-09-24] Manchester City vs. RB Leipzig (0-2) - UEFA Champions League</v>
      </c>
    </row>
    <row r="141" spans="1:39" ht="13">
      <c r="A141" s="55">
        <v>45927</v>
      </c>
      <c r="B141" s="61">
        <v>0.10416666666666667</v>
      </c>
      <c r="C141" s="56" t="s">
        <v>161</v>
      </c>
      <c r="D141" s="56" t="s">
        <v>259</v>
      </c>
      <c r="E141" s="56" t="s">
        <v>108</v>
      </c>
      <c r="F141" s="56" t="s">
        <v>261</v>
      </c>
      <c r="G141" s="56" t="s">
        <v>262</v>
      </c>
      <c r="H141" s="56" t="s">
        <v>276</v>
      </c>
      <c r="I141" s="56">
        <v>2</v>
      </c>
      <c r="J141" s="56">
        <v>2</v>
      </c>
      <c r="K141" s="56"/>
      <c r="L141" s="56"/>
      <c r="M141" s="56">
        <v>0</v>
      </c>
      <c r="N141" s="56">
        <v>1</v>
      </c>
      <c r="O141" s="56">
        <v>0</v>
      </c>
      <c r="P141" s="56">
        <v>0</v>
      </c>
      <c r="Q141" s="57">
        <v>7.3</v>
      </c>
      <c r="R141" s="56" t="b">
        <v>0</v>
      </c>
      <c r="S141" s="58" t="str" cm="1">
        <f t="array" ref="S141">_xlfn._xlws.FILTER(Competitions[compType], (Fixtures[[#This Row],[competition]] = Competitions[name]), "N/A")</f>
        <v>Domestic League</v>
      </c>
      <c r="T141" s="58" t="b" cm="1">
        <f t="array" ref="T141">_xlfn._xlws.FILTER(Competitions[exhibition], (Fixtures[[#This Row],[competition]] = Competitions[name]), "N/A")</f>
        <v>0</v>
      </c>
      <c r="U141" s="58" t="str" cm="1">
        <f t="array" ref="U141">_xlfn._xlws.FILTER(Competitions[compID], (Fixtures[[#This Row],[competition]] = Competitions[name]), "N/A")</f>
        <v>DL-OF-BUNDESLIGA</v>
      </c>
      <c r="V1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1" s="58" t="str" cm="1">
        <f t="array" ref="W1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1" s="58" t="str" cm="1">
        <f t="array" ref="X141">_xlfn._xlws.FILTER(Teams[name], (Fixtures[[#This Row],[userTeamID]] = Teams[teamID]), "N/A")</f>
        <v>RB Leipzig</v>
      </c>
      <c r="Y141" s="58" t="str" cm="1">
        <f t="array" ref="Y141">_xlfn._xlws.FILTER(Teams[teamType], (Fixtures[[#This Row],[userTeamID]] = Teams[teamID]), "N/A")</f>
        <v>Club</v>
      </c>
      <c r="Z141" s="58" t="str" cm="1">
        <f t="array" ref="Z141">IF(Fixtures[[#This Row],[userTeamID]] = "N/A", "N/A", IF(SUM(COUNTIF(Fixtures[[#This Row],[homeTeam]], _xlfn._xlws.FILTER(Teams[name], (Fixtures[[#This Row],[userTeamID]] = Teams[teamID])*(Teams[relevant])))) &gt; 0, "H", "A"))</f>
        <v>H</v>
      </c>
      <c r="AA141" s="58" t="str">
        <f>IF(Fixtures[[#This Row],[userSide]] = "N/A", "N/A", IF(Fixtures[[#This Row],[userSide]] = "H", Fixtures[[#This Row],[awayTeam]], Fixtures[[#This Row],[homeTeam]]))</f>
        <v>M'gladbach</v>
      </c>
      <c r="AB141" s="58" t="str" cm="1">
        <f t="array" ref="AB141">_xlfn._xlws.FILTER(Teams[teamID], Fixtures[[#This Row],[oppTeam]] = Teams[name], "N/A")</f>
        <v>C-GER-M'GLADBACH</v>
      </c>
      <c r="AC141" s="58" t="str" cm="1">
        <f t="array" ref="AC141">_xlfn._xlws.FILTER(Teams[teamType], Fixtures[[#This Row],[oppTeam]] = Teams[name], "N/A")</f>
        <v>Club</v>
      </c>
      <c r="AD141" s="58">
        <f>IF(ISBLANK(Fixtures[[#This Row],[date]]), "N/A", IF(Fixtures[[#This Row],[userSide]]="H", Fixtures[[#This Row],[homeScore]], Fixtures[[#This Row],[awayScore]]))</f>
        <v>2</v>
      </c>
      <c r="AE141" s="58">
        <f>IF(ISBLANK(Fixtures[[#This Row],[date]]), "N/A", IF(Fixtures[[#This Row],[userScore]] = Fixtures[[#This Row],[homeScore]], Fixtures[[#This Row],[awayScore]], Fixtures[[#This Row],[homeScore]]))</f>
        <v>2</v>
      </c>
      <c r="AF141" s="58" t="b">
        <f>NOT(AND(ISBLANK(Fixtures[[#This Row],[homePens]]), ISBLANK(Fixtures[[#This Row],[awayPens]])))</f>
        <v>0</v>
      </c>
      <c r="AG141" s="58" t="str">
        <f>IF(Fixtures[[#This Row],[penalties]], IF(Fixtures[[#This Row],[userSide]]="H", Fixtures[[#This Row],[homePens]], Fixtures[[#This Row],[awayPens]]), "N/A")</f>
        <v>N/A</v>
      </c>
      <c r="AH141" s="58" t="str">
        <f>IF(Fixtures[[#This Row],[penalties]], IF(Fixtures[[#This Row],[userPens]]=Fixtures[[#This Row],[homePens]],Fixtures[[#This Row],[awayPens]],Fixtures[[#This Row],[homePens]]), "N/A")</f>
        <v>N/A</v>
      </c>
      <c r="AI141" s="58" t="b">
        <f>COUNTBLANK(Fixtures[[#This Row],[G]:[MOTM]]) = 0</f>
        <v>1</v>
      </c>
      <c r="AJ141" s="58">
        <f>IF(Fixtures[[#This Row],[APP]], Fixtures[[#This Row],[G]]+Fixtures[[#This Row],[A]], "N/A")</f>
        <v>1</v>
      </c>
      <c r="AK1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41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[2025-09-27] RB Leipzig vs. M'gladbach (2-2) - Bundesliga</v>
      </c>
    </row>
    <row r="142" spans="1:39" ht="13">
      <c r="A142" s="55">
        <v>45931</v>
      </c>
      <c r="B142" s="61">
        <v>0.79166666666666663</v>
      </c>
      <c r="C142" s="56" t="s">
        <v>183</v>
      </c>
      <c r="D142" s="56" t="s">
        <v>259</v>
      </c>
      <c r="E142" s="56" t="s">
        <v>265</v>
      </c>
      <c r="F142" s="56" t="s">
        <v>277</v>
      </c>
      <c r="G142" s="56" t="s">
        <v>262</v>
      </c>
      <c r="H142" s="56" t="s">
        <v>278</v>
      </c>
      <c r="I142" s="56">
        <v>4</v>
      </c>
      <c r="J142" s="56">
        <v>0</v>
      </c>
      <c r="K142" s="56"/>
      <c r="L142" s="56"/>
      <c r="M142" s="56">
        <v>1</v>
      </c>
      <c r="N142" s="56">
        <v>1</v>
      </c>
      <c r="O142" s="56">
        <v>0</v>
      </c>
      <c r="P142" s="56">
        <v>0</v>
      </c>
      <c r="Q142" s="57">
        <v>8.9</v>
      </c>
      <c r="R142" s="56" t="b">
        <v>1</v>
      </c>
      <c r="S142" s="58" t="str" cm="1">
        <f t="array" ref="S142">_xlfn._xlws.FILTER(Competitions[compType], (Fixtures[[#This Row],[competition]] = Competitions[name]), "N/A")</f>
        <v>Domestic Cup</v>
      </c>
      <c r="T142" s="58" t="b" cm="1">
        <f t="array" ref="T142">_xlfn._xlws.FILTER(Competitions[exhibition], (Fixtures[[#This Row],[competition]] = Competitions[name]), "N/A")</f>
        <v>0</v>
      </c>
      <c r="U142" s="58" t="str" cm="1">
        <f t="array" ref="U142">_xlfn._xlws.FILTER(Competitions[compID], (Fixtures[[#This Row],[competition]] = Competitions[name]), "N/A")</f>
        <v>DC-OF-DFBPOKAL</v>
      </c>
      <c r="V1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2" s="58" t="str" cm="1">
        <f t="array" ref="W1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2" s="58" t="str" cm="1">
        <f t="array" ref="X142">_xlfn._xlws.FILTER(Teams[name], (Fixtures[[#This Row],[userTeamID]] = Teams[teamID]), "N/A")</f>
        <v>RB Leipzig</v>
      </c>
      <c r="Y142" s="58" t="str" cm="1">
        <f t="array" ref="Y142">_xlfn._xlws.FILTER(Teams[teamType], (Fixtures[[#This Row],[userTeamID]] = Teams[teamID]), "N/A")</f>
        <v>Club</v>
      </c>
      <c r="Z142" s="58" t="str" cm="1">
        <f t="array" ref="Z142">IF(Fixtures[[#This Row],[userTeamID]] = "N/A", "N/A", IF(SUM(COUNTIF(Fixtures[[#This Row],[homeTeam]], _xlfn._xlws.FILTER(Teams[name], (Fixtures[[#This Row],[userTeamID]] = Teams[teamID])*(Teams[relevant])))) &gt; 0, "H", "A"))</f>
        <v>H</v>
      </c>
      <c r="AA142" s="58" t="str">
        <f>IF(Fixtures[[#This Row],[userSide]] = "N/A", "N/A", IF(Fixtures[[#This Row],[userSide]] = "H", Fixtures[[#This Row],[awayTeam]], Fixtures[[#This Row],[homeTeam]]))</f>
        <v>Holstein Kiel</v>
      </c>
      <c r="AB142" s="58" t="str" cm="1">
        <f t="array" ref="AB142">_xlfn._xlws.FILTER(Teams[teamID], Fixtures[[#This Row],[oppTeam]] = Teams[name], "N/A")</f>
        <v>C-GER-HOLSTEINKIEL</v>
      </c>
      <c r="AC142" s="58" t="str" cm="1">
        <f t="array" ref="AC142">_xlfn._xlws.FILTER(Teams[teamType], Fixtures[[#This Row],[oppTeam]] = Teams[name], "N/A")</f>
        <v>Club</v>
      </c>
      <c r="AD142" s="58">
        <f>IF(ISBLANK(Fixtures[[#This Row],[date]]), "N/A", IF(Fixtures[[#This Row],[userSide]]="H", Fixtures[[#This Row],[homeScore]], Fixtures[[#This Row],[awayScore]]))</f>
        <v>4</v>
      </c>
      <c r="AE142" s="58">
        <f>IF(ISBLANK(Fixtures[[#This Row],[date]]), "N/A", IF(Fixtures[[#This Row],[userScore]] = Fixtures[[#This Row],[homeScore]], Fixtures[[#This Row],[awayScore]], Fixtures[[#This Row],[homeScore]]))</f>
        <v>0</v>
      </c>
      <c r="AF142" s="58" t="b">
        <f>NOT(AND(ISBLANK(Fixtures[[#This Row],[homePens]]), ISBLANK(Fixtures[[#This Row],[awayPens]])))</f>
        <v>0</v>
      </c>
      <c r="AG142" s="58" t="str">
        <f>IF(Fixtures[[#This Row],[penalties]], IF(Fixtures[[#This Row],[userSide]]="H", Fixtures[[#This Row],[homePens]], Fixtures[[#This Row],[awayPens]]), "N/A")</f>
        <v>N/A</v>
      </c>
      <c r="AH142" s="58" t="str">
        <f>IF(Fixtures[[#This Row],[penalties]], IF(Fixtures[[#This Row],[userPens]]=Fixtures[[#This Row],[homePens]],Fixtures[[#This Row],[awayPens]],Fixtures[[#This Row],[homePens]]), "N/A")</f>
        <v>N/A</v>
      </c>
      <c r="AI142" s="58" t="b">
        <f>COUNTBLANK(Fixtures[[#This Row],[G]:[MOTM]]) = 0</f>
        <v>1</v>
      </c>
      <c r="AJ142" s="58">
        <f>IF(Fixtures[[#This Row],[APP]], Fixtures[[#This Row],[G]]+Fixtures[[#This Row],[A]], "N/A")</f>
        <v>2</v>
      </c>
      <c r="AK1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42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1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[2025-10-01] RB Leipzig vs. Holstein Kiel (4-0) - DFB-Pokal</v>
      </c>
    </row>
    <row r="143" spans="1:39" ht="13">
      <c r="A143" s="55">
        <v>45934</v>
      </c>
      <c r="B143" s="61">
        <v>0.64583333333333337</v>
      </c>
      <c r="C143" s="56" t="s">
        <v>203</v>
      </c>
      <c r="D143" s="56" t="s">
        <v>259</v>
      </c>
      <c r="E143" s="56" t="s">
        <v>267</v>
      </c>
      <c r="F143" s="56" t="s">
        <v>261</v>
      </c>
      <c r="G143" s="56" t="s">
        <v>262</v>
      </c>
      <c r="H143" s="56" t="s">
        <v>279</v>
      </c>
      <c r="I143" s="56">
        <v>1</v>
      </c>
      <c r="J143" s="56">
        <v>1</v>
      </c>
      <c r="K143" s="56"/>
      <c r="L143" s="56"/>
      <c r="M143" s="56">
        <v>0</v>
      </c>
      <c r="N143" s="56">
        <v>0</v>
      </c>
      <c r="O143" s="56">
        <v>0</v>
      </c>
      <c r="P143" s="56">
        <v>0</v>
      </c>
      <c r="Q143" s="57">
        <v>7.9</v>
      </c>
      <c r="R143" s="56" t="b">
        <v>1</v>
      </c>
      <c r="S143" s="58" t="str" cm="1">
        <f t="array" ref="S143">_xlfn._xlws.FILTER(Competitions[compType], (Fixtures[[#This Row],[competition]] = Competitions[name]), "N/A")</f>
        <v>Domestic League</v>
      </c>
      <c r="T143" s="58" t="b" cm="1">
        <f t="array" ref="T143">_xlfn._xlws.FILTER(Competitions[exhibition], (Fixtures[[#This Row],[competition]] = Competitions[name]), "N/A")</f>
        <v>0</v>
      </c>
      <c r="U143" s="58" t="str" cm="1">
        <f t="array" ref="U143">_xlfn._xlws.FILTER(Competitions[compID], (Fixtures[[#This Row],[competition]] = Competitions[name]), "N/A")</f>
        <v>DL-OF-BUNDESLIGA</v>
      </c>
      <c r="V1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3" s="58" t="str" cm="1">
        <f t="array" ref="W1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3" s="58" t="str" cm="1">
        <f t="array" ref="X143">_xlfn._xlws.FILTER(Teams[name], (Fixtures[[#This Row],[userTeamID]] = Teams[teamID]), "N/A")</f>
        <v>RB Leipzig</v>
      </c>
      <c r="Y143" s="58" t="str" cm="1">
        <f t="array" ref="Y143">_xlfn._xlws.FILTER(Teams[teamType], (Fixtures[[#This Row],[userTeamID]] = Teams[teamID]), "N/A")</f>
        <v>Club</v>
      </c>
      <c r="Z143" s="58" t="str" cm="1">
        <f t="array" ref="Z143">IF(Fixtures[[#This Row],[userTeamID]] = "N/A", "N/A", IF(SUM(COUNTIF(Fixtures[[#This Row],[homeTeam]], _xlfn._xlws.FILTER(Teams[name], (Fixtures[[#This Row],[userTeamID]] = Teams[teamID])*(Teams[relevant])))) &gt; 0, "H", "A"))</f>
        <v>H</v>
      </c>
      <c r="AA143" s="58" t="str">
        <f>IF(Fixtures[[#This Row],[userSide]] = "N/A", "N/A", IF(Fixtures[[#This Row],[userSide]] = "H", Fixtures[[#This Row],[awayTeam]], Fixtures[[#This Row],[homeTeam]]))</f>
        <v>Hertha Berlin</v>
      </c>
      <c r="AB143" s="58" t="str" cm="1">
        <f t="array" ref="AB143">_xlfn._xlws.FILTER(Teams[teamID], Fixtures[[#This Row],[oppTeam]] = Teams[name], "N/A")</f>
        <v>C-GER-HERTHABERLIN</v>
      </c>
      <c r="AC143" s="58" t="str" cm="1">
        <f t="array" ref="AC143">_xlfn._xlws.FILTER(Teams[teamType], Fixtures[[#This Row],[oppTeam]] = Teams[name], "N/A")</f>
        <v>Club</v>
      </c>
      <c r="AD143" s="58">
        <f>IF(ISBLANK(Fixtures[[#This Row],[date]]), "N/A", IF(Fixtures[[#This Row],[userSide]]="H", Fixtures[[#This Row],[homeScore]], Fixtures[[#This Row],[awayScore]]))</f>
        <v>1</v>
      </c>
      <c r="AE143" s="58">
        <f>IF(ISBLANK(Fixtures[[#This Row],[date]]), "N/A", IF(Fixtures[[#This Row],[userScore]] = Fixtures[[#This Row],[homeScore]], Fixtures[[#This Row],[awayScore]], Fixtures[[#This Row],[homeScore]]))</f>
        <v>1</v>
      </c>
      <c r="AF143" s="58" t="b">
        <f>NOT(AND(ISBLANK(Fixtures[[#This Row],[homePens]]), ISBLANK(Fixtures[[#This Row],[awayPens]])))</f>
        <v>0</v>
      </c>
      <c r="AG143" s="58" t="str">
        <f>IF(Fixtures[[#This Row],[penalties]], IF(Fixtures[[#This Row],[userSide]]="H", Fixtures[[#This Row],[homePens]], Fixtures[[#This Row],[awayPens]]), "N/A")</f>
        <v>N/A</v>
      </c>
      <c r="AH143" s="58" t="str">
        <f>IF(Fixtures[[#This Row],[penalties]], IF(Fixtures[[#This Row],[userPens]]=Fixtures[[#This Row],[homePens]],Fixtures[[#This Row],[awayPens]],Fixtures[[#This Row],[homePens]]), "N/A")</f>
        <v>N/A</v>
      </c>
      <c r="AI143" s="58" t="b">
        <f>COUNTBLANK(Fixtures[[#This Row],[G]:[MOTM]]) = 0</f>
        <v>1</v>
      </c>
      <c r="AJ143" s="58">
        <f>IF(Fixtures[[#This Row],[APP]], Fixtures[[#This Row],[G]]+Fixtures[[#This Row],[A]], "N/A")</f>
        <v>0</v>
      </c>
      <c r="AK1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43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[2025-10-04] RB Leipzig vs. Hertha Berlin (1-1) - Bundesliga</v>
      </c>
    </row>
    <row r="144" spans="1:39" ht="13">
      <c r="A144" s="55">
        <v>45937</v>
      </c>
      <c r="B144" s="61">
        <v>0.875</v>
      </c>
      <c r="C144" s="56" t="s">
        <v>195</v>
      </c>
      <c r="D144" s="56" t="s">
        <v>259</v>
      </c>
      <c r="E144" s="56" t="s">
        <v>280</v>
      </c>
      <c r="F144" s="56" t="s">
        <v>274</v>
      </c>
      <c r="G144" s="56" t="s">
        <v>262</v>
      </c>
      <c r="H144" s="56" t="s">
        <v>281</v>
      </c>
      <c r="I144" s="56">
        <v>1</v>
      </c>
      <c r="J144" s="56">
        <v>1</v>
      </c>
      <c r="K144" s="56"/>
      <c r="L144" s="56"/>
      <c r="M144" s="56">
        <v>1</v>
      </c>
      <c r="N144" s="56">
        <v>0</v>
      </c>
      <c r="O144" s="56">
        <v>0</v>
      </c>
      <c r="P144" s="56">
        <v>0</v>
      </c>
      <c r="Q144" s="57">
        <v>7.6</v>
      </c>
      <c r="R144" s="56" t="b">
        <v>1</v>
      </c>
      <c r="S144" s="58" t="str" cm="1">
        <f t="array" ref="S144">_xlfn._xlws.FILTER(Competitions[compType], (Fixtures[[#This Row],[competition]] = Competitions[name]), "N/A")</f>
        <v>Continental Cup</v>
      </c>
      <c r="T144" s="58" t="b" cm="1">
        <f t="array" ref="T144">_xlfn._xlws.FILTER(Competitions[exhibition], (Fixtures[[#This Row],[competition]] = Competitions[name]), "N/A")</f>
        <v>0</v>
      </c>
      <c r="U144" s="58" t="str" cm="1">
        <f t="array" ref="U144">_xlfn._xlws.FILTER(Competitions[compID], (Fixtures[[#This Row],[competition]] = Competitions[name]), "N/A")</f>
        <v>CC-OF-UEFACHAMPIONSLEAGUE</v>
      </c>
      <c r="V1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4" s="58" t="str" cm="1">
        <f t="array" ref="W1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4" s="58" t="str" cm="1">
        <f t="array" ref="X144">_xlfn._xlws.FILTER(Teams[name], (Fixtures[[#This Row],[userTeamID]] = Teams[teamID]), "N/A")</f>
        <v>RB Leipzig</v>
      </c>
      <c r="Y144" s="58" t="str" cm="1">
        <f t="array" ref="Y144">_xlfn._xlws.FILTER(Teams[teamType], (Fixtures[[#This Row],[userTeamID]] = Teams[teamID]), "N/A")</f>
        <v>Club</v>
      </c>
      <c r="Z144" s="58" t="str" cm="1">
        <f t="array" ref="Z144">IF(Fixtures[[#This Row],[userTeamID]] = "N/A", "N/A", IF(SUM(COUNTIF(Fixtures[[#This Row],[homeTeam]], _xlfn._xlws.FILTER(Teams[name], (Fixtures[[#This Row],[userTeamID]] = Teams[teamID])*(Teams[relevant])))) &gt; 0, "H", "A"))</f>
        <v>H</v>
      </c>
      <c r="AA144" s="58" t="str">
        <f>IF(Fixtures[[#This Row],[userSide]] = "N/A", "N/A", IF(Fixtures[[#This Row],[userSide]] = "H", Fixtures[[#This Row],[awayTeam]], Fixtures[[#This Row],[homeTeam]]))</f>
        <v>OM</v>
      </c>
      <c r="AB144" s="58" t="str" cm="1">
        <f t="array" ref="AB144">_xlfn._xlws.FILTER(Teams[teamID], Fixtures[[#This Row],[oppTeam]] = Teams[name], "N/A")</f>
        <v>C-FRA-OM</v>
      </c>
      <c r="AC144" s="58" t="str" cm="1">
        <f t="array" ref="AC144">_xlfn._xlws.FILTER(Teams[teamType], Fixtures[[#This Row],[oppTeam]] = Teams[name], "N/A")</f>
        <v>Club</v>
      </c>
      <c r="AD144" s="58">
        <f>IF(ISBLANK(Fixtures[[#This Row],[date]]), "N/A", IF(Fixtures[[#This Row],[userSide]]="H", Fixtures[[#This Row],[homeScore]], Fixtures[[#This Row],[awayScore]]))</f>
        <v>1</v>
      </c>
      <c r="AE144" s="58">
        <f>IF(ISBLANK(Fixtures[[#This Row],[date]]), "N/A", IF(Fixtures[[#This Row],[userScore]] = Fixtures[[#This Row],[homeScore]], Fixtures[[#This Row],[awayScore]], Fixtures[[#This Row],[homeScore]]))</f>
        <v>1</v>
      </c>
      <c r="AF144" s="58" t="b">
        <f>NOT(AND(ISBLANK(Fixtures[[#This Row],[homePens]]), ISBLANK(Fixtures[[#This Row],[awayPens]])))</f>
        <v>0</v>
      </c>
      <c r="AG144" s="58" t="str">
        <f>IF(Fixtures[[#This Row],[penalties]], IF(Fixtures[[#This Row],[userSide]]="H", Fixtures[[#This Row],[homePens]], Fixtures[[#This Row],[awayPens]]), "N/A")</f>
        <v>N/A</v>
      </c>
      <c r="AH144" s="58" t="str">
        <f>IF(Fixtures[[#This Row],[penalties]], IF(Fixtures[[#This Row],[userPens]]=Fixtures[[#This Row],[homePens]],Fixtures[[#This Row],[awayPens]],Fixtures[[#This Row],[homePens]]), "N/A")</f>
        <v>N/A</v>
      </c>
      <c r="AI144" s="58" t="b">
        <f>COUNTBLANK(Fixtures[[#This Row],[G]:[MOTM]]) = 0</f>
        <v>1</v>
      </c>
      <c r="AJ144" s="58">
        <f>IF(Fixtures[[#This Row],[APP]], Fixtures[[#This Row],[G]]+Fixtures[[#This Row],[A]], "N/A")</f>
        <v>1</v>
      </c>
      <c r="AK1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44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[2025-10-07] RB Leipzig vs. OM (1-1) - UEFA Champions League</v>
      </c>
    </row>
    <row r="145" spans="1:39" ht="13">
      <c r="A145" s="55">
        <v>45942</v>
      </c>
      <c r="B145" s="61">
        <v>0.64583333333333337</v>
      </c>
      <c r="C145" s="56" t="s">
        <v>183</v>
      </c>
      <c r="D145" s="56" t="s">
        <v>282</v>
      </c>
      <c r="E145" s="56" t="s">
        <v>265</v>
      </c>
      <c r="F145" s="56" t="s">
        <v>261</v>
      </c>
      <c r="G145" s="56" t="s">
        <v>283</v>
      </c>
      <c r="H145" s="56" t="s">
        <v>262</v>
      </c>
      <c r="I145" s="56">
        <v>1</v>
      </c>
      <c r="J145" s="56">
        <v>3</v>
      </c>
      <c r="K145" s="56"/>
      <c r="L145" s="56"/>
      <c r="M145" s="56">
        <v>0</v>
      </c>
      <c r="N145" s="56">
        <v>0</v>
      </c>
      <c r="O145" s="56">
        <v>0</v>
      </c>
      <c r="P145" s="56">
        <v>0</v>
      </c>
      <c r="Q145" s="57">
        <v>7.2</v>
      </c>
      <c r="R145" s="56" t="b">
        <v>0</v>
      </c>
      <c r="S145" s="58" t="str" cm="1">
        <f t="array" ref="S145">_xlfn._xlws.FILTER(Competitions[compType], (Fixtures[[#This Row],[competition]] = Competitions[name]), "N/A")</f>
        <v>Domestic League</v>
      </c>
      <c r="T145" s="58" t="b" cm="1">
        <f t="array" ref="T145">_xlfn._xlws.FILTER(Competitions[exhibition], (Fixtures[[#This Row],[competition]] = Competitions[name]), "N/A")</f>
        <v>0</v>
      </c>
      <c r="U145" s="58" t="str" cm="1">
        <f t="array" ref="U145">_xlfn._xlws.FILTER(Competitions[compID], (Fixtures[[#This Row],[competition]] = Competitions[name]), "N/A")</f>
        <v>DL-OF-BUNDESLIGA</v>
      </c>
      <c r="V1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5" s="58" t="str" cm="1">
        <f t="array" ref="W1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5" s="58" t="str" cm="1">
        <f t="array" ref="X145">_xlfn._xlws.FILTER(Teams[name], (Fixtures[[#This Row],[userTeamID]] = Teams[teamID]), "N/A")</f>
        <v>RB Leipzig</v>
      </c>
      <c r="Y145" s="58" t="str" cm="1">
        <f t="array" ref="Y145">_xlfn._xlws.FILTER(Teams[teamType], (Fixtures[[#This Row],[userTeamID]] = Teams[teamID]), "N/A")</f>
        <v>Club</v>
      </c>
      <c r="Z145" s="58" t="str" cm="1">
        <f t="array" ref="Z145">IF(Fixtures[[#This Row],[userTeamID]] = "N/A", "N/A", IF(SUM(COUNTIF(Fixtures[[#This Row],[homeTeam]], _xlfn._xlws.FILTER(Teams[name], (Fixtures[[#This Row],[userTeamID]] = Teams[teamID])*(Teams[relevant])))) &gt; 0, "H", "A"))</f>
        <v>A</v>
      </c>
      <c r="AA145" s="58" t="str">
        <f>IF(Fixtures[[#This Row],[userSide]] = "N/A", "N/A", IF(Fixtures[[#This Row],[userSide]] = "H", Fixtures[[#This Row],[awayTeam]], Fixtures[[#This Row],[homeTeam]]))</f>
        <v>VfL Bochum</v>
      </c>
      <c r="AB145" s="58" t="str" cm="1">
        <f t="array" ref="AB145">_xlfn._xlws.FILTER(Teams[teamID], Fixtures[[#This Row],[oppTeam]] = Teams[name], "N/A")</f>
        <v>C-GER-VFLBOCHUM</v>
      </c>
      <c r="AC145" s="58" t="str" cm="1">
        <f t="array" ref="AC145">_xlfn._xlws.FILTER(Teams[teamType], Fixtures[[#This Row],[oppTeam]] = Teams[name], "N/A")</f>
        <v>Club</v>
      </c>
      <c r="AD145" s="58">
        <f>IF(ISBLANK(Fixtures[[#This Row],[date]]), "N/A", IF(Fixtures[[#This Row],[userSide]]="H", Fixtures[[#This Row],[homeScore]], Fixtures[[#This Row],[awayScore]]))</f>
        <v>3</v>
      </c>
      <c r="AE145" s="58">
        <f>IF(ISBLANK(Fixtures[[#This Row],[date]]), "N/A", IF(Fixtures[[#This Row],[userScore]] = Fixtures[[#This Row],[homeScore]], Fixtures[[#This Row],[awayScore]], Fixtures[[#This Row],[homeScore]]))</f>
        <v>1</v>
      </c>
      <c r="AF145" s="58" t="b">
        <f>NOT(AND(ISBLANK(Fixtures[[#This Row],[homePens]]), ISBLANK(Fixtures[[#This Row],[awayPens]])))</f>
        <v>0</v>
      </c>
      <c r="AG145" s="58" t="str">
        <f>IF(Fixtures[[#This Row],[penalties]], IF(Fixtures[[#This Row],[userSide]]="H", Fixtures[[#This Row],[homePens]], Fixtures[[#This Row],[awayPens]]), "N/A")</f>
        <v>N/A</v>
      </c>
      <c r="AH145" s="58" t="str">
        <f>IF(Fixtures[[#This Row],[penalties]], IF(Fixtures[[#This Row],[userPens]]=Fixtures[[#This Row],[homePens]],Fixtures[[#This Row],[awayPens]],Fixtures[[#This Row],[homePens]]), "N/A")</f>
        <v>N/A</v>
      </c>
      <c r="AI145" s="58" t="b">
        <f>COUNTBLANK(Fixtures[[#This Row],[G]:[MOTM]]) = 0</f>
        <v>1</v>
      </c>
      <c r="AJ145" s="58">
        <f>IF(Fixtures[[#This Row],[APP]], Fixtures[[#This Row],[G]]+Fixtures[[#This Row],[A]], "N/A")</f>
        <v>0</v>
      </c>
      <c r="AK1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45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[2025-10-12] VfL Bochum vs. RB Leipzig (1-3) - Bundesliga</v>
      </c>
    </row>
    <row r="146" spans="1:39" ht="13">
      <c r="A146" s="55">
        <v>45948</v>
      </c>
      <c r="B146" s="61">
        <v>0.33333333333333331</v>
      </c>
      <c r="C146" s="56" t="s">
        <v>183</v>
      </c>
      <c r="D146" s="56" t="s">
        <v>115</v>
      </c>
      <c r="E146" s="56" t="s">
        <v>200</v>
      </c>
      <c r="F146" s="56" t="s">
        <v>128</v>
      </c>
      <c r="G146" s="56" t="s">
        <v>284</v>
      </c>
      <c r="H146" s="56" t="s">
        <v>16</v>
      </c>
      <c r="I146" s="56">
        <v>2</v>
      </c>
      <c r="J146" s="56">
        <v>2</v>
      </c>
      <c r="K146" s="56"/>
      <c r="L146" s="56"/>
      <c r="M146" s="56">
        <v>0</v>
      </c>
      <c r="N146" s="56">
        <v>2</v>
      </c>
      <c r="O146" s="56">
        <v>0</v>
      </c>
      <c r="P146" s="56">
        <v>0</v>
      </c>
      <c r="Q146" s="57">
        <v>8.4</v>
      </c>
      <c r="R146" s="56" t="b">
        <v>1</v>
      </c>
      <c r="S146" s="58" t="str" cm="1">
        <f t="array" ref="S146">_xlfn._xlws.FILTER(Competitions[compType], (Fixtures[[#This Row],[competition]] = Competitions[name]), "N/A")</f>
        <v>International Friendly</v>
      </c>
      <c r="T146" s="58" t="b" cm="1">
        <f t="array" ref="T146">_xlfn._xlws.FILTER(Competitions[exhibition], (Fixtures[[#This Row],[competition]] = Competitions[name]), "N/A")</f>
        <v>1</v>
      </c>
      <c r="U146" s="58" t="str" cm="1">
        <f t="array" ref="U146">_xlfn._xlws.FILTER(Competitions[compID], (Fixtures[[#This Row],[competition]] = Competitions[name]), "N/A")</f>
        <v>IF-EX-INTERNATIONALFRIENDLY</v>
      </c>
      <c r="V1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6" s="58" t="str" cm="1">
        <f t="array" ref="W1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46" s="58" t="str" cm="1">
        <f t="array" ref="X146">_xlfn._xlws.FILTER(Teams[name], (Fixtures[[#This Row],[userTeamID]] = Teams[teamID]), "N/A")</f>
        <v>United States</v>
      </c>
      <c r="Y146" s="58" t="str" cm="1">
        <f t="array" ref="Y146">_xlfn._xlws.FILTER(Teams[teamType], (Fixtures[[#This Row],[userTeamID]] = Teams[teamID]), "N/A")</f>
        <v>National</v>
      </c>
      <c r="Z146" s="58" t="str" cm="1">
        <f t="array" ref="Z146">IF(Fixtures[[#This Row],[userTeamID]] = "N/A", "N/A", IF(SUM(COUNTIF(Fixtures[[#This Row],[homeTeam]], _xlfn._xlws.FILTER(Teams[name], (Fixtures[[#This Row],[userTeamID]] = Teams[teamID])*(Teams[relevant])))) &gt; 0, "H", "A"))</f>
        <v>A</v>
      </c>
      <c r="AA146" s="58" t="str">
        <f>IF(Fixtures[[#This Row],[userSide]] = "N/A", "N/A", IF(Fixtures[[#This Row],[userSide]] = "H", Fixtures[[#This Row],[awayTeam]], Fixtures[[#This Row],[homeTeam]]))</f>
        <v>Sweden</v>
      </c>
      <c r="AB146" s="58" t="str" cm="1">
        <f t="array" ref="AB146">_xlfn._xlws.FILTER(Teams[teamID], Fixtures[[#This Row],[oppTeam]] = Teams[name], "N/A")</f>
        <v>N-SWE-SWEDEN</v>
      </c>
      <c r="AC146" s="58" t="str" cm="1">
        <f t="array" ref="AC146">_xlfn._xlws.FILTER(Teams[teamType], Fixtures[[#This Row],[oppTeam]] = Teams[name], "N/A")</f>
        <v>National</v>
      </c>
      <c r="AD146" s="58">
        <f>IF(ISBLANK(Fixtures[[#This Row],[date]]), "N/A", IF(Fixtures[[#This Row],[userSide]]="H", Fixtures[[#This Row],[homeScore]], Fixtures[[#This Row],[awayScore]]))</f>
        <v>2</v>
      </c>
      <c r="AE146" s="58">
        <f>IF(ISBLANK(Fixtures[[#This Row],[date]]), "N/A", IF(Fixtures[[#This Row],[userScore]] = Fixtures[[#This Row],[homeScore]], Fixtures[[#This Row],[awayScore]], Fixtures[[#This Row],[homeScore]]))</f>
        <v>2</v>
      </c>
      <c r="AF146" s="58" t="b">
        <f>NOT(AND(ISBLANK(Fixtures[[#This Row],[homePens]]), ISBLANK(Fixtures[[#This Row],[awayPens]])))</f>
        <v>0</v>
      </c>
      <c r="AG146" s="58" t="str">
        <f>IF(Fixtures[[#This Row],[penalties]], IF(Fixtures[[#This Row],[userSide]]="H", Fixtures[[#This Row],[homePens]], Fixtures[[#This Row],[awayPens]]), "N/A")</f>
        <v>N/A</v>
      </c>
      <c r="AH146" s="58" t="str">
        <f>IF(Fixtures[[#This Row],[penalties]], IF(Fixtures[[#This Row],[userPens]]=Fixtures[[#This Row],[homePens]],Fixtures[[#This Row],[awayPens]],Fixtures[[#This Row],[homePens]]), "N/A")</f>
        <v>N/A</v>
      </c>
      <c r="AI146" s="58" t="b">
        <f>COUNTBLANK(Fixtures[[#This Row],[G]:[MOTM]]) = 0</f>
        <v>1</v>
      </c>
      <c r="AJ146" s="58">
        <f>IF(Fixtures[[#This Row],[APP]], Fixtures[[#This Row],[G]]+Fixtures[[#This Row],[A]], "N/A")</f>
        <v>2</v>
      </c>
      <c r="AK1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46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[2025-10-18] Sweden vs. United States (2-2) - International Friendly</v>
      </c>
    </row>
    <row r="147" spans="1:39" ht="13">
      <c r="A147" s="55">
        <v>45951</v>
      </c>
      <c r="B147" s="61">
        <v>0.48958333333333331</v>
      </c>
      <c r="C147" s="56" t="s">
        <v>161</v>
      </c>
      <c r="D147" s="56" t="s">
        <v>285</v>
      </c>
      <c r="E147" s="56" t="s">
        <v>269</v>
      </c>
      <c r="F147" s="56" t="s">
        <v>128</v>
      </c>
      <c r="G147" s="56" t="s">
        <v>286</v>
      </c>
      <c r="H147" s="56" t="s">
        <v>16</v>
      </c>
      <c r="I147" s="56">
        <v>0</v>
      </c>
      <c r="J147" s="56">
        <v>1</v>
      </c>
      <c r="K147" s="56"/>
      <c r="L147" s="56"/>
      <c r="M147" s="56">
        <v>0</v>
      </c>
      <c r="N147" s="56">
        <v>0</v>
      </c>
      <c r="O147" s="56">
        <v>0</v>
      </c>
      <c r="P147" s="56">
        <v>0</v>
      </c>
      <c r="Q147" s="57">
        <v>7.2</v>
      </c>
      <c r="R147" s="56" t="b">
        <v>0</v>
      </c>
      <c r="S147" s="58" t="str" cm="1">
        <f t="array" ref="S147">_xlfn._xlws.FILTER(Competitions[compType], (Fixtures[[#This Row],[competition]] = Competitions[name]), "N/A")</f>
        <v>International Friendly</v>
      </c>
      <c r="T147" s="58" t="b" cm="1">
        <f t="array" ref="T147">_xlfn._xlws.FILTER(Competitions[exhibition], (Fixtures[[#This Row],[competition]] = Competitions[name]), "N/A")</f>
        <v>1</v>
      </c>
      <c r="U147" s="58" t="str" cm="1">
        <f t="array" ref="U147">_xlfn._xlws.FILTER(Competitions[compID], (Fixtures[[#This Row],[competition]] = Competitions[name]), "N/A")</f>
        <v>IF-EX-INTERNATIONALFRIENDLY</v>
      </c>
      <c r="V1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7" s="58" t="str" cm="1">
        <f t="array" ref="W1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47" s="58" t="str" cm="1">
        <f t="array" ref="X147">_xlfn._xlws.FILTER(Teams[name], (Fixtures[[#This Row],[userTeamID]] = Teams[teamID]), "N/A")</f>
        <v>United States</v>
      </c>
      <c r="Y147" s="58" t="str" cm="1">
        <f t="array" ref="Y147">_xlfn._xlws.FILTER(Teams[teamType], (Fixtures[[#This Row],[userTeamID]] = Teams[teamID]), "N/A")</f>
        <v>National</v>
      </c>
      <c r="Z147" s="58" t="str" cm="1">
        <f t="array" ref="Z147">IF(Fixtures[[#This Row],[userTeamID]] = "N/A", "N/A", IF(SUM(COUNTIF(Fixtures[[#This Row],[homeTeam]], _xlfn._xlws.FILTER(Teams[name], (Fixtures[[#This Row],[userTeamID]] = Teams[teamID])*(Teams[relevant])))) &gt; 0, "H", "A"))</f>
        <v>A</v>
      </c>
      <c r="AA147" s="58" t="str">
        <f>IF(Fixtures[[#This Row],[userSide]] = "N/A", "N/A", IF(Fixtures[[#This Row],[userSide]] = "H", Fixtures[[#This Row],[awayTeam]], Fixtures[[#This Row],[homeTeam]]))</f>
        <v>Norway</v>
      </c>
      <c r="AB147" s="58" t="str" cm="1">
        <f t="array" ref="AB147">_xlfn._xlws.FILTER(Teams[teamID], Fixtures[[#This Row],[oppTeam]] = Teams[name], "N/A")</f>
        <v>N-NOR-NORWAY</v>
      </c>
      <c r="AC147" s="58" t="str" cm="1">
        <f t="array" ref="AC147">_xlfn._xlws.FILTER(Teams[teamType], Fixtures[[#This Row],[oppTeam]] = Teams[name], "N/A")</f>
        <v>National</v>
      </c>
      <c r="AD147" s="58">
        <f>IF(ISBLANK(Fixtures[[#This Row],[date]]), "N/A", IF(Fixtures[[#This Row],[userSide]]="H", Fixtures[[#This Row],[homeScore]], Fixtures[[#This Row],[awayScore]]))</f>
        <v>1</v>
      </c>
      <c r="AE147" s="58">
        <f>IF(ISBLANK(Fixtures[[#This Row],[date]]), "N/A", IF(Fixtures[[#This Row],[userScore]] = Fixtures[[#This Row],[homeScore]], Fixtures[[#This Row],[awayScore]], Fixtures[[#This Row],[homeScore]]))</f>
        <v>0</v>
      </c>
      <c r="AF147" s="58" t="b">
        <f>NOT(AND(ISBLANK(Fixtures[[#This Row],[homePens]]), ISBLANK(Fixtures[[#This Row],[awayPens]])))</f>
        <v>0</v>
      </c>
      <c r="AG147" s="58" t="str">
        <f>IF(Fixtures[[#This Row],[penalties]], IF(Fixtures[[#This Row],[userSide]]="H", Fixtures[[#This Row],[homePens]], Fixtures[[#This Row],[awayPens]]), "N/A")</f>
        <v>N/A</v>
      </c>
      <c r="AH147" s="58" t="str">
        <f>IF(Fixtures[[#This Row],[penalties]], IF(Fixtures[[#This Row],[userPens]]=Fixtures[[#This Row],[homePens]],Fixtures[[#This Row],[awayPens]],Fixtures[[#This Row],[homePens]]), "N/A")</f>
        <v>N/A</v>
      </c>
      <c r="AI147" s="58" t="b">
        <f>COUNTBLANK(Fixtures[[#This Row],[G]:[MOTM]]) = 0</f>
        <v>1</v>
      </c>
      <c r="AJ147" s="58">
        <f>IF(Fixtures[[#This Row],[APP]], Fixtures[[#This Row],[G]]+Fixtures[[#This Row],[A]], "N/A")</f>
        <v>0</v>
      </c>
      <c r="AK1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4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[2025-10-21] Norway vs. United States (0-1) - International Friendly</v>
      </c>
    </row>
    <row r="148" spans="1:39" ht="13">
      <c r="A148" s="55">
        <v>45955</v>
      </c>
      <c r="B148" s="61">
        <v>0.64583333333333337</v>
      </c>
      <c r="C148" s="56" t="s">
        <v>183</v>
      </c>
      <c r="D148" s="56" t="s">
        <v>259</v>
      </c>
      <c r="E148" s="56" t="s">
        <v>267</v>
      </c>
      <c r="F148" s="56" t="s">
        <v>261</v>
      </c>
      <c r="G148" s="56" t="s">
        <v>262</v>
      </c>
      <c r="H148" s="56" t="s">
        <v>287</v>
      </c>
      <c r="I148" s="56">
        <v>3</v>
      </c>
      <c r="J148" s="56">
        <v>0</v>
      </c>
      <c r="K148" s="56"/>
      <c r="L148" s="56"/>
      <c r="M148" s="56">
        <v>2</v>
      </c>
      <c r="N148" s="56">
        <v>0</v>
      </c>
      <c r="O148" s="56">
        <v>0</v>
      </c>
      <c r="P148" s="56">
        <v>0</v>
      </c>
      <c r="Q148" s="57">
        <v>9.9</v>
      </c>
      <c r="R148" s="56" t="b">
        <v>1</v>
      </c>
      <c r="S148" s="58" t="str" cm="1">
        <f t="array" ref="S148">_xlfn._xlws.FILTER(Competitions[compType], (Fixtures[[#This Row],[competition]] = Competitions[name]), "N/A")</f>
        <v>Domestic League</v>
      </c>
      <c r="T148" s="58" t="b" cm="1">
        <f t="array" ref="T148">_xlfn._xlws.FILTER(Competitions[exhibition], (Fixtures[[#This Row],[competition]] = Competitions[name]), "N/A")</f>
        <v>0</v>
      </c>
      <c r="U148" s="58" t="str" cm="1">
        <f t="array" ref="U148">_xlfn._xlws.FILTER(Competitions[compID], (Fixtures[[#This Row],[competition]] = Competitions[name]), "N/A")</f>
        <v>DL-OF-BUNDESLIGA</v>
      </c>
      <c r="V1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8" s="58" t="str" cm="1">
        <f t="array" ref="W1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8" s="58" t="str" cm="1">
        <f t="array" ref="X148">_xlfn._xlws.FILTER(Teams[name], (Fixtures[[#This Row],[userTeamID]] = Teams[teamID]), "N/A")</f>
        <v>RB Leipzig</v>
      </c>
      <c r="Y148" s="58" t="str" cm="1">
        <f t="array" ref="Y148">_xlfn._xlws.FILTER(Teams[teamType], (Fixtures[[#This Row],[userTeamID]] = Teams[teamID]), "N/A")</f>
        <v>Club</v>
      </c>
      <c r="Z148" s="58" t="str" cm="1">
        <f t="array" ref="Z148">IF(Fixtures[[#This Row],[userTeamID]] = "N/A", "N/A", IF(SUM(COUNTIF(Fixtures[[#This Row],[homeTeam]], _xlfn._xlws.FILTER(Teams[name], (Fixtures[[#This Row],[userTeamID]] = Teams[teamID])*(Teams[relevant])))) &gt; 0, "H", "A"))</f>
        <v>H</v>
      </c>
      <c r="AA148" s="58" t="str">
        <f>IF(Fixtures[[#This Row],[userSide]] = "N/A", "N/A", IF(Fixtures[[#This Row],[userSide]] = "H", Fixtures[[#This Row],[awayTeam]], Fixtures[[#This Row],[homeTeam]]))</f>
        <v>Frankfurt</v>
      </c>
      <c r="AB148" s="58" t="str" cm="1">
        <f t="array" ref="AB148">_xlfn._xlws.FILTER(Teams[teamID], Fixtures[[#This Row],[oppTeam]] = Teams[name], "N/A")</f>
        <v>C-GER-FRANKFURT</v>
      </c>
      <c r="AC148" s="58" t="str" cm="1">
        <f t="array" ref="AC148">_xlfn._xlws.FILTER(Teams[teamType], Fixtures[[#This Row],[oppTeam]] = Teams[name], "N/A")</f>
        <v>Club</v>
      </c>
      <c r="AD148" s="58">
        <f>IF(ISBLANK(Fixtures[[#This Row],[date]]), "N/A", IF(Fixtures[[#This Row],[userSide]]="H", Fixtures[[#This Row],[homeScore]], Fixtures[[#This Row],[awayScore]]))</f>
        <v>3</v>
      </c>
      <c r="AE148" s="58">
        <f>IF(ISBLANK(Fixtures[[#This Row],[date]]), "N/A", IF(Fixtures[[#This Row],[userScore]] = Fixtures[[#This Row],[homeScore]], Fixtures[[#This Row],[awayScore]], Fixtures[[#This Row],[homeScore]]))</f>
        <v>0</v>
      </c>
      <c r="AF148" s="58" t="b">
        <f>NOT(AND(ISBLANK(Fixtures[[#This Row],[homePens]]), ISBLANK(Fixtures[[#This Row],[awayPens]])))</f>
        <v>0</v>
      </c>
      <c r="AG148" s="58" t="str">
        <f>IF(Fixtures[[#This Row],[penalties]], IF(Fixtures[[#This Row],[userSide]]="H", Fixtures[[#This Row],[homePens]], Fixtures[[#This Row],[awayPens]]), "N/A")</f>
        <v>N/A</v>
      </c>
      <c r="AH148" s="58" t="str">
        <f>IF(Fixtures[[#This Row],[penalties]], IF(Fixtures[[#This Row],[userPens]]=Fixtures[[#This Row],[homePens]],Fixtures[[#This Row],[awayPens]],Fixtures[[#This Row],[homePens]]), "N/A")</f>
        <v>N/A</v>
      </c>
      <c r="AI148" s="58" t="b">
        <f>COUNTBLANK(Fixtures[[#This Row],[G]:[MOTM]]) = 0</f>
        <v>1</v>
      </c>
      <c r="AJ148" s="58">
        <f>IF(Fixtures[[#This Row],[APP]], Fixtures[[#This Row],[G]]+Fixtures[[#This Row],[A]], "N/A")</f>
        <v>2</v>
      </c>
      <c r="AK1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48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1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[2025-10-25] RB Leipzig vs. Frankfurt (3-0) - Bundesliga</v>
      </c>
    </row>
    <row r="149" spans="1:39" ht="13">
      <c r="A149" s="55">
        <v>45958</v>
      </c>
      <c r="B149" s="61">
        <v>0.875</v>
      </c>
      <c r="C149" s="56" t="s">
        <v>161</v>
      </c>
      <c r="D149" s="56" t="s">
        <v>288</v>
      </c>
      <c r="E149" s="56" t="s">
        <v>289</v>
      </c>
      <c r="F149" s="56" t="s">
        <v>274</v>
      </c>
      <c r="G149" s="56" t="s">
        <v>290</v>
      </c>
      <c r="H149" s="56" t="s">
        <v>262</v>
      </c>
      <c r="I149" s="56">
        <v>2</v>
      </c>
      <c r="J149" s="56">
        <v>0</v>
      </c>
      <c r="K149" s="56"/>
      <c r="L149" s="56"/>
      <c r="M149" s="56">
        <v>0</v>
      </c>
      <c r="N149" s="56">
        <v>0</v>
      </c>
      <c r="O149" s="56">
        <v>0</v>
      </c>
      <c r="P149" s="56">
        <v>0</v>
      </c>
      <c r="Q149" s="57">
        <v>7.1</v>
      </c>
      <c r="R149" s="56" t="b">
        <v>0</v>
      </c>
      <c r="S149" s="58" t="str" cm="1">
        <f t="array" ref="S149">_xlfn._xlws.FILTER(Competitions[compType], (Fixtures[[#This Row],[competition]] = Competitions[name]), "N/A")</f>
        <v>Continental Cup</v>
      </c>
      <c r="T149" s="58" t="b" cm="1">
        <f t="array" ref="T149">_xlfn._xlws.FILTER(Competitions[exhibition], (Fixtures[[#This Row],[competition]] = Competitions[name]), "N/A")</f>
        <v>0</v>
      </c>
      <c r="U149" s="58" t="str" cm="1">
        <f t="array" ref="U149">_xlfn._xlws.FILTER(Competitions[compID], (Fixtures[[#This Row],[competition]] = Competitions[name]), "N/A")</f>
        <v>CC-OF-UEFACHAMPIONSLEAGUE</v>
      </c>
      <c r="V1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49" s="58" t="str" cm="1">
        <f t="array" ref="W1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49" s="58" t="str" cm="1">
        <f t="array" ref="X149">_xlfn._xlws.FILTER(Teams[name], (Fixtures[[#This Row],[userTeamID]] = Teams[teamID]), "N/A")</f>
        <v>RB Leipzig</v>
      </c>
      <c r="Y149" s="58" t="str" cm="1">
        <f t="array" ref="Y149">_xlfn._xlws.FILTER(Teams[teamType], (Fixtures[[#This Row],[userTeamID]] = Teams[teamID]), "N/A")</f>
        <v>Club</v>
      </c>
      <c r="Z149" s="58" t="str" cm="1">
        <f t="array" ref="Z149">IF(Fixtures[[#This Row],[userTeamID]] = "N/A", "N/A", IF(SUM(COUNTIF(Fixtures[[#This Row],[homeTeam]], _xlfn._xlws.FILTER(Teams[name], (Fixtures[[#This Row],[userTeamID]] = Teams[teamID])*(Teams[relevant])))) &gt; 0, "H", "A"))</f>
        <v>A</v>
      </c>
      <c r="AA149" s="58" t="str">
        <f>IF(Fixtures[[#This Row],[userSide]] = "N/A", "N/A", IF(Fixtures[[#This Row],[userSide]] = "H", Fixtures[[#This Row],[awayTeam]], Fixtures[[#This Row],[homeTeam]]))</f>
        <v>Shakhtar Donetsk</v>
      </c>
      <c r="AB149" s="58" t="str" cm="1">
        <f t="array" ref="AB149">_xlfn._xlws.FILTER(Teams[teamID], Fixtures[[#This Row],[oppTeam]] = Teams[name], "N/A")</f>
        <v>C-UKR-SHAKHTARDONETSK</v>
      </c>
      <c r="AC149" s="58" t="str" cm="1">
        <f t="array" ref="AC149">_xlfn._xlws.FILTER(Teams[teamType], Fixtures[[#This Row],[oppTeam]] = Teams[name], "N/A")</f>
        <v>Club</v>
      </c>
      <c r="AD149" s="58">
        <f>IF(ISBLANK(Fixtures[[#This Row],[date]]), "N/A", IF(Fixtures[[#This Row],[userSide]]="H", Fixtures[[#This Row],[homeScore]], Fixtures[[#This Row],[awayScore]]))</f>
        <v>0</v>
      </c>
      <c r="AE149" s="58">
        <f>IF(ISBLANK(Fixtures[[#This Row],[date]]), "N/A", IF(Fixtures[[#This Row],[userScore]] = Fixtures[[#This Row],[homeScore]], Fixtures[[#This Row],[awayScore]], Fixtures[[#This Row],[homeScore]]))</f>
        <v>2</v>
      </c>
      <c r="AF149" s="58" t="b">
        <f>NOT(AND(ISBLANK(Fixtures[[#This Row],[homePens]]), ISBLANK(Fixtures[[#This Row],[awayPens]])))</f>
        <v>0</v>
      </c>
      <c r="AG149" s="58" t="str">
        <f>IF(Fixtures[[#This Row],[penalties]], IF(Fixtures[[#This Row],[userSide]]="H", Fixtures[[#This Row],[homePens]], Fixtures[[#This Row],[awayPens]]), "N/A")</f>
        <v>N/A</v>
      </c>
      <c r="AH149" s="58" t="str">
        <f>IF(Fixtures[[#This Row],[penalties]], IF(Fixtures[[#This Row],[userPens]]=Fixtures[[#This Row],[homePens]],Fixtures[[#This Row],[awayPens]],Fixtures[[#This Row],[homePens]]), "N/A")</f>
        <v>N/A</v>
      </c>
      <c r="AI149" s="58" t="b">
        <f>COUNTBLANK(Fixtures[[#This Row],[G]:[MOTM]]) = 0</f>
        <v>1</v>
      </c>
      <c r="AJ149" s="58">
        <f>IF(Fixtures[[#This Row],[APP]], Fixtures[[#This Row],[G]]+Fixtures[[#This Row],[A]], "N/A")</f>
        <v>0</v>
      </c>
      <c r="AK1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49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[2025-10-28] Shakhtar Donetsk vs. RB Leipzig (2-0) - UEFA Champions League</v>
      </c>
    </row>
    <row r="150" spans="1:39" ht="13">
      <c r="A150" s="55">
        <v>45962</v>
      </c>
      <c r="B150" s="61">
        <v>0.64583333333333337</v>
      </c>
      <c r="C150" s="56" t="s">
        <v>183</v>
      </c>
      <c r="D150" s="56" t="s">
        <v>245</v>
      </c>
      <c r="E150" s="56" t="s">
        <v>291</v>
      </c>
      <c r="F150" s="56" t="s">
        <v>261</v>
      </c>
      <c r="G150" s="56" t="s">
        <v>292</v>
      </c>
      <c r="H150" s="56" t="s">
        <v>262</v>
      </c>
      <c r="I150" s="56">
        <v>3</v>
      </c>
      <c r="J150" s="56">
        <v>1</v>
      </c>
      <c r="K150" s="56"/>
      <c r="L150" s="56"/>
      <c r="M150" s="56">
        <v>0</v>
      </c>
      <c r="N150" s="56">
        <v>1</v>
      </c>
      <c r="O150" s="56">
        <v>0</v>
      </c>
      <c r="P150" s="56">
        <v>0</v>
      </c>
      <c r="Q150" s="57">
        <v>7.5</v>
      </c>
      <c r="R150" s="56" t="b">
        <v>0</v>
      </c>
      <c r="S150" s="58" t="str" cm="1">
        <f t="array" ref="S150">_xlfn._xlws.FILTER(Competitions[compType], (Fixtures[[#This Row],[competition]] = Competitions[name]), "N/A")</f>
        <v>Domestic League</v>
      </c>
      <c r="T150" s="58" t="b" cm="1">
        <f t="array" ref="T150">_xlfn._xlws.FILTER(Competitions[exhibition], (Fixtures[[#This Row],[competition]] = Competitions[name]), "N/A")</f>
        <v>0</v>
      </c>
      <c r="U150" s="58" t="str" cm="1">
        <f t="array" ref="U150">_xlfn._xlws.FILTER(Competitions[compID], (Fixtures[[#This Row],[competition]] = Competitions[name]), "N/A")</f>
        <v>DL-OF-BUNDESLIGA</v>
      </c>
      <c r="V1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0" s="58" t="str" cm="1">
        <f t="array" ref="W1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0" s="58" t="str" cm="1">
        <f t="array" ref="X150">_xlfn._xlws.FILTER(Teams[name], (Fixtures[[#This Row],[userTeamID]] = Teams[teamID]), "N/A")</f>
        <v>RB Leipzig</v>
      </c>
      <c r="Y150" s="58" t="str" cm="1">
        <f t="array" ref="Y150">_xlfn._xlws.FILTER(Teams[teamType], (Fixtures[[#This Row],[userTeamID]] = Teams[teamID]), "N/A")</f>
        <v>Club</v>
      </c>
      <c r="Z150" s="58" t="str" cm="1">
        <f t="array" ref="Z150">IF(Fixtures[[#This Row],[userTeamID]] = "N/A", "N/A", IF(SUM(COUNTIF(Fixtures[[#This Row],[homeTeam]], _xlfn._xlws.FILTER(Teams[name], (Fixtures[[#This Row],[userTeamID]] = Teams[teamID])*(Teams[relevant])))) &gt; 0, "H", "A"))</f>
        <v>A</v>
      </c>
      <c r="AA150" s="58" t="str">
        <f>IF(Fixtures[[#This Row],[userSide]] = "N/A", "N/A", IF(Fixtures[[#This Row],[userSide]] = "H", Fixtures[[#This Row],[awayTeam]], Fixtures[[#This Row],[homeTeam]]))</f>
        <v>FC Bayern München</v>
      </c>
      <c r="AB150" s="58" t="str" cm="1">
        <f t="array" ref="AB150">_xlfn._xlws.FILTER(Teams[teamID], Fixtures[[#This Row],[oppTeam]] = Teams[name], "N/A")</f>
        <v>C-GER-FCBAYERNMÜNCHEN</v>
      </c>
      <c r="AC150" s="58" t="str" cm="1">
        <f t="array" ref="AC150">_xlfn._xlws.FILTER(Teams[teamType], Fixtures[[#This Row],[oppTeam]] = Teams[name], "N/A")</f>
        <v>Club</v>
      </c>
      <c r="AD150" s="58">
        <f>IF(ISBLANK(Fixtures[[#This Row],[date]]), "N/A", IF(Fixtures[[#This Row],[userSide]]="H", Fixtures[[#This Row],[homeScore]], Fixtures[[#This Row],[awayScore]]))</f>
        <v>1</v>
      </c>
      <c r="AE150" s="58">
        <f>IF(ISBLANK(Fixtures[[#This Row],[date]]), "N/A", IF(Fixtures[[#This Row],[userScore]] = Fixtures[[#This Row],[homeScore]], Fixtures[[#This Row],[awayScore]], Fixtures[[#This Row],[homeScore]]))</f>
        <v>3</v>
      </c>
      <c r="AF150" s="58" t="b">
        <f>NOT(AND(ISBLANK(Fixtures[[#This Row],[homePens]]), ISBLANK(Fixtures[[#This Row],[awayPens]])))</f>
        <v>0</v>
      </c>
      <c r="AG150" s="58" t="str">
        <f>IF(Fixtures[[#This Row],[penalties]], IF(Fixtures[[#This Row],[userSide]]="H", Fixtures[[#This Row],[homePens]], Fixtures[[#This Row],[awayPens]]), "N/A")</f>
        <v>N/A</v>
      </c>
      <c r="AH150" s="58" t="str">
        <f>IF(Fixtures[[#This Row],[penalties]], IF(Fixtures[[#This Row],[userPens]]=Fixtures[[#This Row],[homePens]],Fixtures[[#This Row],[awayPens]],Fixtures[[#This Row],[homePens]]), "N/A")</f>
        <v>N/A</v>
      </c>
      <c r="AI150" s="58" t="b">
        <f>COUNTBLANK(Fixtures[[#This Row],[G]:[MOTM]]) = 0</f>
        <v>1</v>
      </c>
      <c r="AJ150" s="58">
        <f>IF(Fixtures[[#This Row],[APP]], Fixtures[[#This Row],[G]]+Fixtures[[#This Row],[A]], "N/A")</f>
        <v>1</v>
      </c>
      <c r="AK1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50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[2025-11-01] FC Bayern München vs. RB Leipzig (3-1) - Bundesliga</v>
      </c>
    </row>
    <row r="151" spans="1:39" ht="13">
      <c r="A151" s="55">
        <v>45965</v>
      </c>
      <c r="B151" s="61">
        <v>0.85416666666666663</v>
      </c>
      <c r="C151" s="56" t="s">
        <v>203</v>
      </c>
      <c r="D151" s="56" t="s">
        <v>293</v>
      </c>
      <c r="E151" s="56" t="s">
        <v>294</v>
      </c>
      <c r="F151" s="56" t="s">
        <v>277</v>
      </c>
      <c r="G151" s="56" t="s">
        <v>295</v>
      </c>
      <c r="H151" s="56" t="s">
        <v>262</v>
      </c>
      <c r="I151" s="56">
        <v>1</v>
      </c>
      <c r="J151" s="56">
        <v>1</v>
      </c>
      <c r="K151" s="56">
        <v>5</v>
      </c>
      <c r="L151" s="56">
        <v>3</v>
      </c>
      <c r="M151" s="56">
        <v>0</v>
      </c>
      <c r="N151" s="56">
        <v>0</v>
      </c>
      <c r="O151" s="56">
        <v>0</v>
      </c>
      <c r="P151" s="56">
        <v>0</v>
      </c>
      <c r="Q151" s="57">
        <v>7.2</v>
      </c>
      <c r="R151" s="56" t="b">
        <v>0</v>
      </c>
      <c r="S151" s="58" t="str" cm="1">
        <f t="array" ref="S151">_xlfn._xlws.FILTER(Competitions[compType], (Fixtures[[#This Row],[competition]] = Competitions[name]), "N/A")</f>
        <v>Domestic Cup</v>
      </c>
      <c r="T151" s="58" t="b" cm="1">
        <f t="array" ref="T151">_xlfn._xlws.FILTER(Competitions[exhibition], (Fixtures[[#This Row],[competition]] = Competitions[name]), "N/A")</f>
        <v>0</v>
      </c>
      <c r="U151" s="58" t="str" cm="1">
        <f t="array" ref="U151">_xlfn._xlws.FILTER(Competitions[compID], (Fixtures[[#This Row],[competition]] = Competitions[name]), "N/A")</f>
        <v>DC-OF-DFBPOKAL</v>
      </c>
      <c r="V1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1" s="58" t="str" cm="1">
        <f t="array" ref="W1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1" s="58" t="str" cm="1">
        <f t="array" ref="X151">_xlfn._xlws.FILTER(Teams[name], (Fixtures[[#This Row],[userTeamID]] = Teams[teamID]), "N/A")</f>
        <v>RB Leipzig</v>
      </c>
      <c r="Y151" s="58" t="str" cm="1">
        <f t="array" ref="Y151">_xlfn._xlws.FILTER(Teams[teamType], (Fixtures[[#This Row],[userTeamID]] = Teams[teamID]), "N/A")</f>
        <v>Club</v>
      </c>
      <c r="Z151" s="58" t="str" cm="1">
        <f t="array" ref="Z151">IF(Fixtures[[#This Row],[userTeamID]] = "N/A", "N/A", IF(SUM(COUNTIF(Fixtures[[#This Row],[homeTeam]], _xlfn._xlws.FILTER(Teams[name], (Fixtures[[#This Row],[userTeamID]] = Teams[teamID])*(Teams[relevant])))) &gt; 0, "H", "A"))</f>
        <v>A</v>
      </c>
      <c r="AA151" s="58" t="str">
        <f>IF(Fixtures[[#This Row],[userSide]] = "N/A", "N/A", IF(Fixtures[[#This Row],[userSide]] = "H", Fixtures[[#This Row],[awayTeam]], Fixtures[[#This Row],[homeTeam]]))</f>
        <v>VfB Stuttgart</v>
      </c>
      <c r="AB151" s="58" t="str" cm="1">
        <f t="array" ref="AB151">_xlfn._xlws.FILTER(Teams[teamID], Fixtures[[#This Row],[oppTeam]] = Teams[name], "N/A")</f>
        <v>C-GER-VFBSTUTTGART</v>
      </c>
      <c r="AC151" s="58" t="str" cm="1">
        <f t="array" ref="AC151">_xlfn._xlws.FILTER(Teams[teamType], Fixtures[[#This Row],[oppTeam]] = Teams[name], "N/A")</f>
        <v>Club</v>
      </c>
      <c r="AD151" s="58">
        <f>IF(ISBLANK(Fixtures[[#This Row],[date]]), "N/A", IF(Fixtures[[#This Row],[userSide]]="H", Fixtures[[#This Row],[homeScore]], Fixtures[[#This Row],[awayScore]]))</f>
        <v>1</v>
      </c>
      <c r="AE151" s="58">
        <f>IF(ISBLANK(Fixtures[[#This Row],[date]]), "N/A", IF(Fixtures[[#This Row],[userScore]] = Fixtures[[#This Row],[homeScore]], Fixtures[[#This Row],[awayScore]], Fixtures[[#This Row],[homeScore]]))</f>
        <v>1</v>
      </c>
      <c r="AF151" s="58" t="b">
        <f>NOT(AND(ISBLANK(Fixtures[[#This Row],[homePens]]), ISBLANK(Fixtures[[#This Row],[awayPens]])))</f>
        <v>1</v>
      </c>
      <c r="AG151" s="58">
        <f>IF(Fixtures[[#This Row],[penalties]], IF(Fixtures[[#This Row],[userSide]]="H", Fixtures[[#This Row],[homePens]], Fixtures[[#This Row],[awayPens]]), "N/A")</f>
        <v>3</v>
      </c>
      <c r="AH151" s="58">
        <f>IF(Fixtures[[#This Row],[penalties]], IF(Fixtures[[#This Row],[userPens]]=Fixtures[[#This Row],[homePens]],Fixtures[[#This Row],[awayPens]],Fixtures[[#This Row],[homePens]]), "N/A")</f>
        <v>5</v>
      </c>
      <c r="AI151" s="58" t="b">
        <f>COUNTBLANK(Fixtures[[#This Row],[G]:[MOTM]]) = 0</f>
        <v>1</v>
      </c>
      <c r="AJ151" s="58">
        <f>IF(Fixtures[[#This Row],[APP]], Fixtures[[#This Row],[G]]+Fixtures[[#This Row],[A]], "N/A")</f>
        <v>0</v>
      </c>
      <c r="AK1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51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[2025-11-04] VfB Stuttgart vs. RB Leipzig (1-1) [5-3][P] - DFB-Pokal</v>
      </c>
    </row>
    <row r="152" spans="1:39" ht="13">
      <c r="A152" s="55">
        <v>45969</v>
      </c>
      <c r="B152" s="61">
        <v>0.77083333333333337</v>
      </c>
      <c r="C152" s="56" t="s">
        <v>195</v>
      </c>
      <c r="D152" s="56" t="s">
        <v>259</v>
      </c>
      <c r="E152" s="56" t="s">
        <v>296</v>
      </c>
      <c r="F152" s="56" t="s">
        <v>261</v>
      </c>
      <c r="G152" s="56" t="s">
        <v>262</v>
      </c>
      <c r="H152" s="56" t="s">
        <v>297</v>
      </c>
      <c r="I152" s="56">
        <v>2</v>
      </c>
      <c r="J152" s="56">
        <v>0</v>
      </c>
      <c r="K152" s="56"/>
      <c r="L152" s="56"/>
      <c r="M152" s="56">
        <v>0</v>
      </c>
      <c r="N152" s="56">
        <v>1</v>
      </c>
      <c r="O152" s="56">
        <v>0</v>
      </c>
      <c r="P152" s="56">
        <v>0</v>
      </c>
      <c r="Q152" s="57">
        <v>7.5</v>
      </c>
      <c r="R152" s="56" t="b">
        <v>0</v>
      </c>
      <c r="S152" s="58" t="str" cm="1">
        <f t="array" ref="S152">_xlfn._xlws.FILTER(Competitions[compType], (Fixtures[[#This Row],[competition]] = Competitions[name]), "N/A")</f>
        <v>Domestic League</v>
      </c>
      <c r="T152" s="58" t="b" cm="1">
        <f t="array" ref="T152">_xlfn._xlws.FILTER(Competitions[exhibition], (Fixtures[[#This Row],[competition]] = Competitions[name]), "N/A")</f>
        <v>0</v>
      </c>
      <c r="U152" s="58" t="str" cm="1">
        <f t="array" ref="U152">_xlfn._xlws.FILTER(Competitions[compID], (Fixtures[[#This Row],[competition]] = Competitions[name]), "N/A")</f>
        <v>DL-OF-BUNDESLIGA</v>
      </c>
      <c r="V1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2" s="58" t="str" cm="1">
        <f t="array" ref="W1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2" s="58" t="str" cm="1">
        <f t="array" ref="X152">_xlfn._xlws.FILTER(Teams[name], (Fixtures[[#This Row],[userTeamID]] = Teams[teamID]), "N/A")</f>
        <v>RB Leipzig</v>
      </c>
      <c r="Y152" s="58" t="str" cm="1">
        <f t="array" ref="Y152">_xlfn._xlws.FILTER(Teams[teamType], (Fixtures[[#This Row],[userTeamID]] = Teams[teamID]), "N/A")</f>
        <v>Club</v>
      </c>
      <c r="Z152" s="58" t="str" cm="1">
        <f t="array" ref="Z152">IF(Fixtures[[#This Row],[userTeamID]] = "N/A", "N/A", IF(SUM(COUNTIF(Fixtures[[#This Row],[homeTeam]], _xlfn._xlws.FILTER(Teams[name], (Fixtures[[#This Row],[userTeamID]] = Teams[teamID])*(Teams[relevant])))) &gt; 0, "H", "A"))</f>
        <v>H</v>
      </c>
      <c r="AA152" s="58" t="str">
        <f>IF(Fixtures[[#This Row],[userSide]] = "N/A", "N/A", IF(Fixtures[[#This Row],[userSide]] = "H", Fixtures[[#This Row],[awayTeam]], Fixtures[[#This Row],[homeTeam]]))</f>
        <v>Borussia Dortmund</v>
      </c>
      <c r="AB152" s="58" t="str" cm="1">
        <f t="array" ref="AB152">_xlfn._xlws.FILTER(Teams[teamID], Fixtures[[#This Row],[oppTeam]] = Teams[name], "N/A")</f>
        <v>C-GER-BORUSSIADORTMUND</v>
      </c>
      <c r="AC152" s="58" t="str" cm="1">
        <f t="array" ref="AC152">_xlfn._xlws.FILTER(Teams[teamType], Fixtures[[#This Row],[oppTeam]] = Teams[name], "N/A")</f>
        <v>Club</v>
      </c>
      <c r="AD152" s="58">
        <f>IF(ISBLANK(Fixtures[[#This Row],[date]]), "N/A", IF(Fixtures[[#This Row],[userSide]]="H", Fixtures[[#This Row],[homeScore]], Fixtures[[#This Row],[awayScore]]))</f>
        <v>2</v>
      </c>
      <c r="AE152" s="58">
        <f>IF(ISBLANK(Fixtures[[#This Row],[date]]), "N/A", IF(Fixtures[[#This Row],[userScore]] = Fixtures[[#This Row],[homeScore]], Fixtures[[#This Row],[awayScore]], Fixtures[[#This Row],[homeScore]]))</f>
        <v>0</v>
      </c>
      <c r="AF152" s="58" t="b">
        <f>NOT(AND(ISBLANK(Fixtures[[#This Row],[homePens]]), ISBLANK(Fixtures[[#This Row],[awayPens]])))</f>
        <v>0</v>
      </c>
      <c r="AG152" s="58" t="str">
        <f>IF(Fixtures[[#This Row],[penalties]], IF(Fixtures[[#This Row],[userSide]]="H", Fixtures[[#This Row],[homePens]], Fixtures[[#This Row],[awayPens]]), "N/A")</f>
        <v>N/A</v>
      </c>
      <c r="AH152" s="58" t="str">
        <f>IF(Fixtures[[#This Row],[penalties]], IF(Fixtures[[#This Row],[userPens]]=Fixtures[[#This Row],[homePens]],Fixtures[[#This Row],[awayPens]],Fixtures[[#This Row],[homePens]]), "N/A")</f>
        <v>N/A</v>
      </c>
      <c r="AI152" s="58" t="b">
        <f>COUNTBLANK(Fixtures[[#This Row],[G]:[MOTM]]) = 0</f>
        <v>1</v>
      </c>
      <c r="AJ152" s="58">
        <f>IF(Fixtures[[#This Row],[APP]], Fixtures[[#This Row],[G]]+Fixtures[[#This Row],[A]], "N/A")</f>
        <v>1</v>
      </c>
      <c r="AK1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52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[2025-11-08] RB Leipzig vs. Borussia Dortmund (2-0) - Bundesliga</v>
      </c>
    </row>
    <row r="153" spans="1:39" ht="13">
      <c r="A153" s="55">
        <v>45973</v>
      </c>
      <c r="B153" s="61">
        <v>0.78819444444444453</v>
      </c>
      <c r="C153" s="56" t="s">
        <v>195</v>
      </c>
      <c r="D153" s="56" t="s">
        <v>259</v>
      </c>
      <c r="E153" s="56" t="s">
        <v>298</v>
      </c>
      <c r="F153" s="56" t="s">
        <v>274</v>
      </c>
      <c r="G153" s="56" t="s">
        <v>262</v>
      </c>
      <c r="H153" s="56" t="s">
        <v>290</v>
      </c>
      <c r="I153" s="56">
        <v>2</v>
      </c>
      <c r="J153" s="56">
        <v>0</v>
      </c>
      <c r="K153" s="56"/>
      <c r="L153" s="56"/>
      <c r="M153" s="56">
        <v>1</v>
      </c>
      <c r="N153" s="56">
        <v>0</v>
      </c>
      <c r="O153" s="56">
        <v>0</v>
      </c>
      <c r="P153" s="56">
        <v>0</v>
      </c>
      <c r="Q153" s="57">
        <v>8.1999999999999993</v>
      </c>
      <c r="R153" s="56" t="b">
        <v>1</v>
      </c>
      <c r="S153" s="58" t="str" cm="1">
        <f t="array" ref="S153">_xlfn._xlws.FILTER(Competitions[compType], (Fixtures[[#This Row],[competition]] = Competitions[name]), "N/A")</f>
        <v>Continental Cup</v>
      </c>
      <c r="T153" s="58" t="b" cm="1">
        <f t="array" ref="T153">_xlfn._xlws.FILTER(Competitions[exhibition], (Fixtures[[#This Row],[competition]] = Competitions[name]), "N/A")</f>
        <v>0</v>
      </c>
      <c r="U153" s="58" t="str" cm="1">
        <f t="array" ref="U153">_xlfn._xlws.FILTER(Competitions[compID], (Fixtures[[#This Row],[competition]] = Competitions[name]), "N/A")</f>
        <v>CC-OF-UEFACHAMPIONSLEAGUE</v>
      </c>
      <c r="V1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3" s="58" t="str" cm="1">
        <f t="array" ref="W1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3" s="58" t="str" cm="1">
        <f t="array" ref="X153">_xlfn._xlws.FILTER(Teams[name], (Fixtures[[#This Row],[userTeamID]] = Teams[teamID]), "N/A")</f>
        <v>RB Leipzig</v>
      </c>
      <c r="Y153" s="58" t="str" cm="1">
        <f t="array" ref="Y153">_xlfn._xlws.FILTER(Teams[teamType], (Fixtures[[#This Row],[userTeamID]] = Teams[teamID]), "N/A")</f>
        <v>Club</v>
      </c>
      <c r="Z153" s="58" t="str" cm="1">
        <f t="array" ref="Z153">IF(Fixtures[[#This Row],[userTeamID]] = "N/A", "N/A", IF(SUM(COUNTIF(Fixtures[[#This Row],[homeTeam]], _xlfn._xlws.FILTER(Teams[name], (Fixtures[[#This Row],[userTeamID]] = Teams[teamID])*(Teams[relevant])))) &gt; 0, "H", "A"))</f>
        <v>H</v>
      </c>
      <c r="AA153" s="58" t="str">
        <f>IF(Fixtures[[#This Row],[userSide]] = "N/A", "N/A", IF(Fixtures[[#This Row],[userSide]] = "H", Fixtures[[#This Row],[awayTeam]], Fixtures[[#This Row],[homeTeam]]))</f>
        <v>Shakhtar Donetsk</v>
      </c>
      <c r="AB153" s="58" t="str" cm="1">
        <f t="array" ref="AB153">_xlfn._xlws.FILTER(Teams[teamID], Fixtures[[#This Row],[oppTeam]] = Teams[name], "N/A")</f>
        <v>C-UKR-SHAKHTARDONETSK</v>
      </c>
      <c r="AC153" s="58" t="str" cm="1">
        <f t="array" ref="AC153">_xlfn._xlws.FILTER(Teams[teamType], Fixtures[[#This Row],[oppTeam]] = Teams[name], "N/A")</f>
        <v>Club</v>
      </c>
      <c r="AD153" s="58">
        <f>IF(ISBLANK(Fixtures[[#This Row],[date]]), "N/A", IF(Fixtures[[#This Row],[userSide]]="H", Fixtures[[#This Row],[homeScore]], Fixtures[[#This Row],[awayScore]]))</f>
        <v>2</v>
      </c>
      <c r="AE153" s="58">
        <f>IF(ISBLANK(Fixtures[[#This Row],[date]]), "N/A", IF(Fixtures[[#This Row],[userScore]] = Fixtures[[#This Row],[homeScore]], Fixtures[[#This Row],[awayScore]], Fixtures[[#This Row],[homeScore]]))</f>
        <v>0</v>
      </c>
      <c r="AF153" s="58" t="b">
        <f>NOT(AND(ISBLANK(Fixtures[[#This Row],[homePens]]), ISBLANK(Fixtures[[#This Row],[awayPens]])))</f>
        <v>0</v>
      </c>
      <c r="AG153" s="58" t="str">
        <f>IF(Fixtures[[#This Row],[penalties]], IF(Fixtures[[#This Row],[userSide]]="H", Fixtures[[#This Row],[homePens]], Fixtures[[#This Row],[awayPens]]), "N/A")</f>
        <v>N/A</v>
      </c>
      <c r="AH153" s="58" t="str">
        <f>IF(Fixtures[[#This Row],[penalties]], IF(Fixtures[[#This Row],[userPens]]=Fixtures[[#This Row],[homePens]],Fixtures[[#This Row],[awayPens]],Fixtures[[#This Row],[homePens]]), "N/A")</f>
        <v>N/A</v>
      </c>
      <c r="AI153" s="58" t="b">
        <f>COUNTBLANK(Fixtures[[#This Row],[G]:[MOTM]]) = 0</f>
        <v>1</v>
      </c>
      <c r="AJ153" s="58">
        <f>IF(Fixtures[[#This Row],[APP]], Fixtures[[#This Row],[G]]+Fixtures[[#This Row],[A]], "N/A")</f>
        <v>1</v>
      </c>
      <c r="AK1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53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[2025-11-12] RB Leipzig vs. Shakhtar Donetsk (2-0) - UEFA Champions League</v>
      </c>
    </row>
    <row r="154" spans="1:39" ht="13">
      <c r="A154" s="55">
        <v>45977</v>
      </c>
      <c r="B154" s="61">
        <v>0.72916666666666663</v>
      </c>
      <c r="C154" s="56" t="s">
        <v>299</v>
      </c>
      <c r="D154" s="56" t="s">
        <v>300</v>
      </c>
      <c r="E154" s="56" t="s">
        <v>267</v>
      </c>
      <c r="F154" s="56" t="s">
        <v>261</v>
      </c>
      <c r="G154" s="56" t="s">
        <v>113</v>
      </c>
      <c r="H154" s="56" t="s">
        <v>262</v>
      </c>
      <c r="I154" s="56">
        <v>0</v>
      </c>
      <c r="J154" s="56">
        <v>0</v>
      </c>
      <c r="K154" s="56"/>
      <c r="L154" s="56"/>
      <c r="M154" s="56">
        <v>0</v>
      </c>
      <c r="N154" s="56">
        <v>0</v>
      </c>
      <c r="O154" s="56">
        <v>0</v>
      </c>
      <c r="P154" s="56">
        <v>0</v>
      </c>
      <c r="Q154" s="57">
        <v>7.1</v>
      </c>
      <c r="R154" s="56" t="b">
        <v>0</v>
      </c>
      <c r="S154" s="58" t="str" cm="1">
        <f t="array" ref="S154">_xlfn._xlws.FILTER(Competitions[compType], (Fixtures[[#This Row],[competition]] = Competitions[name]), "N/A")</f>
        <v>Domestic League</v>
      </c>
      <c r="T154" s="58" t="b" cm="1">
        <f t="array" ref="T154">_xlfn._xlws.FILTER(Competitions[exhibition], (Fixtures[[#This Row],[competition]] = Competitions[name]), "N/A")</f>
        <v>0</v>
      </c>
      <c r="U154" s="58" t="str" cm="1">
        <f t="array" ref="U154">_xlfn._xlws.FILTER(Competitions[compID], (Fixtures[[#This Row],[competition]] = Competitions[name]), "N/A")</f>
        <v>DL-OF-BUNDESLIGA</v>
      </c>
      <c r="V1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4" s="58" t="str" cm="1">
        <f t="array" ref="W1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4" s="58" t="str" cm="1">
        <f t="array" ref="X154">_xlfn._xlws.FILTER(Teams[name], (Fixtures[[#This Row],[userTeamID]] = Teams[teamID]), "N/A")</f>
        <v>RB Leipzig</v>
      </c>
      <c r="Y154" s="58" t="str" cm="1">
        <f t="array" ref="Y154">_xlfn._xlws.FILTER(Teams[teamType], (Fixtures[[#This Row],[userTeamID]] = Teams[teamID]), "N/A")</f>
        <v>Club</v>
      </c>
      <c r="Z154" s="58" t="str" cm="1">
        <f t="array" ref="Z154">IF(Fixtures[[#This Row],[userTeamID]] = "N/A", "N/A", IF(SUM(COUNTIF(Fixtures[[#This Row],[homeTeam]], _xlfn._xlws.FILTER(Teams[name], (Fixtures[[#This Row],[userTeamID]] = Teams[teamID])*(Teams[relevant])))) &gt; 0, "H", "A"))</f>
        <v>A</v>
      </c>
      <c r="AA154" s="58" t="str">
        <f>IF(Fixtures[[#This Row],[userSide]] = "N/A", "N/A", IF(Fixtures[[#This Row],[userSide]] = "H", Fixtures[[#This Row],[awayTeam]], Fixtures[[#This Row],[homeTeam]]))</f>
        <v>SV Werder Bremen</v>
      </c>
      <c r="AB154" s="58" t="str" cm="1">
        <f t="array" ref="AB154">_xlfn._xlws.FILTER(Teams[teamID], Fixtures[[#This Row],[oppTeam]] = Teams[name], "N/A")</f>
        <v>C-GER-SVWERDERBREMEN</v>
      </c>
      <c r="AC154" s="58" t="str" cm="1">
        <f t="array" ref="AC154">_xlfn._xlws.FILTER(Teams[teamType], Fixtures[[#This Row],[oppTeam]] = Teams[name], "N/A")</f>
        <v>Club</v>
      </c>
      <c r="AD154" s="58">
        <f>IF(ISBLANK(Fixtures[[#This Row],[date]]), "N/A", IF(Fixtures[[#This Row],[userSide]]="H", Fixtures[[#This Row],[homeScore]], Fixtures[[#This Row],[awayScore]]))</f>
        <v>0</v>
      </c>
      <c r="AE154" s="58">
        <f>IF(ISBLANK(Fixtures[[#This Row],[date]]), "N/A", IF(Fixtures[[#This Row],[userScore]] = Fixtures[[#This Row],[homeScore]], Fixtures[[#This Row],[awayScore]], Fixtures[[#This Row],[homeScore]]))</f>
        <v>0</v>
      </c>
      <c r="AF154" s="58" t="b">
        <f>NOT(AND(ISBLANK(Fixtures[[#This Row],[homePens]]), ISBLANK(Fixtures[[#This Row],[awayPens]])))</f>
        <v>0</v>
      </c>
      <c r="AG154" s="58" t="str">
        <f>IF(Fixtures[[#This Row],[penalties]], IF(Fixtures[[#This Row],[userSide]]="H", Fixtures[[#This Row],[homePens]], Fixtures[[#This Row],[awayPens]]), "N/A")</f>
        <v>N/A</v>
      </c>
      <c r="AH154" s="58" t="str">
        <f>IF(Fixtures[[#This Row],[penalties]], IF(Fixtures[[#This Row],[userPens]]=Fixtures[[#This Row],[homePens]],Fixtures[[#This Row],[awayPens]],Fixtures[[#This Row],[homePens]]), "N/A")</f>
        <v>N/A</v>
      </c>
      <c r="AI154" s="58" t="b">
        <f>COUNTBLANK(Fixtures[[#This Row],[G]:[MOTM]]) = 0</f>
        <v>1</v>
      </c>
      <c r="AJ154" s="58">
        <f>IF(Fixtures[[#This Row],[APP]], Fixtures[[#This Row],[G]]+Fixtures[[#This Row],[A]], "N/A")</f>
        <v>0</v>
      </c>
      <c r="AK1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54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[2025-11-16] SV Werder Bremen vs. RB Leipzig (0-0) - Bundesliga</v>
      </c>
    </row>
    <row r="155" spans="1:39" ht="13">
      <c r="A155" s="55">
        <v>45983</v>
      </c>
      <c r="B155" s="61">
        <v>0.33333333333333331</v>
      </c>
      <c r="C155" s="56" t="s">
        <v>161</v>
      </c>
      <c r="D155" s="56" t="s">
        <v>236</v>
      </c>
      <c r="E155" s="56" t="s">
        <v>223</v>
      </c>
      <c r="F155" s="56" t="s">
        <v>128</v>
      </c>
      <c r="G155" s="56" t="s">
        <v>301</v>
      </c>
      <c r="H155" s="56" t="s">
        <v>16</v>
      </c>
      <c r="I155" s="56">
        <v>0</v>
      </c>
      <c r="J155" s="56">
        <v>1</v>
      </c>
      <c r="K155" s="56"/>
      <c r="L155" s="56"/>
      <c r="M155" s="56">
        <v>0</v>
      </c>
      <c r="N155" s="56">
        <v>1</v>
      </c>
      <c r="O155" s="56">
        <v>0</v>
      </c>
      <c r="P155" s="56">
        <v>0</v>
      </c>
      <c r="Q155" s="57">
        <v>7.3</v>
      </c>
      <c r="R155" s="56" t="b">
        <v>1</v>
      </c>
      <c r="S155" s="58" t="str" cm="1">
        <f t="array" ref="S155">_xlfn._xlws.FILTER(Competitions[compType], (Fixtures[[#This Row],[competition]] = Competitions[name]), "N/A")</f>
        <v>International Friendly</v>
      </c>
      <c r="T155" s="58" t="b" cm="1">
        <f t="array" ref="T155">_xlfn._xlws.FILTER(Competitions[exhibition], (Fixtures[[#This Row],[competition]] = Competitions[name]), "N/A")</f>
        <v>1</v>
      </c>
      <c r="U155" s="58" t="str" cm="1">
        <f t="array" ref="U155">_xlfn._xlws.FILTER(Competitions[compID], (Fixtures[[#This Row],[competition]] = Competitions[name]), "N/A")</f>
        <v>IF-EX-INTERNATIONALFRIENDLY</v>
      </c>
      <c r="V1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5" s="58" t="str" cm="1">
        <f t="array" ref="W1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55" s="58" t="str" cm="1">
        <f t="array" ref="X155">_xlfn._xlws.FILTER(Teams[name], (Fixtures[[#This Row],[userTeamID]] = Teams[teamID]), "N/A")</f>
        <v>United States</v>
      </c>
      <c r="Y155" s="58" t="str" cm="1">
        <f t="array" ref="Y155">_xlfn._xlws.FILTER(Teams[teamType], (Fixtures[[#This Row],[userTeamID]] = Teams[teamID]), "N/A")</f>
        <v>National</v>
      </c>
      <c r="Z155" s="58" t="str" cm="1">
        <f t="array" ref="Z155">IF(Fixtures[[#This Row],[userTeamID]] = "N/A", "N/A", IF(SUM(COUNTIF(Fixtures[[#This Row],[homeTeam]], _xlfn._xlws.FILTER(Teams[name], (Fixtures[[#This Row],[userTeamID]] = Teams[teamID])*(Teams[relevant])))) &gt; 0, "H", "A"))</f>
        <v>A</v>
      </c>
      <c r="AA155" s="58" t="str">
        <f>IF(Fixtures[[#This Row],[userSide]] = "N/A", "N/A", IF(Fixtures[[#This Row],[userSide]] = "H", Fixtures[[#This Row],[awayTeam]], Fixtures[[#This Row],[homeTeam]]))</f>
        <v>Wales</v>
      </c>
      <c r="AB155" s="58" t="str" cm="1">
        <f t="array" ref="AB155">_xlfn._xlws.FILTER(Teams[teamID], Fixtures[[#This Row],[oppTeam]] = Teams[name], "N/A")</f>
        <v>N-WAL-WALES</v>
      </c>
      <c r="AC155" s="58" t="str" cm="1">
        <f t="array" ref="AC155">_xlfn._xlws.FILTER(Teams[teamType], Fixtures[[#This Row],[oppTeam]] = Teams[name], "N/A")</f>
        <v>National</v>
      </c>
      <c r="AD155" s="58">
        <f>IF(ISBLANK(Fixtures[[#This Row],[date]]), "N/A", IF(Fixtures[[#This Row],[userSide]]="H", Fixtures[[#This Row],[homeScore]], Fixtures[[#This Row],[awayScore]]))</f>
        <v>1</v>
      </c>
      <c r="AE155" s="58">
        <f>IF(ISBLANK(Fixtures[[#This Row],[date]]), "N/A", IF(Fixtures[[#This Row],[userScore]] = Fixtures[[#This Row],[homeScore]], Fixtures[[#This Row],[awayScore]], Fixtures[[#This Row],[homeScore]]))</f>
        <v>0</v>
      </c>
      <c r="AF155" s="58" t="b">
        <f>NOT(AND(ISBLANK(Fixtures[[#This Row],[homePens]]), ISBLANK(Fixtures[[#This Row],[awayPens]])))</f>
        <v>0</v>
      </c>
      <c r="AG155" s="58" t="str">
        <f>IF(Fixtures[[#This Row],[penalties]], IF(Fixtures[[#This Row],[userSide]]="H", Fixtures[[#This Row],[homePens]], Fixtures[[#This Row],[awayPens]]), "N/A")</f>
        <v>N/A</v>
      </c>
      <c r="AH155" s="58" t="str">
        <f>IF(Fixtures[[#This Row],[penalties]], IF(Fixtures[[#This Row],[userPens]]=Fixtures[[#This Row],[homePens]],Fixtures[[#This Row],[awayPens]],Fixtures[[#This Row],[homePens]]), "N/A")</f>
        <v>N/A</v>
      </c>
      <c r="AI155" s="58" t="b">
        <f>COUNTBLANK(Fixtures[[#This Row],[G]:[MOTM]]) = 0</f>
        <v>1</v>
      </c>
      <c r="AJ155" s="58">
        <f>IF(Fixtures[[#This Row],[APP]], Fixtures[[#This Row],[G]]+Fixtures[[#This Row],[A]], "N/A")</f>
        <v>1</v>
      </c>
      <c r="AK1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5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[2025-11-22] Wales vs. United States (0-1) - International Friendly</v>
      </c>
    </row>
    <row r="156" spans="1:39" ht="13">
      <c r="A156" s="55">
        <v>45986</v>
      </c>
      <c r="B156" s="61">
        <v>0.48958333333333331</v>
      </c>
      <c r="C156" s="56" t="s">
        <v>161</v>
      </c>
      <c r="D156" s="56" t="s">
        <v>302</v>
      </c>
      <c r="E156" s="56" t="s">
        <v>211</v>
      </c>
      <c r="F156" s="56" t="s">
        <v>128</v>
      </c>
      <c r="G156" s="56" t="s">
        <v>131</v>
      </c>
      <c r="H156" s="56" t="s">
        <v>16</v>
      </c>
      <c r="I156" s="56">
        <v>1</v>
      </c>
      <c r="J156" s="56">
        <v>1</v>
      </c>
      <c r="K156" s="56"/>
      <c r="L156" s="56"/>
      <c r="M156" s="56">
        <v>0</v>
      </c>
      <c r="N156" s="56">
        <v>1</v>
      </c>
      <c r="O156" s="56">
        <v>0</v>
      </c>
      <c r="P156" s="56">
        <v>0</v>
      </c>
      <c r="Q156" s="57">
        <v>7.5</v>
      </c>
      <c r="R156" s="56" t="b">
        <v>1</v>
      </c>
      <c r="S156" s="58" t="str" cm="1">
        <f t="array" ref="S156">_xlfn._xlws.FILTER(Competitions[compType], (Fixtures[[#This Row],[competition]] = Competitions[name]), "N/A")</f>
        <v>International Friendly</v>
      </c>
      <c r="T156" s="58" t="b" cm="1">
        <f t="array" ref="T156">_xlfn._xlws.FILTER(Competitions[exhibition], (Fixtures[[#This Row],[competition]] = Competitions[name]), "N/A")</f>
        <v>1</v>
      </c>
      <c r="U156" s="58" t="str" cm="1">
        <f t="array" ref="U156">_xlfn._xlws.FILTER(Competitions[compID], (Fixtures[[#This Row],[competition]] = Competitions[name]), "N/A")</f>
        <v>IF-EX-INTERNATIONALFRIENDLY</v>
      </c>
      <c r="V1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6" s="58" t="str" cm="1">
        <f t="array" ref="W1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56" s="58" t="str" cm="1">
        <f t="array" ref="X156">_xlfn._xlws.FILTER(Teams[name], (Fixtures[[#This Row],[userTeamID]] = Teams[teamID]), "N/A")</f>
        <v>United States</v>
      </c>
      <c r="Y156" s="58" t="str" cm="1">
        <f t="array" ref="Y156">_xlfn._xlws.FILTER(Teams[teamType], (Fixtures[[#This Row],[userTeamID]] = Teams[teamID]), "N/A")</f>
        <v>National</v>
      </c>
      <c r="Z156" s="58" t="str" cm="1">
        <f t="array" ref="Z156">IF(Fixtures[[#This Row],[userTeamID]] = "N/A", "N/A", IF(SUM(COUNTIF(Fixtures[[#This Row],[homeTeam]], _xlfn._xlws.FILTER(Teams[name], (Fixtures[[#This Row],[userTeamID]] = Teams[teamID])*(Teams[relevant])))) &gt; 0, "H", "A"))</f>
        <v>A</v>
      </c>
      <c r="AA156" s="58" t="str">
        <f>IF(Fixtures[[#This Row],[userSide]] = "N/A", "N/A", IF(Fixtures[[#This Row],[userSide]] = "H", Fixtures[[#This Row],[awayTeam]], Fixtures[[#This Row],[homeTeam]]))</f>
        <v>Argentina</v>
      </c>
      <c r="AB156" s="58" t="str" cm="1">
        <f t="array" ref="AB156">_xlfn._xlws.FILTER(Teams[teamID], Fixtures[[#This Row],[oppTeam]] = Teams[name], "N/A")</f>
        <v>N-ARG-ARGENTINA</v>
      </c>
      <c r="AC156" s="58" t="str" cm="1">
        <f t="array" ref="AC156">_xlfn._xlws.FILTER(Teams[teamType], Fixtures[[#This Row],[oppTeam]] = Teams[name], "N/A")</f>
        <v>National</v>
      </c>
      <c r="AD156" s="58">
        <f>IF(ISBLANK(Fixtures[[#This Row],[date]]), "N/A", IF(Fixtures[[#This Row],[userSide]]="H", Fixtures[[#This Row],[homeScore]], Fixtures[[#This Row],[awayScore]]))</f>
        <v>1</v>
      </c>
      <c r="AE156" s="58">
        <f>IF(ISBLANK(Fixtures[[#This Row],[date]]), "N/A", IF(Fixtures[[#This Row],[userScore]] = Fixtures[[#This Row],[homeScore]], Fixtures[[#This Row],[awayScore]], Fixtures[[#This Row],[homeScore]]))</f>
        <v>1</v>
      </c>
      <c r="AF156" s="58" t="b">
        <f>NOT(AND(ISBLANK(Fixtures[[#This Row],[homePens]]), ISBLANK(Fixtures[[#This Row],[awayPens]])))</f>
        <v>0</v>
      </c>
      <c r="AG156" s="58" t="str">
        <f>IF(Fixtures[[#This Row],[penalties]], IF(Fixtures[[#This Row],[userSide]]="H", Fixtures[[#This Row],[homePens]], Fixtures[[#This Row],[awayPens]]), "N/A")</f>
        <v>N/A</v>
      </c>
      <c r="AH156" s="58" t="str">
        <f>IF(Fixtures[[#This Row],[penalties]], IF(Fixtures[[#This Row],[userPens]]=Fixtures[[#This Row],[homePens]],Fixtures[[#This Row],[awayPens]],Fixtures[[#This Row],[homePens]]), "N/A")</f>
        <v>N/A</v>
      </c>
      <c r="AI156" s="58" t="b">
        <f>COUNTBLANK(Fixtures[[#This Row],[G]:[MOTM]]) = 0</f>
        <v>1</v>
      </c>
      <c r="AJ156" s="58">
        <f>IF(Fixtures[[#This Row],[APP]], Fixtures[[#This Row],[G]]+Fixtures[[#This Row],[A]], "N/A")</f>
        <v>1</v>
      </c>
      <c r="AK1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56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[2025-11-25] Argentina vs. United States (1-1) - International Friendly</v>
      </c>
    </row>
    <row r="157" spans="1:39" ht="13">
      <c r="A157" s="55">
        <v>45989</v>
      </c>
      <c r="B157" s="61">
        <v>0.77083333333333337</v>
      </c>
      <c r="C157" s="56" t="s">
        <v>183</v>
      </c>
      <c r="D157" s="56" t="s">
        <v>259</v>
      </c>
      <c r="E157" s="56" t="s">
        <v>108</v>
      </c>
      <c r="F157" s="56" t="s">
        <v>261</v>
      </c>
      <c r="G157" s="56" t="s">
        <v>262</v>
      </c>
      <c r="H157" s="56" t="s">
        <v>303</v>
      </c>
      <c r="I157" s="56">
        <v>2</v>
      </c>
      <c r="J157" s="56">
        <v>0</v>
      </c>
      <c r="K157" s="56"/>
      <c r="L157" s="56"/>
      <c r="M157" s="56">
        <v>0</v>
      </c>
      <c r="N157" s="56">
        <v>0</v>
      </c>
      <c r="O157" s="56">
        <v>0</v>
      </c>
      <c r="P157" s="56">
        <v>0</v>
      </c>
      <c r="Q157" s="57">
        <v>7</v>
      </c>
      <c r="R157" s="56" t="b">
        <v>0</v>
      </c>
      <c r="S157" s="58" t="str" cm="1">
        <f t="array" ref="S157">_xlfn._xlws.FILTER(Competitions[compType], (Fixtures[[#This Row],[competition]] = Competitions[name]), "N/A")</f>
        <v>Domestic League</v>
      </c>
      <c r="T157" s="58" t="b" cm="1">
        <f t="array" ref="T157">_xlfn._xlws.FILTER(Competitions[exhibition], (Fixtures[[#This Row],[competition]] = Competitions[name]), "N/A")</f>
        <v>0</v>
      </c>
      <c r="U157" s="58" t="str" cm="1">
        <f t="array" ref="U157">_xlfn._xlws.FILTER(Competitions[compID], (Fixtures[[#This Row],[competition]] = Competitions[name]), "N/A")</f>
        <v>DL-OF-BUNDESLIGA</v>
      </c>
      <c r="V1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7" s="58" t="str" cm="1">
        <f t="array" ref="W1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7" s="58" t="str" cm="1">
        <f t="array" ref="X157">_xlfn._xlws.FILTER(Teams[name], (Fixtures[[#This Row],[userTeamID]] = Teams[teamID]), "N/A")</f>
        <v>RB Leipzig</v>
      </c>
      <c r="Y157" s="58" t="str" cm="1">
        <f t="array" ref="Y157">_xlfn._xlws.FILTER(Teams[teamType], (Fixtures[[#This Row],[userTeamID]] = Teams[teamID]), "N/A")</f>
        <v>Club</v>
      </c>
      <c r="Z157" s="58" t="str" cm="1">
        <f t="array" ref="Z157">IF(Fixtures[[#This Row],[userTeamID]] = "N/A", "N/A", IF(SUM(COUNTIF(Fixtures[[#This Row],[homeTeam]], _xlfn._xlws.FILTER(Teams[name], (Fixtures[[#This Row],[userTeamID]] = Teams[teamID])*(Teams[relevant])))) &gt; 0, "H", "A"))</f>
        <v>H</v>
      </c>
      <c r="AA157" s="58" t="str">
        <f>IF(Fixtures[[#This Row],[userSide]] = "N/A", "N/A", IF(Fixtures[[#This Row],[userSide]] = "H", Fixtures[[#This Row],[awayTeam]], Fixtures[[#This Row],[homeTeam]]))</f>
        <v>Hamburger SV</v>
      </c>
      <c r="AB157" s="58" t="str" cm="1">
        <f t="array" ref="AB157">_xlfn._xlws.FILTER(Teams[teamID], Fixtures[[#This Row],[oppTeam]] = Teams[name], "N/A")</f>
        <v>C-GER-HAMBURGERSV</v>
      </c>
      <c r="AC157" s="58" t="str" cm="1">
        <f t="array" ref="AC157">_xlfn._xlws.FILTER(Teams[teamType], Fixtures[[#This Row],[oppTeam]] = Teams[name], "N/A")</f>
        <v>Club</v>
      </c>
      <c r="AD157" s="58">
        <f>IF(ISBLANK(Fixtures[[#This Row],[date]]), "N/A", IF(Fixtures[[#This Row],[userSide]]="H", Fixtures[[#This Row],[homeScore]], Fixtures[[#This Row],[awayScore]]))</f>
        <v>2</v>
      </c>
      <c r="AE157" s="58">
        <f>IF(ISBLANK(Fixtures[[#This Row],[date]]), "N/A", IF(Fixtures[[#This Row],[userScore]] = Fixtures[[#This Row],[homeScore]], Fixtures[[#This Row],[awayScore]], Fixtures[[#This Row],[homeScore]]))</f>
        <v>0</v>
      </c>
      <c r="AF157" s="58" t="b">
        <f>NOT(AND(ISBLANK(Fixtures[[#This Row],[homePens]]), ISBLANK(Fixtures[[#This Row],[awayPens]])))</f>
        <v>0</v>
      </c>
      <c r="AG157" s="58" t="str">
        <f>IF(Fixtures[[#This Row],[penalties]], IF(Fixtures[[#This Row],[userSide]]="H", Fixtures[[#This Row],[homePens]], Fixtures[[#This Row],[awayPens]]), "N/A")</f>
        <v>N/A</v>
      </c>
      <c r="AH157" s="58" t="str">
        <f>IF(Fixtures[[#This Row],[penalties]], IF(Fixtures[[#This Row],[userPens]]=Fixtures[[#This Row],[homePens]],Fixtures[[#This Row],[awayPens]],Fixtures[[#This Row],[homePens]]), "N/A")</f>
        <v>N/A</v>
      </c>
      <c r="AI157" s="58" t="b">
        <f>COUNTBLANK(Fixtures[[#This Row],[G]:[MOTM]]) = 0</f>
        <v>1</v>
      </c>
      <c r="AJ157" s="58">
        <f>IF(Fixtures[[#This Row],[APP]], Fixtures[[#This Row],[G]]+Fixtures[[#This Row],[A]], "N/A")</f>
        <v>0</v>
      </c>
      <c r="AK1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57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[2025-11-28] RB Leipzig vs. Hamburger SV (2-0) - Bundesliga</v>
      </c>
    </row>
    <row r="158" spans="1:39" ht="13">
      <c r="A158" s="55">
        <v>45993</v>
      </c>
      <c r="B158" s="61">
        <v>0.875</v>
      </c>
      <c r="C158" s="56" t="s">
        <v>183</v>
      </c>
      <c r="D158" s="56" t="s">
        <v>259</v>
      </c>
      <c r="E158" s="56" t="s">
        <v>304</v>
      </c>
      <c r="F158" s="56" t="s">
        <v>274</v>
      </c>
      <c r="G158" s="56" t="s">
        <v>262</v>
      </c>
      <c r="H158" s="56" t="s">
        <v>275</v>
      </c>
      <c r="I158" s="56">
        <v>1</v>
      </c>
      <c r="J158" s="56">
        <v>0</v>
      </c>
      <c r="K158" s="56"/>
      <c r="L158" s="56"/>
      <c r="M158" s="56">
        <v>0</v>
      </c>
      <c r="N158" s="56">
        <v>0</v>
      </c>
      <c r="O158" s="56">
        <v>0</v>
      </c>
      <c r="P158" s="56">
        <v>0</v>
      </c>
      <c r="Q158" s="57">
        <v>7.4</v>
      </c>
      <c r="R158" s="56" t="b">
        <v>1</v>
      </c>
      <c r="S158" s="58" t="str" cm="1">
        <f t="array" ref="S158">_xlfn._xlws.FILTER(Competitions[compType], (Fixtures[[#This Row],[competition]] = Competitions[name]), "N/A")</f>
        <v>Continental Cup</v>
      </c>
      <c r="T158" s="58" t="b" cm="1">
        <f t="array" ref="T158">_xlfn._xlws.FILTER(Competitions[exhibition], (Fixtures[[#This Row],[competition]] = Competitions[name]), "N/A")</f>
        <v>0</v>
      </c>
      <c r="U158" s="58" t="str" cm="1">
        <f t="array" ref="U158">_xlfn._xlws.FILTER(Competitions[compID], (Fixtures[[#This Row],[competition]] = Competitions[name]), "N/A")</f>
        <v>CC-OF-UEFACHAMPIONSLEAGUE</v>
      </c>
      <c r="V1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8" s="58" t="str" cm="1">
        <f t="array" ref="W1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8" s="58" t="str" cm="1">
        <f t="array" ref="X158">_xlfn._xlws.FILTER(Teams[name], (Fixtures[[#This Row],[userTeamID]] = Teams[teamID]), "N/A")</f>
        <v>RB Leipzig</v>
      </c>
      <c r="Y158" s="58" t="str" cm="1">
        <f t="array" ref="Y158">_xlfn._xlws.FILTER(Teams[teamType], (Fixtures[[#This Row],[userTeamID]] = Teams[teamID]), "N/A")</f>
        <v>Club</v>
      </c>
      <c r="Z158" s="58" t="str" cm="1">
        <f t="array" ref="Z158">IF(Fixtures[[#This Row],[userTeamID]] = "N/A", "N/A", IF(SUM(COUNTIF(Fixtures[[#This Row],[homeTeam]], _xlfn._xlws.FILTER(Teams[name], (Fixtures[[#This Row],[userTeamID]] = Teams[teamID])*(Teams[relevant])))) &gt; 0, "H", "A"))</f>
        <v>H</v>
      </c>
      <c r="AA158" s="58" t="str">
        <f>IF(Fixtures[[#This Row],[userSide]] = "N/A", "N/A", IF(Fixtures[[#This Row],[userSide]] = "H", Fixtures[[#This Row],[awayTeam]], Fixtures[[#This Row],[homeTeam]]))</f>
        <v>Manchester City</v>
      </c>
      <c r="AB158" s="58" t="str" cm="1">
        <f t="array" ref="AB158">_xlfn._xlws.FILTER(Teams[teamID], Fixtures[[#This Row],[oppTeam]] = Teams[name], "N/A")</f>
        <v>C-ENG-MANCHESTERCITY</v>
      </c>
      <c r="AC158" s="58" t="str" cm="1">
        <f t="array" ref="AC158">_xlfn._xlws.FILTER(Teams[teamType], Fixtures[[#This Row],[oppTeam]] = Teams[name], "N/A")</f>
        <v>Club</v>
      </c>
      <c r="AD158" s="58">
        <f>IF(ISBLANK(Fixtures[[#This Row],[date]]), "N/A", IF(Fixtures[[#This Row],[userSide]]="H", Fixtures[[#This Row],[homeScore]], Fixtures[[#This Row],[awayScore]]))</f>
        <v>1</v>
      </c>
      <c r="AE158" s="58">
        <f>IF(ISBLANK(Fixtures[[#This Row],[date]]), "N/A", IF(Fixtures[[#This Row],[userScore]] = Fixtures[[#This Row],[homeScore]], Fixtures[[#This Row],[awayScore]], Fixtures[[#This Row],[homeScore]]))</f>
        <v>0</v>
      </c>
      <c r="AF158" s="58" t="b">
        <f>NOT(AND(ISBLANK(Fixtures[[#This Row],[homePens]]), ISBLANK(Fixtures[[#This Row],[awayPens]])))</f>
        <v>0</v>
      </c>
      <c r="AG158" s="58" t="str">
        <f>IF(Fixtures[[#This Row],[penalties]], IF(Fixtures[[#This Row],[userSide]]="H", Fixtures[[#This Row],[homePens]], Fixtures[[#This Row],[awayPens]]), "N/A")</f>
        <v>N/A</v>
      </c>
      <c r="AH158" s="58" t="str">
        <f>IF(Fixtures[[#This Row],[penalties]], IF(Fixtures[[#This Row],[userPens]]=Fixtures[[#This Row],[homePens]],Fixtures[[#This Row],[awayPens]],Fixtures[[#This Row],[homePens]]), "N/A")</f>
        <v>N/A</v>
      </c>
      <c r="AI158" s="58" t="b">
        <f>COUNTBLANK(Fixtures[[#This Row],[G]:[MOTM]]) = 0</f>
        <v>1</v>
      </c>
      <c r="AJ158" s="58">
        <f>IF(Fixtures[[#This Row],[APP]], Fixtures[[#This Row],[G]]+Fixtures[[#This Row],[A]], "N/A")</f>
        <v>0</v>
      </c>
      <c r="AK1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58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[2025-12-02] RB Leipzig vs. Manchester City (1-0) - UEFA Champions League</v>
      </c>
    </row>
    <row r="159" spans="1:39" ht="13">
      <c r="A159" s="55">
        <v>45997</v>
      </c>
      <c r="B159" s="61">
        <v>0.64583333333333337</v>
      </c>
      <c r="C159" s="56" t="s">
        <v>203</v>
      </c>
      <c r="D159" s="56" t="s">
        <v>293</v>
      </c>
      <c r="E159" s="56" t="s">
        <v>305</v>
      </c>
      <c r="F159" s="56" t="s">
        <v>261</v>
      </c>
      <c r="G159" s="56" t="s">
        <v>295</v>
      </c>
      <c r="H159" s="56" t="s">
        <v>262</v>
      </c>
      <c r="I159" s="56">
        <v>1</v>
      </c>
      <c r="J159" s="56">
        <v>1</v>
      </c>
      <c r="K159" s="56"/>
      <c r="L159" s="56"/>
      <c r="M159" s="56">
        <v>0</v>
      </c>
      <c r="N159" s="56">
        <v>1</v>
      </c>
      <c r="O159" s="56">
        <v>0</v>
      </c>
      <c r="P159" s="56">
        <v>0</v>
      </c>
      <c r="Q159" s="57">
        <v>8.1999999999999993</v>
      </c>
      <c r="R159" s="56" t="b">
        <v>1</v>
      </c>
      <c r="S159" s="58" t="str" cm="1">
        <f t="array" ref="S159">_xlfn._xlws.FILTER(Competitions[compType], (Fixtures[[#This Row],[competition]] = Competitions[name]), "N/A")</f>
        <v>Domestic League</v>
      </c>
      <c r="T159" s="58" t="b" cm="1">
        <f t="array" ref="T159">_xlfn._xlws.FILTER(Competitions[exhibition], (Fixtures[[#This Row],[competition]] = Competitions[name]), "N/A")</f>
        <v>0</v>
      </c>
      <c r="U159" s="58" t="str" cm="1">
        <f t="array" ref="U159">_xlfn._xlws.FILTER(Competitions[compID], (Fixtures[[#This Row],[competition]] = Competitions[name]), "N/A")</f>
        <v>DL-OF-BUNDESLIGA</v>
      </c>
      <c r="V1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59" s="58" t="str" cm="1">
        <f t="array" ref="W1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59" s="58" t="str" cm="1">
        <f t="array" ref="X159">_xlfn._xlws.FILTER(Teams[name], (Fixtures[[#This Row],[userTeamID]] = Teams[teamID]), "N/A")</f>
        <v>RB Leipzig</v>
      </c>
      <c r="Y159" s="58" t="str" cm="1">
        <f t="array" ref="Y159">_xlfn._xlws.FILTER(Teams[teamType], (Fixtures[[#This Row],[userTeamID]] = Teams[teamID]), "N/A")</f>
        <v>Club</v>
      </c>
      <c r="Z159" s="58" t="str" cm="1">
        <f t="array" ref="Z159">IF(Fixtures[[#This Row],[userTeamID]] = "N/A", "N/A", IF(SUM(COUNTIF(Fixtures[[#This Row],[homeTeam]], _xlfn._xlws.FILTER(Teams[name], (Fixtures[[#This Row],[userTeamID]] = Teams[teamID])*(Teams[relevant])))) &gt; 0, "H", "A"))</f>
        <v>A</v>
      </c>
      <c r="AA159" s="58" t="str">
        <f>IF(Fixtures[[#This Row],[userSide]] = "N/A", "N/A", IF(Fixtures[[#This Row],[userSide]] = "H", Fixtures[[#This Row],[awayTeam]], Fixtures[[#This Row],[homeTeam]]))</f>
        <v>VfB Stuttgart</v>
      </c>
      <c r="AB159" s="58" t="str" cm="1">
        <f t="array" ref="AB159">_xlfn._xlws.FILTER(Teams[teamID], Fixtures[[#This Row],[oppTeam]] = Teams[name], "N/A")</f>
        <v>C-GER-VFBSTUTTGART</v>
      </c>
      <c r="AC159" s="58" t="str" cm="1">
        <f t="array" ref="AC159">_xlfn._xlws.FILTER(Teams[teamType], Fixtures[[#This Row],[oppTeam]] = Teams[name], "N/A")</f>
        <v>Club</v>
      </c>
      <c r="AD159" s="58">
        <f>IF(ISBLANK(Fixtures[[#This Row],[date]]), "N/A", IF(Fixtures[[#This Row],[userSide]]="H", Fixtures[[#This Row],[homeScore]], Fixtures[[#This Row],[awayScore]]))</f>
        <v>1</v>
      </c>
      <c r="AE159" s="58">
        <f>IF(ISBLANK(Fixtures[[#This Row],[date]]), "N/A", IF(Fixtures[[#This Row],[userScore]] = Fixtures[[#This Row],[homeScore]], Fixtures[[#This Row],[awayScore]], Fixtures[[#This Row],[homeScore]]))</f>
        <v>1</v>
      </c>
      <c r="AF159" s="58" t="b">
        <f>NOT(AND(ISBLANK(Fixtures[[#This Row],[homePens]]), ISBLANK(Fixtures[[#This Row],[awayPens]])))</f>
        <v>0</v>
      </c>
      <c r="AG159" s="58" t="str">
        <f>IF(Fixtures[[#This Row],[penalties]], IF(Fixtures[[#This Row],[userSide]]="H", Fixtures[[#This Row],[homePens]], Fixtures[[#This Row],[awayPens]]), "N/A")</f>
        <v>N/A</v>
      </c>
      <c r="AH159" s="58" t="str">
        <f>IF(Fixtures[[#This Row],[penalties]], IF(Fixtures[[#This Row],[userPens]]=Fixtures[[#This Row],[homePens]],Fixtures[[#This Row],[awayPens]],Fixtures[[#This Row],[homePens]]), "N/A")</f>
        <v>N/A</v>
      </c>
      <c r="AI159" s="58" t="b">
        <f>COUNTBLANK(Fixtures[[#This Row],[G]:[MOTM]]) = 0</f>
        <v>1</v>
      </c>
      <c r="AJ159" s="58">
        <f>IF(Fixtures[[#This Row],[APP]], Fixtures[[#This Row],[G]]+Fixtures[[#This Row],[A]], "N/A")</f>
        <v>1</v>
      </c>
      <c r="AK1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5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[2025-12-06] VfB Stuttgart vs. RB Leipzig (1-1) - Bundesliga</v>
      </c>
    </row>
    <row r="160" spans="1:39" ht="13">
      <c r="A160" s="55">
        <v>46005</v>
      </c>
      <c r="B160" s="61">
        <v>0.64583333333333337</v>
      </c>
      <c r="C160" s="56" t="s">
        <v>299</v>
      </c>
      <c r="D160" s="56" t="s">
        <v>259</v>
      </c>
      <c r="E160" s="56" t="s">
        <v>108</v>
      </c>
      <c r="F160" s="56" t="s">
        <v>261</v>
      </c>
      <c r="G160" s="56" t="s">
        <v>262</v>
      </c>
      <c r="H160" s="56" t="s">
        <v>306</v>
      </c>
      <c r="I160" s="56">
        <v>1</v>
      </c>
      <c r="J160" s="56">
        <v>0</v>
      </c>
      <c r="K160" s="56"/>
      <c r="L160" s="56"/>
      <c r="M160" s="56">
        <v>0</v>
      </c>
      <c r="N160" s="56">
        <v>0</v>
      </c>
      <c r="O160" s="56">
        <v>0</v>
      </c>
      <c r="P160" s="56">
        <v>0</v>
      </c>
      <c r="Q160" s="57">
        <v>6.1</v>
      </c>
      <c r="R160" s="56" t="b">
        <v>0</v>
      </c>
      <c r="S160" s="58" t="str" cm="1">
        <f t="array" ref="S160">_xlfn._xlws.FILTER(Competitions[compType], (Fixtures[[#This Row],[competition]] = Competitions[name]), "N/A")</f>
        <v>Domestic League</v>
      </c>
      <c r="T160" s="58" t="b" cm="1">
        <f t="array" ref="T160">_xlfn._xlws.FILTER(Competitions[exhibition], (Fixtures[[#This Row],[competition]] = Competitions[name]), "N/A")</f>
        <v>0</v>
      </c>
      <c r="U160" s="58" t="str" cm="1">
        <f t="array" ref="U160">_xlfn._xlws.FILTER(Competitions[compID], (Fixtures[[#This Row],[competition]] = Competitions[name]), "N/A")</f>
        <v>DL-OF-BUNDESLIGA</v>
      </c>
      <c r="V1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0" s="58" t="str" cm="1">
        <f t="array" ref="W1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0" s="58" t="str" cm="1">
        <f t="array" ref="X160">_xlfn._xlws.FILTER(Teams[name], (Fixtures[[#This Row],[userTeamID]] = Teams[teamID]), "N/A")</f>
        <v>RB Leipzig</v>
      </c>
      <c r="Y160" s="58" t="str" cm="1">
        <f t="array" ref="Y160">_xlfn._xlws.FILTER(Teams[teamType], (Fixtures[[#This Row],[userTeamID]] = Teams[teamID]), "N/A")</f>
        <v>Club</v>
      </c>
      <c r="Z160" s="58" t="str" cm="1">
        <f t="array" ref="Z160">IF(Fixtures[[#This Row],[userTeamID]] = "N/A", "N/A", IF(SUM(COUNTIF(Fixtures[[#This Row],[homeTeam]], _xlfn._xlws.FILTER(Teams[name], (Fixtures[[#This Row],[userTeamID]] = Teams[teamID])*(Teams[relevant])))) &gt; 0, "H", "A"))</f>
        <v>H</v>
      </c>
      <c r="AA160" s="58" t="str">
        <f>IF(Fixtures[[#This Row],[userSide]] = "N/A", "N/A", IF(Fixtures[[#This Row],[userSide]] = "H", Fixtures[[#This Row],[awayTeam]], Fixtures[[#This Row],[homeTeam]]))</f>
        <v>FC Augsburg</v>
      </c>
      <c r="AB160" s="58" t="str" cm="1">
        <f t="array" ref="AB160">_xlfn._xlws.FILTER(Teams[teamID], Fixtures[[#This Row],[oppTeam]] = Teams[name], "N/A")</f>
        <v>C-GER-FCAUGSBURG</v>
      </c>
      <c r="AC160" s="58" t="str" cm="1">
        <f t="array" ref="AC160">_xlfn._xlws.FILTER(Teams[teamType], Fixtures[[#This Row],[oppTeam]] = Teams[name], "N/A")</f>
        <v>Club</v>
      </c>
      <c r="AD160" s="58">
        <f>IF(ISBLANK(Fixtures[[#This Row],[date]]), "N/A", IF(Fixtures[[#This Row],[userSide]]="H", Fixtures[[#This Row],[homeScore]], Fixtures[[#This Row],[awayScore]]))</f>
        <v>1</v>
      </c>
      <c r="AE160" s="58">
        <f>IF(ISBLANK(Fixtures[[#This Row],[date]]), "N/A", IF(Fixtures[[#This Row],[userScore]] = Fixtures[[#This Row],[homeScore]], Fixtures[[#This Row],[awayScore]], Fixtures[[#This Row],[homeScore]]))</f>
        <v>0</v>
      </c>
      <c r="AF160" s="58" t="b">
        <f>NOT(AND(ISBLANK(Fixtures[[#This Row],[homePens]]), ISBLANK(Fixtures[[#This Row],[awayPens]])))</f>
        <v>0</v>
      </c>
      <c r="AG160" s="58" t="str">
        <f>IF(Fixtures[[#This Row],[penalties]], IF(Fixtures[[#This Row],[userSide]]="H", Fixtures[[#This Row],[homePens]], Fixtures[[#This Row],[awayPens]]), "N/A")</f>
        <v>N/A</v>
      </c>
      <c r="AH160" s="58" t="str">
        <f>IF(Fixtures[[#This Row],[penalties]], IF(Fixtures[[#This Row],[userPens]]=Fixtures[[#This Row],[homePens]],Fixtures[[#This Row],[awayPens]],Fixtures[[#This Row],[homePens]]), "N/A")</f>
        <v>N/A</v>
      </c>
      <c r="AI160" s="58" t="b">
        <f>COUNTBLANK(Fixtures[[#This Row],[G]:[MOTM]]) = 0</f>
        <v>1</v>
      </c>
      <c r="AJ160" s="58">
        <f>IF(Fixtures[[#This Row],[APP]], Fixtures[[#This Row],[G]]+Fixtures[[#This Row],[A]], "N/A")</f>
        <v>0</v>
      </c>
      <c r="AK1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60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[2025-12-14] RB Leipzig vs. FC Augsburg (1-0) - Bundesliga</v>
      </c>
    </row>
    <row r="161" spans="1:39" ht="13">
      <c r="A161" s="55">
        <v>46008</v>
      </c>
      <c r="B161" s="61">
        <v>0.83333333333333337</v>
      </c>
      <c r="C161" s="56" t="s">
        <v>203</v>
      </c>
      <c r="D161" s="56" t="s">
        <v>307</v>
      </c>
      <c r="E161" s="56" t="s">
        <v>108</v>
      </c>
      <c r="F161" s="56" t="s">
        <v>274</v>
      </c>
      <c r="G161" s="56" t="s">
        <v>281</v>
      </c>
      <c r="H161" s="56" t="s">
        <v>262</v>
      </c>
      <c r="I161" s="56">
        <v>0</v>
      </c>
      <c r="J161" s="56">
        <v>1</v>
      </c>
      <c r="K161" s="56"/>
      <c r="L161" s="56"/>
      <c r="M161" s="56">
        <v>0</v>
      </c>
      <c r="N161" s="56">
        <v>1</v>
      </c>
      <c r="O161" s="56">
        <v>0</v>
      </c>
      <c r="P161" s="56">
        <v>0</v>
      </c>
      <c r="Q161" s="57">
        <v>7.7</v>
      </c>
      <c r="R161" s="56" t="b">
        <v>0</v>
      </c>
      <c r="S161" s="58" t="str" cm="1">
        <f t="array" ref="S161">_xlfn._xlws.FILTER(Competitions[compType], (Fixtures[[#This Row],[competition]] = Competitions[name]), "N/A")</f>
        <v>Continental Cup</v>
      </c>
      <c r="T161" s="58" t="b" cm="1">
        <f t="array" ref="T161">_xlfn._xlws.FILTER(Competitions[exhibition], (Fixtures[[#This Row],[competition]] = Competitions[name]), "N/A")</f>
        <v>0</v>
      </c>
      <c r="U161" s="58" t="str" cm="1">
        <f t="array" ref="U161">_xlfn._xlws.FILTER(Competitions[compID], (Fixtures[[#This Row],[competition]] = Competitions[name]), "N/A")</f>
        <v>CC-OF-UEFACHAMPIONSLEAGUE</v>
      </c>
      <c r="V1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1" s="58" t="str" cm="1">
        <f t="array" ref="W1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1" s="58" t="str" cm="1">
        <f t="array" ref="X161">_xlfn._xlws.FILTER(Teams[name], (Fixtures[[#This Row],[userTeamID]] = Teams[teamID]), "N/A")</f>
        <v>RB Leipzig</v>
      </c>
      <c r="Y161" s="58" t="str" cm="1">
        <f t="array" ref="Y161">_xlfn._xlws.FILTER(Teams[teamType], (Fixtures[[#This Row],[userTeamID]] = Teams[teamID]), "N/A")</f>
        <v>Club</v>
      </c>
      <c r="Z161" s="58" t="str" cm="1">
        <f t="array" ref="Z161">IF(Fixtures[[#This Row],[userTeamID]] = "N/A", "N/A", IF(SUM(COUNTIF(Fixtures[[#This Row],[homeTeam]], _xlfn._xlws.FILTER(Teams[name], (Fixtures[[#This Row],[userTeamID]] = Teams[teamID])*(Teams[relevant])))) &gt; 0, "H", "A"))</f>
        <v>A</v>
      </c>
      <c r="AA161" s="58" t="str">
        <f>IF(Fixtures[[#This Row],[userSide]] = "N/A", "N/A", IF(Fixtures[[#This Row],[userSide]] = "H", Fixtures[[#This Row],[awayTeam]], Fixtures[[#This Row],[homeTeam]]))</f>
        <v>OM</v>
      </c>
      <c r="AB161" s="58" t="str" cm="1">
        <f t="array" ref="AB161">_xlfn._xlws.FILTER(Teams[teamID], Fixtures[[#This Row],[oppTeam]] = Teams[name], "N/A")</f>
        <v>C-FRA-OM</v>
      </c>
      <c r="AC161" s="58" t="str" cm="1">
        <f t="array" ref="AC161">_xlfn._xlws.FILTER(Teams[teamType], Fixtures[[#This Row],[oppTeam]] = Teams[name], "N/A")</f>
        <v>Club</v>
      </c>
      <c r="AD161" s="58">
        <f>IF(ISBLANK(Fixtures[[#This Row],[date]]), "N/A", IF(Fixtures[[#This Row],[userSide]]="H", Fixtures[[#This Row],[homeScore]], Fixtures[[#This Row],[awayScore]]))</f>
        <v>1</v>
      </c>
      <c r="AE161" s="58">
        <f>IF(ISBLANK(Fixtures[[#This Row],[date]]), "N/A", IF(Fixtures[[#This Row],[userScore]] = Fixtures[[#This Row],[homeScore]], Fixtures[[#This Row],[awayScore]], Fixtures[[#This Row],[homeScore]]))</f>
        <v>0</v>
      </c>
      <c r="AF161" s="58" t="b">
        <f>NOT(AND(ISBLANK(Fixtures[[#This Row],[homePens]]), ISBLANK(Fixtures[[#This Row],[awayPens]])))</f>
        <v>0</v>
      </c>
      <c r="AG161" s="58" t="str">
        <f>IF(Fixtures[[#This Row],[penalties]], IF(Fixtures[[#This Row],[userSide]]="H", Fixtures[[#This Row],[homePens]], Fixtures[[#This Row],[awayPens]]), "N/A")</f>
        <v>N/A</v>
      </c>
      <c r="AH161" s="58" t="str">
        <f>IF(Fixtures[[#This Row],[penalties]], IF(Fixtures[[#This Row],[userPens]]=Fixtures[[#This Row],[homePens]],Fixtures[[#This Row],[awayPens]],Fixtures[[#This Row],[homePens]]), "N/A")</f>
        <v>N/A</v>
      </c>
      <c r="AI161" s="58" t="b">
        <f>COUNTBLANK(Fixtures[[#This Row],[G]:[MOTM]]) = 0</f>
        <v>1</v>
      </c>
      <c r="AJ161" s="58">
        <f>IF(Fixtures[[#This Row],[APP]], Fixtures[[#This Row],[G]]+Fixtures[[#This Row],[A]], "N/A")</f>
        <v>1</v>
      </c>
      <c r="AK1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6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[2025-12-17] OM vs. RB Leipzig (0-1) - UEFA Champions League</v>
      </c>
    </row>
    <row r="162" spans="1:39" ht="13">
      <c r="A162" s="55">
        <v>46011</v>
      </c>
      <c r="B162" s="61">
        <v>0.64583333333333337</v>
      </c>
      <c r="C162" s="56" t="s">
        <v>203</v>
      </c>
      <c r="D162" s="56" t="s">
        <v>308</v>
      </c>
      <c r="E162" s="56" t="s">
        <v>309</v>
      </c>
      <c r="F162" s="56" t="s">
        <v>261</v>
      </c>
      <c r="G162" s="56" t="s">
        <v>310</v>
      </c>
      <c r="H162" s="56" t="s">
        <v>262</v>
      </c>
      <c r="I162" s="56">
        <v>2</v>
      </c>
      <c r="J162" s="56">
        <v>0</v>
      </c>
      <c r="K162" s="56"/>
      <c r="L162" s="56"/>
      <c r="M162" s="56">
        <v>0</v>
      </c>
      <c r="N162" s="56">
        <v>0</v>
      </c>
      <c r="O162" s="56">
        <v>0</v>
      </c>
      <c r="P162" s="56">
        <v>0</v>
      </c>
      <c r="Q162" s="57">
        <v>6.9</v>
      </c>
      <c r="R162" s="56" t="b">
        <v>0</v>
      </c>
      <c r="S162" s="58" t="str" cm="1">
        <f t="array" ref="S162">_xlfn._xlws.FILTER(Competitions[compType], (Fixtures[[#This Row],[competition]] = Competitions[name]), "N/A")</f>
        <v>Domestic League</v>
      </c>
      <c r="T162" s="58" t="b" cm="1">
        <f t="array" ref="T162">_xlfn._xlws.FILTER(Competitions[exhibition], (Fixtures[[#This Row],[competition]] = Competitions[name]), "N/A")</f>
        <v>0</v>
      </c>
      <c r="U162" s="58" t="str" cm="1">
        <f t="array" ref="U162">_xlfn._xlws.FILTER(Competitions[compID], (Fixtures[[#This Row],[competition]] = Competitions[name]), "N/A")</f>
        <v>DL-OF-BUNDESLIGA</v>
      </c>
      <c r="V1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2" s="58" t="str" cm="1">
        <f t="array" ref="W1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2" s="58" t="str" cm="1">
        <f t="array" ref="X162">_xlfn._xlws.FILTER(Teams[name], (Fixtures[[#This Row],[userTeamID]] = Teams[teamID]), "N/A")</f>
        <v>RB Leipzig</v>
      </c>
      <c r="Y162" s="58" t="str" cm="1">
        <f t="array" ref="Y162">_xlfn._xlws.FILTER(Teams[teamType], (Fixtures[[#This Row],[userTeamID]] = Teams[teamID]), "N/A")</f>
        <v>Club</v>
      </c>
      <c r="Z162" s="58" t="str" cm="1">
        <f t="array" ref="Z162">IF(Fixtures[[#This Row],[userTeamID]] = "N/A", "N/A", IF(SUM(COUNTIF(Fixtures[[#This Row],[homeTeam]], _xlfn._xlws.FILTER(Teams[name], (Fixtures[[#This Row],[userTeamID]] = Teams[teamID])*(Teams[relevant])))) &gt; 0, "H", "A"))</f>
        <v>A</v>
      </c>
      <c r="AA162" s="58" t="str">
        <f>IF(Fixtures[[#This Row],[userSide]] = "N/A", "N/A", IF(Fixtures[[#This Row],[userSide]] = "H", Fixtures[[#This Row],[awayTeam]], Fixtures[[#This Row],[homeTeam]]))</f>
        <v>1. FC Köln</v>
      </c>
      <c r="AB162" s="58" t="str" cm="1">
        <f t="array" ref="AB162">_xlfn._xlws.FILTER(Teams[teamID], Fixtures[[#This Row],[oppTeam]] = Teams[name], "N/A")</f>
        <v>C-GER-1FCKÖLN</v>
      </c>
      <c r="AC162" s="58" t="str" cm="1">
        <f t="array" ref="AC162">_xlfn._xlws.FILTER(Teams[teamType], Fixtures[[#This Row],[oppTeam]] = Teams[name], "N/A")</f>
        <v>Club</v>
      </c>
      <c r="AD162" s="58">
        <f>IF(ISBLANK(Fixtures[[#This Row],[date]]), "N/A", IF(Fixtures[[#This Row],[userSide]]="H", Fixtures[[#This Row],[homeScore]], Fixtures[[#This Row],[awayScore]]))</f>
        <v>0</v>
      </c>
      <c r="AE162" s="58">
        <f>IF(ISBLANK(Fixtures[[#This Row],[date]]), "N/A", IF(Fixtures[[#This Row],[userScore]] = Fixtures[[#This Row],[homeScore]], Fixtures[[#This Row],[awayScore]], Fixtures[[#This Row],[homeScore]]))</f>
        <v>2</v>
      </c>
      <c r="AF162" s="58" t="b">
        <f>NOT(AND(ISBLANK(Fixtures[[#This Row],[homePens]]), ISBLANK(Fixtures[[#This Row],[awayPens]])))</f>
        <v>0</v>
      </c>
      <c r="AG162" s="58" t="str">
        <f>IF(Fixtures[[#This Row],[penalties]], IF(Fixtures[[#This Row],[userSide]]="H", Fixtures[[#This Row],[homePens]], Fixtures[[#This Row],[awayPens]]), "N/A")</f>
        <v>N/A</v>
      </c>
      <c r="AH162" s="58" t="str">
        <f>IF(Fixtures[[#This Row],[penalties]], IF(Fixtures[[#This Row],[userPens]]=Fixtures[[#This Row],[homePens]],Fixtures[[#This Row],[awayPens]],Fixtures[[#This Row],[homePens]]), "N/A")</f>
        <v>N/A</v>
      </c>
      <c r="AI162" s="58" t="b">
        <f>COUNTBLANK(Fixtures[[#This Row],[G]:[MOTM]]) = 0</f>
        <v>1</v>
      </c>
      <c r="AJ162" s="58">
        <f>IF(Fixtures[[#This Row],[APP]], Fixtures[[#This Row],[G]]+Fixtures[[#This Row],[A]], "N/A")</f>
        <v>0</v>
      </c>
      <c r="AK1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62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[2025-12-20] 1. FC Köln vs. RB Leipzig (2-0) - Bundesliga</v>
      </c>
    </row>
    <row r="163" spans="1:39" ht="13">
      <c r="A163" s="55">
        <v>46015</v>
      </c>
      <c r="B163" s="61">
        <v>0.85416666666666663</v>
      </c>
      <c r="C163" s="56" t="s">
        <v>203</v>
      </c>
      <c r="D163" s="56" t="s">
        <v>259</v>
      </c>
      <c r="E163" s="56" t="s">
        <v>267</v>
      </c>
      <c r="F163" s="56" t="s">
        <v>261</v>
      </c>
      <c r="G163" s="56" t="s">
        <v>262</v>
      </c>
      <c r="H163" s="56" t="s">
        <v>311</v>
      </c>
      <c r="I163" s="56">
        <v>1</v>
      </c>
      <c r="J163" s="56">
        <v>0</v>
      </c>
      <c r="K163" s="56"/>
      <c r="L163" s="56"/>
      <c r="M163" s="56">
        <v>0</v>
      </c>
      <c r="N163" s="56">
        <v>1</v>
      </c>
      <c r="O163" s="56">
        <v>0</v>
      </c>
      <c r="P163" s="56">
        <v>0</v>
      </c>
      <c r="Q163" s="57">
        <v>7.3</v>
      </c>
      <c r="R163" s="56" t="b">
        <v>0</v>
      </c>
      <c r="S163" s="58" t="str" cm="1">
        <f t="array" ref="S163">_xlfn._xlws.FILTER(Competitions[compType], (Fixtures[[#This Row],[competition]] = Competitions[name]), "N/A")</f>
        <v>Domestic League</v>
      </c>
      <c r="T163" s="58" t="b" cm="1">
        <f t="array" ref="T163">_xlfn._xlws.FILTER(Competitions[exhibition], (Fixtures[[#This Row],[competition]] = Competitions[name]), "N/A")</f>
        <v>0</v>
      </c>
      <c r="U163" s="58" t="str" cm="1">
        <f t="array" ref="U163">_xlfn._xlws.FILTER(Competitions[compID], (Fixtures[[#This Row],[competition]] = Competitions[name]), "N/A")</f>
        <v>DL-OF-BUNDESLIGA</v>
      </c>
      <c r="V1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3" s="58" t="str" cm="1">
        <f t="array" ref="W1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3" s="58" t="str" cm="1">
        <f t="array" ref="X163">_xlfn._xlws.FILTER(Teams[name], (Fixtures[[#This Row],[userTeamID]] = Teams[teamID]), "N/A")</f>
        <v>RB Leipzig</v>
      </c>
      <c r="Y163" s="58" t="str" cm="1">
        <f t="array" ref="Y163">_xlfn._xlws.FILTER(Teams[teamType], (Fixtures[[#This Row],[userTeamID]] = Teams[teamID]), "N/A")</f>
        <v>Club</v>
      </c>
      <c r="Z163" s="58" t="str" cm="1">
        <f t="array" ref="Z163">IF(Fixtures[[#This Row],[userTeamID]] = "N/A", "N/A", IF(SUM(COUNTIF(Fixtures[[#This Row],[homeTeam]], _xlfn._xlws.FILTER(Teams[name], (Fixtures[[#This Row],[userTeamID]] = Teams[teamID])*(Teams[relevant])))) &gt; 0, "H", "A"))</f>
        <v>H</v>
      </c>
      <c r="AA163" s="58" t="str">
        <f>IF(Fixtures[[#This Row],[userSide]] = "N/A", "N/A", IF(Fixtures[[#This Row],[userSide]] = "H", Fixtures[[#This Row],[awayTeam]], Fixtures[[#This Row],[homeTeam]]))</f>
        <v>Union Berlin</v>
      </c>
      <c r="AB163" s="58" t="str" cm="1">
        <f t="array" ref="AB163">_xlfn._xlws.FILTER(Teams[teamID], Fixtures[[#This Row],[oppTeam]] = Teams[name], "N/A")</f>
        <v>C-GER-UNIONBERLIN</v>
      </c>
      <c r="AC163" s="58" t="str" cm="1">
        <f t="array" ref="AC163">_xlfn._xlws.FILTER(Teams[teamType], Fixtures[[#This Row],[oppTeam]] = Teams[name], "N/A")</f>
        <v>Club</v>
      </c>
      <c r="AD163" s="58">
        <f>IF(ISBLANK(Fixtures[[#This Row],[date]]), "N/A", IF(Fixtures[[#This Row],[userSide]]="H", Fixtures[[#This Row],[homeScore]], Fixtures[[#This Row],[awayScore]]))</f>
        <v>1</v>
      </c>
      <c r="AE163" s="58">
        <f>IF(ISBLANK(Fixtures[[#This Row],[date]]), "N/A", IF(Fixtures[[#This Row],[userScore]] = Fixtures[[#This Row],[homeScore]], Fixtures[[#This Row],[awayScore]], Fixtures[[#This Row],[homeScore]]))</f>
        <v>0</v>
      </c>
      <c r="AF163" s="58" t="b">
        <f>NOT(AND(ISBLANK(Fixtures[[#This Row],[homePens]]), ISBLANK(Fixtures[[#This Row],[awayPens]])))</f>
        <v>0</v>
      </c>
      <c r="AG163" s="58" t="str">
        <f>IF(Fixtures[[#This Row],[penalties]], IF(Fixtures[[#This Row],[userSide]]="H", Fixtures[[#This Row],[homePens]], Fixtures[[#This Row],[awayPens]]), "N/A")</f>
        <v>N/A</v>
      </c>
      <c r="AH163" s="58" t="str">
        <f>IF(Fixtures[[#This Row],[penalties]], IF(Fixtures[[#This Row],[userPens]]=Fixtures[[#This Row],[homePens]],Fixtures[[#This Row],[awayPens]],Fixtures[[#This Row],[homePens]]), "N/A")</f>
        <v>N/A</v>
      </c>
      <c r="AI163" s="58" t="b">
        <f>COUNTBLANK(Fixtures[[#This Row],[G]:[MOTM]]) = 0</f>
        <v>1</v>
      </c>
      <c r="AJ163" s="58">
        <f>IF(Fixtures[[#This Row],[APP]], Fixtures[[#This Row],[G]]+Fixtures[[#This Row],[A]], "N/A")</f>
        <v>1</v>
      </c>
      <c r="AK1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63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[2025-12-24] RB Leipzig vs. Union Berlin (1-0) - Bundesliga</v>
      </c>
    </row>
    <row r="164" spans="1:39" ht="13">
      <c r="A164" s="55">
        <v>46039</v>
      </c>
      <c r="B164" s="61">
        <v>0.64583333333333337</v>
      </c>
      <c r="C164" s="56" t="s">
        <v>195</v>
      </c>
      <c r="D164" s="56" t="s">
        <v>312</v>
      </c>
      <c r="E164" s="56" t="s">
        <v>296</v>
      </c>
      <c r="F164" s="56" t="s">
        <v>261</v>
      </c>
      <c r="G164" s="56" t="s">
        <v>313</v>
      </c>
      <c r="H164" s="56" t="s">
        <v>262</v>
      </c>
      <c r="I164" s="56">
        <v>1</v>
      </c>
      <c r="J164" s="56">
        <v>0</v>
      </c>
      <c r="K164" s="56"/>
      <c r="L164" s="56"/>
      <c r="M164" s="56">
        <v>0</v>
      </c>
      <c r="N164" s="56">
        <v>0</v>
      </c>
      <c r="O164" s="56">
        <v>0</v>
      </c>
      <c r="P164" s="56">
        <v>0</v>
      </c>
      <c r="Q164" s="57">
        <v>7</v>
      </c>
      <c r="R164" s="56" t="b">
        <v>0</v>
      </c>
      <c r="S164" s="58" t="str" cm="1">
        <f t="array" ref="S164">_xlfn._xlws.FILTER(Competitions[compType], (Fixtures[[#This Row],[competition]] = Competitions[name]), "N/A")</f>
        <v>Domestic League</v>
      </c>
      <c r="T164" s="58" t="b" cm="1">
        <f t="array" ref="T164">_xlfn._xlws.FILTER(Competitions[exhibition], (Fixtures[[#This Row],[competition]] = Competitions[name]), "N/A")</f>
        <v>0</v>
      </c>
      <c r="U164" s="58" t="str" cm="1">
        <f t="array" ref="U164">_xlfn._xlws.FILTER(Competitions[compID], (Fixtures[[#This Row],[competition]] = Competitions[name]), "N/A")</f>
        <v>DL-OF-BUNDESLIGA</v>
      </c>
      <c r="V1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4" s="58" t="str" cm="1">
        <f t="array" ref="W1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4" s="58" t="str" cm="1">
        <f t="array" ref="X164">_xlfn._xlws.FILTER(Teams[name], (Fixtures[[#This Row],[userTeamID]] = Teams[teamID]), "N/A")</f>
        <v>RB Leipzig</v>
      </c>
      <c r="Y164" s="58" t="str" cm="1">
        <f t="array" ref="Y164">_xlfn._xlws.FILTER(Teams[teamType], (Fixtures[[#This Row],[userTeamID]] = Teams[teamID]), "N/A")</f>
        <v>Club</v>
      </c>
      <c r="Z164" s="58" t="str" cm="1">
        <f t="array" ref="Z164">IF(Fixtures[[#This Row],[userTeamID]] = "N/A", "N/A", IF(SUM(COUNTIF(Fixtures[[#This Row],[homeTeam]], _xlfn._xlws.FILTER(Teams[name], (Fixtures[[#This Row],[userTeamID]] = Teams[teamID])*(Teams[relevant])))) &gt; 0, "H", "A"))</f>
        <v>A</v>
      </c>
      <c r="AA164" s="58" t="str">
        <f>IF(Fixtures[[#This Row],[userSide]] = "N/A", "N/A", IF(Fixtures[[#This Row],[userSide]] = "H", Fixtures[[#This Row],[awayTeam]], Fixtures[[#This Row],[homeTeam]]))</f>
        <v>TSG Hoffenheim</v>
      </c>
      <c r="AB164" s="58" t="str" cm="1">
        <f t="array" ref="AB164">_xlfn._xlws.FILTER(Teams[teamID], Fixtures[[#This Row],[oppTeam]] = Teams[name], "N/A")</f>
        <v>C-GER-TSGHOFFENHEIM</v>
      </c>
      <c r="AC164" s="58" t="str" cm="1">
        <f t="array" ref="AC164">_xlfn._xlws.FILTER(Teams[teamType], Fixtures[[#This Row],[oppTeam]] = Teams[name], "N/A")</f>
        <v>Club</v>
      </c>
      <c r="AD164" s="58">
        <f>IF(ISBLANK(Fixtures[[#This Row],[date]]), "N/A", IF(Fixtures[[#This Row],[userSide]]="H", Fixtures[[#This Row],[homeScore]], Fixtures[[#This Row],[awayScore]]))</f>
        <v>0</v>
      </c>
      <c r="AE164" s="58">
        <f>IF(ISBLANK(Fixtures[[#This Row],[date]]), "N/A", IF(Fixtures[[#This Row],[userScore]] = Fixtures[[#This Row],[homeScore]], Fixtures[[#This Row],[awayScore]], Fixtures[[#This Row],[homeScore]]))</f>
        <v>1</v>
      </c>
      <c r="AF164" s="58" t="b">
        <f>NOT(AND(ISBLANK(Fixtures[[#This Row],[homePens]]), ISBLANK(Fixtures[[#This Row],[awayPens]])))</f>
        <v>0</v>
      </c>
      <c r="AG164" s="58" t="str">
        <f>IF(Fixtures[[#This Row],[penalties]], IF(Fixtures[[#This Row],[userSide]]="H", Fixtures[[#This Row],[homePens]], Fixtures[[#This Row],[awayPens]]), "N/A")</f>
        <v>N/A</v>
      </c>
      <c r="AH164" s="58" t="str">
        <f>IF(Fixtures[[#This Row],[penalties]], IF(Fixtures[[#This Row],[userPens]]=Fixtures[[#This Row],[homePens]],Fixtures[[#This Row],[awayPens]],Fixtures[[#This Row],[homePens]]), "N/A")</f>
        <v>N/A</v>
      </c>
      <c r="AI164" s="58" t="b">
        <f>COUNTBLANK(Fixtures[[#This Row],[G]:[MOTM]]) = 0</f>
        <v>1</v>
      </c>
      <c r="AJ164" s="58">
        <f>IF(Fixtures[[#This Row],[APP]], Fixtures[[#This Row],[G]]+Fixtures[[#This Row],[A]], "N/A")</f>
        <v>0</v>
      </c>
      <c r="AK1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6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[2026-01-17] TSG Hoffenheim vs. RB Leipzig (1-0) - Bundesliga</v>
      </c>
    </row>
    <row r="165" spans="1:39" ht="13">
      <c r="A165" s="55">
        <v>46047</v>
      </c>
      <c r="B165" s="61">
        <v>0.72916666666666663</v>
      </c>
      <c r="C165" s="56" t="s">
        <v>161</v>
      </c>
      <c r="D165" s="56" t="s">
        <v>259</v>
      </c>
      <c r="E165" s="56" t="s">
        <v>296</v>
      </c>
      <c r="F165" s="56" t="s">
        <v>261</v>
      </c>
      <c r="G165" s="56" t="s">
        <v>262</v>
      </c>
      <c r="H165" s="56" t="s">
        <v>272</v>
      </c>
      <c r="I165" s="56">
        <v>3</v>
      </c>
      <c r="J165" s="56">
        <v>0</v>
      </c>
      <c r="K165" s="56"/>
      <c r="L165" s="56"/>
      <c r="M165" s="56">
        <v>2</v>
      </c>
      <c r="N165" s="56">
        <v>0</v>
      </c>
      <c r="O165" s="56">
        <v>0</v>
      </c>
      <c r="P165" s="56">
        <v>0</v>
      </c>
      <c r="Q165" s="57">
        <v>9.1</v>
      </c>
      <c r="R165" s="56" t="b">
        <v>1</v>
      </c>
      <c r="S165" s="58" t="str" cm="1">
        <f t="array" ref="S165">_xlfn._xlws.FILTER(Competitions[compType], (Fixtures[[#This Row],[competition]] = Competitions[name]), "N/A")</f>
        <v>Domestic League</v>
      </c>
      <c r="T165" s="58" t="b" cm="1">
        <f t="array" ref="T165">_xlfn._xlws.FILTER(Competitions[exhibition], (Fixtures[[#This Row],[competition]] = Competitions[name]), "N/A")</f>
        <v>0</v>
      </c>
      <c r="U165" s="58" t="str" cm="1">
        <f t="array" ref="U165">_xlfn._xlws.FILTER(Competitions[compID], (Fixtures[[#This Row],[competition]] = Competitions[name]), "N/A")</f>
        <v>DL-OF-BUNDESLIGA</v>
      </c>
      <c r="V1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5" s="58" t="str" cm="1">
        <f t="array" ref="W1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5" s="58" t="str" cm="1">
        <f t="array" ref="X165">_xlfn._xlws.FILTER(Teams[name], (Fixtures[[#This Row],[userTeamID]] = Teams[teamID]), "N/A")</f>
        <v>RB Leipzig</v>
      </c>
      <c r="Y165" s="58" t="str" cm="1">
        <f t="array" ref="Y165">_xlfn._xlws.FILTER(Teams[teamType], (Fixtures[[#This Row],[userTeamID]] = Teams[teamID]), "N/A")</f>
        <v>Club</v>
      </c>
      <c r="Z165" s="58" t="str" cm="1">
        <f t="array" ref="Z165">IF(Fixtures[[#This Row],[userTeamID]] = "N/A", "N/A", IF(SUM(COUNTIF(Fixtures[[#This Row],[homeTeam]], _xlfn._xlws.FILTER(Teams[name], (Fixtures[[#This Row],[userTeamID]] = Teams[teamID])*(Teams[relevant])))) &gt; 0, "H", "A"))</f>
        <v>H</v>
      </c>
      <c r="AA165" s="58" t="str">
        <f>IF(Fixtures[[#This Row],[userSide]] = "N/A", "N/A", IF(Fixtures[[#This Row],[userSide]] = "H", Fixtures[[#This Row],[awayTeam]], Fixtures[[#This Row],[homeTeam]]))</f>
        <v>VfL Wolfsburg</v>
      </c>
      <c r="AB165" s="58" t="str" cm="1">
        <f t="array" ref="AB165">_xlfn._xlws.FILTER(Teams[teamID], Fixtures[[#This Row],[oppTeam]] = Teams[name], "N/A")</f>
        <v>C-GER-VFLWOLFSBURG</v>
      </c>
      <c r="AC165" s="58" t="str" cm="1">
        <f t="array" ref="AC165">_xlfn._xlws.FILTER(Teams[teamType], Fixtures[[#This Row],[oppTeam]] = Teams[name], "N/A")</f>
        <v>Club</v>
      </c>
      <c r="AD165" s="58">
        <f>IF(ISBLANK(Fixtures[[#This Row],[date]]), "N/A", IF(Fixtures[[#This Row],[userSide]]="H", Fixtures[[#This Row],[homeScore]], Fixtures[[#This Row],[awayScore]]))</f>
        <v>3</v>
      </c>
      <c r="AE165" s="58">
        <f>IF(ISBLANK(Fixtures[[#This Row],[date]]), "N/A", IF(Fixtures[[#This Row],[userScore]] = Fixtures[[#This Row],[homeScore]], Fixtures[[#This Row],[awayScore]], Fixtures[[#This Row],[homeScore]]))</f>
        <v>0</v>
      </c>
      <c r="AF165" s="58" t="b">
        <f>NOT(AND(ISBLANK(Fixtures[[#This Row],[homePens]]), ISBLANK(Fixtures[[#This Row],[awayPens]])))</f>
        <v>0</v>
      </c>
      <c r="AG165" s="58" t="str">
        <f>IF(Fixtures[[#This Row],[penalties]], IF(Fixtures[[#This Row],[userSide]]="H", Fixtures[[#This Row],[homePens]], Fixtures[[#This Row],[awayPens]]), "N/A")</f>
        <v>N/A</v>
      </c>
      <c r="AH165" s="58" t="str">
        <f>IF(Fixtures[[#This Row],[penalties]], IF(Fixtures[[#This Row],[userPens]]=Fixtures[[#This Row],[homePens]],Fixtures[[#This Row],[awayPens]],Fixtures[[#This Row],[homePens]]), "N/A")</f>
        <v>N/A</v>
      </c>
      <c r="AI165" s="58" t="b">
        <f>COUNTBLANK(Fixtures[[#This Row],[G]:[MOTM]]) = 0</f>
        <v>1</v>
      </c>
      <c r="AJ165" s="58">
        <f>IF(Fixtures[[#This Row],[APP]], Fixtures[[#This Row],[G]]+Fixtures[[#This Row],[A]], "N/A")</f>
        <v>2</v>
      </c>
      <c r="AK1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65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1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[2026-01-25] RB Leipzig vs. VfL Wolfsburg (3-0) - Bundesliga</v>
      </c>
    </row>
    <row r="166" spans="1:39" ht="13">
      <c r="A166" s="55">
        <v>46054</v>
      </c>
      <c r="B166" s="61">
        <v>0.64583333333333337</v>
      </c>
      <c r="C166" s="56" t="s">
        <v>299</v>
      </c>
      <c r="D166" s="56" t="s">
        <v>314</v>
      </c>
      <c r="E166" s="56" t="s">
        <v>267</v>
      </c>
      <c r="F166" s="56" t="s">
        <v>261</v>
      </c>
      <c r="G166" s="56" t="s">
        <v>268</v>
      </c>
      <c r="H166" s="56" t="s">
        <v>262</v>
      </c>
      <c r="I166" s="56">
        <v>1</v>
      </c>
      <c r="J166" s="56">
        <v>2</v>
      </c>
      <c r="K166" s="56"/>
      <c r="L166" s="56"/>
      <c r="M166" s="56">
        <v>0</v>
      </c>
      <c r="N166" s="56">
        <v>1</v>
      </c>
      <c r="O166" s="56">
        <v>0</v>
      </c>
      <c r="P166" s="56">
        <v>0</v>
      </c>
      <c r="Q166" s="57">
        <v>7.6</v>
      </c>
      <c r="R166" s="56" t="b">
        <v>1</v>
      </c>
      <c r="S166" s="58" t="str" cm="1">
        <f t="array" ref="S166">_xlfn._xlws.FILTER(Competitions[compType], (Fixtures[[#This Row],[competition]] = Competitions[name]), "N/A")</f>
        <v>Domestic League</v>
      </c>
      <c r="T166" s="58" t="b" cm="1">
        <f t="array" ref="T166">_xlfn._xlws.FILTER(Competitions[exhibition], (Fixtures[[#This Row],[competition]] = Competitions[name]), "N/A")</f>
        <v>0</v>
      </c>
      <c r="U166" s="58" t="str" cm="1">
        <f t="array" ref="U166">_xlfn._xlws.FILTER(Competitions[compID], (Fixtures[[#This Row],[competition]] = Competitions[name]), "N/A")</f>
        <v>DL-OF-BUNDESLIGA</v>
      </c>
      <c r="V1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6" s="58" t="str" cm="1">
        <f t="array" ref="W1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6" s="58" t="str" cm="1">
        <f t="array" ref="X166">_xlfn._xlws.FILTER(Teams[name], (Fixtures[[#This Row],[userTeamID]] = Teams[teamID]), "N/A")</f>
        <v>RB Leipzig</v>
      </c>
      <c r="Y166" s="58" t="str" cm="1">
        <f t="array" ref="Y166">_xlfn._xlws.FILTER(Teams[teamType], (Fixtures[[#This Row],[userTeamID]] = Teams[teamID]), "N/A")</f>
        <v>Club</v>
      </c>
      <c r="Z166" s="58" t="str" cm="1">
        <f t="array" ref="Z166">IF(Fixtures[[#This Row],[userTeamID]] = "N/A", "N/A", IF(SUM(COUNTIF(Fixtures[[#This Row],[homeTeam]], _xlfn._xlws.FILTER(Teams[name], (Fixtures[[#This Row],[userTeamID]] = Teams[teamID])*(Teams[relevant])))) &gt; 0, "H", "A"))</f>
        <v>A</v>
      </c>
      <c r="AA166" s="58" t="str">
        <f>IF(Fixtures[[#This Row],[userSide]] = "N/A", "N/A", IF(Fixtures[[#This Row],[userSide]] = "H", Fixtures[[#This Row],[awayTeam]], Fixtures[[#This Row],[homeTeam]]))</f>
        <v>SC Freiburg</v>
      </c>
      <c r="AB166" s="58" t="str" cm="1">
        <f t="array" ref="AB166">_xlfn._xlws.FILTER(Teams[teamID], Fixtures[[#This Row],[oppTeam]] = Teams[name], "N/A")</f>
        <v>C-GER-SCFREIBURG</v>
      </c>
      <c r="AC166" s="58" t="str" cm="1">
        <f t="array" ref="AC166">_xlfn._xlws.FILTER(Teams[teamType], Fixtures[[#This Row],[oppTeam]] = Teams[name], "N/A")</f>
        <v>Club</v>
      </c>
      <c r="AD166" s="58">
        <f>IF(ISBLANK(Fixtures[[#This Row],[date]]), "N/A", IF(Fixtures[[#This Row],[userSide]]="H", Fixtures[[#This Row],[homeScore]], Fixtures[[#This Row],[awayScore]]))</f>
        <v>2</v>
      </c>
      <c r="AE166" s="58">
        <f>IF(ISBLANK(Fixtures[[#This Row],[date]]), "N/A", IF(Fixtures[[#This Row],[userScore]] = Fixtures[[#This Row],[homeScore]], Fixtures[[#This Row],[awayScore]], Fixtures[[#This Row],[homeScore]]))</f>
        <v>1</v>
      </c>
      <c r="AF166" s="58" t="b">
        <f>NOT(AND(ISBLANK(Fixtures[[#This Row],[homePens]]), ISBLANK(Fixtures[[#This Row],[awayPens]])))</f>
        <v>0</v>
      </c>
      <c r="AG166" s="58" t="str">
        <f>IF(Fixtures[[#This Row],[penalties]], IF(Fixtures[[#This Row],[userSide]]="H", Fixtures[[#This Row],[homePens]], Fixtures[[#This Row],[awayPens]]), "N/A")</f>
        <v>N/A</v>
      </c>
      <c r="AH166" s="58" t="str">
        <f>IF(Fixtures[[#This Row],[penalties]], IF(Fixtures[[#This Row],[userPens]]=Fixtures[[#This Row],[homePens]],Fixtures[[#This Row],[awayPens]],Fixtures[[#This Row],[homePens]]), "N/A")</f>
        <v>N/A</v>
      </c>
      <c r="AI166" s="58" t="b">
        <f>COUNTBLANK(Fixtures[[#This Row],[G]:[MOTM]]) = 0</f>
        <v>1</v>
      </c>
      <c r="AJ166" s="58">
        <f>IF(Fixtures[[#This Row],[APP]], Fixtures[[#This Row],[G]]+Fixtures[[#This Row],[A]], "N/A")</f>
        <v>1</v>
      </c>
      <c r="AK1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66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[2026-02-01] SC Freiburg vs. RB Leipzig (1-2) - Bundesliga</v>
      </c>
    </row>
    <row r="167" spans="1:39" ht="13">
      <c r="A167" s="55">
        <v>46060</v>
      </c>
      <c r="B167" s="61">
        <v>0.64583333333333337</v>
      </c>
      <c r="C167" s="56" t="s">
        <v>183</v>
      </c>
      <c r="D167" s="56" t="s">
        <v>259</v>
      </c>
      <c r="E167" s="56" t="s">
        <v>265</v>
      </c>
      <c r="F167" s="56" t="s">
        <v>261</v>
      </c>
      <c r="G167" s="56" t="s">
        <v>262</v>
      </c>
      <c r="H167" s="56" t="s">
        <v>266</v>
      </c>
      <c r="I167" s="56">
        <v>1</v>
      </c>
      <c r="J167" s="56">
        <v>2</v>
      </c>
      <c r="K167" s="56"/>
      <c r="L167" s="56"/>
      <c r="M167" s="56">
        <v>0</v>
      </c>
      <c r="N167" s="56">
        <v>0</v>
      </c>
      <c r="O167" s="56">
        <v>0</v>
      </c>
      <c r="P167" s="56">
        <v>0</v>
      </c>
      <c r="Q167" s="57">
        <v>6.4</v>
      </c>
      <c r="R167" s="56" t="b">
        <v>0</v>
      </c>
      <c r="S167" s="58" t="str" cm="1">
        <f t="array" ref="S167">_xlfn._xlws.FILTER(Competitions[compType], (Fixtures[[#This Row],[competition]] = Competitions[name]), "N/A")</f>
        <v>Domestic League</v>
      </c>
      <c r="T167" s="58" t="b" cm="1">
        <f t="array" ref="T167">_xlfn._xlws.FILTER(Competitions[exhibition], (Fixtures[[#This Row],[competition]] = Competitions[name]), "N/A")</f>
        <v>0</v>
      </c>
      <c r="U167" s="58" t="str" cm="1">
        <f t="array" ref="U167">_xlfn._xlws.FILTER(Competitions[compID], (Fixtures[[#This Row],[competition]] = Competitions[name]), "N/A")</f>
        <v>DL-OF-BUNDESLIGA</v>
      </c>
      <c r="V1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7" s="58" t="str" cm="1">
        <f t="array" ref="W1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7" s="58" t="str" cm="1">
        <f t="array" ref="X167">_xlfn._xlws.FILTER(Teams[name], (Fixtures[[#This Row],[userTeamID]] = Teams[teamID]), "N/A")</f>
        <v>RB Leipzig</v>
      </c>
      <c r="Y167" s="58" t="str" cm="1">
        <f t="array" ref="Y167">_xlfn._xlws.FILTER(Teams[teamType], (Fixtures[[#This Row],[userTeamID]] = Teams[teamID]), "N/A")</f>
        <v>Club</v>
      </c>
      <c r="Z167" s="58" t="str" cm="1">
        <f t="array" ref="Z167">IF(Fixtures[[#This Row],[userTeamID]] = "N/A", "N/A", IF(SUM(COUNTIF(Fixtures[[#This Row],[homeTeam]], _xlfn._xlws.FILTER(Teams[name], (Fixtures[[#This Row],[userTeamID]] = Teams[teamID])*(Teams[relevant])))) &gt; 0, "H", "A"))</f>
        <v>H</v>
      </c>
      <c r="AA167" s="58" t="str">
        <f>IF(Fixtures[[#This Row],[userSide]] = "N/A", "N/A", IF(Fixtures[[#This Row],[userSide]] = "H", Fixtures[[#This Row],[awayTeam]], Fixtures[[#This Row],[homeTeam]]))</f>
        <v>1. FSV Mainz 05</v>
      </c>
      <c r="AB167" s="58" t="str" cm="1">
        <f t="array" ref="AB167">_xlfn._xlws.FILTER(Teams[teamID], Fixtures[[#This Row],[oppTeam]] = Teams[name], "N/A")</f>
        <v>C-GER-1FSVMAINZ05</v>
      </c>
      <c r="AC167" s="58" t="str" cm="1">
        <f t="array" ref="AC167">_xlfn._xlws.FILTER(Teams[teamType], Fixtures[[#This Row],[oppTeam]] = Teams[name], "N/A")</f>
        <v>Club</v>
      </c>
      <c r="AD167" s="58">
        <f>IF(ISBLANK(Fixtures[[#This Row],[date]]), "N/A", IF(Fixtures[[#This Row],[userSide]]="H", Fixtures[[#This Row],[homeScore]], Fixtures[[#This Row],[awayScore]]))</f>
        <v>1</v>
      </c>
      <c r="AE167" s="58">
        <f>IF(ISBLANK(Fixtures[[#This Row],[date]]), "N/A", IF(Fixtures[[#This Row],[userScore]] = Fixtures[[#This Row],[homeScore]], Fixtures[[#This Row],[awayScore]], Fixtures[[#This Row],[homeScore]]))</f>
        <v>2</v>
      </c>
      <c r="AF167" s="58" t="b">
        <f>NOT(AND(ISBLANK(Fixtures[[#This Row],[homePens]]), ISBLANK(Fixtures[[#This Row],[awayPens]])))</f>
        <v>0</v>
      </c>
      <c r="AG167" s="58" t="str">
        <f>IF(Fixtures[[#This Row],[penalties]], IF(Fixtures[[#This Row],[userSide]]="H", Fixtures[[#This Row],[homePens]], Fixtures[[#This Row],[awayPens]]), "N/A")</f>
        <v>N/A</v>
      </c>
      <c r="AH167" s="58" t="str">
        <f>IF(Fixtures[[#This Row],[penalties]], IF(Fixtures[[#This Row],[userPens]]=Fixtures[[#This Row],[homePens]],Fixtures[[#This Row],[awayPens]],Fixtures[[#This Row],[homePens]]), "N/A")</f>
        <v>N/A</v>
      </c>
      <c r="AI167" s="58" t="b">
        <f>COUNTBLANK(Fixtures[[#This Row],[G]:[MOTM]]) = 0</f>
        <v>1</v>
      </c>
      <c r="AJ167" s="58">
        <f>IF(Fixtures[[#This Row],[APP]], Fixtures[[#This Row],[G]]+Fixtures[[#This Row],[A]], "N/A")</f>
        <v>0</v>
      </c>
      <c r="AK1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67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[2026-02-07] RB Leipzig vs. 1. FSV Mainz 05 (1-2) - Bundesliga</v>
      </c>
    </row>
    <row r="168" spans="1:39" ht="13">
      <c r="A168" s="55">
        <v>46068</v>
      </c>
      <c r="B168" s="61">
        <v>0.64583333333333337</v>
      </c>
      <c r="C168" s="56" t="s">
        <v>183</v>
      </c>
      <c r="D168" s="56" t="s">
        <v>315</v>
      </c>
      <c r="E168" s="56" t="s">
        <v>316</v>
      </c>
      <c r="F168" s="56" t="s">
        <v>261</v>
      </c>
      <c r="G168" s="56" t="s">
        <v>263</v>
      </c>
      <c r="H168" s="56" t="s">
        <v>262</v>
      </c>
      <c r="I168" s="56">
        <v>1</v>
      </c>
      <c r="J168" s="56">
        <v>1</v>
      </c>
      <c r="K168" s="56"/>
      <c r="L168" s="56"/>
      <c r="M168" s="56">
        <v>0</v>
      </c>
      <c r="N168" s="56">
        <v>0</v>
      </c>
      <c r="O168" s="56">
        <v>0</v>
      </c>
      <c r="P168" s="56">
        <v>0</v>
      </c>
      <c r="Q168" s="57">
        <v>7.2</v>
      </c>
      <c r="R168" s="56" t="b">
        <v>0</v>
      </c>
      <c r="S168" s="58" t="str" cm="1">
        <f t="array" ref="S168">_xlfn._xlws.FILTER(Competitions[compType], (Fixtures[[#This Row],[competition]] = Competitions[name]), "N/A")</f>
        <v>Domestic League</v>
      </c>
      <c r="T168" s="58" t="b" cm="1">
        <f t="array" ref="T168">_xlfn._xlws.FILTER(Competitions[exhibition], (Fixtures[[#This Row],[competition]] = Competitions[name]), "N/A")</f>
        <v>0</v>
      </c>
      <c r="U168" s="58" t="str" cm="1">
        <f t="array" ref="U168">_xlfn._xlws.FILTER(Competitions[compID], (Fixtures[[#This Row],[competition]] = Competitions[name]), "N/A")</f>
        <v>DL-OF-BUNDESLIGA</v>
      </c>
      <c r="V1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8" s="58" t="str" cm="1">
        <f t="array" ref="W1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8" s="58" t="str" cm="1">
        <f t="array" ref="X168">_xlfn._xlws.FILTER(Teams[name], (Fixtures[[#This Row],[userTeamID]] = Teams[teamID]), "N/A")</f>
        <v>RB Leipzig</v>
      </c>
      <c r="Y168" s="58" t="str" cm="1">
        <f t="array" ref="Y168">_xlfn._xlws.FILTER(Teams[teamType], (Fixtures[[#This Row],[userTeamID]] = Teams[teamID]), "N/A")</f>
        <v>Club</v>
      </c>
      <c r="Z168" s="58" t="str" cm="1">
        <f t="array" ref="Z168">IF(Fixtures[[#This Row],[userTeamID]] = "N/A", "N/A", IF(SUM(COUNTIF(Fixtures[[#This Row],[homeTeam]], _xlfn._xlws.FILTER(Teams[name], (Fixtures[[#This Row],[userTeamID]] = Teams[teamID])*(Teams[relevant])))) &gt; 0, "H", "A"))</f>
        <v>A</v>
      </c>
      <c r="AA168" s="58" t="str">
        <f>IF(Fixtures[[#This Row],[userSide]] = "N/A", "N/A", IF(Fixtures[[#This Row],[userSide]] = "H", Fixtures[[#This Row],[awayTeam]], Fixtures[[#This Row],[homeTeam]]))</f>
        <v>Leverkusen</v>
      </c>
      <c r="AB168" s="58" t="str" cm="1">
        <f t="array" ref="AB168">_xlfn._xlws.FILTER(Teams[teamID], Fixtures[[#This Row],[oppTeam]] = Teams[name], "N/A")</f>
        <v>C-GER-LEVERKUSEN</v>
      </c>
      <c r="AC168" s="58" t="str" cm="1">
        <f t="array" ref="AC168">_xlfn._xlws.FILTER(Teams[teamType], Fixtures[[#This Row],[oppTeam]] = Teams[name], "N/A")</f>
        <v>Club</v>
      </c>
      <c r="AD168" s="58">
        <f>IF(ISBLANK(Fixtures[[#This Row],[date]]), "N/A", IF(Fixtures[[#This Row],[userSide]]="H", Fixtures[[#This Row],[homeScore]], Fixtures[[#This Row],[awayScore]]))</f>
        <v>1</v>
      </c>
      <c r="AE168" s="58">
        <f>IF(ISBLANK(Fixtures[[#This Row],[date]]), "N/A", IF(Fixtures[[#This Row],[userScore]] = Fixtures[[#This Row],[homeScore]], Fixtures[[#This Row],[awayScore]], Fixtures[[#This Row],[homeScore]]))</f>
        <v>1</v>
      </c>
      <c r="AF168" s="58" t="b">
        <f>NOT(AND(ISBLANK(Fixtures[[#This Row],[homePens]]), ISBLANK(Fixtures[[#This Row],[awayPens]])))</f>
        <v>0</v>
      </c>
      <c r="AG168" s="58" t="str">
        <f>IF(Fixtures[[#This Row],[penalties]], IF(Fixtures[[#This Row],[userSide]]="H", Fixtures[[#This Row],[homePens]], Fixtures[[#This Row],[awayPens]]), "N/A")</f>
        <v>N/A</v>
      </c>
      <c r="AH168" s="58" t="str">
        <f>IF(Fixtures[[#This Row],[penalties]], IF(Fixtures[[#This Row],[userPens]]=Fixtures[[#This Row],[homePens]],Fixtures[[#This Row],[awayPens]],Fixtures[[#This Row],[homePens]]), "N/A")</f>
        <v>N/A</v>
      </c>
      <c r="AI168" s="58" t="b">
        <f>COUNTBLANK(Fixtures[[#This Row],[G]:[MOTM]]) = 0</f>
        <v>1</v>
      </c>
      <c r="AJ168" s="58">
        <f>IF(Fixtures[[#This Row],[APP]], Fixtures[[#This Row],[G]]+Fixtures[[#This Row],[A]], "N/A")</f>
        <v>0</v>
      </c>
      <c r="AK1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6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[2026-02-15] Leverkusen vs. RB Leipzig (1-1) - Bundesliga</v>
      </c>
    </row>
    <row r="169" spans="1:39" ht="13">
      <c r="A169" s="55">
        <v>46071</v>
      </c>
      <c r="B169" s="61">
        <v>0.875</v>
      </c>
      <c r="C169" s="56" t="s">
        <v>195</v>
      </c>
      <c r="D169" s="56" t="s">
        <v>115</v>
      </c>
      <c r="E169" s="56" t="s">
        <v>317</v>
      </c>
      <c r="F169" s="56" t="s">
        <v>274</v>
      </c>
      <c r="G169" s="56" t="s">
        <v>318</v>
      </c>
      <c r="H169" s="56" t="s">
        <v>262</v>
      </c>
      <c r="I169" s="56">
        <v>1</v>
      </c>
      <c r="J169" s="56">
        <v>1</v>
      </c>
      <c r="K169" s="56"/>
      <c r="L169" s="56"/>
      <c r="M169" s="56">
        <v>0</v>
      </c>
      <c r="N169" s="56">
        <v>0</v>
      </c>
      <c r="O169" s="56">
        <v>0</v>
      </c>
      <c r="P169" s="56">
        <v>0</v>
      </c>
      <c r="Q169" s="57">
        <v>7.5</v>
      </c>
      <c r="R169" s="56" t="b">
        <v>0</v>
      </c>
      <c r="S169" s="58" t="str" cm="1">
        <f t="array" ref="S169">_xlfn._xlws.FILTER(Competitions[compType], (Fixtures[[#This Row],[competition]] = Competitions[name]), "N/A")</f>
        <v>Continental Cup</v>
      </c>
      <c r="T169" s="58" t="b" cm="1">
        <f t="array" ref="T169">_xlfn._xlws.FILTER(Competitions[exhibition], (Fixtures[[#This Row],[competition]] = Competitions[name]), "N/A")</f>
        <v>0</v>
      </c>
      <c r="U169" s="58" t="str" cm="1">
        <f t="array" ref="U169">_xlfn._xlws.FILTER(Competitions[compID], (Fixtures[[#This Row],[competition]] = Competitions[name]), "N/A")</f>
        <v>CC-OF-UEFACHAMPIONSLEAGUE</v>
      </c>
      <c r="V1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69" s="58" t="str" cm="1">
        <f t="array" ref="W1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69" s="58" t="str" cm="1">
        <f t="array" ref="X169">_xlfn._xlws.FILTER(Teams[name], (Fixtures[[#This Row],[userTeamID]] = Teams[teamID]), "N/A")</f>
        <v>RB Leipzig</v>
      </c>
      <c r="Y169" s="58" t="str" cm="1">
        <f t="array" ref="Y169">_xlfn._xlws.FILTER(Teams[teamType], (Fixtures[[#This Row],[userTeamID]] = Teams[teamID]), "N/A")</f>
        <v>Club</v>
      </c>
      <c r="Z169" s="58" t="str" cm="1">
        <f t="array" ref="Z169">IF(Fixtures[[#This Row],[userTeamID]] = "N/A", "N/A", IF(SUM(COUNTIF(Fixtures[[#This Row],[homeTeam]], _xlfn._xlws.FILTER(Teams[name], (Fixtures[[#This Row],[userTeamID]] = Teams[teamID])*(Teams[relevant])))) &gt; 0, "H", "A"))</f>
        <v>A</v>
      </c>
      <c r="AA169" s="58" t="str">
        <f>IF(Fixtures[[#This Row],[userSide]] = "N/A", "N/A", IF(Fixtures[[#This Row],[userSide]] = "H", Fixtures[[#This Row],[awayTeam]], Fixtures[[#This Row],[homeTeam]]))</f>
        <v>Fenerbahçe</v>
      </c>
      <c r="AB169" s="58" t="str" cm="1">
        <f t="array" ref="AB169">_xlfn._xlws.FILTER(Teams[teamID], Fixtures[[#This Row],[oppTeam]] = Teams[name], "N/A")</f>
        <v>C-TUR-FENERBAHÇE</v>
      </c>
      <c r="AC169" s="58" t="str" cm="1">
        <f t="array" ref="AC169">_xlfn._xlws.FILTER(Teams[teamType], Fixtures[[#This Row],[oppTeam]] = Teams[name], "N/A")</f>
        <v>Club</v>
      </c>
      <c r="AD169" s="58">
        <f>IF(ISBLANK(Fixtures[[#This Row],[date]]), "N/A", IF(Fixtures[[#This Row],[userSide]]="H", Fixtures[[#This Row],[homeScore]], Fixtures[[#This Row],[awayScore]]))</f>
        <v>1</v>
      </c>
      <c r="AE169" s="58">
        <f>IF(ISBLANK(Fixtures[[#This Row],[date]]), "N/A", IF(Fixtures[[#This Row],[userScore]] = Fixtures[[#This Row],[homeScore]], Fixtures[[#This Row],[awayScore]], Fixtures[[#This Row],[homeScore]]))</f>
        <v>1</v>
      </c>
      <c r="AF169" s="58" t="b">
        <f>NOT(AND(ISBLANK(Fixtures[[#This Row],[homePens]]), ISBLANK(Fixtures[[#This Row],[awayPens]])))</f>
        <v>0</v>
      </c>
      <c r="AG169" s="58" t="str">
        <f>IF(Fixtures[[#This Row],[penalties]], IF(Fixtures[[#This Row],[userSide]]="H", Fixtures[[#This Row],[homePens]], Fixtures[[#This Row],[awayPens]]), "N/A")</f>
        <v>N/A</v>
      </c>
      <c r="AH169" s="58" t="str">
        <f>IF(Fixtures[[#This Row],[penalties]], IF(Fixtures[[#This Row],[userPens]]=Fixtures[[#This Row],[homePens]],Fixtures[[#This Row],[awayPens]],Fixtures[[#This Row],[homePens]]), "N/A")</f>
        <v>N/A</v>
      </c>
      <c r="AI169" s="58" t="b">
        <f>COUNTBLANK(Fixtures[[#This Row],[G]:[MOTM]]) = 0</f>
        <v>1</v>
      </c>
      <c r="AJ169" s="58">
        <f>IF(Fixtures[[#This Row],[APP]], Fixtures[[#This Row],[G]]+Fixtures[[#This Row],[A]], "N/A")</f>
        <v>0</v>
      </c>
      <c r="AK1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6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[2026-02-18] Fenerbahçe vs. RB Leipzig (1-1) - UEFA Champions League</v>
      </c>
    </row>
    <row r="170" spans="1:39" ht="13">
      <c r="A170" s="55">
        <v>46074</v>
      </c>
      <c r="B170" s="61">
        <v>0.64583333333333337</v>
      </c>
      <c r="C170" s="56" t="s">
        <v>195</v>
      </c>
      <c r="D170" s="56" t="s">
        <v>319</v>
      </c>
      <c r="E170" s="56" t="s">
        <v>309</v>
      </c>
      <c r="F170" s="56" t="s">
        <v>261</v>
      </c>
      <c r="G170" s="56" t="s">
        <v>306</v>
      </c>
      <c r="H170" s="56" t="s">
        <v>262</v>
      </c>
      <c r="I170" s="56">
        <v>2</v>
      </c>
      <c r="J170" s="56">
        <v>2</v>
      </c>
      <c r="K170" s="56"/>
      <c r="L170" s="56"/>
      <c r="M170" s="56">
        <v>0</v>
      </c>
      <c r="N170" s="56">
        <v>1</v>
      </c>
      <c r="O170" s="56">
        <v>0</v>
      </c>
      <c r="P170" s="56">
        <v>0</v>
      </c>
      <c r="Q170" s="57">
        <v>7.6</v>
      </c>
      <c r="R170" s="56" t="b">
        <v>0</v>
      </c>
      <c r="S170" s="58" t="str" cm="1">
        <f t="array" ref="S170">_xlfn._xlws.FILTER(Competitions[compType], (Fixtures[[#This Row],[competition]] = Competitions[name]), "N/A")</f>
        <v>Domestic League</v>
      </c>
      <c r="T170" s="58" t="b" cm="1">
        <f t="array" ref="T170">_xlfn._xlws.FILTER(Competitions[exhibition], (Fixtures[[#This Row],[competition]] = Competitions[name]), "N/A")</f>
        <v>0</v>
      </c>
      <c r="U170" s="58" t="str" cm="1">
        <f t="array" ref="U170">_xlfn._xlws.FILTER(Competitions[compID], (Fixtures[[#This Row],[competition]] = Competitions[name]), "N/A")</f>
        <v>DL-OF-BUNDESLIGA</v>
      </c>
      <c r="V1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0" s="58" t="str" cm="1">
        <f t="array" ref="W1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0" s="58" t="str" cm="1">
        <f t="array" ref="X170">_xlfn._xlws.FILTER(Teams[name], (Fixtures[[#This Row],[userTeamID]] = Teams[teamID]), "N/A")</f>
        <v>RB Leipzig</v>
      </c>
      <c r="Y170" s="58" t="str" cm="1">
        <f t="array" ref="Y170">_xlfn._xlws.FILTER(Teams[teamType], (Fixtures[[#This Row],[userTeamID]] = Teams[teamID]), "N/A")</f>
        <v>Club</v>
      </c>
      <c r="Z170" s="58" t="str" cm="1">
        <f t="array" ref="Z170">IF(Fixtures[[#This Row],[userTeamID]] = "N/A", "N/A", IF(SUM(COUNTIF(Fixtures[[#This Row],[homeTeam]], _xlfn._xlws.FILTER(Teams[name], (Fixtures[[#This Row],[userTeamID]] = Teams[teamID])*(Teams[relevant])))) &gt; 0, "H", "A"))</f>
        <v>A</v>
      </c>
      <c r="AA170" s="58" t="str">
        <f>IF(Fixtures[[#This Row],[userSide]] = "N/A", "N/A", IF(Fixtures[[#This Row],[userSide]] = "H", Fixtures[[#This Row],[awayTeam]], Fixtures[[#This Row],[homeTeam]]))</f>
        <v>FC Augsburg</v>
      </c>
      <c r="AB170" s="58" t="str" cm="1">
        <f t="array" ref="AB170">_xlfn._xlws.FILTER(Teams[teamID], Fixtures[[#This Row],[oppTeam]] = Teams[name], "N/A")</f>
        <v>C-GER-FCAUGSBURG</v>
      </c>
      <c r="AC170" s="58" t="str" cm="1">
        <f t="array" ref="AC170">_xlfn._xlws.FILTER(Teams[teamType], Fixtures[[#This Row],[oppTeam]] = Teams[name], "N/A")</f>
        <v>Club</v>
      </c>
      <c r="AD170" s="58">
        <f>IF(ISBLANK(Fixtures[[#This Row],[date]]), "N/A", IF(Fixtures[[#This Row],[userSide]]="H", Fixtures[[#This Row],[homeScore]], Fixtures[[#This Row],[awayScore]]))</f>
        <v>2</v>
      </c>
      <c r="AE170" s="58">
        <f>IF(ISBLANK(Fixtures[[#This Row],[date]]), "N/A", IF(Fixtures[[#This Row],[userScore]] = Fixtures[[#This Row],[homeScore]], Fixtures[[#This Row],[awayScore]], Fixtures[[#This Row],[homeScore]]))</f>
        <v>2</v>
      </c>
      <c r="AF170" s="58" t="b">
        <f>NOT(AND(ISBLANK(Fixtures[[#This Row],[homePens]]), ISBLANK(Fixtures[[#This Row],[awayPens]])))</f>
        <v>0</v>
      </c>
      <c r="AG170" s="58" t="str">
        <f>IF(Fixtures[[#This Row],[penalties]], IF(Fixtures[[#This Row],[userSide]]="H", Fixtures[[#This Row],[homePens]], Fixtures[[#This Row],[awayPens]]), "N/A")</f>
        <v>N/A</v>
      </c>
      <c r="AH170" s="58" t="str">
        <f>IF(Fixtures[[#This Row],[penalties]], IF(Fixtures[[#This Row],[userPens]]=Fixtures[[#This Row],[homePens]],Fixtures[[#This Row],[awayPens]],Fixtures[[#This Row],[homePens]]), "N/A")</f>
        <v>N/A</v>
      </c>
      <c r="AI170" s="58" t="b">
        <f>COUNTBLANK(Fixtures[[#This Row],[G]:[MOTM]]) = 0</f>
        <v>1</v>
      </c>
      <c r="AJ170" s="58">
        <f>IF(Fixtures[[#This Row],[APP]], Fixtures[[#This Row],[G]]+Fixtures[[#This Row],[A]], "N/A")</f>
        <v>1</v>
      </c>
      <c r="AK1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70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[2026-02-21] FC Augsburg vs. RB Leipzig (2-2) - Bundesliga</v>
      </c>
    </row>
    <row r="171" spans="1:39" ht="13">
      <c r="A171" s="55">
        <v>46081</v>
      </c>
      <c r="B171" s="61">
        <v>0.64583333333333337</v>
      </c>
      <c r="C171" s="56" t="s">
        <v>195</v>
      </c>
      <c r="D171" s="56" t="s">
        <v>259</v>
      </c>
      <c r="E171" s="56" t="s">
        <v>267</v>
      </c>
      <c r="F171" s="56" t="s">
        <v>261</v>
      </c>
      <c r="G171" s="56" t="s">
        <v>262</v>
      </c>
      <c r="H171" s="56" t="s">
        <v>295</v>
      </c>
      <c r="I171" s="56">
        <v>2</v>
      </c>
      <c r="J171" s="56">
        <v>1</v>
      </c>
      <c r="K171" s="56"/>
      <c r="L171" s="56"/>
      <c r="M171" s="56">
        <v>1</v>
      </c>
      <c r="N171" s="56">
        <v>0</v>
      </c>
      <c r="O171" s="56">
        <v>0</v>
      </c>
      <c r="P171" s="56">
        <v>0</v>
      </c>
      <c r="Q171" s="57">
        <v>8.8000000000000007</v>
      </c>
      <c r="R171" s="56" t="b">
        <v>1</v>
      </c>
      <c r="S171" s="58" t="str" cm="1">
        <f t="array" ref="S171">_xlfn._xlws.FILTER(Competitions[compType], (Fixtures[[#This Row],[competition]] = Competitions[name]), "N/A")</f>
        <v>Domestic League</v>
      </c>
      <c r="T171" s="58" t="b" cm="1">
        <f t="array" ref="T171">_xlfn._xlws.FILTER(Competitions[exhibition], (Fixtures[[#This Row],[competition]] = Competitions[name]), "N/A")</f>
        <v>0</v>
      </c>
      <c r="U171" s="58" t="str" cm="1">
        <f t="array" ref="U171">_xlfn._xlws.FILTER(Competitions[compID], (Fixtures[[#This Row],[competition]] = Competitions[name]), "N/A")</f>
        <v>DL-OF-BUNDESLIGA</v>
      </c>
      <c r="V1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1" s="58" t="str" cm="1">
        <f t="array" ref="W1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1" s="58" t="str" cm="1">
        <f t="array" ref="X171">_xlfn._xlws.FILTER(Teams[name], (Fixtures[[#This Row],[userTeamID]] = Teams[teamID]), "N/A")</f>
        <v>RB Leipzig</v>
      </c>
      <c r="Y171" s="58" t="str" cm="1">
        <f t="array" ref="Y171">_xlfn._xlws.FILTER(Teams[teamType], (Fixtures[[#This Row],[userTeamID]] = Teams[teamID]), "N/A")</f>
        <v>Club</v>
      </c>
      <c r="Z171" s="58" t="str" cm="1">
        <f t="array" ref="Z171">IF(Fixtures[[#This Row],[userTeamID]] = "N/A", "N/A", IF(SUM(COUNTIF(Fixtures[[#This Row],[homeTeam]], _xlfn._xlws.FILTER(Teams[name], (Fixtures[[#This Row],[userTeamID]] = Teams[teamID])*(Teams[relevant])))) &gt; 0, "H", "A"))</f>
        <v>H</v>
      </c>
      <c r="AA171" s="58" t="str">
        <f>IF(Fixtures[[#This Row],[userSide]] = "N/A", "N/A", IF(Fixtures[[#This Row],[userSide]] = "H", Fixtures[[#This Row],[awayTeam]], Fixtures[[#This Row],[homeTeam]]))</f>
        <v>VfB Stuttgart</v>
      </c>
      <c r="AB171" s="58" t="str" cm="1">
        <f t="array" ref="AB171">_xlfn._xlws.FILTER(Teams[teamID], Fixtures[[#This Row],[oppTeam]] = Teams[name], "N/A")</f>
        <v>C-GER-VFBSTUTTGART</v>
      </c>
      <c r="AC171" s="58" t="str" cm="1">
        <f t="array" ref="AC171">_xlfn._xlws.FILTER(Teams[teamType], Fixtures[[#This Row],[oppTeam]] = Teams[name], "N/A")</f>
        <v>Club</v>
      </c>
      <c r="AD171" s="58">
        <f>IF(ISBLANK(Fixtures[[#This Row],[date]]), "N/A", IF(Fixtures[[#This Row],[userSide]]="H", Fixtures[[#This Row],[homeScore]], Fixtures[[#This Row],[awayScore]]))</f>
        <v>2</v>
      </c>
      <c r="AE171" s="58">
        <f>IF(ISBLANK(Fixtures[[#This Row],[date]]), "N/A", IF(Fixtures[[#This Row],[userScore]] = Fixtures[[#This Row],[homeScore]], Fixtures[[#This Row],[awayScore]], Fixtures[[#This Row],[homeScore]]))</f>
        <v>1</v>
      </c>
      <c r="AF171" s="58" t="b">
        <f>NOT(AND(ISBLANK(Fixtures[[#This Row],[homePens]]), ISBLANK(Fixtures[[#This Row],[awayPens]])))</f>
        <v>0</v>
      </c>
      <c r="AG171" s="58" t="str">
        <f>IF(Fixtures[[#This Row],[penalties]], IF(Fixtures[[#This Row],[userSide]]="H", Fixtures[[#This Row],[homePens]], Fixtures[[#This Row],[awayPens]]), "N/A")</f>
        <v>N/A</v>
      </c>
      <c r="AH171" s="58" t="str">
        <f>IF(Fixtures[[#This Row],[penalties]], IF(Fixtures[[#This Row],[userPens]]=Fixtures[[#This Row],[homePens]],Fixtures[[#This Row],[awayPens]],Fixtures[[#This Row],[homePens]]), "N/A")</f>
        <v>N/A</v>
      </c>
      <c r="AI171" s="58" t="b">
        <f>COUNTBLANK(Fixtures[[#This Row],[G]:[MOTM]]) = 0</f>
        <v>1</v>
      </c>
      <c r="AJ171" s="58">
        <f>IF(Fixtures[[#This Row],[APP]], Fixtures[[#This Row],[G]]+Fixtures[[#This Row],[A]], "N/A")</f>
        <v>1</v>
      </c>
      <c r="AK1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1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[2026-02-28] RB Leipzig vs. VfB Stuttgart (2-1) - Bundesliga</v>
      </c>
    </row>
    <row r="172" spans="1:39" ht="13">
      <c r="A172" s="55">
        <v>46088</v>
      </c>
      <c r="B172" s="61">
        <v>0.64583333333333337</v>
      </c>
      <c r="C172" s="56" t="s">
        <v>195</v>
      </c>
      <c r="D172" s="56" t="s">
        <v>320</v>
      </c>
      <c r="E172" s="56" t="s">
        <v>267</v>
      </c>
      <c r="F172" s="56" t="s">
        <v>261</v>
      </c>
      <c r="G172" s="56" t="s">
        <v>311</v>
      </c>
      <c r="H172" s="56" t="s">
        <v>262</v>
      </c>
      <c r="I172" s="56">
        <v>0</v>
      </c>
      <c r="J172" s="56">
        <v>5</v>
      </c>
      <c r="K172" s="56"/>
      <c r="L172" s="56"/>
      <c r="M172" s="56">
        <v>0</v>
      </c>
      <c r="N172" s="56">
        <v>0</v>
      </c>
      <c r="O172" s="56">
        <v>0</v>
      </c>
      <c r="P172" s="56">
        <v>0</v>
      </c>
      <c r="Q172" s="57">
        <v>7.6</v>
      </c>
      <c r="R172" s="56" t="b">
        <v>0</v>
      </c>
      <c r="S172" s="58" t="str" cm="1">
        <f t="array" ref="S172">_xlfn._xlws.FILTER(Competitions[compType], (Fixtures[[#This Row],[competition]] = Competitions[name]), "N/A")</f>
        <v>Domestic League</v>
      </c>
      <c r="T172" s="58" t="b" cm="1">
        <f t="array" ref="T172">_xlfn._xlws.FILTER(Competitions[exhibition], (Fixtures[[#This Row],[competition]] = Competitions[name]), "N/A")</f>
        <v>0</v>
      </c>
      <c r="U172" s="58" t="str" cm="1">
        <f t="array" ref="U172">_xlfn._xlws.FILTER(Competitions[compID], (Fixtures[[#This Row],[competition]] = Competitions[name]), "N/A")</f>
        <v>DL-OF-BUNDESLIGA</v>
      </c>
      <c r="V1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2" s="58" t="str" cm="1">
        <f t="array" ref="W1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2" s="58" t="str" cm="1">
        <f t="array" ref="X172">_xlfn._xlws.FILTER(Teams[name], (Fixtures[[#This Row],[userTeamID]] = Teams[teamID]), "N/A")</f>
        <v>RB Leipzig</v>
      </c>
      <c r="Y172" s="58" t="str" cm="1">
        <f t="array" ref="Y172">_xlfn._xlws.FILTER(Teams[teamType], (Fixtures[[#This Row],[userTeamID]] = Teams[teamID]), "N/A")</f>
        <v>Club</v>
      </c>
      <c r="Z172" s="58" t="str" cm="1">
        <f t="array" ref="Z172">IF(Fixtures[[#This Row],[userTeamID]] = "N/A", "N/A", IF(SUM(COUNTIF(Fixtures[[#This Row],[homeTeam]], _xlfn._xlws.FILTER(Teams[name], (Fixtures[[#This Row],[userTeamID]] = Teams[teamID])*(Teams[relevant])))) &gt; 0, "H", "A"))</f>
        <v>A</v>
      </c>
      <c r="AA172" s="58" t="str">
        <f>IF(Fixtures[[#This Row],[userSide]] = "N/A", "N/A", IF(Fixtures[[#This Row],[userSide]] = "H", Fixtures[[#This Row],[awayTeam]], Fixtures[[#This Row],[homeTeam]]))</f>
        <v>Union Berlin</v>
      </c>
      <c r="AB172" s="58" t="str" cm="1">
        <f t="array" ref="AB172">_xlfn._xlws.FILTER(Teams[teamID], Fixtures[[#This Row],[oppTeam]] = Teams[name], "N/A")</f>
        <v>C-GER-UNIONBERLIN</v>
      </c>
      <c r="AC172" s="58" t="str" cm="1">
        <f t="array" ref="AC172">_xlfn._xlws.FILTER(Teams[teamType], Fixtures[[#This Row],[oppTeam]] = Teams[name], "N/A")</f>
        <v>Club</v>
      </c>
      <c r="AD172" s="58">
        <f>IF(ISBLANK(Fixtures[[#This Row],[date]]), "N/A", IF(Fixtures[[#This Row],[userSide]]="H", Fixtures[[#This Row],[homeScore]], Fixtures[[#This Row],[awayScore]]))</f>
        <v>5</v>
      </c>
      <c r="AE172" s="58">
        <f>IF(ISBLANK(Fixtures[[#This Row],[date]]), "N/A", IF(Fixtures[[#This Row],[userScore]] = Fixtures[[#This Row],[homeScore]], Fixtures[[#This Row],[awayScore]], Fixtures[[#This Row],[homeScore]]))</f>
        <v>0</v>
      </c>
      <c r="AF172" s="58" t="b">
        <f>NOT(AND(ISBLANK(Fixtures[[#This Row],[homePens]]), ISBLANK(Fixtures[[#This Row],[awayPens]])))</f>
        <v>0</v>
      </c>
      <c r="AG172" s="58" t="str">
        <f>IF(Fixtures[[#This Row],[penalties]], IF(Fixtures[[#This Row],[userSide]]="H", Fixtures[[#This Row],[homePens]], Fixtures[[#This Row],[awayPens]]), "N/A")</f>
        <v>N/A</v>
      </c>
      <c r="AH172" s="58" t="str">
        <f>IF(Fixtures[[#This Row],[penalties]], IF(Fixtures[[#This Row],[userPens]]=Fixtures[[#This Row],[homePens]],Fixtures[[#This Row],[awayPens]],Fixtures[[#This Row],[homePens]]), "N/A")</f>
        <v>N/A</v>
      </c>
      <c r="AI172" s="58" t="b">
        <f>COUNTBLANK(Fixtures[[#This Row],[G]:[MOTM]]) = 0</f>
        <v>1</v>
      </c>
      <c r="AJ172" s="58">
        <f>IF(Fixtures[[#This Row],[APP]], Fixtures[[#This Row],[G]]+Fixtures[[#This Row],[A]], "N/A")</f>
        <v>0</v>
      </c>
      <c r="AK1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2" s="58">
        <f>IF(Fixtures[[#This Row],[result]] = "N/A", "N/A", IF(Fixtures[[#This Row],[penalties]], ABS(Fixtures[[#This Row],[userPens]] - Fixtures[[#This Row],[oppPens]]), ABS(Fixtures[[#This Row],[userScore]] - Fixtures[[#This Row],[oppScore]])))</f>
        <v>5</v>
      </c>
      <c r="AM1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[2026-03-07] Union Berlin vs. RB Leipzig (0-5) - Bundesliga</v>
      </c>
    </row>
    <row r="173" spans="1:39" ht="13">
      <c r="A173" s="55">
        <v>46091</v>
      </c>
      <c r="B173" s="61">
        <v>0.875</v>
      </c>
      <c r="C173" s="56" t="s">
        <v>161</v>
      </c>
      <c r="D173" s="56" t="s">
        <v>259</v>
      </c>
      <c r="E173" s="56" t="s">
        <v>321</v>
      </c>
      <c r="F173" s="56" t="s">
        <v>274</v>
      </c>
      <c r="G173" s="56" t="s">
        <v>262</v>
      </c>
      <c r="H173" s="56" t="s">
        <v>318</v>
      </c>
      <c r="I173" s="56">
        <v>2</v>
      </c>
      <c r="J173" s="56">
        <v>1</v>
      </c>
      <c r="K173" s="56"/>
      <c r="L173" s="56"/>
      <c r="M173" s="56">
        <v>0</v>
      </c>
      <c r="N173" s="56">
        <v>1</v>
      </c>
      <c r="O173" s="56">
        <v>0</v>
      </c>
      <c r="P173" s="56">
        <v>0</v>
      </c>
      <c r="Q173" s="57">
        <v>7</v>
      </c>
      <c r="R173" s="56" t="b">
        <v>0</v>
      </c>
      <c r="S173" s="58" t="str" cm="1">
        <f t="array" ref="S173">_xlfn._xlws.FILTER(Competitions[compType], (Fixtures[[#This Row],[competition]] = Competitions[name]), "N/A")</f>
        <v>Continental Cup</v>
      </c>
      <c r="T173" s="58" t="b" cm="1">
        <f t="array" ref="T173">_xlfn._xlws.FILTER(Competitions[exhibition], (Fixtures[[#This Row],[competition]] = Competitions[name]), "N/A")</f>
        <v>0</v>
      </c>
      <c r="U173" s="58" t="str" cm="1">
        <f t="array" ref="U173">_xlfn._xlws.FILTER(Competitions[compID], (Fixtures[[#This Row],[competition]] = Competitions[name]), "N/A")</f>
        <v>CC-OF-UEFACHAMPIONSLEAGUE</v>
      </c>
      <c r="V1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3" s="58" t="str" cm="1">
        <f t="array" ref="W1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3" s="58" t="str" cm="1">
        <f t="array" ref="X173">_xlfn._xlws.FILTER(Teams[name], (Fixtures[[#This Row],[userTeamID]] = Teams[teamID]), "N/A")</f>
        <v>RB Leipzig</v>
      </c>
      <c r="Y173" s="58" t="str" cm="1">
        <f t="array" ref="Y173">_xlfn._xlws.FILTER(Teams[teamType], (Fixtures[[#This Row],[userTeamID]] = Teams[teamID]), "N/A")</f>
        <v>Club</v>
      </c>
      <c r="Z173" s="58" t="str" cm="1">
        <f t="array" ref="Z173">IF(Fixtures[[#This Row],[userTeamID]] = "N/A", "N/A", IF(SUM(COUNTIF(Fixtures[[#This Row],[homeTeam]], _xlfn._xlws.FILTER(Teams[name], (Fixtures[[#This Row],[userTeamID]] = Teams[teamID])*(Teams[relevant])))) &gt; 0, "H", "A"))</f>
        <v>H</v>
      </c>
      <c r="AA173" s="58" t="str">
        <f>IF(Fixtures[[#This Row],[userSide]] = "N/A", "N/A", IF(Fixtures[[#This Row],[userSide]] = "H", Fixtures[[#This Row],[awayTeam]], Fixtures[[#This Row],[homeTeam]]))</f>
        <v>Fenerbahçe</v>
      </c>
      <c r="AB173" s="58" t="str" cm="1">
        <f t="array" ref="AB173">_xlfn._xlws.FILTER(Teams[teamID], Fixtures[[#This Row],[oppTeam]] = Teams[name], "N/A")</f>
        <v>C-TUR-FENERBAHÇE</v>
      </c>
      <c r="AC173" s="58" t="str" cm="1">
        <f t="array" ref="AC173">_xlfn._xlws.FILTER(Teams[teamType], Fixtures[[#This Row],[oppTeam]] = Teams[name], "N/A")</f>
        <v>Club</v>
      </c>
      <c r="AD173" s="58">
        <f>IF(ISBLANK(Fixtures[[#This Row],[date]]), "N/A", IF(Fixtures[[#This Row],[userSide]]="H", Fixtures[[#This Row],[homeScore]], Fixtures[[#This Row],[awayScore]]))</f>
        <v>2</v>
      </c>
      <c r="AE173" s="58">
        <f>IF(ISBLANK(Fixtures[[#This Row],[date]]), "N/A", IF(Fixtures[[#This Row],[userScore]] = Fixtures[[#This Row],[homeScore]], Fixtures[[#This Row],[awayScore]], Fixtures[[#This Row],[homeScore]]))</f>
        <v>1</v>
      </c>
      <c r="AF173" s="58" t="b">
        <f>NOT(AND(ISBLANK(Fixtures[[#This Row],[homePens]]), ISBLANK(Fixtures[[#This Row],[awayPens]])))</f>
        <v>0</v>
      </c>
      <c r="AG173" s="58" t="str">
        <f>IF(Fixtures[[#This Row],[penalties]], IF(Fixtures[[#This Row],[userSide]]="H", Fixtures[[#This Row],[homePens]], Fixtures[[#This Row],[awayPens]]), "N/A")</f>
        <v>N/A</v>
      </c>
      <c r="AH173" s="58" t="str">
        <f>IF(Fixtures[[#This Row],[penalties]], IF(Fixtures[[#This Row],[userPens]]=Fixtures[[#This Row],[homePens]],Fixtures[[#This Row],[awayPens]],Fixtures[[#This Row],[homePens]]), "N/A")</f>
        <v>N/A</v>
      </c>
      <c r="AI173" s="58" t="b">
        <f>COUNTBLANK(Fixtures[[#This Row],[G]:[MOTM]]) = 0</f>
        <v>1</v>
      </c>
      <c r="AJ173" s="58">
        <f>IF(Fixtures[[#This Row],[APP]], Fixtures[[#This Row],[G]]+Fixtures[[#This Row],[A]], "N/A")</f>
        <v>1</v>
      </c>
      <c r="AK1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3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[2026-03-10] RB Leipzig vs. Fenerbahçe (2-1) - UEFA Champions League</v>
      </c>
    </row>
    <row r="174" spans="1:39" ht="13">
      <c r="A174" s="55">
        <v>46095</v>
      </c>
      <c r="B174" s="61">
        <v>0.64583333333333337</v>
      </c>
      <c r="C174" s="56" t="s">
        <v>203</v>
      </c>
      <c r="D174" s="56" t="s">
        <v>259</v>
      </c>
      <c r="E174" s="56" t="s">
        <v>265</v>
      </c>
      <c r="F174" s="56" t="s">
        <v>261</v>
      </c>
      <c r="G174" s="56" t="s">
        <v>262</v>
      </c>
      <c r="H174" s="56" t="s">
        <v>310</v>
      </c>
      <c r="I174" s="56">
        <v>2</v>
      </c>
      <c r="J174" s="56">
        <v>0</v>
      </c>
      <c r="K174" s="56"/>
      <c r="L174" s="56"/>
      <c r="M174" s="56">
        <v>0</v>
      </c>
      <c r="N174" s="56">
        <v>0</v>
      </c>
      <c r="O174" s="56">
        <v>0</v>
      </c>
      <c r="P174" s="56">
        <v>0</v>
      </c>
      <c r="Q174" s="57">
        <v>7.6</v>
      </c>
      <c r="R174" s="56" t="b">
        <v>0</v>
      </c>
      <c r="S174" s="58" t="str" cm="1">
        <f t="array" ref="S174">_xlfn._xlws.FILTER(Competitions[compType], (Fixtures[[#This Row],[competition]] = Competitions[name]), "N/A")</f>
        <v>Domestic League</v>
      </c>
      <c r="T174" s="58" t="b" cm="1">
        <f t="array" ref="T174">_xlfn._xlws.FILTER(Competitions[exhibition], (Fixtures[[#This Row],[competition]] = Competitions[name]), "N/A")</f>
        <v>0</v>
      </c>
      <c r="U174" s="58" t="str" cm="1">
        <f t="array" ref="U174">_xlfn._xlws.FILTER(Competitions[compID], (Fixtures[[#This Row],[competition]] = Competitions[name]), "N/A")</f>
        <v>DL-OF-BUNDESLIGA</v>
      </c>
      <c r="V1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4" s="58" t="str" cm="1">
        <f t="array" ref="W1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4" s="58" t="str" cm="1">
        <f t="array" ref="X174">_xlfn._xlws.FILTER(Teams[name], (Fixtures[[#This Row],[userTeamID]] = Teams[teamID]), "N/A")</f>
        <v>RB Leipzig</v>
      </c>
      <c r="Y174" s="58" t="str" cm="1">
        <f t="array" ref="Y174">_xlfn._xlws.FILTER(Teams[teamType], (Fixtures[[#This Row],[userTeamID]] = Teams[teamID]), "N/A")</f>
        <v>Club</v>
      </c>
      <c r="Z174" s="58" t="str" cm="1">
        <f t="array" ref="Z174">IF(Fixtures[[#This Row],[userTeamID]] = "N/A", "N/A", IF(SUM(COUNTIF(Fixtures[[#This Row],[homeTeam]], _xlfn._xlws.FILTER(Teams[name], (Fixtures[[#This Row],[userTeamID]] = Teams[teamID])*(Teams[relevant])))) &gt; 0, "H", "A"))</f>
        <v>H</v>
      </c>
      <c r="AA174" s="58" t="str">
        <f>IF(Fixtures[[#This Row],[userSide]] = "N/A", "N/A", IF(Fixtures[[#This Row],[userSide]] = "H", Fixtures[[#This Row],[awayTeam]], Fixtures[[#This Row],[homeTeam]]))</f>
        <v>1. FC Köln</v>
      </c>
      <c r="AB174" s="58" t="str" cm="1">
        <f t="array" ref="AB174">_xlfn._xlws.FILTER(Teams[teamID], Fixtures[[#This Row],[oppTeam]] = Teams[name], "N/A")</f>
        <v>C-GER-1FCKÖLN</v>
      </c>
      <c r="AC174" s="58" t="str" cm="1">
        <f t="array" ref="AC174">_xlfn._xlws.FILTER(Teams[teamType], Fixtures[[#This Row],[oppTeam]] = Teams[name], "N/A")</f>
        <v>Club</v>
      </c>
      <c r="AD174" s="58">
        <f>IF(ISBLANK(Fixtures[[#This Row],[date]]), "N/A", IF(Fixtures[[#This Row],[userSide]]="H", Fixtures[[#This Row],[homeScore]], Fixtures[[#This Row],[awayScore]]))</f>
        <v>2</v>
      </c>
      <c r="AE174" s="58">
        <f>IF(ISBLANK(Fixtures[[#This Row],[date]]), "N/A", IF(Fixtures[[#This Row],[userScore]] = Fixtures[[#This Row],[homeScore]], Fixtures[[#This Row],[awayScore]], Fixtures[[#This Row],[homeScore]]))</f>
        <v>0</v>
      </c>
      <c r="AF174" s="58" t="b">
        <f>NOT(AND(ISBLANK(Fixtures[[#This Row],[homePens]]), ISBLANK(Fixtures[[#This Row],[awayPens]])))</f>
        <v>0</v>
      </c>
      <c r="AG174" s="58" t="str">
        <f>IF(Fixtures[[#This Row],[penalties]], IF(Fixtures[[#This Row],[userSide]]="H", Fixtures[[#This Row],[homePens]], Fixtures[[#This Row],[awayPens]]), "N/A")</f>
        <v>N/A</v>
      </c>
      <c r="AH174" s="58" t="str">
        <f>IF(Fixtures[[#This Row],[penalties]], IF(Fixtures[[#This Row],[userPens]]=Fixtures[[#This Row],[homePens]],Fixtures[[#This Row],[awayPens]],Fixtures[[#This Row],[homePens]]), "N/A")</f>
        <v>N/A</v>
      </c>
      <c r="AI174" s="58" t="b">
        <f>COUNTBLANK(Fixtures[[#This Row],[G]:[MOTM]]) = 0</f>
        <v>1</v>
      </c>
      <c r="AJ174" s="58">
        <f>IF(Fixtures[[#This Row],[APP]], Fixtures[[#This Row],[G]]+Fixtures[[#This Row],[A]], "N/A")</f>
        <v>0</v>
      </c>
      <c r="AK1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4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[2026-03-14] RB Leipzig vs. 1. FC Köln (2-0) - Bundesliga</v>
      </c>
    </row>
    <row r="175" spans="1:39" ht="13">
      <c r="A175" s="55">
        <v>46102</v>
      </c>
      <c r="B175" s="61">
        <v>0.64583333333333337</v>
      </c>
      <c r="C175" s="56" t="s">
        <v>203</v>
      </c>
      <c r="D175" s="56" t="s">
        <v>322</v>
      </c>
      <c r="E175" s="56" t="s">
        <v>260</v>
      </c>
      <c r="F175" s="56" t="s">
        <v>261</v>
      </c>
      <c r="G175" s="56" t="s">
        <v>297</v>
      </c>
      <c r="H175" s="56" t="s">
        <v>262</v>
      </c>
      <c r="I175" s="56">
        <v>0</v>
      </c>
      <c r="J175" s="56">
        <v>2</v>
      </c>
      <c r="K175" s="56"/>
      <c r="L175" s="56"/>
      <c r="M175" s="56">
        <v>0</v>
      </c>
      <c r="N175" s="56">
        <v>2</v>
      </c>
      <c r="O175" s="56">
        <v>0</v>
      </c>
      <c r="P175" s="56">
        <v>0</v>
      </c>
      <c r="Q175" s="57">
        <v>8.5</v>
      </c>
      <c r="R175" s="56" t="b">
        <v>1</v>
      </c>
      <c r="S175" s="58" t="str" cm="1">
        <f t="array" ref="S175">_xlfn._xlws.FILTER(Competitions[compType], (Fixtures[[#This Row],[competition]] = Competitions[name]), "N/A")</f>
        <v>Domestic League</v>
      </c>
      <c r="T175" s="58" t="b" cm="1">
        <f t="array" ref="T175">_xlfn._xlws.FILTER(Competitions[exhibition], (Fixtures[[#This Row],[competition]] = Competitions[name]), "N/A")</f>
        <v>0</v>
      </c>
      <c r="U175" s="58" t="str" cm="1">
        <f t="array" ref="U175">_xlfn._xlws.FILTER(Competitions[compID], (Fixtures[[#This Row],[competition]] = Competitions[name]), "N/A")</f>
        <v>DL-OF-BUNDESLIGA</v>
      </c>
      <c r="V1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5" s="58" t="str" cm="1">
        <f t="array" ref="W1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5" s="58" t="str" cm="1">
        <f t="array" ref="X175">_xlfn._xlws.FILTER(Teams[name], (Fixtures[[#This Row],[userTeamID]] = Teams[teamID]), "N/A")</f>
        <v>RB Leipzig</v>
      </c>
      <c r="Y175" s="58" t="str" cm="1">
        <f t="array" ref="Y175">_xlfn._xlws.FILTER(Teams[teamType], (Fixtures[[#This Row],[userTeamID]] = Teams[teamID]), "N/A")</f>
        <v>Club</v>
      </c>
      <c r="Z175" s="58" t="str" cm="1">
        <f t="array" ref="Z175">IF(Fixtures[[#This Row],[userTeamID]] = "N/A", "N/A", IF(SUM(COUNTIF(Fixtures[[#This Row],[homeTeam]], _xlfn._xlws.FILTER(Teams[name], (Fixtures[[#This Row],[userTeamID]] = Teams[teamID])*(Teams[relevant])))) &gt; 0, "H", "A"))</f>
        <v>A</v>
      </c>
      <c r="AA175" s="58" t="str">
        <f>IF(Fixtures[[#This Row],[userSide]] = "N/A", "N/A", IF(Fixtures[[#This Row],[userSide]] = "H", Fixtures[[#This Row],[awayTeam]], Fixtures[[#This Row],[homeTeam]]))</f>
        <v>Borussia Dortmund</v>
      </c>
      <c r="AB175" s="58" t="str" cm="1">
        <f t="array" ref="AB175">_xlfn._xlws.FILTER(Teams[teamID], Fixtures[[#This Row],[oppTeam]] = Teams[name], "N/A")</f>
        <v>C-GER-BORUSSIADORTMUND</v>
      </c>
      <c r="AC175" s="58" t="str" cm="1">
        <f t="array" ref="AC175">_xlfn._xlws.FILTER(Teams[teamType], Fixtures[[#This Row],[oppTeam]] = Teams[name], "N/A")</f>
        <v>Club</v>
      </c>
      <c r="AD175" s="58">
        <f>IF(ISBLANK(Fixtures[[#This Row],[date]]), "N/A", IF(Fixtures[[#This Row],[userSide]]="H", Fixtures[[#This Row],[homeScore]], Fixtures[[#This Row],[awayScore]]))</f>
        <v>2</v>
      </c>
      <c r="AE175" s="58">
        <f>IF(ISBLANK(Fixtures[[#This Row],[date]]), "N/A", IF(Fixtures[[#This Row],[userScore]] = Fixtures[[#This Row],[homeScore]], Fixtures[[#This Row],[awayScore]], Fixtures[[#This Row],[homeScore]]))</f>
        <v>0</v>
      </c>
      <c r="AF175" s="58" t="b">
        <f>NOT(AND(ISBLANK(Fixtures[[#This Row],[homePens]]), ISBLANK(Fixtures[[#This Row],[awayPens]])))</f>
        <v>0</v>
      </c>
      <c r="AG175" s="58" t="str">
        <f>IF(Fixtures[[#This Row],[penalties]], IF(Fixtures[[#This Row],[userSide]]="H", Fixtures[[#This Row],[homePens]], Fixtures[[#This Row],[awayPens]]), "N/A")</f>
        <v>N/A</v>
      </c>
      <c r="AH175" s="58" t="str">
        <f>IF(Fixtures[[#This Row],[penalties]], IF(Fixtures[[#This Row],[userPens]]=Fixtures[[#This Row],[homePens]],Fixtures[[#This Row],[awayPens]],Fixtures[[#This Row],[homePens]]), "N/A")</f>
        <v>N/A</v>
      </c>
      <c r="AI175" s="58" t="b">
        <f>COUNTBLANK(Fixtures[[#This Row],[G]:[MOTM]]) = 0</f>
        <v>1</v>
      </c>
      <c r="AJ175" s="58">
        <f>IF(Fixtures[[#This Row],[APP]], Fixtures[[#This Row],[G]]+Fixtures[[#This Row],[A]], "N/A")</f>
        <v>2</v>
      </c>
      <c r="AK1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5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[2026-03-21] Borussia Dortmund vs. RB Leipzig (0-2) - Bundesliga</v>
      </c>
    </row>
    <row r="176" spans="1:39" ht="13">
      <c r="A176" s="55">
        <v>46106</v>
      </c>
      <c r="B176" s="61">
        <v>0.48958333333333331</v>
      </c>
      <c r="C176" s="56" t="s">
        <v>161</v>
      </c>
      <c r="D176" s="56" t="s">
        <v>127</v>
      </c>
      <c r="E176" s="56" t="s">
        <v>200</v>
      </c>
      <c r="F176" s="56" t="s">
        <v>128</v>
      </c>
      <c r="G176" s="56" t="s">
        <v>16</v>
      </c>
      <c r="H176" s="56" t="s">
        <v>163</v>
      </c>
      <c r="I176" s="56">
        <v>1</v>
      </c>
      <c r="J176" s="56">
        <v>4</v>
      </c>
      <c r="K176" s="56"/>
      <c r="L176" s="56"/>
      <c r="M176" s="56">
        <v>0</v>
      </c>
      <c r="N176" s="56">
        <v>1</v>
      </c>
      <c r="O176" s="56">
        <v>0</v>
      </c>
      <c r="P176" s="56">
        <v>0</v>
      </c>
      <c r="Q176" s="57">
        <v>6.8</v>
      </c>
      <c r="R176" s="56" t="b">
        <v>0</v>
      </c>
      <c r="S176" s="58" t="str" cm="1">
        <f t="array" ref="S176">_xlfn._xlws.FILTER(Competitions[compType], (Fixtures[[#This Row],[competition]] = Competitions[name]), "N/A")</f>
        <v>International Friendly</v>
      </c>
      <c r="T176" s="58" t="b" cm="1">
        <f t="array" ref="T176">_xlfn._xlws.FILTER(Competitions[exhibition], (Fixtures[[#This Row],[competition]] = Competitions[name]), "N/A")</f>
        <v>1</v>
      </c>
      <c r="U176" s="58" t="str" cm="1">
        <f t="array" ref="U176">_xlfn._xlws.FILTER(Competitions[compID], (Fixtures[[#This Row],[competition]] = Competitions[name]), "N/A")</f>
        <v>IF-EX-INTERNATIONALFRIENDLY</v>
      </c>
      <c r="V1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6" s="58" t="str" cm="1">
        <f t="array" ref="W1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76" s="58" t="str" cm="1">
        <f t="array" ref="X176">_xlfn._xlws.FILTER(Teams[name], (Fixtures[[#This Row],[userTeamID]] = Teams[teamID]), "N/A")</f>
        <v>United States</v>
      </c>
      <c r="Y176" s="58" t="str" cm="1">
        <f t="array" ref="Y176">_xlfn._xlws.FILTER(Teams[teamType], (Fixtures[[#This Row],[userTeamID]] = Teams[teamID]), "N/A")</f>
        <v>National</v>
      </c>
      <c r="Z176" s="58" t="str" cm="1">
        <f t="array" ref="Z176">IF(Fixtures[[#This Row],[userTeamID]] = "N/A", "N/A", IF(SUM(COUNTIF(Fixtures[[#This Row],[homeTeam]], _xlfn._xlws.FILTER(Teams[name], (Fixtures[[#This Row],[userTeamID]] = Teams[teamID])*(Teams[relevant])))) &gt; 0, "H", "A"))</f>
        <v>H</v>
      </c>
      <c r="AA176" s="58" t="str">
        <f>IF(Fixtures[[#This Row],[userSide]] = "N/A", "N/A", IF(Fixtures[[#This Row],[userSide]] = "H", Fixtures[[#This Row],[awayTeam]], Fixtures[[#This Row],[homeTeam]]))</f>
        <v>Spain</v>
      </c>
      <c r="AB176" s="58" t="str" cm="1">
        <f t="array" ref="AB176">_xlfn._xlws.FILTER(Teams[teamID], Fixtures[[#This Row],[oppTeam]] = Teams[name], "N/A")</f>
        <v>N-SPA-SPAIN</v>
      </c>
      <c r="AC176" s="58" t="str" cm="1">
        <f t="array" ref="AC176">_xlfn._xlws.FILTER(Teams[teamType], Fixtures[[#This Row],[oppTeam]] = Teams[name], "N/A")</f>
        <v>National</v>
      </c>
      <c r="AD176" s="58">
        <f>IF(ISBLANK(Fixtures[[#This Row],[date]]), "N/A", IF(Fixtures[[#This Row],[userSide]]="H", Fixtures[[#This Row],[homeScore]], Fixtures[[#This Row],[awayScore]]))</f>
        <v>1</v>
      </c>
      <c r="AE176" s="58">
        <f>IF(ISBLANK(Fixtures[[#This Row],[date]]), "N/A", IF(Fixtures[[#This Row],[userScore]] = Fixtures[[#This Row],[homeScore]], Fixtures[[#This Row],[awayScore]], Fixtures[[#This Row],[homeScore]]))</f>
        <v>4</v>
      </c>
      <c r="AF176" s="58" t="b">
        <f>NOT(AND(ISBLANK(Fixtures[[#This Row],[homePens]]), ISBLANK(Fixtures[[#This Row],[awayPens]])))</f>
        <v>0</v>
      </c>
      <c r="AG176" s="58" t="str">
        <f>IF(Fixtures[[#This Row],[penalties]], IF(Fixtures[[#This Row],[userSide]]="H", Fixtures[[#This Row],[homePens]], Fixtures[[#This Row],[awayPens]]), "N/A")</f>
        <v>N/A</v>
      </c>
      <c r="AH176" s="58" t="str">
        <f>IF(Fixtures[[#This Row],[penalties]], IF(Fixtures[[#This Row],[userPens]]=Fixtures[[#This Row],[homePens]],Fixtures[[#This Row],[awayPens]],Fixtures[[#This Row],[homePens]]), "N/A")</f>
        <v>N/A</v>
      </c>
      <c r="AI176" s="58" t="b">
        <f>COUNTBLANK(Fixtures[[#This Row],[G]:[MOTM]]) = 0</f>
        <v>1</v>
      </c>
      <c r="AJ176" s="58">
        <f>IF(Fixtures[[#This Row],[APP]], Fixtures[[#This Row],[G]]+Fixtures[[#This Row],[A]], "N/A")</f>
        <v>1</v>
      </c>
      <c r="AK1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76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1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[2026-03-25] United States vs. Spain (1-4) - International Friendly</v>
      </c>
    </row>
    <row r="177" spans="1:39" ht="13">
      <c r="A177" s="55">
        <v>46109</v>
      </c>
      <c r="B177" s="61">
        <v>0.91666666666666663</v>
      </c>
      <c r="C177" s="56" t="s">
        <v>161</v>
      </c>
      <c r="D177" s="56" t="s">
        <v>285</v>
      </c>
      <c r="E177" s="56" t="s">
        <v>269</v>
      </c>
      <c r="F177" s="56" t="s">
        <v>128</v>
      </c>
      <c r="G177" s="56" t="s">
        <v>286</v>
      </c>
      <c r="H177" s="56" t="s">
        <v>16</v>
      </c>
      <c r="I177" s="56">
        <v>1</v>
      </c>
      <c r="J177" s="56">
        <v>1</v>
      </c>
      <c r="K177" s="56"/>
      <c r="L177" s="56"/>
      <c r="M177" s="56">
        <v>0</v>
      </c>
      <c r="N177" s="56">
        <v>0</v>
      </c>
      <c r="O177" s="56">
        <v>0</v>
      </c>
      <c r="P177" s="56">
        <v>0</v>
      </c>
      <c r="Q177" s="57">
        <v>7.2</v>
      </c>
      <c r="R177" s="56" t="b">
        <v>0</v>
      </c>
      <c r="S177" s="58" t="str" cm="1">
        <f t="array" ref="S177">_xlfn._xlws.FILTER(Competitions[compType], (Fixtures[[#This Row],[competition]] = Competitions[name]), "N/A")</f>
        <v>International Friendly</v>
      </c>
      <c r="T177" s="58" t="b" cm="1">
        <f t="array" ref="T177">_xlfn._xlws.FILTER(Competitions[exhibition], (Fixtures[[#This Row],[competition]] = Competitions[name]), "N/A")</f>
        <v>1</v>
      </c>
      <c r="U177" s="58" t="str" cm="1">
        <f t="array" ref="U177">_xlfn._xlws.FILTER(Competitions[compID], (Fixtures[[#This Row],[competition]] = Competitions[name]), "N/A")</f>
        <v>IF-EX-INTERNATIONALFRIENDLY</v>
      </c>
      <c r="V1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7" s="58" t="str" cm="1">
        <f t="array" ref="W1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77" s="58" t="str" cm="1">
        <f t="array" ref="X177">_xlfn._xlws.FILTER(Teams[name], (Fixtures[[#This Row],[userTeamID]] = Teams[teamID]), "N/A")</f>
        <v>United States</v>
      </c>
      <c r="Y177" s="58" t="str" cm="1">
        <f t="array" ref="Y177">_xlfn._xlws.FILTER(Teams[teamType], (Fixtures[[#This Row],[userTeamID]] = Teams[teamID]), "N/A")</f>
        <v>National</v>
      </c>
      <c r="Z177" s="58" t="str" cm="1">
        <f t="array" ref="Z177">IF(Fixtures[[#This Row],[userTeamID]] = "N/A", "N/A", IF(SUM(COUNTIF(Fixtures[[#This Row],[homeTeam]], _xlfn._xlws.FILTER(Teams[name], (Fixtures[[#This Row],[userTeamID]] = Teams[teamID])*(Teams[relevant])))) &gt; 0, "H", "A"))</f>
        <v>A</v>
      </c>
      <c r="AA177" s="58" t="str">
        <f>IF(Fixtures[[#This Row],[userSide]] = "N/A", "N/A", IF(Fixtures[[#This Row],[userSide]] = "H", Fixtures[[#This Row],[awayTeam]], Fixtures[[#This Row],[homeTeam]]))</f>
        <v>Norway</v>
      </c>
      <c r="AB177" s="58" t="str" cm="1">
        <f t="array" ref="AB177">_xlfn._xlws.FILTER(Teams[teamID], Fixtures[[#This Row],[oppTeam]] = Teams[name], "N/A")</f>
        <v>N-NOR-NORWAY</v>
      </c>
      <c r="AC177" s="58" t="str" cm="1">
        <f t="array" ref="AC177">_xlfn._xlws.FILTER(Teams[teamType], Fixtures[[#This Row],[oppTeam]] = Teams[name], "N/A")</f>
        <v>National</v>
      </c>
      <c r="AD177" s="58">
        <f>IF(ISBLANK(Fixtures[[#This Row],[date]]), "N/A", IF(Fixtures[[#This Row],[userSide]]="H", Fixtures[[#This Row],[homeScore]], Fixtures[[#This Row],[awayScore]]))</f>
        <v>1</v>
      </c>
      <c r="AE177" s="58">
        <f>IF(ISBLANK(Fixtures[[#This Row],[date]]), "N/A", IF(Fixtures[[#This Row],[userScore]] = Fixtures[[#This Row],[homeScore]], Fixtures[[#This Row],[awayScore]], Fixtures[[#This Row],[homeScore]]))</f>
        <v>1</v>
      </c>
      <c r="AF177" s="58" t="b">
        <f>NOT(AND(ISBLANK(Fixtures[[#This Row],[homePens]]), ISBLANK(Fixtures[[#This Row],[awayPens]])))</f>
        <v>0</v>
      </c>
      <c r="AG177" s="58" t="str">
        <f>IF(Fixtures[[#This Row],[penalties]], IF(Fixtures[[#This Row],[userSide]]="H", Fixtures[[#This Row],[homePens]], Fixtures[[#This Row],[awayPens]]), "N/A")</f>
        <v>N/A</v>
      </c>
      <c r="AH177" s="58" t="str">
        <f>IF(Fixtures[[#This Row],[penalties]], IF(Fixtures[[#This Row],[userPens]]=Fixtures[[#This Row],[homePens]],Fixtures[[#This Row],[awayPens]],Fixtures[[#This Row],[homePens]]), "N/A")</f>
        <v>N/A</v>
      </c>
      <c r="AI177" s="58" t="b">
        <f>COUNTBLANK(Fixtures[[#This Row],[G]:[MOTM]]) = 0</f>
        <v>1</v>
      </c>
      <c r="AJ177" s="58">
        <f>IF(Fixtures[[#This Row],[APP]], Fixtures[[#This Row],[G]]+Fixtures[[#This Row],[A]], "N/A")</f>
        <v>0</v>
      </c>
      <c r="AK1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77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[2026-03-28] Norway vs. United States (1-1) - International Friendly</v>
      </c>
    </row>
    <row r="178" spans="1:39" ht="13">
      <c r="A178" s="55">
        <v>46115</v>
      </c>
      <c r="B178" s="61">
        <v>0.77083333333333337</v>
      </c>
      <c r="C178" s="56" t="s">
        <v>203</v>
      </c>
      <c r="D178" s="56" t="s">
        <v>259</v>
      </c>
      <c r="E178" s="56" t="s">
        <v>108</v>
      </c>
      <c r="F178" s="56" t="s">
        <v>261</v>
      </c>
      <c r="G178" s="56" t="s">
        <v>262</v>
      </c>
      <c r="H178" s="56" t="s">
        <v>292</v>
      </c>
      <c r="I178" s="56">
        <v>0</v>
      </c>
      <c r="J178" s="56">
        <v>0</v>
      </c>
      <c r="K178" s="56"/>
      <c r="L178" s="56"/>
      <c r="M178" s="56">
        <v>0</v>
      </c>
      <c r="N178" s="56">
        <v>0</v>
      </c>
      <c r="O178" s="56">
        <v>0</v>
      </c>
      <c r="P178" s="56">
        <v>0</v>
      </c>
      <c r="Q178" s="57">
        <v>6.1</v>
      </c>
      <c r="R178" s="56" t="b">
        <v>0</v>
      </c>
      <c r="S178" s="58" t="str" cm="1">
        <f t="array" ref="S178">_xlfn._xlws.FILTER(Competitions[compType], (Fixtures[[#This Row],[competition]] = Competitions[name]), "N/A")</f>
        <v>Domestic League</v>
      </c>
      <c r="T178" s="58" t="b" cm="1">
        <f t="array" ref="T178">_xlfn._xlws.FILTER(Competitions[exhibition], (Fixtures[[#This Row],[competition]] = Competitions[name]), "N/A")</f>
        <v>0</v>
      </c>
      <c r="U178" s="58" t="str" cm="1">
        <f t="array" ref="U178">_xlfn._xlws.FILTER(Competitions[compID], (Fixtures[[#This Row],[competition]] = Competitions[name]), "N/A")</f>
        <v>DL-OF-BUNDESLIGA</v>
      </c>
      <c r="V1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8" s="58" t="str" cm="1">
        <f t="array" ref="W1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8" s="58" t="str" cm="1">
        <f t="array" ref="X178">_xlfn._xlws.FILTER(Teams[name], (Fixtures[[#This Row],[userTeamID]] = Teams[teamID]), "N/A")</f>
        <v>RB Leipzig</v>
      </c>
      <c r="Y178" s="58" t="str" cm="1">
        <f t="array" ref="Y178">_xlfn._xlws.FILTER(Teams[teamType], (Fixtures[[#This Row],[userTeamID]] = Teams[teamID]), "N/A")</f>
        <v>Club</v>
      </c>
      <c r="Z178" s="58" t="str" cm="1">
        <f t="array" ref="Z178">IF(Fixtures[[#This Row],[userTeamID]] = "N/A", "N/A", IF(SUM(COUNTIF(Fixtures[[#This Row],[homeTeam]], _xlfn._xlws.FILTER(Teams[name], (Fixtures[[#This Row],[userTeamID]] = Teams[teamID])*(Teams[relevant])))) &gt; 0, "H", "A"))</f>
        <v>H</v>
      </c>
      <c r="AA178" s="58" t="str">
        <f>IF(Fixtures[[#This Row],[userSide]] = "N/A", "N/A", IF(Fixtures[[#This Row],[userSide]] = "H", Fixtures[[#This Row],[awayTeam]], Fixtures[[#This Row],[homeTeam]]))</f>
        <v>FC Bayern München</v>
      </c>
      <c r="AB178" s="58" t="str" cm="1">
        <f t="array" ref="AB178">_xlfn._xlws.FILTER(Teams[teamID], Fixtures[[#This Row],[oppTeam]] = Teams[name], "N/A")</f>
        <v>C-GER-FCBAYERNMÜNCHEN</v>
      </c>
      <c r="AC178" s="58" t="str" cm="1">
        <f t="array" ref="AC178">_xlfn._xlws.FILTER(Teams[teamType], Fixtures[[#This Row],[oppTeam]] = Teams[name], "N/A")</f>
        <v>Club</v>
      </c>
      <c r="AD178" s="58">
        <f>IF(ISBLANK(Fixtures[[#This Row],[date]]), "N/A", IF(Fixtures[[#This Row],[userSide]]="H", Fixtures[[#This Row],[homeScore]], Fixtures[[#This Row],[awayScore]]))</f>
        <v>0</v>
      </c>
      <c r="AE178" s="58">
        <f>IF(ISBLANK(Fixtures[[#This Row],[date]]), "N/A", IF(Fixtures[[#This Row],[userScore]] = Fixtures[[#This Row],[homeScore]], Fixtures[[#This Row],[awayScore]], Fixtures[[#This Row],[homeScore]]))</f>
        <v>0</v>
      </c>
      <c r="AF178" s="58" t="b">
        <f>NOT(AND(ISBLANK(Fixtures[[#This Row],[homePens]]), ISBLANK(Fixtures[[#This Row],[awayPens]])))</f>
        <v>0</v>
      </c>
      <c r="AG178" s="58" t="str">
        <f>IF(Fixtures[[#This Row],[penalties]], IF(Fixtures[[#This Row],[userSide]]="H", Fixtures[[#This Row],[homePens]], Fixtures[[#This Row],[awayPens]]), "N/A")</f>
        <v>N/A</v>
      </c>
      <c r="AH178" s="58" t="str">
        <f>IF(Fixtures[[#This Row],[penalties]], IF(Fixtures[[#This Row],[userPens]]=Fixtures[[#This Row],[homePens]],Fixtures[[#This Row],[awayPens]],Fixtures[[#This Row],[homePens]]), "N/A")</f>
        <v>N/A</v>
      </c>
      <c r="AI178" s="58" t="b">
        <f>COUNTBLANK(Fixtures[[#This Row],[G]:[MOTM]]) = 0</f>
        <v>1</v>
      </c>
      <c r="AJ178" s="58">
        <f>IF(Fixtures[[#This Row],[APP]], Fixtures[[#This Row],[G]]+Fixtures[[#This Row],[A]], "N/A")</f>
        <v>0</v>
      </c>
      <c r="AK1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7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[2026-04-03] RB Leipzig vs. FC Bayern München (0-0) - Bundesliga</v>
      </c>
    </row>
    <row r="179" spans="1:39" ht="13">
      <c r="A179" s="55">
        <v>46123</v>
      </c>
      <c r="B179" s="61">
        <v>0.64583333333333337</v>
      </c>
      <c r="C179" s="56" t="s">
        <v>203</v>
      </c>
      <c r="D179" s="56" t="s">
        <v>259</v>
      </c>
      <c r="E179" s="56" t="s">
        <v>108</v>
      </c>
      <c r="F179" s="56" t="s">
        <v>261</v>
      </c>
      <c r="G179" s="56" t="s">
        <v>262</v>
      </c>
      <c r="H179" s="56" t="s">
        <v>313</v>
      </c>
      <c r="I179" s="56">
        <v>2</v>
      </c>
      <c r="J179" s="56">
        <v>0</v>
      </c>
      <c r="K179" s="56"/>
      <c r="L179" s="56"/>
      <c r="M179" s="56">
        <v>0</v>
      </c>
      <c r="N179" s="56">
        <v>0</v>
      </c>
      <c r="O179" s="56">
        <v>0</v>
      </c>
      <c r="P179" s="56">
        <v>0</v>
      </c>
      <c r="Q179" s="57">
        <v>6.6</v>
      </c>
      <c r="R179" s="56" t="b">
        <v>0</v>
      </c>
      <c r="S179" s="58" t="str" cm="1">
        <f t="array" ref="S179">_xlfn._xlws.FILTER(Competitions[compType], (Fixtures[[#This Row],[competition]] = Competitions[name]), "N/A")</f>
        <v>Domestic League</v>
      </c>
      <c r="T179" s="58" t="b" cm="1">
        <f t="array" ref="T179">_xlfn._xlws.FILTER(Competitions[exhibition], (Fixtures[[#This Row],[competition]] = Competitions[name]), "N/A")</f>
        <v>0</v>
      </c>
      <c r="U179" s="58" t="str" cm="1">
        <f t="array" ref="U179">_xlfn._xlws.FILTER(Competitions[compID], (Fixtures[[#This Row],[competition]] = Competitions[name]), "N/A")</f>
        <v>DL-OF-BUNDESLIGA</v>
      </c>
      <c r="V1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79" s="58" t="str" cm="1">
        <f t="array" ref="W1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79" s="58" t="str" cm="1">
        <f t="array" ref="X179">_xlfn._xlws.FILTER(Teams[name], (Fixtures[[#This Row],[userTeamID]] = Teams[teamID]), "N/A")</f>
        <v>RB Leipzig</v>
      </c>
      <c r="Y179" s="58" t="str" cm="1">
        <f t="array" ref="Y179">_xlfn._xlws.FILTER(Teams[teamType], (Fixtures[[#This Row],[userTeamID]] = Teams[teamID]), "N/A")</f>
        <v>Club</v>
      </c>
      <c r="Z179" s="58" t="str" cm="1">
        <f t="array" ref="Z179">IF(Fixtures[[#This Row],[userTeamID]] = "N/A", "N/A", IF(SUM(COUNTIF(Fixtures[[#This Row],[homeTeam]], _xlfn._xlws.FILTER(Teams[name], (Fixtures[[#This Row],[userTeamID]] = Teams[teamID])*(Teams[relevant])))) &gt; 0, "H", "A"))</f>
        <v>H</v>
      </c>
      <c r="AA179" s="58" t="str">
        <f>IF(Fixtures[[#This Row],[userSide]] = "N/A", "N/A", IF(Fixtures[[#This Row],[userSide]] = "H", Fixtures[[#This Row],[awayTeam]], Fixtures[[#This Row],[homeTeam]]))</f>
        <v>TSG Hoffenheim</v>
      </c>
      <c r="AB179" s="58" t="str" cm="1">
        <f t="array" ref="AB179">_xlfn._xlws.FILTER(Teams[teamID], Fixtures[[#This Row],[oppTeam]] = Teams[name], "N/A")</f>
        <v>C-GER-TSGHOFFENHEIM</v>
      </c>
      <c r="AC179" s="58" t="str" cm="1">
        <f t="array" ref="AC179">_xlfn._xlws.FILTER(Teams[teamType], Fixtures[[#This Row],[oppTeam]] = Teams[name], "N/A")</f>
        <v>Club</v>
      </c>
      <c r="AD179" s="58">
        <f>IF(ISBLANK(Fixtures[[#This Row],[date]]), "N/A", IF(Fixtures[[#This Row],[userSide]]="H", Fixtures[[#This Row],[homeScore]], Fixtures[[#This Row],[awayScore]]))</f>
        <v>2</v>
      </c>
      <c r="AE179" s="58">
        <f>IF(ISBLANK(Fixtures[[#This Row],[date]]), "N/A", IF(Fixtures[[#This Row],[userScore]] = Fixtures[[#This Row],[homeScore]], Fixtures[[#This Row],[awayScore]], Fixtures[[#This Row],[homeScore]]))</f>
        <v>0</v>
      </c>
      <c r="AF179" s="58" t="b">
        <f>NOT(AND(ISBLANK(Fixtures[[#This Row],[homePens]]), ISBLANK(Fixtures[[#This Row],[awayPens]])))</f>
        <v>0</v>
      </c>
      <c r="AG179" s="58" t="str">
        <f>IF(Fixtures[[#This Row],[penalties]], IF(Fixtures[[#This Row],[userSide]]="H", Fixtures[[#This Row],[homePens]], Fixtures[[#This Row],[awayPens]]), "N/A")</f>
        <v>N/A</v>
      </c>
      <c r="AH179" s="58" t="str">
        <f>IF(Fixtures[[#This Row],[penalties]], IF(Fixtures[[#This Row],[userPens]]=Fixtures[[#This Row],[homePens]],Fixtures[[#This Row],[awayPens]],Fixtures[[#This Row],[homePens]]), "N/A")</f>
        <v>N/A</v>
      </c>
      <c r="AI179" s="58" t="b">
        <f>COUNTBLANK(Fixtures[[#This Row],[G]:[MOTM]]) = 0</f>
        <v>1</v>
      </c>
      <c r="AJ179" s="58">
        <f>IF(Fixtures[[#This Row],[APP]], Fixtures[[#This Row],[G]]+Fixtures[[#This Row],[A]], "N/A")</f>
        <v>0</v>
      </c>
      <c r="AK1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79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[2026-04-11] RB Leipzig vs. TSG Hoffenheim (2-0) - Bundesliga</v>
      </c>
    </row>
    <row r="180" spans="1:39" ht="13">
      <c r="A180" s="55">
        <v>46127</v>
      </c>
      <c r="B180" s="61">
        <v>0.875</v>
      </c>
      <c r="C180" s="56" t="s">
        <v>203</v>
      </c>
      <c r="D180" s="56" t="s">
        <v>259</v>
      </c>
      <c r="E180" s="56" t="s">
        <v>323</v>
      </c>
      <c r="F180" s="56" t="s">
        <v>274</v>
      </c>
      <c r="G180" s="56" t="s">
        <v>262</v>
      </c>
      <c r="H180" s="56" t="s">
        <v>281</v>
      </c>
      <c r="I180" s="56">
        <v>2</v>
      </c>
      <c r="J180" s="56">
        <v>0</v>
      </c>
      <c r="K180" s="56"/>
      <c r="L180" s="56"/>
      <c r="M180" s="56">
        <v>0</v>
      </c>
      <c r="N180" s="56">
        <v>2</v>
      </c>
      <c r="O180" s="56">
        <v>0</v>
      </c>
      <c r="P180" s="56">
        <v>0</v>
      </c>
      <c r="Q180" s="57">
        <v>8.3000000000000007</v>
      </c>
      <c r="R180" s="56" t="b">
        <v>1</v>
      </c>
      <c r="S180" s="58" t="str" cm="1">
        <f t="array" ref="S180">_xlfn._xlws.FILTER(Competitions[compType], (Fixtures[[#This Row],[competition]] = Competitions[name]), "N/A")</f>
        <v>Continental Cup</v>
      </c>
      <c r="T180" s="58" t="b" cm="1">
        <f t="array" ref="T180">_xlfn._xlws.FILTER(Competitions[exhibition], (Fixtures[[#This Row],[competition]] = Competitions[name]), "N/A")</f>
        <v>0</v>
      </c>
      <c r="U180" s="58" t="str" cm="1">
        <f t="array" ref="U180">_xlfn._xlws.FILTER(Competitions[compID], (Fixtures[[#This Row],[competition]] = Competitions[name]), "N/A")</f>
        <v>CC-OF-UEFACHAMPIONSLEAGUE</v>
      </c>
      <c r="V1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0" s="58" t="str" cm="1">
        <f t="array" ref="W1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0" s="58" t="str" cm="1">
        <f t="array" ref="X180">_xlfn._xlws.FILTER(Teams[name], (Fixtures[[#This Row],[userTeamID]] = Teams[teamID]), "N/A")</f>
        <v>RB Leipzig</v>
      </c>
      <c r="Y180" s="58" t="str" cm="1">
        <f t="array" ref="Y180">_xlfn._xlws.FILTER(Teams[teamType], (Fixtures[[#This Row],[userTeamID]] = Teams[teamID]), "N/A")</f>
        <v>Club</v>
      </c>
      <c r="Z180" s="58" t="str" cm="1">
        <f t="array" ref="Z180">IF(Fixtures[[#This Row],[userTeamID]] = "N/A", "N/A", IF(SUM(COUNTIF(Fixtures[[#This Row],[homeTeam]], _xlfn._xlws.FILTER(Teams[name], (Fixtures[[#This Row],[userTeamID]] = Teams[teamID])*(Teams[relevant])))) &gt; 0, "H", "A"))</f>
        <v>H</v>
      </c>
      <c r="AA180" s="58" t="str">
        <f>IF(Fixtures[[#This Row],[userSide]] = "N/A", "N/A", IF(Fixtures[[#This Row],[userSide]] = "H", Fixtures[[#This Row],[awayTeam]], Fixtures[[#This Row],[homeTeam]]))</f>
        <v>OM</v>
      </c>
      <c r="AB180" s="58" t="str" cm="1">
        <f t="array" ref="AB180">_xlfn._xlws.FILTER(Teams[teamID], Fixtures[[#This Row],[oppTeam]] = Teams[name], "N/A")</f>
        <v>C-FRA-OM</v>
      </c>
      <c r="AC180" s="58" t="str" cm="1">
        <f t="array" ref="AC180">_xlfn._xlws.FILTER(Teams[teamType], Fixtures[[#This Row],[oppTeam]] = Teams[name], "N/A")</f>
        <v>Club</v>
      </c>
      <c r="AD180" s="58">
        <f>IF(ISBLANK(Fixtures[[#This Row],[date]]), "N/A", IF(Fixtures[[#This Row],[userSide]]="H", Fixtures[[#This Row],[homeScore]], Fixtures[[#This Row],[awayScore]]))</f>
        <v>2</v>
      </c>
      <c r="AE180" s="58">
        <f>IF(ISBLANK(Fixtures[[#This Row],[date]]), "N/A", IF(Fixtures[[#This Row],[userScore]] = Fixtures[[#This Row],[homeScore]], Fixtures[[#This Row],[awayScore]], Fixtures[[#This Row],[homeScore]]))</f>
        <v>0</v>
      </c>
      <c r="AF180" s="58" t="b">
        <f>NOT(AND(ISBLANK(Fixtures[[#This Row],[homePens]]), ISBLANK(Fixtures[[#This Row],[awayPens]])))</f>
        <v>0</v>
      </c>
      <c r="AG180" s="58" t="str">
        <f>IF(Fixtures[[#This Row],[penalties]], IF(Fixtures[[#This Row],[userSide]]="H", Fixtures[[#This Row],[homePens]], Fixtures[[#This Row],[awayPens]]), "N/A")</f>
        <v>N/A</v>
      </c>
      <c r="AH180" s="58" t="str">
        <f>IF(Fixtures[[#This Row],[penalties]], IF(Fixtures[[#This Row],[userPens]]=Fixtures[[#This Row],[homePens]],Fixtures[[#This Row],[awayPens]],Fixtures[[#This Row],[homePens]]), "N/A")</f>
        <v>N/A</v>
      </c>
      <c r="AI180" s="58" t="b">
        <f>COUNTBLANK(Fixtures[[#This Row],[G]:[MOTM]]) = 0</f>
        <v>1</v>
      </c>
      <c r="AJ180" s="58">
        <f>IF(Fixtures[[#This Row],[APP]], Fixtures[[#This Row],[G]]+Fixtures[[#This Row],[A]], "N/A")</f>
        <v>2</v>
      </c>
      <c r="AK1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80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[2026-04-15] RB Leipzig vs. OM (2-0) - UEFA Champions League</v>
      </c>
    </row>
    <row r="181" spans="1:39" ht="13">
      <c r="A181" s="55">
        <v>46130</v>
      </c>
      <c r="B181" s="61">
        <v>0.64583333333333337</v>
      </c>
      <c r="C181" s="56" t="s">
        <v>203</v>
      </c>
      <c r="D181" s="56" t="s">
        <v>324</v>
      </c>
      <c r="E181" s="56" t="s">
        <v>316</v>
      </c>
      <c r="F181" s="56" t="s">
        <v>261</v>
      </c>
      <c r="G181" s="56" t="s">
        <v>303</v>
      </c>
      <c r="H181" s="56" t="s">
        <v>262</v>
      </c>
      <c r="I181" s="56">
        <v>0</v>
      </c>
      <c r="J181" s="56">
        <v>4</v>
      </c>
      <c r="K181" s="56"/>
      <c r="L181" s="56"/>
      <c r="M181" s="56">
        <v>1</v>
      </c>
      <c r="N181" s="56">
        <v>1</v>
      </c>
      <c r="O181" s="56">
        <v>1</v>
      </c>
      <c r="P181" s="56">
        <v>0</v>
      </c>
      <c r="Q181" s="57">
        <v>8.4</v>
      </c>
      <c r="R181" s="56" t="b">
        <v>1</v>
      </c>
      <c r="S181" s="58" t="str" cm="1">
        <f t="array" ref="S181">_xlfn._xlws.FILTER(Competitions[compType], (Fixtures[[#This Row],[competition]] = Competitions[name]), "N/A")</f>
        <v>Domestic League</v>
      </c>
      <c r="T181" s="58" t="b" cm="1">
        <f t="array" ref="T181">_xlfn._xlws.FILTER(Competitions[exhibition], (Fixtures[[#This Row],[competition]] = Competitions[name]), "N/A")</f>
        <v>0</v>
      </c>
      <c r="U181" s="58" t="str" cm="1">
        <f t="array" ref="U181">_xlfn._xlws.FILTER(Competitions[compID], (Fixtures[[#This Row],[competition]] = Competitions[name]), "N/A")</f>
        <v>DL-OF-BUNDESLIGA</v>
      </c>
      <c r="V1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1" s="58" t="str" cm="1">
        <f t="array" ref="W1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1" s="58" t="str" cm="1">
        <f t="array" ref="X181">_xlfn._xlws.FILTER(Teams[name], (Fixtures[[#This Row],[userTeamID]] = Teams[teamID]), "N/A")</f>
        <v>RB Leipzig</v>
      </c>
      <c r="Y181" s="58" t="str" cm="1">
        <f t="array" ref="Y181">_xlfn._xlws.FILTER(Teams[teamType], (Fixtures[[#This Row],[userTeamID]] = Teams[teamID]), "N/A")</f>
        <v>Club</v>
      </c>
      <c r="Z181" s="58" t="str" cm="1">
        <f t="array" ref="Z181">IF(Fixtures[[#This Row],[userTeamID]] = "N/A", "N/A", IF(SUM(COUNTIF(Fixtures[[#This Row],[homeTeam]], _xlfn._xlws.FILTER(Teams[name], (Fixtures[[#This Row],[userTeamID]] = Teams[teamID])*(Teams[relevant])))) &gt; 0, "H", "A"))</f>
        <v>A</v>
      </c>
      <c r="AA181" s="58" t="str">
        <f>IF(Fixtures[[#This Row],[userSide]] = "N/A", "N/A", IF(Fixtures[[#This Row],[userSide]] = "H", Fixtures[[#This Row],[awayTeam]], Fixtures[[#This Row],[homeTeam]]))</f>
        <v>Hamburger SV</v>
      </c>
      <c r="AB181" s="58" t="str" cm="1">
        <f t="array" ref="AB181">_xlfn._xlws.FILTER(Teams[teamID], Fixtures[[#This Row],[oppTeam]] = Teams[name], "N/A")</f>
        <v>C-GER-HAMBURGERSV</v>
      </c>
      <c r="AC181" s="58" t="str" cm="1">
        <f t="array" ref="AC181">_xlfn._xlws.FILTER(Teams[teamType], Fixtures[[#This Row],[oppTeam]] = Teams[name], "N/A")</f>
        <v>Club</v>
      </c>
      <c r="AD181" s="58">
        <f>IF(ISBLANK(Fixtures[[#This Row],[date]]), "N/A", IF(Fixtures[[#This Row],[userSide]]="H", Fixtures[[#This Row],[homeScore]], Fixtures[[#This Row],[awayScore]]))</f>
        <v>4</v>
      </c>
      <c r="AE181" s="58">
        <f>IF(ISBLANK(Fixtures[[#This Row],[date]]), "N/A", IF(Fixtures[[#This Row],[userScore]] = Fixtures[[#This Row],[homeScore]], Fixtures[[#This Row],[awayScore]], Fixtures[[#This Row],[homeScore]]))</f>
        <v>0</v>
      </c>
      <c r="AF181" s="58" t="b">
        <f>NOT(AND(ISBLANK(Fixtures[[#This Row],[homePens]]), ISBLANK(Fixtures[[#This Row],[awayPens]])))</f>
        <v>0</v>
      </c>
      <c r="AG181" s="58" t="str">
        <f>IF(Fixtures[[#This Row],[penalties]], IF(Fixtures[[#This Row],[userSide]]="H", Fixtures[[#This Row],[homePens]], Fixtures[[#This Row],[awayPens]]), "N/A")</f>
        <v>N/A</v>
      </c>
      <c r="AH181" s="58" t="str">
        <f>IF(Fixtures[[#This Row],[penalties]], IF(Fixtures[[#This Row],[userPens]]=Fixtures[[#This Row],[homePens]],Fixtures[[#This Row],[awayPens]],Fixtures[[#This Row],[homePens]]), "N/A")</f>
        <v>N/A</v>
      </c>
      <c r="AI181" s="58" t="b">
        <f>COUNTBLANK(Fixtures[[#This Row],[G]:[MOTM]]) = 0</f>
        <v>1</v>
      </c>
      <c r="AJ181" s="58">
        <f>IF(Fixtures[[#This Row],[APP]], Fixtures[[#This Row],[G]]+Fixtures[[#This Row],[A]], "N/A")</f>
        <v>2</v>
      </c>
      <c r="AK1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81" s="58">
        <f>IF(Fixtures[[#This Row],[result]] = "N/A", "N/A", IF(Fixtures[[#This Row],[penalties]], ABS(Fixtures[[#This Row],[userPens]] - Fixtures[[#This Row],[oppPens]]), ABS(Fixtures[[#This Row],[userScore]] - Fixtures[[#This Row],[oppScore]])))</f>
        <v>4</v>
      </c>
      <c r="AM1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[2026-04-18] Hamburger SV vs. RB Leipzig (0-4) - Bundesliga</v>
      </c>
    </row>
    <row r="182" spans="1:39" ht="13">
      <c r="A182" s="55">
        <v>46133</v>
      </c>
      <c r="B182" s="61">
        <v>1</v>
      </c>
      <c r="C182" s="56" t="s">
        <v>183</v>
      </c>
      <c r="D182" s="56" t="s">
        <v>307</v>
      </c>
      <c r="E182" s="56" t="s">
        <v>325</v>
      </c>
      <c r="F182" s="56" t="s">
        <v>274</v>
      </c>
      <c r="G182" s="56" t="s">
        <v>281</v>
      </c>
      <c r="H182" s="56" t="s">
        <v>262</v>
      </c>
      <c r="I182" s="56">
        <v>0</v>
      </c>
      <c r="J182" s="56">
        <v>1</v>
      </c>
      <c r="K182" s="56"/>
      <c r="L182" s="56"/>
      <c r="M182" s="56">
        <v>0</v>
      </c>
      <c r="N182" s="56">
        <v>0</v>
      </c>
      <c r="O182" s="56">
        <v>0</v>
      </c>
      <c r="P182" s="56">
        <v>0</v>
      </c>
      <c r="Q182" s="57">
        <v>7.4</v>
      </c>
      <c r="R182" s="56" t="b">
        <v>0</v>
      </c>
      <c r="S182" s="58" t="str" cm="1">
        <f t="array" ref="S182">_xlfn._xlws.FILTER(Competitions[compType], (Fixtures[[#This Row],[competition]] = Competitions[name]), "N/A")</f>
        <v>Continental Cup</v>
      </c>
      <c r="T182" s="58" t="b" cm="1">
        <f t="array" ref="T182">_xlfn._xlws.FILTER(Competitions[exhibition], (Fixtures[[#This Row],[competition]] = Competitions[name]), "N/A")</f>
        <v>0</v>
      </c>
      <c r="U182" s="58" t="str" cm="1">
        <f t="array" ref="U182">_xlfn._xlws.FILTER(Competitions[compID], (Fixtures[[#This Row],[competition]] = Competitions[name]), "N/A")</f>
        <v>CC-OF-UEFACHAMPIONSLEAGUE</v>
      </c>
      <c r="V1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2" s="58" t="str" cm="1">
        <f t="array" ref="W1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2" s="58" t="str" cm="1">
        <f t="array" ref="X182">_xlfn._xlws.FILTER(Teams[name], (Fixtures[[#This Row],[userTeamID]] = Teams[teamID]), "N/A")</f>
        <v>RB Leipzig</v>
      </c>
      <c r="Y182" s="58" t="str" cm="1">
        <f t="array" ref="Y182">_xlfn._xlws.FILTER(Teams[teamType], (Fixtures[[#This Row],[userTeamID]] = Teams[teamID]), "N/A")</f>
        <v>Club</v>
      </c>
      <c r="Z182" s="58" t="str" cm="1">
        <f t="array" ref="Z182">IF(Fixtures[[#This Row],[userTeamID]] = "N/A", "N/A", IF(SUM(COUNTIF(Fixtures[[#This Row],[homeTeam]], _xlfn._xlws.FILTER(Teams[name], (Fixtures[[#This Row],[userTeamID]] = Teams[teamID])*(Teams[relevant])))) &gt; 0, "H", "A"))</f>
        <v>A</v>
      </c>
      <c r="AA182" s="58" t="str">
        <f>IF(Fixtures[[#This Row],[userSide]] = "N/A", "N/A", IF(Fixtures[[#This Row],[userSide]] = "H", Fixtures[[#This Row],[awayTeam]], Fixtures[[#This Row],[homeTeam]]))</f>
        <v>OM</v>
      </c>
      <c r="AB182" s="58" t="str" cm="1">
        <f t="array" ref="AB182">_xlfn._xlws.FILTER(Teams[teamID], Fixtures[[#This Row],[oppTeam]] = Teams[name], "N/A")</f>
        <v>C-FRA-OM</v>
      </c>
      <c r="AC182" s="58" t="str" cm="1">
        <f t="array" ref="AC182">_xlfn._xlws.FILTER(Teams[teamType], Fixtures[[#This Row],[oppTeam]] = Teams[name], "N/A")</f>
        <v>Club</v>
      </c>
      <c r="AD182" s="58">
        <f>IF(ISBLANK(Fixtures[[#This Row],[date]]), "N/A", IF(Fixtures[[#This Row],[userSide]]="H", Fixtures[[#This Row],[homeScore]], Fixtures[[#This Row],[awayScore]]))</f>
        <v>1</v>
      </c>
      <c r="AE182" s="58">
        <f>IF(ISBLANK(Fixtures[[#This Row],[date]]), "N/A", IF(Fixtures[[#This Row],[userScore]] = Fixtures[[#This Row],[homeScore]], Fixtures[[#This Row],[awayScore]], Fixtures[[#This Row],[homeScore]]))</f>
        <v>0</v>
      </c>
      <c r="AF182" s="58" t="b">
        <f>NOT(AND(ISBLANK(Fixtures[[#This Row],[homePens]]), ISBLANK(Fixtures[[#This Row],[awayPens]])))</f>
        <v>0</v>
      </c>
      <c r="AG182" s="58" t="str">
        <f>IF(Fixtures[[#This Row],[penalties]], IF(Fixtures[[#This Row],[userSide]]="H", Fixtures[[#This Row],[homePens]], Fixtures[[#This Row],[awayPens]]), "N/A")</f>
        <v>N/A</v>
      </c>
      <c r="AH182" s="58" t="str">
        <f>IF(Fixtures[[#This Row],[penalties]], IF(Fixtures[[#This Row],[userPens]]=Fixtures[[#This Row],[homePens]],Fixtures[[#This Row],[awayPens]],Fixtures[[#This Row],[homePens]]), "N/A")</f>
        <v>N/A</v>
      </c>
      <c r="AI182" s="58" t="b">
        <f>COUNTBLANK(Fixtures[[#This Row],[G]:[MOTM]]) = 0</f>
        <v>1</v>
      </c>
      <c r="AJ182" s="58">
        <f>IF(Fixtures[[#This Row],[APP]], Fixtures[[#This Row],[G]]+Fixtures[[#This Row],[A]], "N/A")</f>
        <v>0</v>
      </c>
      <c r="AK1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82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[2026-04-21] OM vs. RB Leipzig (0-1) - UEFA Champions League</v>
      </c>
    </row>
    <row r="183" spans="1:39" ht="13">
      <c r="A183" s="55">
        <v>46137</v>
      </c>
      <c r="B183" s="61">
        <v>0.64583333333333337</v>
      </c>
      <c r="C183" s="56" t="s">
        <v>183</v>
      </c>
      <c r="D183" s="56" t="s">
        <v>259</v>
      </c>
      <c r="E183" s="56" t="s">
        <v>316</v>
      </c>
      <c r="F183" s="56" t="s">
        <v>261</v>
      </c>
      <c r="G183" s="56" t="s">
        <v>262</v>
      </c>
      <c r="H183" s="56" t="s">
        <v>113</v>
      </c>
      <c r="I183" s="56">
        <v>0</v>
      </c>
      <c r="J183" s="56">
        <v>2</v>
      </c>
      <c r="K183" s="56"/>
      <c r="L183" s="56"/>
      <c r="M183" s="56">
        <v>0</v>
      </c>
      <c r="N183" s="56">
        <v>0</v>
      </c>
      <c r="O183" s="56">
        <v>0</v>
      </c>
      <c r="P183" s="56">
        <v>0</v>
      </c>
      <c r="Q183" s="57">
        <v>7.3</v>
      </c>
      <c r="R183" s="56" t="b">
        <v>0</v>
      </c>
      <c r="S183" s="58" t="str" cm="1">
        <f t="array" ref="S183">_xlfn._xlws.FILTER(Competitions[compType], (Fixtures[[#This Row],[competition]] = Competitions[name]), "N/A")</f>
        <v>Domestic League</v>
      </c>
      <c r="T183" s="58" t="b" cm="1">
        <f t="array" ref="T183">_xlfn._xlws.FILTER(Competitions[exhibition], (Fixtures[[#This Row],[competition]] = Competitions[name]), "N/A")</f>
        <v>0</v>
      </c>
      <c r="U183" s="58" t="str" cm="1">
        <f t="array" ref="U183">_xlfn._xlws.FILTER(Competitions[compID], (Fixtures[[#This Row],[competition]] = Competitions[name]), "N/A")</f>
        <v>DL-OF-BUNDESLIGA</v>
      </c>
      <c r="V1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3" s="58" t="str" cm="1">
        <f t="array" ref="W1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3" s="58" t="str" cm="1">
        <f t="array" ref="X183">_xlfn._xlws.FILTER(Teams[name], (Fixtures[[#This Row],[userTeamID]] = Teams[teamID]), "N/A")</f>
        <v>RB Leipzig</v>
      </c>
      <c r="Y183" s="58" t="str" cm="1">
        <f t="array" ref="Y183">_xlfn._xlws.FILTER(Teams[teamType], (Fixtures[[#This Row],[userTeamID]] = Teams[teamID]), "N/A")</f>
        <v>Club</v>
      </c>
      <c r="Z183" s="58" t="str" cm="1">
        <f t="array" ref="Z183">IF(Fixtures[[#This Row],[userTeamID]] = "N/A", "N/A", IF(SUM(COUNTIF(Fixtures[[#This Row],[homeTeam]], _xlfn._xlws.FILTER(Teams[name], (Fixtures[[#This Row],[userTeamID]] = Teams[teamID])*(Teams[relevant])))) &gt; 0, "H", "A"))</f>
        <v>H</v>
      </c>
      <c r="AA183" s="58" t="str">
        <f>IF(Fixtures[[#This Row],[userSide]] = "N/A", "N/A", IF(Fixtures[[#This Row],[userSide]] = "H", Fixtures[[#This Row],[awayTeam]], Fixtures[[#This Row],[homeTeam]]))</f>
        <v>SV Werder Bremen</v>
      </c>
      <c r="AB183" s="58" t="str" cm="1">
        <f t="array" ref="AB183">_xlfn._xlws.FILTER(Teams[teamID], Fixtures[[#This Row],[oppTeam]] = Teams[name], "N/A")</f>
        <v>C-GER-SVWERDERBREMEN</v>
      </c>
      <c r="AC183" s="58" t="str" cm="1">
        <f t="array" ref="AC183">_xlfn._xlws.FILTER(Teams[teamType], Fixtures[[#This Row],[oppTeam]] = Teams[name], "N/A")</f>
        <v>Club</v>
      </c>
      <c r="AD183" s="58">
        <f>IF(ISBLANK(Fixtures[[#This Row],[date]]), "N/A", IF(Fixtures[[#This Row],[userSide]]="H", Fixtures[[#This Row],[homeScore]], Fixtures[[#This Row],[awayScore]]))</f>
        <v>0</v>
      </c>
      <c r="AE183" s="58">
        <f>IF(ISBLANK(Fixtures[[#This Row],[date]]), "N/A", IF(Fixtures[[#This Row],[userScore]] = Fixtures[[#This Row],[homeScore]], Fixtures[[#This Row],[awayScore]], Fixtures[[#This Row],[homeScore]]))</f>
        <v>2</v>
      </c>
      <c r="AF183" s="58" t="b">
        <f>NOT(AND(ISBLANK(Fixtures[[#This Row],[homePens]]), ISBLANK(Fixtures[[#This Row],[awayPens]])))</f>
        <v>0</v>
      </c>
      <c r="AG183" s="58" t="str">
        <f>IF(Fixtures[[#This Row],[penalties]], IF(Fixtures[[#This Row],[userSide]]="H", Fixtures[[#This Row],[homePens]], Fixtures[[#This Row],[awayPens]]), "N/A")</f>
        <v>N/A</v>
      </c>
      <c r="AH183" s="58" t="str">
        <f>IF(Fixtures[[#This Row],[penalties]], IF(Fixtures[[#This Row],[userPens]]=Fixtures[[#This Row],[homePens]],Fixtures[[#This Row],[awayPens]],Fixtures[[#This Row],[homePens]]), "N/A")</f>
        <v>N/A</v>
      </c>
      <c r="AI183" s="58" t="b">
        <f>COUNTBLANK(Fixtures[[#This Row],[G]:[MOTM]]) = 0</f>
        <v>1</v>
      </c>
      <c r="AJ183" s="58">
        <f>IF(Fixtures[[#This Row],[APP]], Fixtures[[#This Row],[G]]+Fixtures[[#This Row],[A]], "N/A")</f>
        <v>0</v>
      </c>
      <c r="AK1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83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[2026-04-25] RB Leipzig vs. SV Werder Bremen (0-2) - Bundesliga</v>
      </c>
    </row>
    <row r="184" spans="1:39" ht="13">
      <c r="A184" s="55">
        <v>46143</v>
      </c>
      <c r="B184" s="61">
        <v>0.85416666666666663</v>
      </c>
      <c r="C184" s="56" t="s">
        <v>195</v>
      </c>
      <c r="D184" s="56" t="s">
        <v>326</v>
      </c>
      <c r="E184" s="56" t="s">
        <v>296</v>
      </c>
      <c r="F184" s="56" t="s">
        <v>261</v>
      </c>
      <c r="G184" s="56" t="s">
        <v>287</v>
      </c>
      <c r="H184" s="56" t="s">
        <v>262</v>
      </c>
      <c r="I184" s="56">
        <v>0</v>
      </c>
      <c r="J184" s="56">
        <v>1</v>
      </c>
      <c r="K184" s="56"/>
      <c r="L184" s="56"/>
      <c r="M184" s="56">
        <v>0</v>
      </c>
      <c r="N184" s="56">
        <v>0</v>
      </c>
      <c r="O184" s="56">
        <v>0</v>
      </c>
      <c r="P184" s="56">
        <v>0</v>
      </c>
      <c r="Q184" s="57">
        <v>6.4</v>
      </c>
      <c r="R184" s="56" t="b">
        <v>0</v>
      </c>
      <c r="S184" s="58" t="str" cm="1">
        <f t="array" ref="S184">_xlfn._xlws.FILTER(Competitions[compType], (Fixtures[[#This Row],[competition]] = Competitions[name]), "N/A")</f>
        <v>Domestic League</v>
      </c>
      <c r="T184" s="58" t="b" cm="1">
        <f t="array" ref="T184">_xlfn._xlws.FILTER(Competitions[exhibition], (Fixtures[[#This Row],[competition]] = Competitions[name]), "N/A")</f>
        <v>0</v>
      </c>
      <c r="U184" s="58" t="str" cm="1">
        <f t="array" ref="U184">_xlfn._xlws.FILTER(Competitions[compID], (Fixtures[[#This Row],[competition]] = Competitions[name]), "N/A")</f>
        <v>DL-OF-BUNDESLIGA</v>
      </c>
      <c r="V1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4" s="58" t="str" cm="1">
        <f t="array" ref="W1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4" s="58" t="str" cm="1">
        <f t="array" ref="X184">_xlfn._xlws.FILTER(Teams[name], (Fixtures[[#This Row],[userTeamID]] = Teams[teamID]), "N/A")</f>
        <v>RB Leipzig</v>
      </c>
      <c r="Y184" s="58" t="str" cm="1">
        <f t="array" ref="Y184">_xlfn._xlws.FILTER(Teams[teamType], (Fixtures[[#This Row],[userTeamID]] = Teams[teamID]), "N/A")</f>
        <v>Club</v>
      </c>
      <c r="Z184" s="58" t="str" cm="1">
        <f t="array" ref="Z184">IF(Fixtures[[#This Row],[userTeamID]] = "N/A", "N/A", IF(SUM(COUNTIF(Fixtures[[#This Row],[homeTeam]], _xlfn._xlws.FILTER(Teams[name], (Fixtures[[#This Row],[userTeamID]] = Teams[teamID])*(Teams[relevant])))) &gt; 0, "H", "A"))</f>
        <v>A</v>
      </c>
      <c r="AA184" s="58" t="str">
        <f>IF(Fixtures[[#This Row],[userSide]] = "N/A", "N/A", IF(Fixtures[[#This Row],[userSide]] = "H", Fixtures[[#This Row],[awayTeam]], Fixtures[[#This Row],[homeTeam]]))</f>
        <v>Frankfurt</v>
      </c>
      <c r="AB184" s="58" t="str" cm="1">
        <f t="array" ref="AB184">_xlfn._xlws.FILTER(Teams[teamID], Fixtures[[#This Row],[oppTeam]] = Teams[name], "N/A")</f>
        <v>C-GER-FRANKFURT</v>
      </c>
      <c r="AC184" s="58" t="str" cm="1">
        <f t="array" ref="AC184">_xlfn._xlws.FILTER(Teams[teamType], Fixtures[[#This Row],[oppTeam]] = Teams[name], "N/A")</f>
        <v>Club</v>
      </c>
      <c r="AD184" s="58">
        <f>IF(ISBLANK(Fixtures[[#This Row],[date]]), "N/A", IF(Fixtures[[#This Row],[userSide]]="H", Fixtures[[#This Row],[homeScore]], Fixtures[[#This Row],[awayScore]]))</f>
        <v>1</v>
      </c>
      <c r="AE184" s="58">
        <f>IF(ISBLANK(Fixtures[[#This Row],[date]]), "N/A", IF(Fixtures[[#This Row],[userScore]] = Fixtures[[#This Row],[homeScore]], Fixtures[[#This Row],[awayScore]], Fixtures[[#This Row],[homeScore]]))</f>
        <v>0</v>
      </c>
      <c r="AF184" s="58" t="b">
        <f>NOT(AND(ISBLANK(Fixtures[[#This Row],[homePens]]), ISBLANK(Fixtures[[#This Row],[awayPens]])))</f>
        <v>0</v>
      </c>
      <c r="AG184" s="58" t="str">
        <f>IF(Fixtures[[#This Row],[penalties]], IF(Fixtures[[#This Row],[userSide]]="H", Fixtures[[#This Row],[homePens]], Fixtures[[#This Row],[awayPens]]), "N/A")</f>
        <v>N/A</v>
      </c>
      <c r="AH184" s="58" t="str">
        <f>IF(Fixtures[[#This Row],[penalties]], IF(Fixtures[[#This Row],[userPens]]=Fixtures[[#This Row],[homePens]],Fixtures[[#This Row],[awayPens]],Fixtures[[#This Row],[homePens]]), "N/A")</f>
        <v>N/A</v>
      </c>
      <c r="AI184" s="58" t="b">
        <f>COUNTBLANK(Fixtures[[#This Row],[G]:[MOTM]]) = 0</f>
        <v>1</v>
      </c>
      <c r="AJ184" s="58">
        <f>IF(Fixtures[[#This Row],[APP]], Fixtures[[#This Row],[G]]+Fixtures[[#This Row],[A]], "N/A")</f>
        <v>0</v>
      </c>
      <c r="AK1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84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[2026-05-01] Frankfurt vs. RB Leipzig (0-1) - Bundesliga</v>
      </c>
    </row>
    <row r="185" spans="1:39" ht="13">
      <c r="A185" s="55">
        <v>46147</v>
      </c>
      <c r="B185" s="61">
        <v>0.875</v>
      </c>
      <c r="C185" s="56" t="s">
        <v>161</v>
      </c>
      <c r="D185" s="56" t="s">
        <v>259</v>
      </c>
      <c r="E185" s="56" t="s">
        <v>327</v>
      </c>
      <c r="F185" s="56" t="s">
        <v>274</v>
      </c>
      <c r="G185" s="56" t="s">
        <v>262</v>
      </c>
      <c r="H185" s="56" t="s">
        <v>328</v>
      </c>
      <c r="I185" s="56">
        <v>1</v>
      </c>
      <c r="J185" s="56">
        <v>2</v>
      </c>
      <c r="K185" s="56"/>
      <c r="L185" s="56"/>
      <c r="M185" s="56">
        <v>0</v>
      </c>
      <c r="N185" s="56">
        <v>0</v>
      </c>
      <c r="O185" s="56">
        <v>0</v>
      </c>
      <c r="P185" s="56">
        <v>0</v>
      </c>
      <c r="Q185" s="57">
        <v>7.2</v>
      </c>
      <c r="R185" s="56" t="b">
        <v>0</v>
      </c>
      <c r="S185" s="58" t="str" cm="1">
        <f t="array" ref="S185">_xlfn._xlws.FILTER(Competitions[compType], (Fixtures[[#This Row],[competition]] = Competitions[name]), "N/A")</f>
        <v>Continental Cup</v>
      </c>
      <c r="T185" s="58" t="b" cm="1">
        <f t="array" ref="T185">_xlfn._xlws.FILTER(Competitions[exhibition], (Fixtures[[#This Row],[competition]] = Competitions[name]), "N/A")</f>
        <v>0</v>
      </c>
      <c r="U185" s="58" t="str" cm="1">
        <f t="array" ref="U185">_xlfn._xlws.FILTER(Competitions[compID], (Fixtures[[#This Row],[competition]] = Competitions[name]), "N/A")</f>
        <v>CC-OF-UEFACHAMPIONSLEAGUE</v>
      </c>
      <c r="V1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5" s="58" t="str" cm="1">
        <f t="array" ref="W1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5" s="58" t="str" cm="1">
        <f t="array" ref="X185">_xlfn._xlws.FILTER(Teams[name], (Fixtures[[#This Row],[userTeamID]] = Teams[teamID]), "N/A")</f>
        <v>RB Leipzig</v>
      </c>
      <c r="Y185" s="58" t="str" cm="1">
        <f t="array" ref="Y185">_xlfn._xlws.FILTER(Teams[teamType], (Fixtures[[#This Row],[userTeamID]] = Teams[teamID]), "N/A")</f>
        <v>Club</v>
      </c>
      <c r="Z185" s="58" t="str" cm="1">
        <f t="array" ref="Z185">IF(Fixtures[[#This Row],[userTeamID]] = "N/A", "N/A", IF(SUM(COUNTIF(Fixtures[[#This Row],[homeTeam]], _xlfn._xlws.FILTER(Teams[name], (Fixtures[[#This Row],[userTeamID]] = Teams[teamID])*(Teams[relevant])))) &gt; 0, "H", "A"))</f>
        <v>H</v>
      </c>
      <c r="AA185" s="58" t="str">
        <f>IF(Fixtures[[#This Row],[userSide]] = "N/A", "N/A", IF(Fixtures[[#This Row],[userSide]] = "H", Fixtures[[#This Row],[awayTeam]], Fixtures[[#This Row],[homeTeam]]))</f>
        <v>Paris SG</v>
      </c>
      <c r="AB185" s="58" t="str" cm="1">
        <f t="array" ref="AB185">_xlfn._xlws.FILTER(Teams[teamID], Fixtures[[#This Row],[oppTeam]] = Teams[name], "N/A")</f>
        <v>C-FRA-PARISSG</v>
      </c>
      <c r="AC185" s="58" t="str" cm="1">
        <f t="array" ref="AC185">_xlfn._xlws.FILTER(Teams[teamType], Fixtures[[#This Row],[oppTeam]] = Teams[name], "N/A")</f>
        <v>Club</v>
      </c>
      <c r="AD185" s="58">
        <f>IF(ISBLANK(Fixtures[[#This Row],[date]]), "N/A", IF(Fixtures[[#This Row],[userSide]]="H", Fixtures[[#This Row],[homeScore]], Fixtures[[#This Row],[awayScore]]))</f>
        <v>1</v>
      </c>
      <c r="AE185" s="58">
        <f>IF(ISBLANK(Fixtures[[#This Row],[date]]), "N/A", IF(Fixtures[[#This Row],[userScore]] = Fixtures[[#This Row],[homeScore]], Fixtures[[#This Row],[awayScore]], Fixtures[[#This Row],[homeScore]]))</f>
        <v>2</v>
      </c>
      <c r="AF185" s="58" t="b">
        <f>NOT(AND(ISBLANK(Fixtures[[#This Row],[homePens]]), ISBLANK(Fixtures[[#This Row],[awayPens]])))</f>
        <v>0</v>
      </c>
      <c r="AG185" s="58" t="str">
        <f>IF(Fixtures[[#This Row],[penalties]], IF(Fixtures[[#This Row],[userSide]]="H", Fixtures[[#This Row],[homePens]], Fixtures[[#This Row],[awayPens]]), "N/A")</f>
        <v>N/A</v>
      </c>
      <c r="AH185" s="58" t="str">
        <f>IF(Fixtures[[#This Row],[penalties]], IF(Fixtures[[#This Row],[userPens]]=Fixtures[[#This Row],[homePens]],Fixtures[[#This Row],[awayPens]],Fixtures[[#This Row],[homePens]]), "N/A")</f>
        <v>N/A</v>
      </c>
      <c r="AI185" s="58" t="b">
        <f>COUNTBLANK(Fixtures[[#This Row],[G]:[MOTM]]) = 0</f>
        <v>1</v>
      </c>
      <c r="AJ185" s="58">
        <f>IF(Fixtures[[#This Row],[APP]], Fixtures[[#This Row],[G]]+Fixtures[[#This Row],[A]], "N/A")</f>
        <v>0</v>
      </c>
      <c r="AK1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85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[2026-05-05] RB Leipzig vs. Paris SG (1-2) - UEFA Champions League</v>
      </c>
    </row>
    <row r="186" spans="1:39" ht="13">
      <c r="A186" s="55">
        <v>46151</v>
      </c>
      <c r="B186" s="61">
        <v>0.64583333333333337</v>
      </c>
      <c r="C186" s="56" t="s">
        <v>183</v>
      </c>
      <c r="D186" s="56" t="s">
        <v>259</v>
      </c>
      <c r="E186" s="56" t="s">
        <v>305</v>
      </c>
      <c r="F186" s="56" t="s">
        <v>261</v>
      </c>
      <c r="G186" s="56" t="s">
        <v>262</v>
      </c>
      <c r="H186" s="56" t="s">
        <v>283</v>
      </c>
      <c r="I186" s="56">
        <v>1</v>
      </c>
      <c r="J186" s="56">
        <v>0</v>
      </c>
      <c r="K186" s="56"/>
      <c r="L186" s="56"/>
      <c r="M186" s="56">
        <v>0</v>
      </c>
      <c r="N186" s="56">
        <v>0</v>
      </c>
      <c r="O186" s="56">
        <v>0</v>
      </c>
      <c r="P186" s="56">
        <v>0</v>
      </c>
      <c r="Q186" s="57">
        <v>7.7</v>
      </c>
      <c r="R186" s="56" t="b">
        <v>1</v>
      </c>
      <c r="S186" s="58" t="str" cm="1">
        <f t="array" ref="S186">_xlfn._xlws.FILTER(Competitions[compType], (Fixtures[[#This Row],[competition]] = Competitions[name]), "N/A")</f>
        <v>Domestic League</v>
      </c>
      <c r="T186" s="58" t="b" cm="1">
        <f t="array" ref="T186">_xlfn._xlws.FILTER(Competitions[exhibition], (Fixtures[[#This Row],[competition]] = Competitions[name]), "N/A")</f>
        <v>0</v>
      </c>
      <c r="U186" s="58" t="str" cm="1">
        <f t="array" ref="U186">_xlfn._xlws.FILTER(Competitions[compID], (Fixtures[[#This Row],[competition]] = Competitions[name]), "N/A")</f>
        <v>DL-OF-BUNDESLIGA</v>
      </c>
      <c r="V1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6" s="58" t="str" cm="1">
        <f t="array" ref="W1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6" s="58" t="str" cm="1">
        <f t="array" ref="X186">_xlfn._xlws.FILTER(Teams[name], (Fixtures[[#This Row],[userTeamID]] = Teams[teamID]), "N/A")</f>
        <v>RB Leipzig</v>
      </c>
      <c r="Y186" s="58" t="str" cm="1">
        <f t="array" ref="Y186">_xlfn._xlws.FILTER(Teams[teamType], (Fixtures[[#This Row],[userTeamID]] = Teams[teamID]), "N/A")</f>
        <v>Club</v>
      </c>
      <c r="Z186" s="58" t="str" cm="1">
        <f t="array" ref="Z186">IF(Fixtures[[#This Row],[userTeamID]] = "N/A", "N/A", IF(SUM(COUNTIF(Fixtures[[#This Row],[homeTeam]], _xlfn._xlws.FILTER(Teams[name], (Fixtures[[#This Row],[userTeamID]] = Teams[teamID])*(Teams[relevant])))) &gt; 0, "H", "A"))</f>
        <v>H</v>
      </c>
      <c r="AA186" s="58" t="str">
        <f>IF(Fixtures[[#This Row],[userSide]] = "N/A", "N/A", IF(Fixtures[[#This Row],[userSide]] = "H", Fixtures[[#This Row],[awayTeam]], Fixtures[[#This Row],[homeTeam]]))</f>
        <v>VfL Bochum</v>
      </c>
      <c r="AB186" s="58" t="str" cm="1">
        <f t="array" ref="AB186">_xlfn._xlws.FILTER(Teams[teamID], Fixtures[[#This Row],[oppTeam]] = Teams[name], "N/A")</f>
        <v>C-GER-VFLBOCHUM</v>
      </c>
      <c r="AC186" s="58" t="str" cm="1">
        <f t="array" ref="AC186">_xlfn._xlws.FILTER(Teams[teamType], Fixtures[[#This Row],[oppTeam]] = Teams[name], "N/A")</f>
        <v>Club</v>
      </c>
      <c r="AD186" s="58">
        <f>IF(ISBLANK(Fixtures[[#This Row],[date]]), "N/A", IF(Fixtures[[#This Row],[userSide]]="H", Fixtures[[#This Row],[homeScore]], Fixtures[[#This Row],[awayScore]]))</f>
        <v>1</v>
      </c>
      <c r="AE186" s="58">
        <f>IF(ISBLANK(Fixtures[[#This Row],[date]]), "N/A", IF(Fixtures[[#This Row],[userScore]] = Fixtures[[#This Row],[homeScore]], Fixtures[[#This Row],[awayScore]], Fixtures[[#This Row],[homeScore]]))</f>
        <v>0</v>
      </c>
      <c r="AF186" s="58" t="b">
        <f>NOT(AND(ISBLANK(Fixtures[[#This Row],[homePens]]), ISBLANK(Fixtures[[#This Row],[awayPens]])))</f>
        <v>0</v>
      </c>
      <c r="AG186" s="58" t="str">
        <f>IF(Fixtures[[#This Row],[penalties]], IF(Fixtures[[#This Row],[userSide]]="H", Fixtures[[#This Row],[homePens]], Fixtures[[#This Row],[awayPens]]), "N/A")</f>
        <v>N/A</v>
      </c>
      <c r="AH186" s="58" t="str">
        <f>IF(Fixtures[[#This Row],[penalties]], IF(Fixtures[[#This Row],[userPens]]=Fixtures[[#This Row],[homePens]],Fixtures[[#This Row],[awayPens]],Fixtures[[#This Row],[homePens]]), "N/A")</f>
        <v>N/A</v>
      </c>
      <c r="AI186" s="58" t="b">
        <f>COUNTBLANK(Fixtures[[#This Row],[G]:[MOTM]]) = 0</f>
        <v>1</v>
      </c>
      <c r="AJ186" s="58">
        <f>IF(Fixtures[[#This Row],[APP]], Fixtures[[#This Row],[G]]+Fixtures[[#This Row],[A]], "N/A")</f>
        <v>0</v>
      </c>
      <c r="AK1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86" s="58">
        <f>IF(Fixtures[[#This Row],[result]] = "N/A", "N/A", IF(Fixtures[[#This Row],[penalties]], ABS(Fixtures[[#This Row],[userPens]] - Fixtures[[#This Row],[oppPens]]), ABS(Fixtures[[#This Row],[userScore]] - Fixtures[[#This Row],[oppScore]])))</f>
        <v>1</v>
      </c>
      <c r="AM1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[2026-05-09] RB Leipzig vs. VfL Bochum (1-0) - Bundesliga</v>
      </c>
    </row>
    <row r="187" spans="1:39" ht="13">
      <c r="A187" s="55">
        <v>46155</v>
      </c>
      <c r="B187" s="61">
        <v>0.875</v>
      </c>
      <c r="C187" s="56" t="s">
        <v>161</v>
      </c>
      <c r="D187" s="56" t="s">
        <v>329</v>
      </c>
      <c r="E187" s="56" t="s">
        <v>330</v>
      </c>
      <c r="F187" s="56" t="s">
        <v>274</v>
      </c>
      <c r="G187" s="56" t="s">
        <v>328</v>
      </c>
      <c r="H187" s="56" t="s">
        <v>262</v>
      </c>
      <c r="I187" s="56">
        <v>5</v>
      </c>
      <c r="J187" s="56">
        <v>2</v>
      </c>
      <c r="K187" s="56"/>
      <c r="L187" s="56"/>
      <c r="M187" s="56">
        <v>0</v>
      </c>
      <c r="N187" s="56">
        <v>1</v>
      </c>
      <c r="O187" s="56">
        <v>0</v>
      </c>
      <c r="P187" s="56">
        <v>0</v>
      </c>
      <c r="Q187" s="57">
        <v>7.9</v>
      </c>
      <c r="R187" s="56" t="b">
        <v>0</v>
      </c>
      <c r="S187" s="58" t="str" cm="1">
        <f t="array" ref="S187">_xlfn._xlws.FILTER(Competitions[compType], (Fixtures[[#This Row],[competition]] = Competitions[name]), "N/A")</f>
        <v>Continental Cup</v>
      </c>
      <c r="T187" s="58" t="b" cm="1">
        <f t="array" ref="T187">_xlfn._xlws.FILTER(Competitions[exhibition], (Fixtures[[#This Row],[competition]] = Competitions[name]), "N/A")</f>
        <v>0</v>
      </c>
      <c r="U187" s="58" t="str" cm="1">
        <f t="array" ref="U187">_xlfn._xlws.FILTER(Competitions[compID], (Fixtures[[#This Row],[competition]] = Competitions[name]), "N/A")</f>
        <v>CC-OF-UEFACHAMPIONSLEAGUE</v>
      </c>
      <c r="V1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7" s="58" t="str" cm="1">
        <f t="array" ref="W1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7" s="58" t="str" cm="1">
        <f t="array" ref="X187">_xlfn._xlws.FILTER(Teams[name], (Fixtures[[#This Row],[userTeamID]] = Teams[teamID]), "N/A")</f>
        <v>RB Leipzig</v>
      </c>
      <c r="Y187" s="58" t="str" cm="1">
        <f t="array" ref="Y187">_xlfn._xlws.FILTER(Teams[teamType], (Fixtures[[#This Row],[userTeamID]] = Teams[teamID]), "N/A")</f>
        <v>Club</v>
      </c>
      <c r="Z187" s="58" t="str" cm="1">
        <f t="array" ref="Z187">IF(Fixtures[[#This Row],[userTeamID]] = "N/A", "N/A", IF(SUM(COUNTIF(Fixtures[[#This Row],[homeTeam]], _xlfn._xlws.FILTER(Teams[name], (Fixtures[[#This Row],[userTeamID]] = Teams[teamID])*(Teams[relevant])))) &gt; 0, "H", "A"))</f>
        <v>A</v>
      </c>
      <c r="AA187" s="58" t="str">
        <f>IF(Fixtures[[#This Row],[userSide]] = "N/A", "N/A", IF(Fixtures[[#This Row],[userSide]] = "H", Fixtures[[#This Row],[awayTeam]], Fixtures[[#This Row],[homeTeam]]))</f>
        <v>Paris SG</v>
      </c>
      <c r="AB187" s="58" t="str" cm="1">
        <f t="array" ref="AB187">_xlfn._xlws.FILTER(Teams[teamID], Fixtures[[#This Row],[oppTeam]] = Teams[name], "N/A")</f>
        <v>C-FRA-PARISSG</v>
      </c>
      <c r="AC187" s="58" t="str" cm="1">
        <f t="array" ref="AC187">_xlfn._xlws.FILTER(Teams[teamType], Fixtures[[#This Row],[oppTeam]] = Teams[name], "N/A")</f>
        <v>Club</v>
      </c>
      <c r="AD187" s="58">
        <f>IF(ISBLANK(Fixtures[[#This Row],[date]]), "N/A", IF(Fixtures[[#This Row],[userSide]]="H", Fixtures[[#This Row],[homeScore]], Fixtures[[#This Row],[awayScore]]))</f>
        <v>2</v>
      </c>
      <c r="AE187" s="58">
        <f>IF(ISBLANK(Fixtures[[#This Row],[date]]), "N/A", IF(Fixtures[[#This Row],[userScore]] = Fixtures[[#This Row],[homeScore]], Fixtures[[#This Row],[awayScore]], Fixtures[[#This Row],[homeScore]]))</f>
        <v>5</v>
      </c>
      <c r="AF187" s="58" t="b">
        <f>NOT(AND(ISBLANK(Fixtures[[#This Row],[homePens]]), ISBLANK(Fixtures[[#This Row],[awayPens]])))</f>
        <v>0</v>
      </c>
      <c r="AG187" s="58" t="str">
        <f>IF(Fixtures[[#This Row],[penalties]], IF(Fixtures[[#This Row],[userSide]]="H", Fixtures[[#This Row],[homePens]], Fixtures[[#This Row],[awayPens]]), "N/A")</f>
        <v>N/A</v>
      </c>
      <c r="AH187" s="58" t="str">
        <f>IF(Fixtures[[#This Row],[penalties]], IF(Fixtures[[#This Row],[userPens]]=Fixtures[[#This Row],[homePens]],Fixtures[[#This Row],[awayPens]],Fixtures[[#This Row],[homePens]]), "N/A")</f>
        <v>N/A</v>
      </c>
      <c r="AI187" s="58" t="b">
        <f>COUNTBLANK(Fixtures[[#This Row],[G]:[MOTM]]) = 0</f>
        <v>1</v>
      </c>
      <c r="AJ187" s="58">
        <f>IF(Fixtures[[#This Row],[APP]], Fixtures[[#This Row],[G]]+Fixtures[[#This Row],[A]], "N/A")</f>
        <v>1</v>
      </c>
      <c r="AK1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L</v>
      </c>
      <c r="AL187" s="58">
        <f>IF(Fixtures[[#This Row],[result]] = "N/A", "N/A", IF(Fixtures[[#This Row],[penalties]], ABS(Fixtures[[#This Row],[userPens]] - Fixtures[[#This Row],[oppPens]]), ABS(Fixtures[[#This Row],[userScore]] - Fixtures[[#This Row],[oppScore]])))</f>
        <v>3</v>
      </c>
      <c r="AM1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[2026-05-13] Paris SG vs. RB Leipzig (5-2) - UEFA Champions League</v>
      </c>
    </row>
    <row r="188" spans="1:39" ht="13">
      <c r="A188" s="55">
        <v>46158</v>
      </c>
      <c r="B188" s="61">
        <v>0.6875</v>
      </c>
      <c r="C188" s="56" t="s">
        <v>161</v>
      </c>
      <c r="D188" s="56" t="s">
        <v>331</v>
      </c>
      <c r="E188" s="56" t="s">
        <v>296</v>
      </c>
      <c r="F188" s="56" t="s">
        <v>261</v>
      </c>
      <c r="G188" s="56" t="s">
        <v>279</v>
      </c>
      <c r="H188" s="56" t="s">
        <v>262</v>
      </c>
      <c r="I188" s="56">
        <v>2</v>
      </c>
      <c r="J188" s="56">
        <v>2</v>
      </c>
      <c r="K188" s="56"/>
      <c r="L188" s="56"/>
      <c r="M188" s="56">
        <v>1</v>
      </c>
      <c r="N188" s="56">
        <v>1</v>
      </c>
      <c r="O188" s="56">
        <v>0</v>
      </c>
      <c r="P188" s="56">
        <v>0</v>
      </c>
      <c r="Q188" s="57">
        <v>8.8000000000000007</v>
      </c>
      <c r="R188" s="56" t="b">
        <v>1</v>
      </c>
      <c r="S188" s="58" t="str" cm="1">
        <f t="array" ref="S188">_xlfn._xlws.FILTER(Competitions[compType], (Fixtures[[#This Row],[competition]] = Competitions[name]), "N/A")</f>
        <v>Domestic League</v>
      </c>
      <c r="T188" s="58" t="b" cm="1">
        <f t="array" ref="T188">_xlfn._xlws.FILTER(Competitions[exhibition], (Fixtures[[#This Row],[competition]] = Competitions[name]), "N/A")</f>
        <v>0</v>
      </c>
      <c r="U188" s="58" t="str" cm="1">
        <f t="array" ref="U188">_xlfn._xlws.FILTER(Competitions[compID], (Fixtures[[#This Row],[competition]] = Competitions[name]), "N/A")</f>
        <v>DL-OF-BUNDESLIGA</v>
      </c>
      <c r="V1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8" s="58" t="str" cm="1">
        <f t="array" ref="W1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8" s="58" t="str" cm="1">
        <f t="array" ref="X188">_xlfn._xlws.FILTER(Teams[name], (Fixtures[[#This Row],[userTeamID]] = Teams[teamID]), "N/A")</f>
        <v>RB Leipzig</v>
      </c>
      <c r="Y188" s="58" t="str" cm="1">
        <f t="array" ref="Y188">_xlfn._xlws.FILTER(Teams[teamType], (Fixtures[[#This Row],[userTeamID]] = Teams[teamID]), "N/A")</f>
        <v>Club</v>
      </c>
      <c r="Z188" s="58" t="str" cm="1">
        <f t="array" ref="Z188">IF(Fixtures[[#This Row],[userTeamID]] = "N/A", "N/A", IF(SUM(COUNTIF(Fixtures[[#This Row],[homeTeam]], _xlfn._xlws.FILTER(Teams[name], (Fixtures[[#This Row],[userTeamID]] = Teams[teamID])*(Teams[relevant])))) &gt; 0, "H", "A"))</f>
        <v>A</v>
      </c>
      <c r="AA188" s="58" t="str">
        <f>IF(Fixtures[[#This Row],[userSide]] = "N/A", "N/A", IF(Fixtures[[#This Row],[userSide]] = "H", Fixtures[[#This Row],[awayTeam]], Fixtures[[#This Row],[homeTeam]]))</f>
        <v>Hertha Berlin</v>
      </c>
      <c r="AB188" s="58" t="str" cm="1">
        <f t="array" ref="AB188">_xlfn._xlws.FILTER(Teams[teamID], Fixtures[[#This Row],[oppTeam]] = Teams[name], "N/A")</f>
        <v>C-GER-HERTHABERLIN</v>
      </c>
      <c r="AC188" s="58" t="str" cm="1">
        <f t="array" ref="AC188">_xlfn._xlws.FILTER(Teams[teamType], Fixtures[[#This Row],[oppTeam]] = Teams[name], "N/A")</f>
        <v>Club</v>
      </c>
      <c r="AD188" s="58">
        <f>IF(ISBLANK(Fixtures[[#This Row],[date]]), "N/A", IF(Fixtures[[#This Row],[userSide]]="H", Fixtures[[#This Row],[homeScore]], Fixtures[[#This Row],[awayScore]]))</f>
        <v>2</v>
      </c>
      <c r="AE188" s="58">
        <f>IF(ISBLANK(Fixtures[[#This Row],[date]]), "N/A", IF(Fixtures[[#This Row],[userScore]] = Fixtures[[#This Row],[homeScore]], Fixtures[[#This Row],[awayScore]], Fixtures[[#This Row],[homeScore]]))</f>
        <v>2</v>
      </c>
      <c r="AF188" s="58" t="b">
        <f>NOT(AND(ISBLANK(Fixtures[[#This Row],[homePens]]), ISBLANK(Fixtures[[#This Row],[awayPens]])))</f>
        <v>0</v>
      </c>
      <c r="AG188" s="58" t="str">
        <f>IF(Fixtures[[#This Row],[penalties]], IF(Fixtures[[#This Row],[userSide]]="H", Fixtures[[#This Row],[homePens]], Fixtures[[#This Row],[awayPens]]), "N/A")</f>
        <v>N/A</v>
      </c>
      <c r="AH188" s="58" t="str">
        <f>IF(Fixtures[[#This Row],[penalties]], IF(Fixtures[[#This Row],[userPens]]=Fixtures[[#This Row],[homePens]],Fixtures[[#This Row],[awayPens]],Fixtures[[#This Row],[homePens]]), "N/A")</f>
        <v>N/A</v>
      </c>
      <c r="AI188" s="58" t="b">
        <f>COUNTBLANK(Fixtures[[#This Row],[G]:[MOTM]]) = 0</f>
        <v>1</v>
      </c>
      <c r="AJ188" s="58">
        <f>IF(Fixtures[[#This Row],[APP]], Fixtures[[#This Row],[G]]+Fixtures[[#This Row],[A]], "N/A")</f>
        <v>2</v>
      </c>
      <c r="AK1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88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[2026-05-16] Hertha Berlin vs. RB Leipzig (2-2) - Bundesliga</v>
      </c>
    </row>
    <row r="189" spans="1:39" ht="13">
      <c r="A189" s="55">
        <v>46165</v>
      </c>
      <c r="B189" s="61">
        <v>0.6875</v>
      </c>
      <c r="C189" s="56" t="s">
        <v>195</v>
      </c>
      <c r="D189" s="56" t="s">
        <v>332</v>
      </c>
      <c r="E189" s="56" t="s">
        <v>265</v>
      </c>
      <c r="F189" s="56" t="s">
        <v>261</v>
      </c>
      <c r="G189" s="56" t="s">
        <v>276</v>
      </c>
      <c r="H189" s="56" t="s">
        <v>262</v>
      </c>
      <c r="I189" s="56">
        <v>2</v>
      </c>
      <c r="J189" s="56">
        <v>2</v>
      </c>
      <c r="K189" s="56"/>
      <c r="L189" s="56"/>
      <c r="M189" s="56">
        <v>0</v>
      </c>
      <c r="N189" s="56">
        <v>0</v>
      </c>
      <c r="O189" s="56">
        <v>0</v>
      </c>
      <c r="P189" s="56">
        <v>0</v>
      </c>
      <c r="Q189" s="57">
        <v>8.5</v>
      </c>
      <c r="R189" s="56" t="b">
        <v>0</v>
      </c>
      <c r="S189" s="58" t="str" cm="1">
        <f t="array" ref="S189">_xlfn._xlws.FILTER(Competitions[compType], (Fixtures[[#This Row],[competition]] = Competitions[name]), "N/A")</f>
        <v>Domestic League</v>
      </c>
      <c r="T189" s="58" t="b" cm="1">
        <f t="array" ref="T189">_xlfn._xlws.FILTER(Competitions[exhibition], (Fixtures[[#This Row],[competition]] = Competitions[name]), "N/A")</f>
        <v>0</v>
      </c>
      <c r="U189" s="58" t="str" cm="1">
        <f t="array" ref="U189">_xlfn._xlws.FILTER(Competitions[compID], (Fixtures[[#This Row],[competition]] = Competitions[name]), "N/A")</f>
        <v>DL-OF-BUNDESLIGA</v>
      </c>
      <c r="V1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89" s="58" t="str" cm="1">
        <f t="array" ref="W1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C-GER-RBLEIPZIG</v>
      </c>
      <c r="X189" s="58" t="str" cm="1">
        <f t="array" ref="X189">_xlfn._xlws.FILTER(Teams[name], (Fixtures[[#This Row],[userTeamID]] = Teams[teamID]), "N/A")</f>
        <v>RB Leipzig</v>
      </c>
      <c r="Y189" s="58" t="str" cm="1">
        <f t="array" ref="Y189">_xlfn._xlws.FILTER(Teams[teamType], (Fixtures[[#This Row],[userTeamID]] = Teams[teamID]), "N/A")</f>
        <v>Club</v>
      </c>
      <c r="Z189" s="58" t="str" cm="1">
        <f t="array" ref="Z189">IF(Fixtures[[#This Row],[userTeamID]] = "N/A", "N/A", IF(SUM(COUNTIF(Fixtures[[#This Row],[homeTeam]], _xlfn._xlws.FILTER(Teams[name], (Fixtures[[#This Row],[userTeamID]] = Teams[teamID])*(Teams[relevant])))) &gt; 0, "H", "A"))</f>
        <v>A</v>
      </c>
      <c r="AA189" s="58" t="str">
        <f>IF(Fixtures[[#This Row],[userSide]] = "N/A", "N/A", IF(Fixtures[[#This Row],[userSide]] = "H", Fixtures[[#This Row],[awayTeam]], Fixtures[[#This Row],[homeTeam]]))</f>
        <v>M'gladbach</v>
      </c>
      <c r="AB189" s="58" t="str" cm="1">
        <f t="array" ref="AB189">_xlfn._xlws.FILTER(Teams[teamID], Fixtures[[#This Row],[oppTeam]] = Teams[name], "N/A")</f>
        <v>C-GER-M'GLADBACH</v>
      </c>
      <c r="AC189" s="58" t="str" cm="1">
        <f t="array" ref="AC189">_xlfn._xlws.FILTER(Teams[teamType], Fixtures[[#This Row],[oppTeam]] = Teams[name], "N/A")</f>
        <v>Club</v>
      </c>
      <c r="AD189" s="58">
        <f>IF(ISBLANK(Fixtures[[#This Row],[date]]), "N/A", IF(Fixtures[[#This Row],[userSide]]="H", Fixtures[[#This Row],[homeScore]], Fixtures[[#This Row],[awayScore]]))</f>
        <v>2</v>
      </c>
      <c r="AE189" s="58">
        <f>IF(ISBLANK(Fixtures[[#This Row],[date]]), "N/A", IF(Fixtures[[#This Row],[userScore]] = Fixtures[[#This Row],[homeScore]], Fixtures[[#This Row],[awayScore]], Fixtures[[#This Row],[homeScore]]))</f>
        <v>2</v>
      </c>
      <c r="AF189" s="58" t="b">
        <f>NOT(AND(ISBLANK(Fixtures[[#This Row],[homePens]]), ISBLANK(Fixtures[[#This Row],[awayPens]])))</f>
        <v>0</v>
      </c>
      <c r="AG189" s="58" t="str">
        <f>IF(Fixtures[[#This Row],[penalties]], IF(Fixtures[[#This Row],[userSide]]="H", Fixtures[[#This Row],[homePens]], Fixtures[[#This Row],[awayPens]]), "N/A")</f>
        <v>N/A</v>
      </c>
      <c r="AH189" s="58" t="str">
        <f>IF(Fixtures[[#This Row],[penalties]], IF(Fixtures[[#This Row],[userPens]]=Fixtures[[#This Row],[homePens]],Fixtures[[#This Row],[awayPens]],Fixtures[[#This Row],[homePens]]), "N/A")</f>
        <v>N/A</v>
      </c>
      <c r="AI189" s="58" t="b">
        <f>COUNTBLANK(Fixtures[[#This Row],[G]:[MOTM]]) = 0</f>
        <v>1</v>
      </c>
      <c r="AJ189" s="58">
        <f>IF(Fixtures[[#This Row],[APP]], Fixtures[[#This Row],[G]]+Fixtures[[#This Row],[A]], "N/A")</f>
        <v>0</v>
      </c>
      <c r="AK1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89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[2026-05-23] M'gladbach vs. RB Leipzig (2-2) - Bundesliga</v>
      </c>
    </row>
    <row r="190" spans="1:39" ht="13">
      <c r="A190" s="55">
        <v>46193</v>
      </c>
      <c r="B190" s="61">
        <v>0.16666666666666666</v>
      </c>
      <c r="C190" s="56" t="s">
        <v>161</v>
      </c>
      <c r="D190" s="56" t="s">
        <v>333</v>
      </c>
      <c r="E190" s="56" t="s">
        <v>212</v>
      </c>
      <c r="F190" s="56" t="s">
        <v>334</v>
      </c>
      <c r="G190" s="56" t="s">
        <v>16</v>
      </c>
      <c r="H190" s="56" t="s">
        <v>335</v>
      </c>
      <c r="I190" s="56">
        <v>2</v>
      </c>
      <c r="J190" s="56">
        <v>0</v>
      </c>
      <c r="K190" s="56"/>
      <c r="L190" s="56"/>
      <c r="M190" s="56">
        <v>0</v>
      </c>
      <c r="N190" s="56">
        <v>1</v>
      </c>
      <c r="O190" s="56">
        <v>0</v>
      </c>
      <c r="P190" s="56">
        <v>0</v>
      </c>
      <c r="Q190" s="57">
        <v>8.1999999999999993</v>
      </c>
      <c r="R190" s="56" t="b">
        <v>0</v>
      </c>
      <c r="S190" s="58" t="str" cm="1">
        <f t="array" ref="S190">_xlfn._xlws.FILTER(Competitions[compType], (Fixtures[[#This Row],[competition]] = Competitions[name]), "N/A")</f>
        <v>International Cup</v>
      </c>
      <c r="T190" s="58" t="b" cm="1">
        <f t="array" ref="T190">_xlfn._xlws.FILTER(Competitions[exhibition], (Fixtures[[#This Row],[competition]] = Competitions[name]), "N/A")</f>
        <v>0</v>
      </c>
      <c r="U190" s="58" t="str" cm="1">
        <f t="array" ref="U190">_xlfn._xlws.FILTER(Competitions[compID], (Fixtures[[#This Row],[competition]] = Competitions[name]), "N/A")</f>
        <v>IC-OF-MENSINTERNATIONALCUP</v>
      </c>
      <c r="V1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90" s="58" t="str" cm="1">
        <f t="array" ref="W1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90" s="58" t="str" cm="1">
        <f t="array" ref="X190">_xlfn._xlws.FILTER(Teams[name], (Fixtures[[#This Row],[userTeamID]] = Teams[teamID]), "N/A")</f>
        <v>United States</v>
      </c>
      <c r="Y190" s="58" t="str" cm="1">
        <f t="array" ref="Y190">_xlfn._xlws.FILTER(Teams[teamType], (Fixtures[[#This Row],[userTeamID]] = Teams[teamID]), "N/A")</f>
        <v>National</v>
      </c>
      <c r="Z190" s="58" t="str" cm="1">
        <f t="array" ref="Z190">IF(Fixtures[[#This Row],[userTeamID]] = "N/A", "N/A", IF(SUM(COUNTIF(Fixtures[[#This Row],[homeTeam]], _xlfn._xlws.FILTER(Teams[name], (Fixtures[[#This Row],[userTeamID]] = Teams[teamID])*(Teams[relevant])))) &gt; 0, "H", "A"))</f>
        <v>H</v>
      </c>
      <c r="AA190" s="58" t="str">
        <f>IF(Fixtures[[#This Row],[userSide]] = "N/A", "N/A", IF(Fixtures[[#This Row],[userSide]] = "H", Fixtures[[#This Row],[awayTeam]], Fixtures[[#This Row],[homeTeam]]))</f>
        <v>Hungary</v>
      </c>
      <c r="AB190" s="58" t="str" cm="1">
        <f t="array" ref="AB190">_xlfn._xlws.FILTER(Teams[teamID], Fixtures[[#This Row],[oppTeam]] = Teams[name], "N/A")</f>
        <v>N-HUN-HUNGARY</v>
      </c>
      <c r="AC190" s="58" t="str" cm="1">
        <f t="array" ref="AC190">_xlfn._xlws.FILTER(Teams[teamType], Fixtures[[#This Row],[oppTeam]] = Teams[name], "N/A")</f>
        <v>National</v>
      </c>
      <c r="AD190" s="58">
        <f>IF(ISBLANK(Fixtures[[#This Row],[date]]), "N/A", IF(Fixtures[[#This Row],[userSide]]="H", Fixtures[[#This Row],[homeScore]], Fixtures[[#This Row],[awayScore]]))</f>
        <v>2</v>
      </c>
      <c r="AE190" s="58">
        <f>IF(ISBLANK(Fixtures[[#This Row],[date]]), "N/A", IF(Fixtures[[#This Row],[userScore]] = Fixtures[[#This Row],[homeScore]], Fixtures[[#This Row],[awayScore]], Fixtures[[#This Row],[homeScore]]))</f>
        <v>0</v>
      </c>
      <c r="AF190" s="58" t="b">
        <f>NOT(AND(ISBLANK(Fixtures[[#This Row],[homePens]]), ISBLANK(Fixtures[[#This Row],[awayPens]])))</f>
        <v>0</v>
      </c>
      <c r="AG190" s="58" t="str">
        <f>IF(Fixtures[[#This Row],[penalties]], IF(Fixtures[[#This Row],[userSide]]="H", Fixtures[[#This Row],[homePens]], Fixtures[[#This Row],[awayPens]]), "N/A")</f>
        <v>N/A</v>
      </c>
      <c r="AH190" s="58" t="str">
        <f>IF(Fixtures[[#This Row],[penalties]], IF(Fixtures[[#This Row],[userPens]]=Fixtures[[#This Row],[homePens]],Fixtures[[#This Row],[awayPens]],Fixtures[[#This Row],[homePens]]), "N/A")</f>
        <v>N/A</v>
      </c>
      <c r="AI190" s="58" t="b">
        <f>COUNTBLANK(Fixtures[[#This Row],[G]:[MOTM]]) = 0</f>
        <v>1</v>
      </c>
      <c r="AJ190" s="58">
        <f>IF(Fixtures[[#This Row],[APP]], Fixtures[[#This Row],[G]]+Fixtures[[#This Row],[A]], "N/A")</f>
        <v>1</v>
      </c>
      <c r="AK1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W</v>
      </c>
      <c r="AL190" s="58">
        <f>IF(Fixtures[[#This Row],[result]] = "N/A", "N/A", IF(Fixtures[[#This Row],[penalties]], ABS(Fixtures[[#This Row],[userPens]] - Fixtures[[#This Row],[oppPens]]), ABS(Fixtures[[#This Row],[userScore]] - Fixtures[[#This Row],[oppScore]])))</f>
        <v>2</v>
      </c>
      <c r="AM1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[2026-06-20] United States vs. Hungary (2-0) - Men's International Cup</v>
      </c>
    </row>
    <row r="191" spans="1:39" ht="13">
      <c r="A191" s="55">
        <v>46198</v>
      </c>
      <c r="B191" s="61">
        <v>0.33333333333333331</v>
      </c>
      <c r="C191" s="56" t="s">
        <v>161</v>
      </c>
      <c r="D191" s="56" t="s">
        <v>336</v>
      </c>
      <c r="E191" s="56" t="s">
        <v>269</v>
      </c>
      <c r="F191" s="56" t="s">
        <v>334</v>
      </c>
      <c r="G191" s="56" t="s">
        <v>16</v>
      </c>
      <c r="H191" s="56" t="s">
        <v>337</v>
      </c>
      <c r="I191" s="56">
        <v>1</v>
      </c>
      <c r="J191" s="56">
        <v>1</v>
      </c>
      <c r="K191" s="56"/>
      <c r="L191" s="56"/>
      <c r="M191" s="56">
        <v>0</v>
      </c>
      <c r="N191" s="56">
        <v>0</v>
      </c>
      <c r="O191" s="56">
        <v>0</v>
      </c>
      <c r="P191" s="56">
        <v>0</v>
      </c>
      <c r="Q191" s="57">
        <v>7.6</v>
      </c>
      <c r="R191" s="56" t="b">
        <v>1</v>
      </c>
      <c r="S191" s="58" t="str" cm="1">
        <f t="array" ref="S191">_xlfn._xlws.FILTER(Competitions[compType], (Fixtures[[#This Row],[competition]] = Competitions[name]), "N/A")</f>
        <v>International Cup</v>
      </c>
      <c r="T191" s="58" t="b" cm="1">
        <f t="array" ref="T191">_xlfn._xlws.FILTER(Competitions[exhibition], (Fixtures[[#This Row],[competition]] = Competitions[name]), "N/A")</f>
        <v>0</v>
      </c>
      <c r="U191" s="58" t="str" cm="1">
        <f t="array" ref="U191">_xlfn._xlws.FILTER(Competitions[compID], (Fixtures[[#This Row],[competition]] = Competitions[name]), "N/A")</f>
        <v>IC-OF-MENSINTERNATIONALCUP</v>
      </c>
      <c r="V1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91" s="58" t="str" cm="1">
        <f t="array" ref="W1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91" s="58" t="str" cm="1">
        <f t="array" ref="X191">_xlfn._xlws.FILTER(Teams[name], (Fixtures[[#This Row],[userTeamID]] = Teams[teamID]), "N/A")</f>
        <v>United States</v>
      </c>
      <c r="Y191" s="58" t="str" cm="1">
        <f t="array" ref="Y191">_xlfn._xlws.FILTER(Teams[teamType], (Fixtures[[#This Row],[userTeamID]] = Teams[teamID]), "N/A")</f>
        <v>National</v>
      </c>
      <c r="Z191" s="58" t="str" cm="1">
        <f t="array" ref="Z191">IF(Fixtures[[#This Row],[userTeamID]] = "N/A", "N/A", IF(SUM(COUNTIF(Fixtures[[#This Row],[homeTeam]], _xlfn._xlws.FILTER(Teams[name], (Fixtures[[#This Row],[userTeamID]] = Teams[teamID])*(Teams[relevant])))) &gt; 0, "H", "A"))</f>
        <v>H</v>
      </c>
      <c r="AA191" s="58" t="str">
        <f>IF(Fixtures[[#This Row],[userSide]] = "N/A", "N/A", IF(Fixtures[[#This Row],[userSide]] = "H", Fixtures[[#This Row],[awayTeam]], Fixtures[[#This Row],[homeTeam]]))</f>
        <v>Germany</v>
      </c>
      <c r="AB191" s="58" t="str" cm="1">
        <f t="array" ref="AB191">_xlfn._xlws.FILTER(Teams[teamID], Fixtures[[#This Row],[oppTeam]] = Teams[name], "N/A")</f>
        <v>N-GER-GERMANY</v>
      </c>
      <c r="AC191" s="58" t="str" cm="1">
        <f t="array" ref="AC191">_xlfn._xlws.FILTER(Teams[teamType], Fixtures[[#This Row],[oppTeam]] = Teams[name], "N/A")</f>
        <v>National</v>
      </c>
      <c r="AD191" s="58">
        <f>IF(ISBLANK(Fixtures[[#This Row],[date]]), "N/A", IF(Fixtures[[#This Row],[userSide]]="H", Fixtures[[#This Row],[homeScore]], Fixtures[[#This Row],[awayScore]]))</f>
        <v>1</v>
      </c>
      <c r="AE191" s="58">
        <f>IF(ISBLANK(Fixtures[[#This Row],[date]]), "N/A", IF(Fixtures[[#This Row],[userScore]] = Fixtures[[#This Row],[homeScore]], Fixtures[[#This Row],[awayScore]], Fixtures[[#This Row],[homeScore]]))</f>
        <v>1</v>
      </c>
      <c r="AF191" s="58" t="b">
        <f>NOT(AND(ISBLANK(Fixtures[[#This Row],[homePens]]), ISBLANK(Fixtures[[#This Row],[awayPens]])))</f>
        <v>0</v>
      </c>
      <c r="AG191" s="58" t="str">
        <f>IF(Fixtures[[#This Row],[penalties]], IF(Fixtures[[#This Row],[userSide]]="H", Fixtures[[#This Row],[homePens]], Fixtures[[#This Row],[awayPens]]), "N/A")</f>
        <v>N/A</v>
      </c>
      <c r="AH191" s="58" t="str">
        <f>IF(Fixtures[[#This Row],[penalties]], IF(Fixtures[[#This Row],[userPens]]=Fixtures[[#This Row],[homePens]],Fixtures[[#This Row],[awayPens]],Fixtures[[#This Row],[homePens]]), "N/A")</f>
        <v>N/A</v>
      </c>
      <c r="AI191" s="58" t="b">
        <f>COUNTBLANK(Fixtures[[#This Row],[G]:[MOTM]]) = 0</f>
        <v>1</v>
      </c>
      <c r="AJ191" s="58">
        <f>IF(Fixtures[[#This Row],[APP]], Fixtures[[#This Row],[G]]+Fixtures[[#This Row],[A]], "N/A")</f>
        <v>0</v>
      </c>
      <c r="AK1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91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[2026-06-25] United States vs. Germany (1-1) - Men's International Cup</v>
      </c>
    </row>
    <row r="192" spans="1:39" ht="13">
      <c r="A192" s="55">
        <v>46203</v>
      </c>
      <c r="B192" s="61">
        <v>0.33333333333333331</v>
      </c>
      <c r="C192" s="56" t="s">
        <v>161</v>
      </c>
      <c r="D192" s="56" t="s">
        <v>333</v>
      </c>
      <c r="E192" s="56" t="s">
        <v>338</v>
      </c>
      <c r="F192" s="56" t="s">
        <v>334</v>
      </c>
      <c r="G192" s="56" t="s">
        <v>270</v>
      </c>
      <c r="H192" s="56" t="s">
        <v>16</v>
      </c>
      <c r="I192" s="56"/>
      <c r="J192" s="56"/>
      <c r="K192" s="56"/>
      <c r="L192" s="56"/>
      <c r="M192" s="56"/>
      <c r="N192" s="56"/>
      <c r="O192" s="56"/>
      <c r="P192" s="56"/>
      <c r="Q192" s="57"/>
      <c r="R192" s="56"/>
      <c r="S192" s="58" t="str" cm="1">
        <f t="array" ref="S192">_xlfn._xlws.FILTER(Competitions[compType], (Fixtures[[#This Row],[competition]] = Competitions[name]), "N/A")</f>
        <v>International Cup</v>
      </c>
      <c r="T192" s="58" t="b" cm="1">
        <f t="array" ref="T192">_xlfn._xlws.FILTER(Competitions[exhibition], (Fixtures[[#This Row],[competition]] = Competitions[name]), "N/A")</f>
        <v>0</v>
      </c>
      <c r="U192" s="58" t="str" cm="1">
        <f t="array" ref="U192">_xlfn._xlws.FILTER(Competitions[compID], (Fixtures[[#This Row],[competition]] = Competitions[name]), "N/A")</f>
        <v>IC-OF-MENSINTERNATIONALCUP</v>
      </c>
      <c r="V1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2025/2026</v>
      </c>
      <c r="W192" s="58" t="str" cm="1">
        <f t="array" ref="W1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N-UNI-UNITEDSTATES</v>
      </c>
      <c r="X192" s="58" t="str" cm="1">
        <f t="array" ref="X192">_xlfn._xlws.FILTER(Teams[name], (Fixtures[[#This Row],[userTeamID]] = Teams[teamID]), "N/A")</f>
        <v>United States</v>
      </c>
      <c r="Y192" s="58" t="str" cm="1">
        <f t="array" ref="Y192">_xlfn._xlws.FILTER(Teams[teamType], (Fixtures[[#This Row],[userTeamID]] = Teams[teamID]), "N/A")</f>
        <v>National</v>
      </c>
      <c r="Z192" s="58" t="str" cm="1">
        <f t="array" ref="Z192">IF(Fixtures[[#This Row],[userTeamID]] = "N/A", "N/A", IF(SUM(COUNTIF(Fixtures[[#This Row],[homeTeam]], _xlfn._xlws.FILTER(Teams[name], (Fixtures[[#This Row],[userTeamID]] = Teams[teamID])*(Teams[relevant])))) &gt; 0, "H", "A"))</f>
        <v>A</v>
      </c>
      <c r="AA192" s="58" t="str">
        <f>IF(Fixtures[[#This Row],[userSide]] = "N/A", "N/A", IF(Fixtures[[#This Row],[userSide]] = "H", Fixtures[[#This Row],[awayTeam]], Fixtures[[#This Row],[homeTeam]]))</f>
        <v>Ireland</v>
      </c>
      <c r="AB192" s="58" t="str" cm="1">
        <f t="array" ref="AB192">_xlfn._xlws.FILTER(Teams[teamID], Fixtures[[#This Row],[oppTeam]] = Teams[name], "N/A")</f>
        <v>N-IRE-IRELAND</v>
      </c>
      <c r="AC192" s="58" t="str" cm="1">
        <f t="array" ref="AC192">_xlfn._xlws.FILTER(Teams[teamType], Fixtures[[#This Row],[oppTeam]] = Teams[name], "N/A")</f>
        <v>National</v>
      </c>
      <c r="AD192" s="58">
        <f>IF(ISBLANK(Fixtures[[#This Row],[date]]), "N/A", IF(Fixtures[[#This Row],[userSide]]="H", Fixtures[[#This Row],[homeScore]], Fixtures[[#This Row],[awayScore]]))</f>
        <v>0</v>
      </c>
      <c r="AE192" s="58">
        <f>IF(ISBLANK(Fixtures[[#This Row],[date]]), "N/A", IF(Fixtures[[#This Row],[userScore]] = Fixtures[[#This Row],[homeScore]], Fixtures[[#This Row],[awayScore]], Fixtures[[#This Row],[homeScore]]))</f>
        <v>0</v>
      </c>
      <c r="AF192" s="58" t="b">
        <f>NOT(AND(ISBLANK(Fixtures[[#This Row],[homePens]]), ISBLANK(Fixtures[[#This Row],[awayPens]])))</f>
        <v>0</v>
      </c>
      <c r="AG192" s="58" t="str">
        <f>IF(Fixtures[[#This Row],[penalties]], IF(Fixtures[[#This Row],[userSide]]="H", Fixtures[[#This Row],[homePens]], Fixtures[[#This Row],[awayPens]]), "N/A")</f>
        <v>N/A</v>
      </c>
      <c r="AH192" s="58" t="str">
        <f>IF(Fixtures[[#This Row],[penalties]], IF(Fixtures[[#This Row],[userPens]]=Fixtures[[#This Row],[homePens]],Fixtures[[#This Row],[awayPens]],Fixtures[[#This Row],[homePens]]), "N/A")</f>
        <v>N/A</v>
      </c>
      <c r="AI192" s="58" t="b">
        <f>COUNTBLANK(Fixtures[[#This Row],[G]:[MOTM]]) = 0</f>
        <v>0</v>
      </c>
      <c r="AJ192" s="58" t="str">
        <f>IF(Fixtures[[#This Row],[APP]], Fixtures[[#This Row],[G]]+Fixtures[[#This Row],[A]], "N/A")</f>
        <v>N/A</v>
      </c>
      <c r="AK1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D</v>
      </c>
      <c r="AL192" s="58">
        <f>IF(Fixtures[[#This Row],[result]] = "N/A", "N/A", IF(Fixtures[[#This Row],[penalties]], ABS(Fixtures[[#This Row],[userPens]] - Fixtures[[#This Row],[oppPens]]), ABS(Fixtures[[#This Row],[userScore]] - Fixtures[[#This Row],[oppScore]])))</f>
        <v>0</v>
      </c>
      <c r="AM1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3" spans="1:39" ht="13">
      <c r="A193" s="55"/>
      <c r="B193" s="61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7"/>
      <c r="R193" s="56"/>
      <c r="S193" s="58" t="str" cm="1">
        <f t="array" ref="S193">_xlfn._xlws.FILTER(Competitions[compType], (Fixtures[[#This Row],[competition]] = Competitions[name]), "N/A")</f>
        <v>N/A</v>
      </c>
      <c r="T193" s="58" t="str" cm="1">
        <f t="array" ref="T193">_xlfn._xlws.FILTER(Competitions[exhibition], (Fixtures[[#This Row],[competition]] = Competitions[name]), "N/A")</f>
        <v>N/A</v>
      </c>
      <c r="U193" s="58" t="str" cm="1">
        <f t="array" ref="U193">_xlfn._xlws.FILTER(Competitions[compID], (Fixtures[[#This Row],[competition]] = Competitions[name]), "N/A")</f>
        <v>N/A</v>
      </c>
      <c r="V1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3" s="58" t="str" cm="1">
        <f t="array" ref="W1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3" s="58" t="str" cm="1">
        <f t="array" ref="X193">_xlfn._xlws.FILTER(Teams[name], (Fixtures[[#This Row],[userTeamID]] = Teams[teamID]), "N/A")</f>
        <v>N/A</v>
      </c>
      <c r="Y193" s="58" t="str" cm="1">
        <f t="array" ref="Y193">_xlfn._xlws.FILTER(Teams[teamType], (Fixtures[[#This Row],[userTeamID]] = Teams[teamID]), "N/A")</f>
        <v>N/A</v>
      </c>
      <c r="Z193" s="58" t="str" cm="1">
        <f t="array" ref="Z1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3" s="58" t="str">
        <f>IF(Fixtures[[#This Row],[userSide]] = "N/A", "N/A", IF(Fixtures[[#This Row],[userSide]] = "H", Fixtures[[#This Row],[awayTeam]], Fixtures[[#This Row],[homeTeam]]))</f>
        <v>N/A</v>
      </c>
      <c r="AB193" s="58" t="str" cm="1">
        <f t="array" ref="AB193">_xlfn._xlws.FILTER(Teams[teamID], Fixtures[[#This Row],[oppTeam]] = Teams[name], "N/A")</f>
        <v>N/A</v>
      </c>
      <c r="AC193" s="58" t="str" cm="1">
        <f t="array" ref="AC193">_xlfn._xlws.FILTER(Teams[teamType], Fixtures[[#This Row],[oppTeam]] = Teams[name], "N/A")</f>
        <v>N/A</v>
      </c>
      <c r="AD193" s="58" t="str">
        <f>IF(ISBLANK(Fixtures[[#This Row],[date]]), "N/A", IF(Fixtures[[#This Row],[userSide]]="H", Fixtures[[#This Row],[homeScore]], Fixtures[[#This Row],[awayScore]]))</f>
        <v>N/A</v>
      </c>
      <c r="AE193" s="58" t="str">
        <f>IF(ISBLANK(Fixtures[[#This Row],[date]]), "N/A", IF(Fixtures[[#This Row],[userScore]] = Fixtures[[#This Row],[homeScore]], Fixtures[[#This Row],[awayScore]], Fixtures[[#This Row],[homeScore]]))</f>
        <v>N/A</v>
      </c>
      <c r="AF193" s="58" t="b">
        <f>NOT(AND(ISBLANK(Fixtures[[#This Row],[homePens]]), ISBLANK(Fixtures[[#This Row],[awayPens]])))</f>
        <v>0</v>
      </c>
      <c r="AG193" s="58" t="str">
        <f>IF(Fixtures[[#This Row],[penalties]], IF(Fixtures[[#This Row],[userSide]]="H", Fixtures[[#This Row],[homePens]], Fixtures[[#This Row],[awayPens]]), "N/A")</f>
        <v>N/A</v>
      </c>
      <c r="AH193" s="58" t="str">
        <f>IF(Fixtures[[#This Row],[penalties]], IF(Fixtures[[#This Row],[userPens]]=Fixtures[[#This Row],[homePens]],Fixtures[[#This Row],[awayPens]],Fixtures[[#This Row],[homePens]]), "N/A")</f>
        <v>N/A</v>
      </c>
      <c r="AI193" s="58" t="b">
        <f>COUNTBLANK(Fixtures[[#This Row],[G]:[MOTM]]) = 0</f>
        <v>0</v>
      </c>
      <c r="AJ193" s="58" t="str">
        <f>IF(Fixtures[[#This Row],[APP]], Fixtures[[#This Row],[G]]+Fixtures[[#This Row],[A]], "N/A")</f>
        <v>N/A</v>
      </c>
      <c r="AK1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4" spans="1:39" ht="13">
      <c r="A194" s="55"/>
      <c r="B194" s="61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7"/>
      <c r="R194" s="56"/>
      <c r="S194" s="58" t="str" cm="1">
        <f t="array" ref="S194">_xlfn._xlws.FILTER(Competitions[compType], (Fixtures[[#This Row],[competition]] = Competitions[name]), "N/A")</f>
        <v>N/A</v>
      </c>
      <c r="T194" s="58" t="str" cm="1">
        <f t="array" ref="T194">_xlfn._xlws.FILTER(Competitions[exhibition], (Fixtures[[#This Row],[competition]] = Competitions[name]), "N/A")</f>
        <v>N/A</v>
      </c>
      <c r="U194" s="58" t="str" cm="1">
        <f t="array" ref="U194">_xlfn._xlws.FILTER(Competitions[compID], (Fixtures[[#This Row],[competition]] = Competitions[name]), "N/A")</f>
        <v>N/A</v>
      </c>
      <c r="V1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4" s="58" t="str" cm="1">
        <f t="array" ref="W1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4" s="58" t="str" cm="1">
        <f t="array" ref="X194">_xlfn._xlws.FILTER(Teams[name], (Fixtures[[#This Row],[userTeamID]] = Teams[teamID]), "N/A")</f>
        <v>N/A</v>
      </c>
      <c r="Y194" s="58" t="str" cm="1">
        <f t="array" ref="Y194">_xlfn._xlws.FILTER(Teams[teamType], (Fixtures[[#This Row],[userTeamID]] = Teams[teamID]), "N/A")</f>
        <v>N/A</v>
      </c>
      <c r="Z194" s="58" t="str" cm="1">
        <f t="array" ref="Z1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4" s="58" t="str">
        <f>IF(Fixtures[[#This Row],[userSide]] = "N/A", "N/A", IF(Fixtures[[#This Row],[userSide]] = "H", Fixtures[[#This Row],[awayTeam]], Fixtures[[#This Row],[homeTeam]]))</f>
        <v>N/A</v>
      </c>
      <c r="AB194" s="58" t="str" cm="1">
        <f t="array" ref="AB194">_xlfn._xlws.FILTER(Teams[teamID], Fixtures[[#This Row],[oppTeam]] = Teams[name], "N/A")</f>
        <v>N/A</v>
      </c>
      <c r="AC194" s="58" t="str" cm="1">
        <f t="array" ref="AC194">_xlfn._xlws.FILTER(Teams[teamType], Fixtures[[#This Row],[oppTeam]] = Teams[name], "N/A")</f>
        <v>N/A</v>
      </c>
      <c r="AD194" s="58" t="str">
        <f>IF(ISBLANK(Fixtures[[#This Row],[date]]), "N/A", IF(Fixtures[[#This Row],[userSide]]="H", Fixtures[[#This Row],[homeScore]], Fixtures[[#This Row],[awayScore]]))</f>
        <v>N/A</v>
      </c>
      <c r="AE194" s="58" t="str">
        <f>IF(ISBLANK(Fixtures[[#This Row],[date]]), "N/A", IF(Fixtures[[#This Row],[userScore]] = Fixtures[[#This Row],[homeScore]], Fixtures[[#This Row],[awayScore]], Fixtures[[#This Row],[homeScore]]))</f>
        <v>N/A</v>
      </c>
      <c r="AF194" s="58" t="b">
        <f>NOT(AND(ISBLANK(Fixtures[[#This Row],[homePens]]), ISBLANK(Fixtures[[#This Row],[awayPens]])))</f>
        <v>0</v>
      </c>
      <c r="AG194" s="58" t="str">
        <f>IF(Fixtures[[#This Row],[penalties]], IF(Fixtures[[#This Row],[userSide]]="H", Fixtures[[#This Row],[homePens]], Fixtures[[#This Row],[awayPens]]), "N/A")</f>
        <v>N/A</v>
      </c>
      <c r="AH194" s="58" t="str">
        <f>IF(Fixtures[[#This Row],[penalties]], IF(Fixtures[[#This Row],[userPens]]=Fixtures[[#This Row],[homePens]],Fixtures[[#This Row],[awayPens]],Fixtures[[#This Row],[homePens]]), "N/A")</f>
        <v>N/A</v>
      </c>
      <c r="AI194" s="58" t="b">
        <f>COUNTBLANK(Fixtures[[#This Row],[G]:[MOTM]]) = 0</f>
        <v>0</v>
      </c>
      <c r="AJ194" s="58" t="str">
        <f>IF(Fixtures[[#This Row],[APP]], Fixtures[[#This Row],[G]]+Fixtures[[#This Row],[A]], "N/A")</f>
        <v>N/A</v>
      </c>
      <c r="AK1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5" spans="1:39" ht="13">
      <c r="A195" s="55"/>
      <c r="B195" s="61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7"/>
      <c r="R195" s="56"/>
      <c r="S195" s="58" t="str" cm="1">
        <f t="array" ref="S195">_xlfn._xlws.FILTER(Competitions[compType], (Fixtures[[#This Row],[competition]] = Competitions[name]), "N/A")</f>
        <v>N/A</v>
      </c>
      <c r="T195" s="58" t="str" cm="1">
        <f t="array" ref="T195">_xlfn._xlws.FILTER(Competitions[exhibition], (Fixtures[[#This Row],[competition]] = Competitions[name]), "N/A")</f>
        <v>N/A</v>
      </c>
      <c r="U195" s="58" t="str" cm="1">
        <f t="array" ref="U195">_xlfn._xlws.FILTER(Competitions[compID], (Fixtures[[#This Row],[competition]] = Competitions[name]), "N/A")</f>
        <v>N/A</v>
      </c>
      <c r="V1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5" s="58" t="str" cm="1">
        <f t="array" ref="W1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5" s="58" t="str" cm="1">
        <f t="array" ref="X195">_xlfn._xlws.FILTER(Teams[name], (Fixtures[[#This Row],[userTeamID]] = Teams[teamID]), "N/A")</f>
        <v>N/A</v>
      </c>
      <c r="Y195" s="58" t="str" cm="1">
        <f t="array" ref="Y195">_xlfn._xlws.FILTER(Teams[teamType], (Fixtures[[#This Row],[userTeamID]] = Teams[teamID]), "N/A")</f>
        <v>N/A</v>
      </c>
      <c r="Z195" s="58" t="str" cm="1">
        <f t="array" ref="Z1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5" s="58" t="str">
        <f>IF(Fixtures[[#This Row],[userSide]] = "N/A", "N/A", IF(Fixtures[[#This Row],[userSide]] = "H", Fixtures[[#This Row],[awayTeam]], Fixtures[[#This Row],[homeTeam]]))</f>
        <v>N/A</v>
      </c>
      <c r="AB195" s="58" t="str" cm="1">
        <f t="array" ref="AB195">_xlfn._xlws.FILTER(Teams[teamID], Fixtures[[#This Row],[oppTeam]] = Teams[name], "N/A")</f>
        <v>N/A</v>
      </c>
      <c r="AC195" s="58" t="str" cm="1">
        <f t="array" ref="AC195">_xlfn._xlws.FILTER(Teams[teamType], Fixtures[[#This Row],[oppTeam]] = Teams[name], "N/A")</f>
        <v>N/A</v>
      </c>
      <c r="AD195" s="58" t="str">
        <f>IF(ISBLANK(Fixtures[[#This Row],[date]]), "N/A", IF(Fixtures[[#This Row],[userSide]]="H", Fixtures[[#This Row],[homeScore]], Fixtures[[#This Row],[awayScore]]))</f>
        <v>N/A</v>
      </c>
      <c r="AE195" s="58" t="str">
        <f>IF(ISBLANK(Fixtures[[#This Row],[date]]), "N/A", IF(Fixtures[[#This Row],[userScore]] = Fixtures[[#This Row],[homeScore]], Fixtures[[#This Row],[awayScore]], Fixtures[[#This Row],[homeScore]]))</f>
        <v>N/A</v>
      </c>
      <c r="AF195" s="58" t="b">
        <f>NOT(AND(ISBLANK(Fixtures[[#This Row],[homePens]]), ISBLANK(Fixtures[[#This Row],[awayPens]])))</f>
        <v>0</v>
      </c>
      <c r="AG195" s="58" t="str">
        <f>IF(Fixtures[[#This Row],[penalties]], IF(Fixtures[[#This Row],[userSide]]="H", Fixtures[[#This Row],[homePens]], Fixtures[[#This Row],[awayPens]]), "N/A")</f>
        <v>N/A</v>
      </c>
      <c r="AH195" s="58" t="str">
        <f>IF(Fixtures[[#This Row],[penalties]], IF(Fixtures[[#This Row],[userPens]]=Fixtures[[#This Row],[homePens]],Fixtures[[#This Row],[awayPens]],Fixtures[[#This Row],[homePens]]), "N/A")</f>
        <v>N/A</v>
      </c>
      <c r="AI195" s="58" t="b">
        <f>COUNTBLANK(Fixtures[[#This Row],[G]:[MOTM]]) = 0</f>
        <v>0</v>
      </c>
      <c r="AJ195" s="58" t="str">
        <f>IF(Fixtures[[#This Row],[APP]], Fixtures[[#This Row],[G]]+Fixtures[[#This Row],[A]], "N/A")</f>
        <v>N/A</v>
      </c>
      <c r="AK1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6" spans="1:39" ht="13">
      <c r="A196" s="55"/>
      <c r="B196" s="61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7"/>
      <c r="R196" s="56"/>
      <c r="S196" s="58" t="str" cm="1">
        <f t="array" ref="S196">_xlfn._xlws.FILTER(Competitions[compType], (Fixtures[[#This Row],[competition]] = Competitions[name]), "N/A")</f>
        <v>N/A</v>
      </c>
      <c r="T196" s="58" t="str" cm="1">
        <f t="array" ref="T196">_xlfn._xlws.FILTER(Competitions[exhibition], (Fixtures[[#This Row],[competition]] = Competitions[name]), "N/A")</f>
        <v>N/A</v>
      </c>
      <c r="U196" s="58" t="str" cm="1">
        <f t="array" ref="U196">_xlfn._xlws.FILTER(Competitions[compID], (Fixtures[[#This Row],[competition]] = Competitions[name]), "N/A")</f>
        <v>N/A</v>
      </c>
      <c r="V1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6" s="58" t="str" cm="1">
        <f t="array" ref="W1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6" s="58" t="str" cm="1">
        <f t="array" ref="X196">_xlfn._xlws.FILTER(Teams[name], (Fixtures[[#This Row],[userTeamID]] = Teams[teamID]), "N/A")</f>
        <v>N/A</v>
      </c>
      <c r="Y196" s="58" t="str" cm="1">
        <f t="array" ref="Y196">_xlfn._xlws.FILTER(Teams[teamType], (Fixtures[[#This Row],[userTeamID]] = Teams[teamID]), "N/A")</f>
        <v>N/A</v>
      </c>
      <c r="Z196" s="58" t="str" cm="1">
        <f t="array" ref="Z1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6" s="58" t="str">
        <f>IF(Fixtures[[#This Row],[userSide]] = "N/A", "N/A", IF(Fixtures[[#This Row],[userSide]] = "H", Fixtures[[#This Row],[awayTeam]], Fixtures[[#This Row],[homeTeam]]))</f>
        <v>N/A</v>
      </c>
      <c r="AB196" s="58" t="str" cm="1">
        <f t="array" ref="AB196">_xlfn._xlws.FILTER(Teams[teamID], Fixtures[[#This Row],[oppTeam]] = Teams[name], "N/A")</f>
        <v>N/A</v>
      </c>
      <c r="AC196" s="58" t="str" cm="1">
        <f t="array" ref="AC196">_xlfn._xlws.FILTER(Teams[teamType], Fixtures[[#This Row],[oppTeam]] = Teams[name], "N/A")</f>
        <v>N/A</v>
      </c>
      <c r="AD196" s="58" t="str">
        <f>IF(ISBLANK(Fixtures[[#This Row],[date]]), "N/A", IF(Fixtures[[#This Row],[userSide]]="H", Fixtures[[#This Row],[homeScore]], Fixtures[[#This Row],[awayScore]]))</f>
        <v>N/A</v>
      </c>
      <c r="AE196" s="58" t="str">
        <f>IF(ISBLANK(Fixtures[[#This Row],[date]]), "N/A", IF(Fixtures[[#This Row],[userScore]] = Fixtures[[#This Row],[homeScore]], Fixtures[[#This Row],[awayScore]], Fixtures[[#This Row],[homeScore]]))</f>
        <v>N/A</v>
      </c>
      <c r="AF196" s="58" t="b">
        <f>NOT(AND(ISBLANK(Fixtures[[#This Row],[homePens]]), ISBLANK(Fixtures[[#This Row],[awayPens]])))</f>
        <v>0</v>
      </c>
      <c r="AG196" s="58" t="str">
        <f>IF(Fixtures[[#This Row],[penalties]], IF(Fixtures[[#This Row],[userSide]]="H", Fixtures[[#This Row],[homePens]], Fixtures[[#This Row],[awayPens]]), "N/A")</f>
        <v>N/A</v>
      </c>
      <c r="AH196" s="58" t="str">
        <f>IF(Fixtures[[#This Row],[penalties]], IF(Fixtures[[#This Row],[userPens]]=Fixtures[[#This Row],[homePens]],Fixtures[[#This Row],[awayPens]],Fixtures[[#This Row],[homePens]]), "N/A")</f>
        <v>N/A</v>
      </c>
      <c r="AI196" s="58" t="b">
        <f>COUNTBLANK(Fixtures[[#This Row],[G]:[MOTM]]) = 0</f>
        <v>0</v>
      </c>
      <c r="AJ196" s="58" t="str">
        <f>IF(Fixtures[[#This Row],[APP]], Fixtures[[#This Row],[G]]+Fixtures[[#This Row],[A]], "N/A")</f>
        <v>N/A</v>
      </c>
      <c r="AK1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7" spans="1:39" ht="13">
      <c r="A197" s="55"/>
      <c r="B197" s="61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7"/>
      <c r="R197" s="56"/>
      <c r="S197" s="58" t="str" cm="1">
        <f t="array" ref="S197">_xlfn._xlws.FILTER(Competitions[compType], (Fixtures[[#This Row],[competition]] = Competitions[name]), "N/A")</f>
        <v>N/A</v>
      </c>
      <c r="T197" s="58" t="str" cm="1">
        <f t="array" ref="T197">_xlfn._xlws.FILTER(Competitions[exhibition], (Fixtures[[#This Row],[competition]] = Competitions[name]), "N/A")</f>
        <v>N/A</v>
      </c>
      <c r="U197" s="58" t="str" cm="1">
        <f t="array" ref="U197">_xlfn._xlws.FILTER(Competitions[compID], (Fixtures[[#This Row],[competition]] = Competitions[name]), "N/A")</f>
        <v>N/A</v>
      </c>
      <c r="V1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7" s="58" t="str" cm="1">
        <f t="array" ref="W1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7" s="58" t="str" cm="1">
        <f t="array" ref="X197">_xlfn._xlws.FILTER(Teams[name], (Fixtures[[#This Row],[userTeamID]] = Teams[teamID]), "N/A")</f>
        <v>N/A</v>
      </c>
      <c r="Y197" s="58" t="str" cm="1">
        <f t="array" ref="Y197">_xlfn._xlws.FILTER(Teams[teamType], (Fixtures[[#This Row],[userTeamID]] = Teams[teamID]), "N/A")</f>
        <v>N/A</v>
      </c>
      <c r="Z197" s="58" t="str" cm="1">
        <f t="array" ref="Z1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7" s="58" t="str">
        <f>IF(Fixtures[[#This Row],[userSide]] = "N/A", "N/A", IF(Fixtures[[#This Row],[userSide]] = "H", Fixtures[[#This Row],[awayTeam]], Fixtures[[#This Row],[homeTeam]]))</f>
        <v>N/A</v>
      </c>
      <c r="AB197" s="58" t="str" cm="1">
        <f t="array" ref="AB197">_xlfn._xlws.FILTER(Teams[teamID], Fixtures[[#This Row],[oppTeam]] = Teams[name], "N/A")</f>
        <v>N/A</v>
      </c>
      <c r="AC197" s="58" t="str" cm="1">
        <f t="array" ref="AC197">_xlfn._xlws.FILTER(Teams[teamType], Fixtures[[#This Row],[oppTeam]] = Teams[name], "N/A")</f>
        <v>N/A</v>
      </c>
      <c r="AD197" s="58" t="str">
        <f>IF(ISBLANK(Fixtures[[#This Row],[date]]), "N/A", IF(Fixtures[[#This Row],[userSide]]="H", Fixtures[[#This Row],[homeScore]], Fixtures[[#This Row],[awayScore]]))</f>
        <v>N/A</v>
      </c>
      <c r="AE197" s="58" t="str">
        <f>IF(ISBLANK(Fixtures[[#This Row],[date]]), "N/A", IF(Fixtures[[#This Row],[userScore]] = Fixtures[[#This Row],[homeScore]], Fixtures[[#This Row],[awayScore]], Fixtures[[#This Row],[homeScore]]))</f>
        <v>N/A</v>
      </c>
      <c r="AF197" s="58" t="b">
        <f>NOT(AND(ISBLANK(Fixtures[[#This Row],[homePens]]), ISBLANK(Fixtures[[#This Row],[awayPens]])))</f>
        <v>0</v>
      </c>
      <c r="AG197" s="58" t="str">
        <f>IF(Fixtures[[#This Row],[penalties]], IF(Fixtures[[#This Row],[userSide]]="H", Fixtures[[#This Row],[homePens]], Fixtures[[#This Row],[awayPens]]), "N/A")</f>
        <v>N/A</v>
      </c>
      <c r="AH197" s="58" t="str">
        <f>IF(Fixtures[[#This Row],[penalties]], IF(Fixtures[[#This Row],[userPens]]=Fixtures[[#This Row],[homePens]],Fixtures[[#This Row],[awayPens]],Fixtures[[#This Row],[homePens]]), "N/A")</f>
        <v>N/A</v>
      </c>
      <c r="AI197" s="58" t="b">
        <f>COUNTBLANK(Fixtures[[#This Row],[G]:[MOTM]]) = 0</f>
        <v>0</v>
      </c>
      <c r="AJ197" s="58" t="str">
        <f>IF(Fixtures[[#This Row],[APP]], Fixtures[[#This Row],[G]]+Fixtures[[#This Row],[A]], "N/A")</f>
        <v>N/A</v>
      </c>
      <c r="AK1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8" spans="1:39" ht="13">
      <c r="A198" s="55"/>
      <c r="B198" s="61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7"/>
      <c r="R198" s="56"/>
      <c r="S198" s="58" t="str" cm="1">
        <f t="array" ref="S198">_xlfn._xlws.FILTER(Competitions[compType], (Fixtures[[#This Row],[competition]] = Competitions[name]), "N/A")</f>
        <v>N/A</v>
      </c>
      <c r="T198" s="58" t="str" cm="1">
        <f t="array" ref="T198">_xlfn._xlws.FILTER(Competitions[exhibition], (Fixtures[[#This Row],[competition]] = Competitions[name]), "N/A")</f>
        <v>N/A</v>
      </c>
      <c r="U198" s="58" t="str" cm="1">
        <f t="array" ref="U198">_xlfn._xlws.FILTER(Competitions[compID], (Fixtures[[#This Row],[competition]] = Competitions[name]), "N/A")</f>
        <v>N/A</v>
      </c>
      <c r="V1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8" s="58" t="str" cm="1">
        <f t="array" ref="W1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8" s="58" t="str" cm="1">
        <f t="array" ref="X198">_xlfn._xlws.FILTER(Teams[name], (Fixtures[[#This Row],[userTeamID]] = Teams[teamID]), "N/A")</f>
        <v>N/A</v>
      </c>
      <c r="Y198" s="58" t="str" cm="1">
        <f t="array" ref="Y198">_xlfn._xlws.FILTER(Teams[teamType], (Fixtures[[#This Row],[userTeamID]] = Teams[teamID]), "N/A")</f>
        <v>N/A</v>
      </c>
      <c r="Z198" s="58" t="str" cm="1">
        <f t="array" ref="Z1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8" s="58" t="str">
        <f>IF(Fixtures[[#This Row],[userSide]] = "N/A", "N/A", IF(Fixtures[[#This Row],[userSide]] = "H", Fixtures[[#This Row],[awayTeam]], Fixtures[[#This Row],[homeTeam]]))</f>
        <v>N/A</v>
      </c>
      <c r="AB198" s="58" t="str" cm="1">
        <f t="array" ref="AB198">_xlfn._xlws.FILTER(Teams[teamID], Fixtures[[#This Row],[oppTeam]] = Teams[name], "N/A")</f>
        <v>N/A</v>
      </c>
      <c r="AC198" s="58" t="str" cm="1">
        <f t="array" ref="AC198">_xlfn._xlws.FILTER(Teams[teamType], Fixtures[[#This Row],[oppTeam]] = Teams[name], "N/A")</f>
        <v>N/A</v>
      </c>
      <c r="AD198" s="58" t="str">
        <f>IF(ISBLANK(Fixtures[[#This Row],[date]]), "N/A", IF(Fixtures[[#This Row],[userSide]]="H", Fixtures[[#This Row],[homeScore]], Fixtures[[#This Row],[awayScore]]))</f>
        <v>N/A</v>
      </c>
      <c r="AE198" s="58" t="str">
        <f>IF(ISBLANK(Fixtures[[#This Row],[date]]), "N/A", IF(Fixtures[[#This Row],[userScore]] = Fixtures[[#This Row],[homeScore]], Fixtures[[#This Row],[awayScore]], Fixtures[[#This Row],[homeScore]]))</f>
        <v>N/A</v>
      </c>
      <c r="AF198" s="58" t="b">
        <f>NOT(AND(ISBLANK(Fixtures[[#This Row],[homePens]]), ISBLANK(Fixtures[[#This Row],[awayPens]])))</f>
        <v>0</v>
      </c>
      <c r="AG198" s="58" t="str">
        <f>IF(Fixtures[[#This Row],[penalties]], IF(Fixtures[[#This Row],[userSide]]="H", Fixtures[[#This Row],[homePens]], Fixtures[[#This Row],[awayPens]]), "N/A")</f>
        <v>N/A</v>
      </c>
      <c r="AH198" s="58" t="str">
        <f>IF(Fixtures[[#This Row],[penalties]], IF(Fixtures[[#This Row],[userPens]]=Fixtures[[#This Row],[homePens]],Fixtures[[#This Row],[awayPens]],Fixtures[[#This Row],[homePens]]), "N/A")</f>
        <v>N/A</v>
      </c>
      <c r="AI198" s="58" t="b">
        <f>COUNTBLANK(Fixtures[[#This Row],[G]:[MOTM]]) = 0</f>
        <v>0</v>
      </c>
      <c r="AJ198" s="58" t="str">
        <f>IF(Fixtures[[#This Row],[APP]], Fixtures[[#This Row],[G]]+Fixtures[[#This Row],[A]], "N/A")</f>
        <v>N/A</v>
      </c>
      <c r="AK1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99" spans="1:39" ht="13">
      <c r="A199" s="55"/>
      <c r="B199" s="61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7"/>
      <c r="R199" s="56"/>
      <c r="S199" s="58" t="str" cm="1">
        <f t="array" ref="S199">_xlfn._xlws.FILTER(Competitions[compType], (Fixtures[[#This Row],[competition]] = Competitions[name]), "N/A")</f>
        <v>N/A</v>
      </c>
      <c r="T199" s="58" t="str" cm="1">
        <f t="array" ref="T199">_xlfn._xlws.FILTER(Competitions[exhibition], (Fixtures[[#This Row],[competition]] = Competitions[name]), "N/A")</f>
        <v>N/A</v>
      </c>
      <c r="U199" s="58" t="str" cm="1">
        <f t="array" ref="U199">_xlfn._xlws.FILTER(Competitions[compID], (Fixtures[[#This Row],[competition]] = Competitions[name]), "N/A")</f>
        <v>N/A</v>
      </c>
      <c r="V1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99" s="58" t="str" cm="1">
        <f t="array" ref="W1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99" s="58" t="str" cm="1">
        <f t="array" ref="X199">_xlfn._xlws.FILTER(Teams[name], (Fixtures[[#This Row],[userTeamID]] = Teams[teamID]), "N/A")</f>
        <v>N/A</v>
      </c>
      <c r="Y199" s="58" t="str" cm="1">
        <f t="array" ref="Y199">_xlfn._xlws.FILTER(Teams[teamType], (Fixtures[[#This Row],[userTeamID]] = Teams[teamID]), "N/A")</f>
        <v>N/A</v>
      </c>
      <c r="Z199" s="58" t="str" cm="1">
        <f t="array" ref="Z1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99" s="58" t="str">
        <f>IF(Fixtures[[#This Row],[userSide]] = "N/A", "N/A", IF(Fixtures[[#This Row],[userSide]] = "H", Fixtures[[#This Row],[awayTeam]], Fixtures[[#This Row],[homeTeam]]))</f>
        <v>N/A</v>
      </c>
      <c r="AB199" s="58" t="str" cm="1">
        <f t="array" ref="AB199">_xlfn._xlws.FILTER(Teams[teamID], Fixtures[[#This Row],[oppTeam]] = Teams[name], "N/A")</f>
        <v>N/A</v>
      </c>
      <c r="AC199" s="58" t="str" cm="1">
        <f t="array" ref="AC199">_xlfn._xlws.FILTER(Teams[teamType], Fixtures[[#This Row],[oppTeam]] = Teams[name], "N/A")</f>
        <v>N/A</v>
      </c>
      <c r="AD199" s="58" t="str">
        <f>IF(ISBLANK(Fixtures[[#This Row],[date]]), "N/A", IF(Fixtures[[#This Row],[userSide]]="H", Fixtures[[#This Row],[homeScore]], Fixtures[[#This Row],[awayScore]]))</f>
        <v>N/A</v>
      </c>
      <c r="AE199" s="58" t="str">
        <f>IF(ISBLANK(Fixtures[[#This Row],[date]]), "N/A", IF(Fixtures[[#This Row],[userScore]] = Fixtures[[#This Row],[homeScore]], Fixtures[[#This Row],[awayScore]], Fixtures[[#This Row],[homeScore]]))</f>
        <v>N/A</v>
      </c>
      <c r="AF199" s="58" t="b">
        <f>NOT(AND(ISBLANK(Fixtures[[#This Row],[homePens]]), ISBLANK(Fixtures[[#This Row],[awayPens]])))</f>
        <v>0</v>
      </c>
      <c r="AG199" s="58" t="str">
        <f>IF(Fixtures[[#This Row],[penalties]], IF(Fixtures[[#This Row],[userSide]]="H", Fixtures[[#This Row],[homePens]], Fixtures[[#This Row],[awayPens]]), "N/A")</f>
        <v>N/A</v>
      </c>
      <c r="AH199" s="58" t="str">
        <f>IF(Fixtures[[#This Row],[penalties]], IF(Fixtures[[#This Row],[userPens]]=Fixtures[[#This Row],[homePens]],Fixtures[[#This Row],[awayPens]],Fixtures[[#This Row],[homePens]]), "N/A")</f>
        <v>N/A</v>
      </c>
      <c r="AI199" s="58" t="b">
        <f>COUNTBLANK(Fixtures[[#This Row],[G]:[MOTM]]) = 0</f>
        <v>0</v>
      </c>
      <c r="AJ199" s="58" t="str">
        <f>IF(Fixtures[[#This Row],[APP]], Fixtures[[#This Row],[G]]+Fixtures[[#This Row],[A]], "N/A")</f>
        <v>N/A</v>
      </c>
      <c r="AK1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0" spans="1:39" ht="13">
      <c r="A200" s="55"/>
      <c r="B200" s="61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7"/>
      <c r="R200" s="56"/>
      <c r="S200" s="58" t="str" cm="1">
        <f t="array" ref="S200">_xlfn._xlws.FILTER(Competitions[compType], (Fixtures[[#This Row],[competition]] = Competitions[name]), "N/A")</f>
        <v>N/A</v>
      </c>
      <c r="T200" s="58" t="str" cm="1">
        <f t="array" ref="T200">_xlfn._xlws.FILTER(Competitions[exhibition], (Fixtures[[#This Row],[competition]] = Competitions[name]), "N/A")</f>
        <v>N/A</v>
      </c>
      <c r="U200" s="58" t="str" cm="1">
        <f t="array" ref="U200">_xlfn._xlws.FILTER(Competitions[compID], (Fixtures[[#This Row],[competition]] = Competitions[name]), "N/A")</f>
        <v>N/A</v>
      </c>
      <c r="V2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0" s="58" t="str" cm="1">
        <f t="array" ref="W2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0" s="58" t="str" cm="1">
        <f t="array" ref="X200">_xlfn._xlws.FILTER(Teams[name], (Fixtures[[#This Row],[userTeamID]] = Teams[teamID]), "N/A")</f>
        <v>N/A</v>
      </c>
      <c r="Y200" s="58" t="str" cm="1">
        <f t="array" ref="Y200">_xlfn._xlws.FILTER(Teams[teamType], (Fixtures[[#This Row],[userTeamID]] = Teams[teamID]), "N/A")</f>
        <v>N/A</v>
      </c>
      <c r="Z200" s="58" t="str" cm="1">
        <f t="array" ref="Z2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0" s="58" t="str">
        <f>IF(Fixtures[[#This Row],[userSide]] = "N/A", "N/A", IF(Fixtures[[#This Row],[userSide]] = "H", Fixtures[[#This Row],[awayTeam]], Fixtures[[#This Row],[homeTeam]]))</f>
        <v>N/A</v>
      </c>
      <c r="AB200" s="58" t="str" cm="1">
        <f t="array" ref="AB200">_xlfn._xlws.FILTER(Teams[teamID], Fixtures[[#This Row],[oppTeam]] = Teams[name], "N/A")</f>
        <v>N/A</v>
      </c>
      <c r="AC200" s="58" t="str" cm="1">
        <f t="array" ref="AC200">_xlfn._xlws.FILTER(Teams[teamType], Fixtures[[#This Row],[oppTeam]] = Teams[name], "N/A")</f>
        <v>N/A</v>
      </c>
      <c r="AD200" s="58" t="str">
        <f>IF(ISBLANK(Fixtures[[#This Row],[date]]), "N/A", IF(Fixtures[[#This Row],[userSide]]="H", Fixtures[[#This Row],[homeScore]], Fixtures[[#This Row],[awayScore]]))</f>
        <v>N/A</v>
      </c>
      <c r="AE200" s="58" t="str">
        <f>IF(ISBLANK(Fixtures[[#This Row],[date]]), "N/A", IF(Fixtures[[#This Row],[userScore]] = Fixtures[[#This Row],[homeScore]], Fixtures[[#This Row],[awayScore]], Fixtures[[#This Row],[homeScore]]))</f>
        <v>N/A</v>
      </c>
      <c r="AF200" s="58" t="b">
        <f>NOT(AND(ISBLANK(Fixtures[[#This Row],[homePens]]), ISBLANK(Fixtures[[#This Row],[awayPens]])))</f>
        <v>0</v>
      </c>
      <c r="AG200" s="58" t="str">
        <f>IF(Fixtures[[#This Row],[penalties]], IF(Fixtures[[#This Row],[userSide]]="H", Fixtures[[#This Row],[homePens]], Fixtures[[#This Row],[awayPens]]), "N/A")</f>
        <v>N/A</v>
      </c>
      <c r="AH200" s="58" t="str">
        <f>IF(Fixtures[[#This Row],[penalties]], IF(Fixtures[[#This Row],[userPens]]=Fixtures[[#This Row],[homePens]],Fixtures[[#This Row],[awayPens]],Fixtures[[#This Row],[homePens]]), "N/A")</f>
        <v>N/A</v>
      </c>
      <c r="AI200" s="58" t="b">
        <f>COUNTBLANK(Fixtures[[#This Row],[G]:[MOTM]]) = 0</f>
        <v>0</v>
      </c>
      <c r="AJ200" s="58" t="str">
        <f>IF(Fixtures[[#This Row],[APP]], Fixtures[[#This Row],[G]]+Fixtures[[#This Row],[A]], "N/A")</f>
        <v>N/A</v>
      </c>
      <c r="AK2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1" spans="1:39" ht="13">
      <c r="A201" s="55"/>
      <c r="B201" s="61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7"/>
      <c r="R201" s="56"/>
      <c r="S201" s="58" t="str" cm="1">
        <f t="array" ref="S201">_xlfn._xlws.FILTER(Competitions[compType], (Fixtures[[#This Row],[competition]] = Competitions[name]), "N/A")</f>
        <v>N/A</v>
      </c>
      <c r="T201" s="58" t="str" cm="1">
        <f t="array" ref="T201">_xlfn._xlws.FILTER(Competitions[exhibition], (Fixtures[[#This Row],[competition]] = Competitions[name]), "N/A")</f>
        <v>N/A</v>
      </c>
      <c r="U201" s="58" t="str" cm="1">
        <f t="array" ref="U201">_xlfn._xlws.FILTER(Competitions[compID], (Fixtures[[#This Row],[competition]] = Competitions[name]), "N/A")</f>
        <v>N/A</v>
      </c>
      <c r="V2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1" s="58" t="str" cm="1">
        <f t="array" ref="W2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1" s="58" t="str" cm="1">
        <f t="array" ref="X201">_xlfn._xlws.FILTER(Teams[name], (Fixtures[[#This Row],[userTeamID]] = Teams[teamID]), "N/A")</f>
        <v>N/A</v>
      </c>
      <c r="Y201" s="58" t="str" cm="1">
        <f t="array" ref="Y201">_xlfn._xlws.FILTER(Teams[teamType], (Fixtures[[#This Row],[userTeamID]] = Teams[teamID]), "N/A")</f>
        <v>N/A</v>
      </c>
      <c r="Z201" s="58" t="str" cm="1">
        <f t="array" ref="Z2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1" s="58" t="str">
        <f>IF(Fixtures[[#This Row],[userSide]] = "N/A", "N/A", IF(Fixtures[[#This Row],[userSide]] = "H", Fixtures[[#This Row],[awayTeam]], Fixtures[[#This Row],[homeTeam]]))</f>
        <v>N/A</v>
      </c>
      <c r="AB201" s="58" t="str" cm="1">
        <f t="array" ref="AB201">_xlfn._xlws.FILTER(Teams[teamID], Fixtures[[#This Row],[oppTeam]] = Teams[name], "N/A")</f>
        <v>N/A</v>
      </c>
      <c r="AC201" s="58" t="str" cm="1">
        <f t="array" ref="AC201">_xlfn._xlws.FILTER(Teams[teamType], Fixtures[[#This Row],[oppTeam]] = Teams[name], "N/A")</f>
        <v>N/A</v>
      </c>
      <c r="AD201" s="58" t="str">
        <f>IF(ISBLANK(Fixtures[[#This Row],[date]]), "N/A", IF(Fixtures[[#This Row],[userSide]]="H", Fixtures[[#This Row],[homeScore]], Fixtures[[#This Row],[awayScore]]))</f>
        <v>N/A</v>
      </c>
      <c r="AE201" s="58" t="str">
        <f>IF(ISBLANK(Fixtures[[#This Row],[date]]), "N/A", IF(Fixtures[[#This Row],[userScore]] = Fixtures[[#This Row],[homeScore]], Fixtures[[#This Row],[awayScore]], Fixtures[[#This Row],[homeScore]]))</f>
        <v>N/A</v>
      </c>
      <c r="AF201" s="58" t="b">
        <f>NOT(AND(ISBLANK(Fixtures[[#This Row],[homePens]]), ISBLANK(Fixtures[[#This Row],[awayPens]])))</f>
        <v>0</v>
      </c>
      <c r="AG201" s="58" t="str">
        <f>IF(Fixtures[[#This Row],[penalties]], IF(Fixtures[[#This Row],[userSide]]="H", Fixtures[[#This Row],[homePens]], Fixtures[[#This Row],[awayPens]]), "N/A")</f>
        <v>N/A</v>
      </c>
      <c r="AH201" s="58" t="str">
        <f>IF(Fixtures[[#This Row],[penalties]], IF(Fixtures[[#This Row],[userPens]]=Fixtures[[#This Row],[homePens]],Fixtures[[#This Row],[awayPens]],Fixtures[[#This Row],[homePens]]), "N/A")</f>
        <v>N/A</v>
      </c>
      <c r="AI201" s="58" t="b">
        <f>COUNTBLANK(Fixtures[[#This Row],[G]:[MOTM]]) = 0</f>
        <v>0</v>
      </c>
      <c r="AJ201" s="58" t="str">
        <f>IF(Fixtures[[#This Row],[APP]], Fixtures[[#This Row],[G]]+Fixtures[[#This Row],[A]], "N/A")</f>
        <v>N/A</v>
      </c>
      <c r="AK2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2" spans="1:39" ht="13">
      <c r="A202" s="55"/>
      <c r="B202" s="61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7"/>
      <c r="R202" s="56"/>
      <c r="S202" s="58" t="str" cm="1">
        <f t="array" ref="S202">_xlfn._xlws.FILTER(Competitions[compType], (Fixtures[[#This Row],[competition]] = Competitions[name]), "N/A")</f>
        <v>N/A</v>
      </c>
      <c r="T202" s="58" t="str" cm="1">
        <f t="array" ref="T202">_xlfn._xlws.FILTER(Competitions[exhibition], (Fixtures[[#This Row],[competition]] = Competitions[name]), "N/A")</f>
        <v>N/A</v>
      </c>
      <c r="U202" s="58" t="str" cm="1">
        <f t="array" ref="U202">_xlfn._xlws.FILTER(Competitions[compID], (Fixtures[[#This Row],[competition]] = Competitions[name]), "N/A")</f>
        <v>N/A</v>
      </c>
      <c r="V2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2" s="58" t="str" cm="1">
        <f t="array" ref="W2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2" s="58" t="str" cm="1">
        <f t="array" ref="X202">_xlfn._xlws.FILTER(Teams[name], (Fixtures[[#This Row],[userTeamID]] = Teams[teamID]), "N/A")</f>
        <v>N/A</v>
      </c>
      <c r="Y202" s="58" t="str" cm="1">
        <f t="array" ref="Y202">_xlfn._xlws.FILTER(Teams[teamType], (Fixtures[[#This Row],[userTeamID]] = Teams[teamID]), "N/A")</f>
        <v>N/A</v>
      </c>
      <c r="Z202" s="58" t="str" cm="1">
        <f t="array" ref="Z2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2" s="58" t="str">
        <f>IF(Fixtures[[#This Row],[userSide]] = "N/A", "N/A", IF(Fixtures[[#This Row],[userSide]] = "H", Fixtures[[#This Row],[awayTeam]], Fixtures[[#This Row],[homeTeam]]))</f>
        <v>N/A</v>
      </c>
      <c r="AB202" s="58" t="str" cm="1">
        <f t="array" ref="AB202">_xlfn._xlws.FILTER(Teams[teamID], Fixtures[[#This Row],[oppTeam]] = Teams[name], "N/A")</f>
        <v>N/A</v>
      </c>
      <c r="AC202" s="58" t="str" cm="1">
        <f t="array" ref="AC202">_xlfn._xlws.FILTER(Teams[teamType], Fixtures[[#This Row],[oppTeam]] = Teams[name], "N/A")</f>
        <v>N/A</v>
      </c>
      <c r="AD202" s="58" t="str">
        <f>IF(ISBLANK(Fixtures[[#This Row],[date]]), "N/A", IF(Fixtures[[#This Row],[userSide]]="H", Fixtures[[#This Row],[homeScore]], Fixtures[[#This Row],[awayScore]]))</f>
        <v>N/A</v>
      </c>
      <c r="AE202" s="58" t="str">
        <f>IF(ISBLANK(Fixtures[[#This Row],[date]]), "N/A", IF(Fixtures[[#This Row],[userScore]] = Fixtures[[#This Row],[homeScore]], Fixtures[[#This Row],[awayScore]], Fixtures[[#This Row],[homeScore]]))</f>
        <v>N/A</v>
      </c>
      <c r="AF202" s="58" t="b">
        <f>NOT(AND(ISBLANK(Fixtures[[#This Row],[homePens]]), ISBLANK(Fixtures[[#This Row],[awayPens]])))</f>
        <v>0</v>
      </c>
      <c r="AG202" s="58" t="str">
        <f>IF(Fixtures[[#This Row],[penalties]], IF(Fixtures[[#This Row],[userSide]]="H", Fixtures[[#This Row],[homePens]], Fixtures[[#This Row],[awayPens]]), "N/A")</f>
        <v>N/A</v>
      </c>
      <c r="AH202" s="58" t="str">
        <f>IF(Fixtures[[#This Row],[penalties]], IF(Fixtures[[#This Row],[userPens]]=Fixtures[[#This Row],[homePens]],Fixtures[[#This Row],[awayPens]],Fixtures[[#This Row],[homePens]]), "N/A")</f>
        <v>N/A</v>
      </c>
      <c r="AI202" s="58" t="b">
        <f>COUNTBLANK(Fixtures[[#This Row],[G]:[MOTM]]) = 0</f>
        <v>0</v>
      </c>
      <c r="AJ202" s="58" t="str">
        <f>IF(Fixtures[[#This Row],[APP]], Fixtures[[#This Row],[G]]+Fixtures[[#This Row],[A]], "N/A")</f>
        <v>N/A</v>
      </c>
      <c r="AK2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3" spans="1:39" ht="13">
      <c r="A203" s="55"/>
      <c r="B203" s="61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7"/>
      <c r="R203" s="56"/>
      <c r="S203" s="58" t="str" cm="1">
        <f t="array" ref="S203">_xlfn._xlws.FILTER(Competitions[compType], (Fixtures[[#This Row],[competition]] = Competitions[name]), "N/A")</f>
        <v>N/A</v>
      </c>
      <c r="T203" s="58" t="str" cm="1">
        <f t="array" ref="T203">_xlfn._xlws.FILTER(Competitions[exhibition], (Fixtures[[#This Row],[competition]] = Competitions[name]), "N/A")</f>
        <v>N/A</v>
      </c>
      <c r="U203" s="58" t="str" cm="1">
        <f t="array" ref="U203">_xlfn._xlws.FILTER(Competitions[compID], (Fixtures[[#This Row],[competition]] = Competitions[name]), "N/A")</f>
        <v>N/A</v>
      </c>
      <c r="V2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3" s="58" t="str" cm="1">
        <f t="array" ref="W2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3" s="58" t="str" cm="1">
        <f t="array" ref="X203">_xlfn._xlws.FILTER(Teams[name], (Fixtures[[#This Row],[userTeamID]] = Teams[teamID]), "N/A")</f>
        <v>N/A</v>
      </c>
      <c r="Y203" s="58" t="str" cm="1">
        <f t="array" ref="Y203">_xlfn._xlws.FILTER(Teams[teamType], (Fixtures[[#This Row],[userTeamID]] = Teams[teamID]), "N/A")</f>
        <v>N/A</v>
      </c>
      <c r="Z203" s="58" t="str" cm="1">
        <f t="array" ref="Z2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3" s="58" t="str">
        <f>IF(Fixtures[[#This Row],[userSide]] = "N/A", "N/A", IF(Fixtures[[#This Row],[userSide]] = "H", Fixtures[[#This Row],[awayTeam]], Fixtures[[#This Row],[homeTeam]]))</f>
        <v>N/A</v>
      </c>
      <c r="AB203" s="58" t="str" cm="1">
        <f t="array" ref="AB203">_xlfn._xlws.FILTER(Teams[teamID], Fixtures[[#This Row],[oppTeam]] = Teams[name], "N/A")</f>
        <v>N/A</v>
      </c>
      <c r="AC203" s="58" t="str" cm="1">
        <f t="array" ref="AC203">_xlfn._xlws.FILTER(Teams[teamType], Fixtures[[#This Row],[oppTeam]] = Teams[name], "N/A")</f>
        <v>N/A</v>
      </c>
      <c r="AD203" s="58" t="str">
        <f>IF(ISBLANK(Fixtures[[#This Row],[date]]), "N/A", IF(Fixtures[[#This Row],[userSide]]="H", Fixtures[[#This Row],[homeScore]], Fixtures[[#This Row],[awayScore]]))</f>
        <v>N/A</v>
      </c>
      <c r="AE203" s="58" t="str">
        <f>IF(ISBLANK(Fixtures[[#This Row],[date]]), "N/A", IF(Fixtures[[#This Row],[userScore]] = Fixtures[[#This Row],[homeScore]], Fixtures[[#This Row],[awayScore]], Fixtures[[#This Row],[homeScore]]))</f>
        <v>N/A</v>
      </c>
      <c r="AF203" s="58" t="b">
        <f>NOT(AND(ISBLANK(Fixtures[[#This Row],[homePens]]), ISBLANK(Fixtures[[#This Row],[awayPens]])))</f>
        <v>0</v>
      </c>
      <c r="AG203" s="58" t="str">
        <f>IF(Fixtures[[#This Row],[penalties]], IF(Fixtures[[#This Row],[userSide]]="H", Fixtures[[#This Row],[homePens]], Fixtures[[#This Row],[awayPens]]), "N/A")</f>
        <v>N/A</v>
      </c>
      <c r="AH203" s="58" t="str">
        <f>IF(Fixtures[[#This Row],[penalties]], IF(Fixtures[[#This Row],[userPens]]=Fixtures[[#This Row],[homePens]],Fixtures[[#This Row],[awayPens]],Fixtures[[#This Row],[homePens]]), "N/A")</f>
        <v>N/A</v>
      </c>
      <c r="AI203" s="58" t="b">
        <f>COUNTBLANK(Fixtures[[#This Row],[G]:[MOTM]]) = 0</f>
        <v>0</v>
      </c>
      <c r="AJ203" s="58" t="str">
        <f>IF(Fixtures[[#This Row],[APP]], Fixtures[[#This Row],[G]]+Fixtures[[#This Row],[A]], "N/A")</f>
        <v>N/A</v>
      </c>
      <c r="AK2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4" spans="1:39" ht="13">
      <c r="A204" s="55"/>
      <c r="B204" s="61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7"/>
      <c r="R204" s="56"/>
      <c r="S204" s="58" t="str" cm="1">
        <f t="array" ref="S204">_xlfn._xlws.FILTER(Competitions[compType], (Fixtures[[#This Row],[competition]] = Competitions[name]), "N/A")</f>
        <v>N/A</v>
      </c>
      <c r="T204" s="58" t="str" cm="1">
        <f t="array" ref="T204">_xlfn._xlws.FILTER(Competitions[exhibition], (Fixtures[[#This Row],[competition]] = Competitions[name]), "N/A")</f>
        <v>N/A</v>
      </c>
      <c r="U204" s="58" t="str" cm="1">
        <f t="array" ref="U204">_xlfn._xlws.FILTER(Competitions[compID], (Fixtures[[#This Row],[competition]] = Competitions[name]), "N/A")</f>
        <v>N/A</v>
      </c>
      <c r="V2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4" s="58" t="str" cm="1">
        <f t="array" ref="W2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4" s="58" t="str" cm="1">
        <f t="array" ref="X204">_xlfn._xlws.FILTER(Teams[name], (Fixtures[[#This Row],[userTeamID]] = Teams[teamID]), "N/A")</f>
        <v>N/A</v>
      </c>
      <c r="Y204" s="58" t="str" cm="1">
        <f t="array" ref="Y204">_xlfn._xlws.FILTER(Teams[teamType], (Fixtures[[#This Row],[userTeamID]] = Teams[teamID]), "N/A")</f>
        <v>N/A</v>
      </c>
      <c r="Z204" s="58" t="str" cm="1">
        <f t="array" ref="Z2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4" s="58" t="str">
        <f>IF(Fixtures[[#This Row],[userSide]] = "N/A", "N/A", IF(Fixtures[[#This Row],[userSide]] = "H", Fixtures[[#This Row],[awayTeam]], Fixtures[[#This Row],[homeTeam]]))</f>
        <v>N/A</v>
      </c>
      <c r="AB204" s="58" t="str" cm="1">
        <f t="array" ref="AB204">_xlfn._xlws.FILTER(Teams[teamID], Fixtures[[#This Row],[oppTeam]] = Teams[name], "N/A")</f>
        <v>N/A</v>
      </c>
      <c r="AC204" s="58" t="str" cm="1">
        <f t="array" ref="AC204">_xlfn._xlws.FILTER(Teams[teamType], Fixtures[[#This Row],[oppTeam]] = Teams[name], "N/A")</f>
        <v>N/A</v>
      </c>
      <c r="AD204" s="58" t="str">
        <f>IF(ISBLANK(Fixtures[[#This Row],[date]]), "N/A", IF(Fixtures[[#This Row],[userSide]]="H", Fixtures[[#This Row],[homeScore]], Fixtures[[#This Row],[awayScore]]))</f>
        <v>N/A</v>
      </c>
      <c r="AE204" s="58" t="str">
        <f>IF(ISBLANK(Fixtures[[#This Row],[date]]), "N/A", IF(Fixtures[[#This Row],[userScore]] = Fixtures[[#This Row],[homeScore]], Fixtures[[#This Row],[awayScore]], Fixtures[[#This Row],[homeScore]]))</f>
        <v>N/A</v>
      </c>
      <c r="AF204" s="58" t="b">
        <f>NOT(AND(ISBLANK(Fixtures[[#This Row],[homePens]]), ISBLANK(Fixtures[[#This Row],[awayPens]])))</f>
        <v>0</v>
      </c>
      <c r="AG204" s="58" t="str">
        <f>IF(Fixtures[[#This Row],[penalties]], IF(Fixtures[[#This Row],[userSide]]="H", Fixtures[[#This Row],[homePens]], Fixtures[[#This Row],[awayPens]]), "N/A")</f>
        <v>N/A</v>
      </c>
      <c r="AH204" s="58" t="str">
        <f>IF(Fixtures[[#This Row],[penalties]], IF(Fixtures[[#This Row],[userPens]]=Fixtures[[#This Row],[homePens]],Fixtures[[#This Row],[awayPens]],Fixtures[[#This Row],[homePens]]), "N/A")</f>
        <v>N/A</v>
      </c>
      <c r="AI204" s="58" t="b">
        <f>COUNTBLANK(Fixtures[[#This Row],[G]:[MOTM]]) = 0</f>
        <v>0</v>
      </c>
      <c r="AJ204" s="58" t="str">
        <f>IF(Fixtures[[#This Row],[APP]], Fixtures[[#This Row],[G]]+Fixtures[[#This Row],[A]], "N/A")</f>
        <v>N/A</v>
      </c>
      <c r="AK2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5" spans="1:39" ht="13">
      <c r="A205" s="55"/>
      <c r="B205" s="61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7"/>
      <c r="R205" s="56"/>
      <c r="S205" s="58" t="str" cm="1">
        <f t="array" ref="S205">_xlfn._xlws.FILTER(Competitions[compType], (Fixtures[[#This Row],[competition]] = Competitions[name]), "N/A")</f>
        <v>N/A</v>
      </c>
      <c r="T205" s="58" t="str" cm="1">
        <f t="array" ref="T205">_xlfn._xlws.FILTER(Competitions[exhibition], (Fixtures[[#This Row],[competition]] = Competitions[name]), "N/A")</f>
        <v>N/A</v>
      </c>
      <c r="U205" s="58" t="str" cm="1">
        <f t="array" ref="U205">_xlfn._xlws.FILTER(Competitions[compID], (Fixtures[[#This Row],[competition]] = Competitions[name]), "N/A")</f>
        <v>N/A</v>
      </c>
      <c r="V2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5" s="58" t="str" cm="1">
        <f t="array" ref="W2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5" s="58" t="str" cm="1">
        <f t="array" ref="X205">_xlfn._xlws.FILTER(Teams[name], (Fixtures[[#This Row],[userTeamID]] = Teams[teamID]), "N/A")</f>
        <v>N/A</v>
      </c>
      <c r="Y205" s="58" t="str" cm="1">
        <f t="array" ref="Y205">_xlfn._xlws.FILTER(Teams[teamType], (Fixtures[[#This Row],[userTeamID]] = Teams[teamID]), "N/A")</f>
        <v>N/A</v>
      </c>
      <c r="Z205" s="58" t="str" cm="1">
        <f t="array" ref="Z2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5" s="58" t="str">
        <f>IF(Fixtures[[#This Row],[userSide]] = "N/A", "N/A", IF(Fixtures[[#This Row],[userSide]] = "H", Fixtures[[#This Row],[awayTeam]], Fixtures[[#This Row],[homeTeam]]))</f>
        <v>N/A</v>
      </c>
      <c r="AB205" s="58" t="str" cm="1">
        <f t="array" ref="AB205">_xlfn._xlws.FILTER(Teams[teamID], Fixtures[[#This Row],[oppTeam]] = Teams[name], "N/A")</f>
        <v>N/A</v>
      </c>
      <c r="AC205" s="58" t="str" cm="1">
        <f t="array" ref="AC205">_xlfn._xlws.FILTER(Teams[teamType], Fixtures[[#This Row],[oppTeam]] = Teams[name], "N/A")</f>
        <v>N/A</v>
      </c>
      <c r="AD205" s="58" t="str">
        <f>IF(ISBLANK(Fixtures[[#This Row],[date]]), "N/A", IF(Fixtures[[#This Row],[userSide]]="H", Fixtures[[#This Row],[homeScore]], Fixtures[[#This Row],[awayScore]]))</f>
        <v>N/A</v>
      </c>
      <c r="AE205" s="58" t="str">
        <f>IF(ISBLANK(Fixtures[[#This Row],[date]]), "N/A", IF(Fixtures[[#This Row],[userScore]] = Fixtures[[#This Row],[homeScore]], Fixtures[[#This Row],[awayScore]], Fixtures[[#This Row],[homeScore]]))</f>
        <v>N/A</v>
      </c>
      <c r="AF205" s="58" t="b">
        <f>NOT(AND(ISBLANK(Fixtures[[#This Row],[homePens]]), ISBLANK(Fixtures[[#This Row],[awayPens]])))</f>
        <v>0</v>
      </c>
      <c r="AG205" s="58" t="str">
        <f>IF(Fixtures[[#This Row],[penalties]], IF(Fixtures[[#This Row],[userSide]]="H", Fixtures[[#This Row],[homePens]], Fixtures[[#This Row],[awayPens]]), "N/A")</f>
        <v>N/A</v>
      </c>
      <c r="AH205" s="58" t="str">
        <f>IF(Fixtures[[#This Row],[penalties]], IF(Fixtures[[#This Row],[userPens]]=Fixtures[[#This Row],[homePens]],Fixtures[[#This Row],[awayPens]],Fixtures[[#This Row],[homePens]]), "N/A")</f>
        <v>N/A</v>
      </c>
      <c r="AI205" s="58" t="b">
        <f>COUNTBLANK(Fixtures[[#This Row],[G]:[MOTM]]) = 0</f>
        <v>0</v>
      </c>
      <c r="AJ205" s="58" t="str">
        <f>IF(Fixtures[[#This Row],[APP]], Fixtures[[#This Row],[G]]+Fixtures[[#This Row],[A]], "N/A")</f>
        <v>N/A</v>
      </c>
      <c r="AK2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6" spans="1:39" ht="13">
      <c r="A206" s="55"/>
      <c r="B206" s="61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7"/>
      <c r="R206" s="56"/>
      <c r="S206" s="58" t="str" cm="1">
        <f t="array" ref="S206">_xlfn._xlws.FILTER(Competitions[compType], (Fixtures[[#This Row],[competition]] = Competitions[name]), "N/A")</f>
        <v>N/A</v>
      </c>
      <c r="T206" s="58" t="str" cm="1">
        <f t="array" ref="T206">_xlfn._xlws.FILTER(Competitions[exhibition], (Fixtures[[#This Row],[competition]] = Competitions[name]), "N/A")</f>
        <v>N/A</v>
      </c>
      <c r="U206" s="58" t="str" cm="1">
        <f t="array" ref="U206">_xlfn._xlws.FILTER(Competitions[compID], (Fixtures[[#This Row],[competition]] = Competitions[name]), "N/A")</f>
        <v>N/A</v>
      </c>
      <c r="V2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6" s="58" t="str" cm="1">
        <f t="array" ref="W2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6" s="58" t="str" cm="1">
        <f t="array" ref="X206">_xlfn._xlws.FILTER(Teams[name], (Fixtures[[#This Row],[userTeamID]] = Teams[teamID]), "N/A")</f>
        <v>N/A</v>
      </c>
      <c r="Y206" s="58" t="str" cm="1">
        <f t="array" ref="Y206">_xlfn._xlws.FILTER(Teams[teamType], (Fixtures[[#This Row],[userTeamID]] = Teams[teamID]), "N/A")</f>
        <v>N/A</v>
      </c>
      <c r="Z206" s="58" t="str" cm="1">
        <f t="array" ref="Z2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6" s="58" t="str">
        <f>IF(Fixtures[[#This Row],[userSide]] = "N/A", "N/A", IF(Fixtures[[#This Row],[userSide]] = "H", Fixtures[[#This Row],[awayTeam]], Fixtures[[#This Row],[homeTeam]]))</f>
        <v>N/A</v>
      </c>
      <c r="AB206" s="58" t="str" cm="1">
        <f t="array" ref="AB206">_xlfn._xlws.FILTER(Teams[teamID], Fixtures[[#This Row],[oppTeam]] = Teams[name], "N/A")</f>
        <v>N/A</v>
      </c>
      <c r="AC206" s="58" t="str" cm="1">
        <f t="array" ref="AC206">_xlfn._xlws.FILTER(Teams[teamType], Fixtures[[#This Row],[oppTeam]] = Teams[name], "N/A")</f>
        <v>N/A</v>
      </c>
      <c r="AD206" s="58" t="str">
        <f>IF(ISBLANK(Fixtures[[#This Row],[date]]), "N/A", IF(Fixtures[[#This Row],[userSide]]="H", Fixtures[[#This Row],[homeScore]], Fixtures[[#This Row],[awayScore]]))</f>
        <v>N/A</v>
      </c>
      <c r="AE206" s="58" t="str">
        <f>IF(ISBLANK(Fixtures[[#This Row],[date]]), "N/A", IF(Fixtures[[#This Row],[userScore]] = Fixtures[[#This Row],[homeScore]], Fixtures[[#This Row],[awayScore]], Fixtures[[#This Row],[homeScore]]))</f>
        <v>N/A</v>
      </c>
      <c r="AF206" s="58" t="b">
        <f>NOT(AND(ISBLANK(Fixtures[[#This Row],[homePens]]), ISBLANK(Fixtures[[#This Row],[awayPens]])))</f>
        <v>0</v>
      </c>
      <c r="AG206" s="58" t="str">
        <f>IF(Fixtures[[#This Row],[penalties]], IF(Fixtures[[#This Row],[userSide]]="H", Fixtures[[#This Row],[homePens]], Fixtures[[#This Row],[awayPens]]), "N/A")</f>
        <v>N/A</v>
      </c>
      <c r="AH206" s="58" t="str">
        <f>IF(Fixtures[[#This Row],[penalties]], IF(Fixtures[[#This Row],[userPens]]=Fixtures[[#This Row],[homePens]],Fixtures[[#This Row],[awayPens]],Fixtures[[#This Row],[homePens]]), "N/A")</f>
        <v>N/A</v>
      </c>
      <c r="AI206" s="58" t="b">
        <f>COUNTBLANK(Fixtures[[#This Row],[G]:[MOTM]]) = 0</f>
        <v>0</v>
      </c>
      <c r="AJ206" s="58" t="str">
        <f>IF(Fixtures[[#This Row],[APP]], Fixtures[[#This Row],[G]]+Fixtures[[#This Row],[A]], "N/A")</f>
        <v>N/A</v>
      </c>
      <c r="AK2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7" spans="1:39" ht="13">
      <c r="A207" s="55"/>
      <c r="B207" s="61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7"/>
      <c r="R207" s="56"/>
      <c r="S207" s="58" t="str" cm="1">
        <f t="array" ref="S207">_xlfn._xlws.FILTER(Competitions[compType], (Fixtures[[#This Row],[competition]] = Competitions[name]), "N/A")</f>
        <v>N/A</v>
      </c>
      <c r="T207" s="58" t="str" cm="1">
        <f t="array" ref="T207">_xlfn._xlws.FILTER(Competitions[exhibition], (Fixtures[[#This Row],[competition]] = Competitions[name]), "N/A")</f>
        <v>N/A</v>
      </c>
      <c r="U207" s="58" t="str" cm="1">
        <f t="array" ref="U207">_xlfn._xlws.FILTER(Competitions[compID], (Fixtures[[#This Row],[competition]] = Competitions[name]), "N/A")</f>
        <v>N/A</v>
      </c>
      <c r="V2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7" s="58" t="str" cm="1">
        <f t="array" ref="W2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7" s="58" t="str" cm="1">
        <f t="array" ref="X207">_xlfn._xlws.FILTER(Teams[name], (Fixtures[[#This Row],[userTeamID]] = Teams[teamID]), "N/A")</f>
        <v>N/A</v>
      </c>
      <c r="Y207" s="58" t="str" cm="1">
        <f t="array" ref="Y207">_xlfn._xlws.FILTER(Teams[teamType], (Fixtures[[#This Row],[userTeamID]] = Teams[teamID]), "N/A")</f>
        <v>N/A</v>
      </c>
      <c r="Z207" s="58" t="str" cm="1">
        <f t="array" ref="Z2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7" s="58" t="str">
        <f>IF(Fixtures[[#This Row],[userSide]] = "N/A", "N/A", IF(Fixtures[[#This Row],[userSide]] = "H", Fixtures[[#This Row],[awayTeam]], Fixtures[[#This Row],[homeTeam]]))</f>
        <v>N/A</v>
      </c>
      <c r="AB207" s="58" t="str" cm="1">
        <f t="array" ref="AB207">_xlfn._xlws.FILTER(Teams[teamID], Fixtures[[#This Row],[oppTeam]] = Teams[name], "N/A")</f>
        <v>N/A</v>
      </c>
      <c r="AC207" s="58" t="str" cm="1">
        <f t="array" ref="AC207">_xlfn._xlws.FILTER(Teams[teamType], Fixtures[[#This Row],[oppTeam]] = Teams[name], "N/A")</f>
        <v>N/A</v>
      </c>
      <c r="AD207" s="58" t="str">
        <f>IF(ISBLANK(Fixtures[[#This Row],[date]]), "N/A", IF(Fixtures[[#This Row],[userSide]]="H", Fixtures[[#This Row],[homeScore]], Fixtures[[#This Row],[awayScore]]))</f>
        <v>N/A</v>
      </c>
      <c r="AE207" s="58" t="str">
        <f>IF(ISBLANK(Fixtures[[#This Row],[date]]), "N/A", IF(Fixtures[[#This Row],[userScore]] = Fixtures[[#This Row],[homeScore]], Fixtures[[#This Row],[awayScore]], Fixtures[[#This Row],[homeScore]]))</f>
        <v>N/A</v>
      </c>
      <c r="AF207" s="58" t="b">
        <f>NOT(AND(ISBLANK(Fixtures[[#This Row],[homePens]]), ISBLANK(Fixtures[[#This Row],[awayPens]])))</f>
        <v>0</v>
      </c>
      <c r="AG207" s="58" t="str">
        <f>IF(Fixtures[[#This Row],[penalties]], IF(Fixtures[[#This Row],[userSide]]="H", Fixtures[[#This Row],[homePens]], Fixtures[[#This Row],[awayPens]]), "N/A")</f>
        <v>N/A</v>
      </c>
      <c r="AH207" s="58" t="str">
        <f>IF(Fixtures[[#This Row],[penalties]], IF(Fixtures[[#This Row],[userPens]]=Fixtures[[#This Row],[homePens]],Fixtures[[#This Row],[awayPens]],Fixtures[[#This Row],[homePens]]), "N/A")</f>
        <v>N/A</v>
      </c>
      <c r="AI207" s="58" t="b">
        <f>COUNTBLANK(Fixtures[[#This Row],[G]:[MOTM]]) = 0</f>
        <v>0</v>
      </c>
      <c r="AJ207" s="58" t="str">
        <f>IF(Fixtures[[#This Row],[APP]], Fixtures[[#This Row],[G]]+Fixtures[[#This Row],[A]], "N/A")</f>
        <v>N/A</v>
      </c>
      <c r="AK2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8" spans="1:39" ht="13">
      <c r="A208" s="55"/>
      <c r="B208" s="61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7"/>
      <c r="R208" s="56"/>
      <c r="S208" s="58" t="str" cm="1">
        <f t="array" ref="S208">_xlfn._xlws.FILTER(Competitions[compType], (Fixtures[[#This Row],[competition]] = Competitions[name]), "N/A")</f>
        <v>N/A</v>
      </c>
      <c r="T208" s="58" t="str" cm="1">
        <f t="array" ref="T208">_xlfn._xlws.FILTER(Competitions[exhibition], (Fixtures[[#This Row],[competition]] = Competitions[name]), "N/A")</f>
        <v>N/A</v>
      </c>
      <c r="U208" s="58" t="str" cm="1">
        <f t="array" ref="U208">_xlfn._xlws.FILTER(Competitions[compID], (Fixtures[[#This Row],[competition]] = Competitions[name]), "N/A")</f>
        <v>N/A</v>
      </c>
      <c r="V2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8" s="58" t="str" cm="1">
        <f t="array" ref="W2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8" s="58" t="str" cm="1">
        <f t="array" ref="X208">_xlfn._xlws.FILTER(Teams[name], (Fixtures[[#This Row],[userTeamID]] = Teams[teamID]), "N/A")</f>
        <v>N/A</v>
      </c>
      <c r="Y208" s="58" t="str" cm="1">
        <f t="array" ref="Y208">_xlfn._xlws.FILTER(Teams[teamType], (Fixtures[[#This Row],[userTeamID]] = Teams[teamID]), "N/A")</f>
        <v>N/A</v>
      </c>
      <c r="Z208" s="58" t="str" cm="1">
        <f t="array" ref="Z2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8" s="58" t="str">
        <f>IF(Fixtures[[#This Row],[userSide]] = "N/A", "N/A", IF(Fixtures[[#This Row],[userSide]] = "H", Fixtures[[#This Row],[awayTeam]], Fixtures[[#This Row],[homeTeam]]))</f>
        <v>N/A</v>
      </c>
      <c r="AB208" s="58" t="str" cm="1">
        <f t="array" ref="AB208">_xlfn._xlws.FILTER(Teams[teamID], Fixtures[[#This Row],[oppTeam]] = Teams[name], "N/A")</f>
        <v>N/A</v>
      </c>
      <c r="AC208" s="58" t="str" cm="1">
        <f t="array" ref="AC208">_xlfn._xlws.FILTER(Teams[teamType], Fixtures[[#This Row],[oppTeam]] = Teams[name], "N/A")</f>
        <v>N/A</v>
      </c>
      <c r="AD208" s="58" t="str">
        <f>IF(ISBLANK(Fixtures[[#This Row],[date]]), "N/A", IF(Fixtures[[#This Row],[userSide]]="H", Fixtures[[#This Row],[homeScore]], Fixtures[[#This Row],[awayScore]]))</f>
        <v>N/A</v>
      </c>
      <c r="AE208" s="58" t="str">
        <f>IF(ISBLANK(Fixtures[[#This Row],[date]]), "N/A", IF(Fixtures[[#This Row],[userScore]] = Fixtures[[#This Row],[homeScore]], Fixtures[[#This Row],[awayScore]], Fixtures[[#This Row],[homeScore]]))</f>
        <v>N/A</v>
      </c>
      <c r="AF208" s="58" t="b">
        <f>NOT(AND(ISBLANK(Fixtures[[#This Row],[homePens]]), ISBLANK(Fixtures[[#This Row],[awayPens]])))</f>
        <v>0</v>
      </c>
      <c r="AG208" s="58" t="str">
        <f>IF(Fixtures[[#This Row],[penalties]], IF(Fixtures[[#This Row],[userSide]]="H", Fixtures[[#This Row],[homePens]], Fixtures[[#This Row],[awayPens]]), "N/A")</f>
        <v>N/A</v>
      </c>
      <c r="AH208" s="58" t="str">
        <f>IF(Fixtures[[#This Row],[penalties]], IF(Fixtures[[#This Row],[userPens]]=Fixtures[[#This Row],[homePens]],Fixtures[[#This Row],[awayPens]],Fixtures[[#This Row],[homePens]]), "N/A")</f>
        <v>N/A</v>
      </c>
      <c r="AI208" s="58" t="b">
        <f>COUNTBLANK(Fixtures[[#This Row],[G]:[MOTM]]) = 0</f>
        <v>0</v>
      </c>
      <c r="AJ208" s="58" t="str">
        <f>IF(Fixtures[[#This Row],[APP]], Fixtures[[#This Row],[G]]+Fixtures[[#This Row],[A]], "N/A")</f>
        <v>N/A</v>
      </c>
      <c r="AK2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09" spans="1:39" ht="13">
      <c r="A209" s="55"/>
      <c r="B209" s="61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7"/>
      <c r="R209" s="56"/>
      <c r="S209" s="58" t="str" cm="1">
        <f t="array" ref="S209">_xlfn._xlws.FILTER(Competitions[compType], (Fixtures[[#This Row],[competition]] = Competitions[name]), "N/A")</f>
        <v>N/A</v>
      </c>
      <c r="T209" s="58" t="str" cm="1">
        <f t="array" ref="T209">_xlfn._xlws.FILTER(Competitions[exhibition], (Fixtures[[#This Row],[competition]] = Competitions[name]), "N/A")</f>
        <v>N/A</v>
      </c>
      <c r="U209" s="58" t="str" cm="1">
        <f t="array" ref="U209">_xlfn._xlws.FILTER(Competitions[compID], (Fixtures[[#This Row],[competition]] = Competitions[name]), "N/A")</f>
        <v>N/A</v>
      </c>
      <c r="V2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09" s="58" t="str" cm="1">
        <f t="array" ref="W2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09" s="58" t="str" cm="1">
        <f t="array" ref="X209">_xlfn._xlws.FILTER(Teams[name], (Fixtures[[#This Row],[userTeamID]] = Teams[teamID]), "N/A")</f>
        <v>N/A</v>
      </c>
      <c r="Y209" s="58" t="str" cm="1">
        <f t="array" ref="Y209">_xlfn._xlws.FILTER(Teams[teamType], (Fixtures[[#This Row],[userTeamID]] = Teams[teamID]), "N/A")</f>
        <v>N/A</v>
      </c>
      <c r="Z209" s="58" t="str" cm="1">
        <f t="array" ref="Z2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09" s="58" t="str">
        <f>IF(Fixtures[[#This Row],[userSide]] = "N/A", "N/A", IF(Fixtures[[#This Row],[userSide]] = "H", Fixtures[[#This Row],[awayTeam]], Fixtures[[#This Row],[homeTeam]]))</f>
        <v>N/A</v>
      </c>
      <c r="AB209" s="58" t="str" cm="1">
        <f t="array" ref="AB209">_xlfn._xlws.FILTER(Teams[teamID], Fixtures[[#This Row],[oppTeam]] = Teams[name], "N/A")</f>
        <v>N/A</v>
      </c>
      <c r="AC209" s="58" t="str" cm="1">
        <f t="array" ref="AC209">_xlfn._xlws.FILTER(Teams[teamType], Fixtures[[#This Row],[oppTeam]] = Teams[name], "N/A")</f>
        <v>N/A</v>
      </c>
      <c r="AD209" s="58" t="str">
        <f>IF(ISBLANK(Fixtures[[#This Row],[date]]), "N/A", IF(Fixtures[[#This Row],[userSide]]="H", Fixtures[[#This Row],[homeScore]], Fixtures[[#This Row],[awayScore]]))</f>
        <v>N/A</v>
      </c>
      <c r="AE209" s="58" t="str">
        <f>IF(ISBLANK(Fixtures[[#This Row],[date]]), "N/A", IF(Fixtures[[#This Row],[userScore]] = Fixtures[[#This Row],[homeScore]], Fixtures[[#This Row],[awayScore]], Fixtures[[#This Row],[homeScore]]))</f>
        <v>N/A</v>
      </c>
      <c r="AF209" s="58" t="b">
        <f>NOT(AND(ISBLANK(Fixtures[[#This Row],[homePens]]), ISBLANK(Fixtures[[#This Row],[awayPens]])))</f>
        <v>0</v>
      </c>
      <c r="AG209" s="58" t="str">
        <f>IF(Fixtures[[#This Row],[penalties]], IF(Fixtures[[#This Row],[userSide]]="H", Fixtures[[#This Row],[homePens]], Fixtures[[#This Row],[awayPens]]), "N/A")</f>
        <v>N/A</v>
      </c>
      <c r="AH209" s="58" t="str">
        <f>IF(Fixtures[[#This Row],[penalties]], IF(Fixtures[[#This Row],[userPens]]=Fixtures[[#This Row],[homePens]],Fixtures[[#This Row],[awayPens]],Fixtures[[#This Row],[homePens]]), "N/A")</f>
        <v>N/A</v>
      </c>
      <c r="AI209" s="58" t="b">
        <f>COUNTBLANK(Fixtures[[#This Row],[G]:[MOTM]]) = 0</f>
        <v>0</v>
      </c>
      <c r="AJ209" s="58" t="str">
        <f>IF(Fixtures[[#This Row],[APP]], Fixtures[[#This Row],[G]]+Fixtures[[#This Row],[A]], "N/A")</f>
        <v>N/A</v>
      </c>
      <c r="AK2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0" spans="1:39" ht="13">
      <c r="A210" s="55"/>
      <c r="B210" s="61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7"/>
      <c r="R210" s="56"/>
      <c r="S210" s="58" t="str" cm="1">
        <f t="array" ref="S210">_xlfn._xlws.FILTER(Competitions[compType], (Fixtures[[#This Row],[competition]] = Competitions[name]), "N/A")</f>
        <v>N/A</v>
      </c>
      <c r="T210" s="58" t="str" cm="1">
        <f t="array" ref="T210">_xlfn._xlws.FILTER(Competitions[exhibition], (Fixtures[[#This Row],[competition]] = Competitions[name]), "N/A")</f>
        <v>N/A</v>
      </c>
      <c r="U210" s="58" t="str" cm="1">
        <f t="array" ref="U210">_xlfn._xlws.FILTER(Competitions[compID], (Fixtures[[#This Row],[competition]] = Competitions[name]), "N/A")</f>
        <v>N/A</v>
      </c>
      <c r="V2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0" s="58" t="str" cm="1">
        <f t="array" ref="W2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0" s="58" t="str" cm="1">
        <f t="array" ref="X210">_xlfn._xlws.FILTER(Teams[name], (Fixtures[[#This Row],[userTeamID]] = Teams[teamID]), "N/A")</f>
        <v>N/A</v>
      </c>
      <c r="Y210" s="58" t="str" cm="1">
        <f t="array" ref="Y210">_xlfn._xlws.FILTER(Teams[teamType], (Fixtures[[#This Row],[userTeamID]] = Teams[teamID]), "N/A")</f>
        <v>N/A</v>
      </c>
      <c r="Z210" s="58" t="str" cm="1">
        <f t="array" ref="Z2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0" s="58" t="str">
        <f>IF(Fixtures[[#This Row],[userSide]] = "N/A", "N/A", IF(Fixtures[[#This Row],[userSide]] = "H", Fixtures[[#This Row],[awayTeam]], Fixtures[[#This Row],[homeTeam]]))</f>
        <v>N/A</v>
      </c>
      <c r="AB210" s="58" t="str" cm="1">
        <f t="array" ref="AB210">_xlfn._xlws.FILTER(Teams[teamID], Fixtures[[#This Row],[oppTeam]] = Teams[name], "N/A")</f>
        <v>N/A</v>
      </c>
      <c r="AC210" s="58" t="str" cm="1">
        <f t="array" ref="AC210">_xlfn._xlws.FILTER(Teams[teamType], Fixtures[[#This Row],[oppTeam]] = Teams[name], "N/A")</f>
        <v>N/A</v>
      </c>
      <c r="AD210" s="58" t="str">
        <f>IF(ISBLANK(Fixtures[[#This Row],[date]]), "N/A", IF(Fixtures[[#This Row],[userSide]]="H", Fixtures[[#This Row],[homeScore]], Fixtures[[#This Row],[awayScore]]))</f>
        <v>N/A</v>
      </c>
      <c r="AE210" s="58" t="str">
        <f>IF(ISBLANK(Fixtures[[#This Row],[date]]), "N/A", IF(Fixtures[[#This Row],[userScore]] = Fixtures[[#This Row],[homeScore]], Fixtures[[#This Row],[awayScore]], Fixtures[[#This Row],[homeScore]]))</f>
        <v>N/A</v>
      </c>
      <c r="AF210" s="58" t="b">
        <f>NOT(AND(ISBLANK(Fixtures[[#This Row],[homePens]]), ISBLANK(Fixtures[[#This Row],[awayPens]])))</f>
        <v>0</v>
      </c>
      <c r="AG210" s="58" t="str">
        <f>IF(Fixtures[[#This Row],[penalties]], IF(Fixtures[[#This Row],[userSide]]="H", Fixtures[[#This Row],[homePens]], Fixtures[[#This Row],[awayPens]]), "N/A")</f>
        <v>N/A</v>
      </c>
      <c r="AH210" s="58" t="str">
        <f>IF(Fixtures[[#This Row],[penalties]], IF(Fixtures[[#This Row],[userPens]]=Fixtures[[#This Row],[homePens]],Fixtures[[#This Row],[awayPens]],Fixtures[[#This Row],[homePens]]), "N/A")</f>
        <v>N/A</v>
      </c>
      <c r="AI210" s="58" t="b">
        <f>COUNTBLANK(Fixtures[[#This Row],[G]:[MOTM]]) = 0</f>
        <v>0</v>
      </c>
      <c r="AJ210" s="58" t="str">
        <f>IF(Fixtures[[#This Row],[APP]], Fixtures[[#This Row],[G]]+Fixtures[[#This Row],[A]], "N/A")</f>
        <v>N/A</v>
      </c>
      <c r="AK2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1" spans="1:39" ht="13">
      <c r="A211" s="55"/>
      <c r="B211" s="61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7"/>
      <c r="R211" s="56"/>
      <c r="S211" s="58" t="str" cm="1">
        <f t="array" ref="S211">_xlfn._xlws.FILTER(Competitions[compType], (Fixtures[[#This Row],[competition]] = Competitions[name]), "N/A")</f>
        <v>N/A</v>
      </c>
      <c r="T211" s="58" t="str" cm="1">
        <f t="array" ref="T211">_xlfn._xlws.FILTER(Competitions[exhibition], (Fixtures[[#This Row],[competition]] = Competitions[name]), "N/A")</f>
        <v>N/A</v>
      </c>
      <c r="U211" s="58" t="str" cm="1">
        <f t="array" ref="U211">_xlfn._xlws.FILTER(Competitions[compID], (Fixtures[[#This Row],[competition]] = Competitions[name]), "N/A")</f>
        <v>N/A</v>
      </c>
      <c r="V2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1" s="58" t="str" cm="1">
        <f t="array" ref="W2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1" s="58" t="str" cm="1">
        <f t="array" ref="X211">_xlfn._xlws.FILTER(Teams[name], (Fixtures[[#This Row],[userTeamID]] = Teams[teamID]), "N/A")</f>
        <v>N/A</v>
      </c>
      <c r="Y211" s="58" t="str" cm="1">
        <f t="array" ref="Y211">_xlfn._xlws.FILTER(Teams[teamType], (Fixtures[[#This Row],[userTeamID]] = Teams[teamID]), "N/A")</f>
        <v>N/A</v>
      </c>
      <c r="Z211" s="58" t="str" cm="1">
        <f t="array" ref="Z2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1" s="58" t="str">
        <f>IF(Fixtures[[#This Row],[userSide]] = "N/A", "N/A", IF(Fixtures[[#This Row],[userSide]] = "H", Fixtures[[#This Row],[awayTeam]], Fixtures[[#This Row],[homeTeam]]))</f>
        <v>N/A</v>
      </c>
      <c r="AB211" s="58" t="str" cm="1">
        <f t="array" ref="AB211">_xlfn._xlws.FILTER(Teams[teamID], Fixtures[[#This Row],[oppTeam]] = Teams[name], "N/A")</f>
        <v>N/A</v>
      </c>
      <c r="AC211" s="58" t="str" cm="1">
        <f t="array" ref="AC211">_xlfn._xlws.FILTER(Teams[teamType], Fixtures[[#This Row],[oppTeam]] = Teams[name], "N/A")</f>
        <v>N/A</v>
      </c>
      <c r="AD211" s="58" t="str">
        <f>IF(ISBLANK(Fixtures[[#This Row],[date]]), "N/A", IF(Fixtures[[#This Row],[userSide]]="H", Fixtures[[#This Row],[homeScore]], Fixtures[[#This Row],[awayScore]]))</f>
        <v>N/A</v>
      </c>
      <c r="AE211" s="58" t="str">
        <f>IF(ISBLANK(Fixtures[[#This Row],[date]]), "N/A", IF(Fixtures[[#This Row],[userScore]] = Fixtures[[#This Row],[homeScore]], Fixtures[[#This Row],[awayScore]], Fixtures[[#This Row],[homeScore]]))</f>
        <v>N/A</v>
      </c>
      <c r="AF211" s="58" t="b">
        <f>NOT(AND(ISBLANK(Fixtures[[#This Row],[homePens]]), ISBLANK(Fixtures[[#This Row],[awayPens]])))</f>
        <v>0</v>
      </c>
      <c r="AG211" s="58" t="str">
        <f>IF(Fixtures[[#This Row],[penalties]], IF(Fixtures[[#This Row],[userSide]]="H", Fixtures[[#This Row],[homePens]], Fixtures[[#This Row],[awayPens]]), "N/A")</f>
        <v>N/A</v>
      </c>
      <c r="AH211" s="58" t="str">
        <f>IF(Fixtures[[#This Row],[penalties]], IF(Fixtures[[#This Row],[userPens]]=Fixtures[[#This Row],[homePens]],Fixtures[[#This Row],[awayPens]],Fixtures[[#This Row],[homePens]]), "N/A")</f>
        <v>N/A</v>
      </c>
      <c r="AI211" s="58" t="b">
        <f>COUNTBLANK(Fixtures[[#This Row],[G]:[MOTM]]) = 0</f>
        <v>0</v>
      </c>
      <c r="AJ211" s="58" t="str">
        <f>IF(Fixtures[[#This Row],[APP]], Fixtures[[#This Row],[G]]+Fixtures[[#This Row],[A]], "N/A")</f>
        <v>N/A</v>
      </c>
      <c r="AK2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2" spans="1:39" ht="13">
      <c r="A212" s="55"/>
      <c r="B212" s="61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7"/>
      <c r="R212" s="56"/>
      <c r="S212" s="58" t="str" cm="1">
        <f t="array" ref="S212">_xlfn._xlws.FILTER(Competitions[compType], (Fixtures[[#This Row],[competition]] = Competitions[name]), "N/A")</f>
        <v>N/A</v>
      </c>
      <c r="T212" s="58" t="str" cm="1">
        <f t="array" ref="T212">_xlfn._xlws.FILTER(Competitions[exhibition], (Fixtures[[#This Row],[competition]] = Competitions[name]), "N/A")</f>
        <v>N/A</v>
      </c>
      <c r="U212" s="58" t="str" cm="1">
        <f t="array" ref="U212">_xlfn._xlws.FILTER(Competitions[compID], (Fixtures[[#This Row],[competition]] = Competitions[name]), "N/A")</f>
        <v>N/A</v>
      </c>
      <c r="V2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2" s="58" t="str" cm="1">
        <f t="array" ref="W2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2" s="58" t="str" cm="1">
        <f t="array" ref="X212">_xlfn._xlws.FILTER(Teams[name], (Fixtures[[#This Row],[userTeamID]] = Teams[teamID]), "N/A")</f>
        <v>N/A</v>
      </c>
      <c r="Y212" s="58" t="str" cm="1">
        <f t="array" ref="Y212">_xlfn._xlws.FILTER(Teams[teamType], (Fixtures[[#This Row],[userTeamID]] = Teams[teamID]), "N/A")</f>
        <v>N/A</v>
      </c>
      <c r="Z212" s="58" t="str" cm="1">
        <f t="array" ref="Z2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2" s="58" t="str">
        <f>IF(Fixtures[[#This Row],[userSide]] = "N/A", "N/A", IF(Fixtures[[#This Row],[userSide]] = "H", Fixtures[[#This Row],[awayTeam]], Fixtures[[#This Row],[homeTeam]]))</f>
        <v>N/A</v>
      </c>
      <c r="AB212" s="58" t="str" cm="1">
        <f t="array" ref="AB212">_xlfn._xlws.FILTER(Teams[teamID], Fixtures[[#This Row],[oppTeam]] = Teams[name], "N/A")</f>
        <v>N/A</v>
      </c>
      <c r="AC212" s="58" t="str" cm="1">
        <f t="array" ref="AC212">_xlfn._xlws.FILTER(Teams[teamType], Fixtures[[#This Row],[oppTeam]] = Teams[name], "N/A")</f>
        <v>N/A</v>
      </c>
      <c r="AD212" s="58" t="str">
        <f>IF(ISBLANK(Fixtures[[#This Row],[date]]), "N/A", IF(Fixtures[[#This Row],[userSide]]="H", Fixtures[[#This Row],[homeScore]], Fixtures[[#This Row],[awayScore]]))</f>
        <v>N/A</v>
      </c>
      <c r="AE212" s="58" t="str">
        <f>IF(ISBLANK(Fixtures[[#This Row],[date]]), "N/A", IF(Fixtures[[#This Row],[userScore]] = Fixtures[[#This Row],[homeScore]], Fixtures[[#This Row],[awayScore]], Fixtures[[#This Row],[homeScore]]))</f>
        <v>N/A</v>
      </c>
      <c r="AF212" s="58" t="b">
        <f>NOT(AND(ISBLANK(Fixtures[[#This Row],[homePens]]), ISBLANK(Fixtures[[#This Row],[awayPens]])))</f>
        <v>0</v>
      </c>
      <c r="AG212" s="58" t="str">
        <f>IF(Fixtures[[#This Row],[penalties]], IF(Fixtures[[#This Row],[userSide]]="H", Fixtures[[#This Row],[homePens]], Fixtures[[#This Row],[awayPens]]), "N/A")</f>
        <v>N/A</v>
      </c>
      <c r="AH212" s="58" t="str">
        <f>IF(Fixtures[[#This Row],[penalties]], IF(Fixtures[[#This Row],[userPens]]=Fixtures[[#This Row],[homePens]],Fixtures[[#This Row],[awayPens]],Fixtures[[#This Row],[homePens]]), "N/A")</f>
        <v>N/A</v>
      </c>
      <c r="AI212" s="58" t="b">
        <f>COUNTBLANK(Fixtures[[#This Row],[G]:[MOTM]]) = 0</f>
        <v>0</v>
      </c>
      <c r="AJ212" s="58" t="str">
        <f>IF(Fixtures[[#This Row],[APP]], Fixtures[[#This Row],[G]]+Fixtures[[#This Row],[A]], "N/A")</f>
        <v>N/A</v>
      </c>
      <c r="AK2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3" spans="1:39" ht="13">
      <c r="A213" s="55"/>
      <c r="B213" s="61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7"/>
      <c r="R213" s="56"/>
      <c r="S213" s="58" t="str" cm="1">
        <f t="array" ref="S213">_xlfn._xlws.FILTER(Competitions[compType], (Fixtures[[#This Row],[competition]] = Competitions[name]), "N/A")</f>
        <v>N/A</v>
      </c>
      <c r="T213" s="58" t="str" cm="1">
        <f t="array" ref="T213">_xlfn._xlws.FILTER(Competitions[exhibition], (Fixtures[[#This Row],[competition]] = Competitions[name]), "N/A")</f>
        <v>N/A</v>
      </c>
      <c r="U213" s="58" t="str" cm="1">
        <f t="array" ref="U213">_xlfn._xlws.FILTER(Competitions[compID], (Fixtures[[#This Row],[competition]] = Competitions[name]), "N/A")</f>
        <v>N/A</v>
      </c>
      <c r="V2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3" s="58" t="str" cm="1">
        <f t="array" ref="W2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3" s="58" t="str" cm="1">
        <f t="array" ref="X213">_xlfn._xlws.FILTER(Teams[name], (Fixtures[[#This Row],[userTeamID]] = Teams[teamID]), "N/A")</f>
        <v>N/A</v>
      </c>
      <c r="Y213" s="58" t="str" cm="1">
        <f t="array" ref="Y213">_xlfn._xlws.FILTER(Teams[teamType], (Fixtures[[#This Row],[userTeamID]] = Teams[teamID]), "N/A")</f>
        <v>N/A</v>
      </c>
      <c r="Z213" s="58" t="str" cm="1">
        <f t="array" ref="Z2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3" s="58" t="str">
        <f>IF(Fixtures[[#This Row],[userSide]] = "N/A", "N/A", IF(Fixtures[[#This Row],[userSide]] = "H", Fixtures[[#This Row],[awayTeam]], Fixtures[[#This Row],[homeTeam]]))</f>
        <v>N/A</v>
      </c>
      <c r="AB213" s="58" t="str" cm="1">
        <f t="array" ref="AB213">_xlfn._xlws.FILTER(Teams[teamID], Fixtures[[#This Row],[oppTeam]] = Teams[name], "N/A")</f>
        <v>N/A</v>
      </c>
      <c r="AC213" s="58" t="str" cm="1">
        <f t="array" ref="AC213">_xlfn._xlws.FILTER(Teams[teamType], Fixtures[[#This Row],[oppTeam]] = Teams[name], "N/A")</f>
        <v>N/A</v>
      </c>
      <c r="AD213" s="58" t="str">
        <f>IF(ISBLANK(Fixtures[[#This Row],[date]]), "N/A", IF(Fixtures[[#This Row],[userSide]]="H", Fixtures[[#This Row],[homeScore]], Fixtures[[#This Row],[awayScore]]))</f>
        <v>N/A</v>
      </c>
      <c r="AE213" s="58" t="str">
        <f>IF(ISBLANK(Fixtures[[#This Row],[date]]), "N/A", IF(Fixtures[[#This Row],[userScore]] = Fixtures[[#This Row],[homeScore]], Fixtures[[#This Row],[awayScore]], Fixtures[[#This Row],[homeScore]]))</f>
        <v>N/A</v>
      </c>
      <c r="AF213" s="58" t="b">
        <f>NOT(AND(ISBLANK(Fixtures[[#This Row],[homePens]]), ISBLANK(Fixtures[[#This Row],[awayPens]])))</f>
        <v>0</v>
      </c>
      <c r="AG213" s="58" t="str">
        <f>IF(Fixtures[[#This Row],[penalties]], IF(Fixtures[[#This Row],[userSide]]="H", Fixtures[[#This Row],[homePens]], Fixtures[[#This Row],[awayPens]]), "N/A")</f>
        <v>N/A</v>
      </c>
      <c r="AH213" s="58" t="str">
        <f>IF(Fixtures[[#This Row],[penalties]], IF(Fixtures[[#This Row],[userPens]]=Fixtures[[#This Row],[homePens]],Fixtures[[#This Row],[awayPens]],Fixtures[[#This Row],[homePens]]), "N/A")</f>
        <v>N/A</v>
      </c>
      <c r="AI213" s="58" t="b">
        <f>COUNTBLANK(Fixtures[[#This Row],[G]:[MOTM]]) = 0</f>
        <v>0</v>
      </c>
      <c r="AJ213" s="58" t="str">
        <f>IF(Fixtures[[#This Row],[APP]], Fixtures[[#This Row],[G]]+Fixtures[[#This Row],[A]], "N/A")</f>
        <v>N/A</v>
      </c>
      <c r="AK2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4" spans="1:39" ht="13">
      <c r="A214" s="55"/>
      <c r="B214" s="61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7"/>
      <c r="R214" s="56"/>
      <c r="S214" s="58" t="str" cm="1">
        <f t="array" ref="S214">_xlfn._xlws.FILTER(Competitions[compType], (Fixtures[[#This Row],[competition]] = Competitions[name]), "N/A")</f>
        <v>N/A</v>
      </c>
      <c r="T214" s="58" t="str" cm="1">
        <f t="array" ref="T214">_xlfn._xlws.FILTER(Competitions[exhibition], (Fixtures[[#This Row],[competition]] = Competitions[name]), "N/A")</f>
        <v>N/A</v>
      </c>
      <c r="U214" s="58" t="str" cm="1">
        <f t="array" ref="U214">_xlfn._xlws.FILTER(Competitions[compID], (Fixtures[[#This Row],[competition]] = Competitions[name]), "N/A")</f>
        <v>N/A</v>
      </c>
      <c r="V2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4" s="58" t="str" cm="1">
        <f t="array" ref="W2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4" s="58" t="str" cm="1">
        <f t="array" ref="X214">_xlfn._xlws.FILTER(Teams[name], (Fixtures[[#This Row],[userTeamID]] = Teams[teamID]), "N/A")</f>
        <v>N/A</v>
      </c>
      <c r="Y214" s="58" t="str" cm="1">
        <f t="array" ref="Y214">_xlfn._xlws.FILTER(Teams[teamType], (Fixtures[[#This Row],[userTeamID]] = Teams[teamID]), "N/A")</f>
        <v>N/A</v>
      </c>
      <c r="Z214" s="58" t="str" cm="1">
        <f t="array" ref="Z2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4" s="58" t="str">
        <f>IF(Fixtures[[#This Row],[userSide]] = "N/A", "N/A", IF(Fixtures[[#This Row],[userSide]] = "H", Fixtures[[#This Row],[awayTeam]], Fixtures[[#This Row],[homeTeam]]))</f>
        <v>N/A</v>
      </c>
      <c r="AB214" s="58" t="str" cm="1">
        <f t="array" ref="AB214">_xlfn._xlws.FILTER(Teams[teamID], Fixtures[[#This Row],[oppTeam]] = Teams[name], "N/A")</f>
        <v>N/A</v>
      </c>
      <c r="AC214" s="58" t="str" cm="1">
        <f t="array" ref="AC214">_xlfn._xlws.FILTER(Teams[teamType], Fixtures[[#This Row],[oppTeam]] = Teams[name], "N/A")</f>
        <v>N/A</v>
      </c>
      <c r="AD214" s="58" t="str">
        <f>IF(ISBLANK(Fixtures[[#This Row],[date]]), "N/A", IF(Fixtures[[#This Row],[userSide]]="H", Fixtures[[#This Row],[homeScore]], Fixtures[[#This Row],[awayScore]]))</f>
        <v>N/A</v>
      </c>
      <c r="AE214" s="58" t="str">
        <f>IF(ISBLANK(Fixtures[[#This Row],[date]]), "N/A", IF(Fixtures[[#This Row],[userScore]] = Fixtures[[#This Row],[homeScore]], Fixtures[[#This Row],[awayScore]], Fixtures[[#This Row],[homeScore]]))</f>
        <v>N/A</v>
      </c>
      <c r="AF214" s="58" t="b">
        <f>NOT(AND(ISBLANK(Fixtures[[#This Row],[homePens]]), ISBLANK(Fixtures[[#This Row],[awayPens]])))</f>
        <v>0</v>
      </c>
      <c r="AG214" s="58" t="str">
        <f>IF(Fixtures[[#This Row],[penalties]], IF(Fixtures[[#This Row],[userSide]]="H", Fixtures[[#This Row],[homePens]], Fixtures[[#This Row],[awayPens]]), "N/A")</f>
        <v>N/A</v>
      </c>
      <c r="AH214" s="58" t="str">
        <f>IF(Fixtures[[#This Row],[penalties]], IF(Fixtures[[#This Row],[userPens]]=Fixtures[[#This Row],[homePens]],Fixtures[[#This Row],[awayPens]],Fixtures[[#This Row],[homePens]]), "N/A")</f>
        <v>N/A</v>
      </c>
      <c r="AI214" s="58" t="b">
        <f>COUNTBLANK(Fixtures[[#This Row],[G]:[MOTM]]) = 0</f>
        <v>0</v>
      </c>
      <c r="AJ214" s="58" t="str">
        <f>IF(Fixtures[[#This Row],[APP]], Fixtures[[#This Row],[G]]+Fixtures[[#This Row],[A]], "N/A")</f>
        <v>N/A</v>
      </c>
      <c r="AK2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5" spans="1:39" ht="13">
      <c r="A215" s="55"/>
      <c r="B215" s="61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7"/>
      <c r="R215" s="56"/>
      <c r="S215" s="58" t="str" cm="1">
        <f t="array" ref="S215">_xlfn._xlws.FILTER(Competitions[compType], (Fixtures[[#This Row],[competition]] = Competitions[name]), "N/A")</f>
        <v>N/A</v>
      </c>
      <c r="T215" s="58" t="str" cm="1">
        <f t="array" ref="T215">_xlfn._xlws.FILTER(Competitions[exhibition], (Fixtures[[#This Row],[competition]] = Competitions[name]), "N/A")</f>
        <v>N/A</v>
      </c>
      <c r="U215" s="58" t="str" cm="1">
        <f t="array" ref="U215">_xlfn._xlws.FILTER(Competitions[compID], (Fixtures[[#This Row],[competition]] = Competitions[name]), "N/A")</f>
        <v>N/A</v>
      </c>
      <c r="V2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5" s="58" t="str" cm="1">
        <f t="array" ref="W2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5" s="58" t="str" cm="1">
        <f t="array" ref="X215">_xlfn._xlws.FILTER(Teams[name], (Fixtures[[#This Row],[userTeamID]] = Teams[teamID]), "N/A")</f>
        <v>N/A</v>
      </c>
      <c r="Y215" s="58" t="str" cm="1">
        <f t="array" ref="Y215">_xlfn._xlws.FILTER(Teams[teamType], (Fixtures[[#This Row],[userTeamID]] = Teams[teamID]), "N/A")</f>
        <v>N/A</v>
      </c>
      <c r="Z215" s="58" t="str" cm="1">
        <f t="array" ref="Z2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5" s="58" t="str">
        <f>IF(Fixtures[[#This Row],[userSide]] = "N/A", "N/A", IF(Fixtures[[#This Row],[userSide]] = "H", Fixtures[[#This Row],[awayTeam]], Fixtures[[#This Row],[homeTeam]]))</f>
        <v>N/A</v>
      </c>
      <c r="AB215" s="58" t="str" cm="1">
        <f t="array" ref="AB215">_xlfn._xlws.FILTER(Teams[teamID], Fixtures[[#This Row],[oppTeam]] = Teams[name], "N/A")</f>
        <v>N/A</v>
      </c>
      <c r="AC215" s="58" t="str" cm="1">
        <f t="array" ref="AC215">_xlfn._xlws.FILTER(Teams[teamType], Fixtures[[#This Row],[oppTeam]] = Teams[name], "N/A")</f>
        <v>N/A</v>
      </c>
      <c r="AD215" s="58" t="str">
        <f>IF(ISBLANK(Fixtures[[#This Row],[date]]), "N/A", IF(Fixtures[[#This Row],[userSide]]="H", Fixtures[[#This Row],[homeScore]], Fixtures[[#This Row],[awayScore]]))</f>
        <v>N/A</v>
      </c>
      <c r="AE215" s="58" t="str">
        <f>IF(ISBLANK(Fixtures[[#This Row],[date]]), "N/A", IF(Fixtures[[#This Row],[userScore]] = Fixtures[[#This Row],[homeScore]], Fixtures[[#This Row],[awayScore]], Fixtures[[#This Row],[homeScore]]))</f>
        <v>N/A</v>
      </c>
      <c r="AF215" s="58" t="b">
        <f>NOT(AND(ISBLANK(Fixtures[[#This Row],[homePens]]), ISBLANK(Fixtures[[#This Row],[awayPens]])))</f>
        <v>0</v>
      </c>
      <c r="AG215" s="58" t="str">
        <f>IF(Fixtures[[#This Row],[penalties]], IF(Fixtures[[#This Row],[userSide]]="H", Fixtures[[#This Row],[homePens]], Fixtures[[#This Row],[awayPens]]), "N/A")</f>
        <v>N/A</v>
      </c>
      <c r="AH215" s="58" t="str">
        <f>IF(Fixtures[[#This Row],[penalties]], IF(Fixtures[[#This Row],[userPens]]=Fixtures[[#This Row],[homePens]],Fixtures[[#This Row],[awayPens]],Fixtures[[#This Row],[homePens]]), "N/A")</f>
        <v>N/A</v>
      </c>
      <c r="AI215" s="58" t="b">
        <f>COUNTBLANK(Fixtures[[#This Row],[G]:[MOTM]]) = 0</f>
        <v>0</v>
      </c>
      <c r="AJ215" s="58" t="str">
        <f>IF(Fixtures[[#This Row],[APP]], Fixtures[[#This Row],[G]]+Fixtures[[#This Row],[A]], "N/A")</f>
        <v>N/A</v>
      </c>
      <c r="AK2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6" spans="1:39" ht="13">
      <c r="A216" s="55"/>
      <c r="B216" s="61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7"/>
      <c r="R216" s="56"/>
      <c r="S216" s="58" t="str" cm="1">
        <f t="array" ref="S216">_xlfn._xlws.FILTER(Competitions[compType], (Fixtures[[#This Row],[competition]] = Competitions[name]), "N/A")</f>
        <v>N/A</v>
      </c>
      <c r="T216" s="58" t="str" cm="1">
        <f t="array" ref="T216">_xlfn._xlws.FILTER(Competitions[exhibition], (Fixtures[[#This Row],[competition]] = Competitions[name]), "N/A")</f>
        <v>N/A</v>
      </c>
      <c r="U216" s="58" t="str" cm="1">
        <f t="array" ref="U216">_xlfn._xlws.FILTER(Competitions[compID], (Fixtures[[#This Row],[competition]] = Competitions[name]), "N/A")</f>
        <v>N/A</v>
      </c>
      <c r="V2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6" s="58" t="str" cm="1">
        <f t="array" ref="W2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6" s="58" t="str" cm="1">
        <f t="array" ref="X216">_xlfn._xlws.FILTER(Teams[name], (Fixtures[[#This Row],[userTeamID]] = Teams[teamID]), "N/A")</f>
        <v>N/A</v>
      </c>
      <c r="Y216" s="58" t="str" cm="1">
        <f t="array" ref="Y216">_xlfn._xlws.FILTER(Teams[teamType], (Fixtures[[#This Row],[userTeamID]] = Teams[teamID]), "N/A")</f>
        <v>N/A</v>
      </c>
      <c r="Z216" s="58" t="str" cm="1">
        <f t="array" ref="Z2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6" s="58" t="str">
        <f>IF(Fixtures[[#This Row],[userSide]] = "N/A", "N/A", IF(Fixtures[[#This Row],[userSide]] = "H", Fixtures[[#This Row],[awayTeam]], Fixtures[[#This Row],[homeTeam]]))</f>
        <v>N/A</v>
      </c>
      <c r="AB216" s="58" t="str" cm="1">
        <f t="array" ref="AB216">_xlfn._xlws.FILTER(Teams[teamID], Fixtures[[#This Row],[oppTeam]] = Teams[name], "N/A")</f>
        <v>N/A</v>
      </c>
      <c r="AC216" s="58" t="str" cm="1">
        <f t="array" ref="AC216">_xlfn._xlws.FILTER(Teams[teamType], Fixtures[[#This Row],[oppTeam]] = Teams[name], "N/A")</f>
        <v>N/A</v>
      </c>
      <c r="AD216" s="58" t="str">
        <f>IF(ISBLANK(Fixtures[[#This Row],[date]]), "N/A", IF(Fixtures[[#This Row],[userSide]]="H", Fixtures[[#This Row],[homeScore]], Fixtures[[#This Row],[awayScore]]))</f>
        <v>N/A</v>
      </c>
      <c r="AE216" s="58" t="str">
        <f>IF(ISBLANK(Fixtures[[#This Row],[date]]), "N/A", IF(Fixtures[[#This Row],[userScore]] = Fixtures[[#This Row],[homeScore]], Fixtures[[#This Row],[awayScore]], Fixtures[[#This Row],[homeScore]]))</f>
        <v>N/A</v>
      </c>
      <c r="AF216" s="58" t="b">
        <f>NOT(AND(ISBLANK(Fixtures[[#This Row],[homePens]]), ISBLANK(Fixtures[[#This Row],[awayPens]])))</f>
        <v>0</v>
      </c>
      <c r="AG216" s="58" t="str">
        <f>IF(Fixtures[[#This Row],[penalties]], IF(Fixtures[[#This Row],[userSide]]="H", Fixtures[[#This Row],[homePens]], Fixtures[[#This Row],[awayPens]]), "N/A")</f>
        <v>N/A</v>
      </c>
      <c r="AH216" s="58" t="str">
        <f>IF(Fixtures[[#This Row],[penalties]], IF(Fixtures[[#This Row],[userPens]]=Fixtures[[#This Row],[homePens]],Fixtures[[#This Row],[awayPens]],Fixtures[[#This Row],[homePens]]), "N/A")</f>
        <v>N/A</v>
      </c>
      <c r="AI216" s="58" t="b">
        <f>COUNTBLANK(Fixtures[[#This Row],[G]:[MOTM]]) = 0</f>
        <v>0</v>
      </c>
      <c r="AJ216" s="58" t="str">
        <f>IF(Fixtures[[#This Row],[APP]], Fixtures[[#This Row],[G]]+Fixtures[[#This Row],[A]], "N/A")</f>
        <v>N/A</v>
      </c>
      <c r="AK2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7" spans="1:39" ht="13">
      <c r="A217" s="55"/>
      <c r="B217" s="61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7"/>
      <c r="R217" s="56"/>
      <c r="S217" s="58" t="str" cm="1">
        <f t="array" ref="S217">_xlfn._xlws.FILTER(Competitions[compType], (Fixtures[[#This Row],[competition]] = Competitions[name]), "N/A")</f>
        <v>N/A</v>
      </c>
      <c r="T217" s="58" t="str" cm="1">
        <f t="array" ref="T217">_xlfn._xlws.FILTER(Competitions[exhibition], (Fixtures[[#This Row],[competition]] = Competitions[name]), "N/A")</f>
        <v>N/A</v>
      </c>
      <c r="U217" s="58" t="str" cm="1">
        <f t="array" ref="U217">_xlfn._xlws.FILTER(Competitions[compID], (Fixtures[[#This Row],[competition]] = Competitions[name]), "N/A")</f>
        <v>N/A</v>
      </c>
      <c r="V2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7" s="58" t="str" cm="1">
        <f t="array" ref="W2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7" s="58" t="str" cm="1">
        <f t="array" ref="X217">_xlfn._xlws.FILTER(Teams[name], (Fixtures[[#This Row],[userTeamID]] = Teams[teamID]), "N/A")</f>
        <v>N/A</v>
      </c>
      <c r="Y217" s="58" t="str" cm="1">
        <f t="array" ref="Y217">_xlfn._xlws.FILTER(Teams[teamType], (Fixtures[[#This Row],[userTeamID]] = Teams[teamID]), "N/A")</f>
        <v>N/A</v>
      </c>
      <c r="Z217" s="58" t="str" cm="1">
        <f t="array" ref="Z2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7" s="58" t="str">
        <f>IF(Fixtures[[#This Row],[userSide]] = "N/A", "N/A", IF(Fixtures[[#This Row],[userSide]] = "H", Fixtures[[#This Row],[awayTeam]], Fixtures[[#This Row],[homeTeam]]))</f>
        <v>N/A</v>
      </c>
      <c r="AB217" s="58" t="str" cm="1">
        <f t="array" ref="AB217">_xlfn._xlws.FILTER(Teams[teamID], Fixtures[[#This Row],[oppTeam]] = Teams[name], "N/A")</f>
        <v>N/A</v>
      </c>
      <c r="AC217" s="58" t="str" cm="1">
        <f t="array" ref="AC217">_xlfn._xlws.FILTER(Teams[teamType], Fixtures[[#This Row],[oppTeam]] = Teams[name], "N/A")</f>
        <v>N/A</v>
      </c>
      <c r="AD217" s="58" t="str">
        <f>IF(ISBLANK(Fixtures[[#This Row],[date]]), "N/A", IF(Fixtures[[#This Row],[userSide]]="H", Fixtures[[#This Row],[homeScore]], Fixtures[[#This Row],[awayScore]]))</f>
        <v>N/A</v>
      </c>
      <c r="AE217" s="58" t="str">
        <f>IF(ISBLANK(Fixtures[[#This Row],[date]]), "N/A", IF(Fixtures[[#This Row],[userScore]] = Fixtures[[#This Row],[homeScore]], Fixtures[[#This Row],[awayScore]], Fixtures[[#This Row],[homeScore]]))</f>
        <v>N/A</v>
      </c>
      <c r="AF217" s="58" t="b">
        <f>NOT(AND(ISBLANK(Fixtures[[#This Row],[homePens]]), ISBLANK(Fixtures[[#This Row],[awayPens]])))</f>
        <v>0</v>
      </c>
      <c r="AG217" s="58" t="str">
        <f>IF(Fixtures[[#This Row],[penalties]], IF(Fixtures[[#This Row],[userSide]]="H", Fixtures[[#This Row],[homePens]], Fixtures[[#This Row],[awayPens]]), "N/A")</f>
        <v>N/A</v>
      </c>
      <c r="AH217" s="58" t="str">
        <f>IF(Fixtures[[#This Row],[penalties]], IF(Fixtures[[#This Row],[userPens]]=Fixtures[[#This Row],[homePens]],Fixtures[[#This Row],[awayPens]],Fixtures[[#This Row],[homePens]]), "N/A")</f>
        <v>N/A</v>
      </c>
      <c r="AI217" s="58" t="b">
        <f>COUNTBLANK(Fixtures[[#This Row],[G]:[MOTM]]) = 0</f>
        <v>0</v>
      </c>
      <c r="AJ217" s="58" t="str">
        <f>IF(Fixtures[[#This Row],[APP]], Fixtures[[#This Row],[G]]+Fixtures[[#This Row],[A]], "N/A")</f>
        <v>N/A</v>
      </c>
      <c r="AK2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8" spans="1:39" ht="13">
      <c r="A218" s="55"/>
      <c r="B218" s="61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7"/>
      <c r="R218" s="56"/>
      <c r="S218" s="58" t="str" cm="1">
        <f t="array" ref="S218">_xlfn._xlws.FILTER(Competitions[compType], (Fixtures[[#This Row],[competition]] = Competitions[name]), "N/A")</f>
        <v>N/A</v>
      </c>
      <c r="T218" s="58" t="str" cm="1">
        <f t="array" ref="T218">_xlfn._xlws.FILTER(Competitions[exhibition], (Fixtures[[#This Row],[competition]] = Competitions[name]), "N/A")</f>
        <v>N/A</v>
      </c>
      <c r="U218" s="58" t="str" cm="1">
        <f t="array" ref="U218">_xlfn._xlws.FILTER(Competitions[compID], (Fixtures[[#This Row],[competition]] = Competitions[name]), "N/A")</f>
        <v>N/A</v>
      </c>
      <c r="V2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8" s="58" t="str" cm="1">
        <f t="array" ref="W2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8" s="58" t="str" cm="1">
        <f t="array" ref="X218">_xlfn._xlws.FILTER(Teams[name], (Fixtures[[#This Row],[userTeamID]] = Teams[teamID]), "N/A")</f>
        <v>N/A</v>
      </c>
      <c r="Y218" s="58" t="str" cm="1">
        <f t="array" ref="Y218">_xlfn._xlws.FILTER(Teams[teamType], (Fixtures[[#This Row],[userTeamID]] = Teams[teamID]), "N/A")</f>
        <v>N/A</v>
      </c>
      <c r="Z218" s="58" t="str" cm="1">
        <f t="array" ref="Z2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8" s="58" t="str">
        <f>IF(Fixtures[[#This Row],[userSide]] = "N/A", "N/A", IF(Fixtures[[#This Row],[userSide]] = "H", Fixtures[[#This Row],[awayTeam]], Fixtures[[#This Row],[homeTeam]]))</f>
        <v>N/A</v>
      </c>
      <c r="AB218" s="58" t="str" cm="1">
        <f t="array" ref="AB218">_xlfn._xlws.FILTER(Teams[teamID], Fixtures[[#This Row],[oppTeam]] = Teams[name], "N/A")</f>
        <v>N/A</v>
      </c>
      <c r="AC218" s="58" t="str" cm="1">
        <f t="array" ref="AC218">_xlfn._xlws.FILTER(Teams[teamType], Fixtures[[#This Row],[oppTeam]] = Teams[name], "N/A")</f>
        <v>N/A</v>
      </c>
      <c r="AD218" s="58" t="str">
        <f>IF(ISBLANK(Fixtures[[#This Row],[date]]), "N/A", IF(Fixtures[[#This Row],[userSide]]="H", Fixtures[[#This Row],[homeScore]], Fixtures[[#This Row],[awayScore]]))</f>
        <v>N/A</v>
      </c>
      <c r="AE218" s="58" t="str">
        <f>IF(ISBLANK(Fixtures[[#This Row],[date]]), "N/A", IF(Fixtures[[#This Row],[userScore]] = Fixtures[[#This Row],[homeScore]], Fixtures[[#This Row],[awayScore]], Fixtures[[#This Row],[homeScore]]))</f>
        <v>N/A</v>
      </c>
      <c r="AF218" s="58" t="b">
        <f>NOT(AND(ISBLANK(Fixtures[[#This Row],[homePens]]), ISBLANK(Fixtures[[#This Row],[awayPens]])))</f>
        <v>0</v>
      </c>
      <c r="AG218" s="58" t="str">
        <f>IF(Fixtures[[#This Row],[penalties]], IF(Fixtures[[#This Row],[userSide]]="H", Fixtures[[#This Row],[homePens]], Fixtures[[#This Row],[awayPens]]), "N/A")</f>
        <v>N/A</v>
      </c>
      <c r="AH218" s="58" t="str">
        <f>IF(Fixtures[[#This Row],[penalties]], IF(Fixtures[[#This Row],[userPens]]=Fixtures[[#This Row],[homePens]],Fixtures[[#This Row],[awayPens]],Fixtures[[#This Row],[homePens]]), "N/A")</f>
        <v>N/A</v>
      </c>
      <c r="AI218" s="58" t="b">
        <f>COUNTBLANK(Fixtures[[#This Row],[G]:[MOTM]]) = 0</f>
        <v>0</v>
      </c>
      <c r="AJ218" s="58" t="str">
        <f>IF(Fixtures[[#This Row],[APP]], Fixtures[[#This Row],[G]]+Fixtures[[#This Row],[A]], "N/A")</f>
        <v>N/A</v>
      </c>
      <c r="AK2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19" spans="1:39" ht="13">
      <c r="A219" s="55"/>
      <c r="B219" s="61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7"/>
      <c r="R219" s="56"/>
      <c r="S219" s="58" t="str" cm="1">
        <f t="array" ref="S219">_xlfn._xlws.FILTER(Competitions[compType], (Fixtures[[#This Row],[competition]] = Competitions[name]), "N/A")</f>
        <v>N/A</v>
      </c>
      <c r="T219" s="58" t="str" cm="1">
        <f t="array" ref="T219">_xlfn._xlws.FILTER(Competitions[exhibition], (Fixtures[[#This Row],[competition]] = Competitions[name]), "N/A")</f>
        <v>N/A</v>
      </c>
      <c r="U219" s="58" t="str" cm="1">
        <f t="array" ref="U219">_xlfn._xlws.FILTER(Competitions[compID], (Fixtures[[#This Row],[competition]] = Competitions[name]), "N/A")</f>
        <v>N/A</v>
      </c>
      <c r="V2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19" s="58" t="str" cm="1">
        <f t="array" ref="W2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19" s="58" t="str" cm="1">
        <f t="array" ref="X219">_xlfn._xlws.FILTER(Teams[name], (Fixtures[[#This Row],[userTeamID]] = Teams[teamID]), "N/A")</f>
        <v>N/A</v>
      </c>
      <c r="Y219" s="58" t="str" cm="1">
        <f t="array" ref="Y219">_xlfn._xlws.FILTER(Teams[teamType], (Fixtures[[#This Row],[userTeamID]] = Teams[teamID]), "N/A")</f>
        <v>N/A</v>
      </c>
      <c r="Z219" s="58" t="str" cm="1">
        <f t="array" ref="Z2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19" s="58" t="str">
        <f>IF(Fixtures[[#This Row],[userSide]] = "N/A", "N/A", IF(Fixtures[[#This Row],[userSide]] = "H", Fixtures[[#This Row],[awayTeam]], Fixtures[[#This Row],[homeTeam]]))</f>
        <v>N/A</v>
      </c>
      <c r="AB219" s="58" t="str" cm="1">
        <f t="array" ref="AB219">_xlfn._xlws.FILTER(Teams[teamID], Fixtures[[#This Row],[oppTeam]] = Teams[name], "N/A")</f>
        <v>N/A</v>
      </c>
      <c r="AC219" s="58" t="str" cm="1">
        <f t="array" ref="AC219">_xlfn._xlws.FILTER(Teams[teamType], Fixtures[[#This Row],[oppTeam]] = Teams[name], "N/A")</f>
        <v>N/A</v>
      </c>
      <c r="AD219" s="58" t="str">
        <f>IF(ISBLANK(Fixtures[[#This Row],[date]]), "N/A", IF(Fixtures[[#This Row],[userSide]]="H", Fixtures[[#This Row],[homeScore]], Fixtures[[#This Row],[awayScore]]))</f>
        <v>N/A</v>
      </c>
      <c r="AE219" s="58" t="str">
        <f>IF(ISBLANK(Fixtures[[#This Row],[date]]), "N/A", IF(Fixtures[[#This Row],[userScore]] = Fixtures[[#This Row],[homeScore]], Fixtures[[#This Row],[awayScore]], Fixtures[[#This Row],[homeScore]]))</f>
        <v>N/A</v>
      </c>
      <c r="AF219" s="58" t="b">
        <f>NOT(AND(ISBLANK(Fixtures[[#This Row],[homePens]]), ISBLANK(Fixtures[[#This Row],[awayPens]])))</f>
        <v>0</v>
      </c>
      <c r="AG219" s="58" t="str">
        <f>IF(Fixtures[[#This Row],[penalties]], IF(Fixtures[[#This Row],[userSide]]="H", Fixtures[[#This Row],[homePens]], Fixtures[[#This Row],[awayPens]]), "N/A")</f>
        <v>N/A</v>
      </c>
      <c r="AH219" s="58" t="str">
        <f>IF(Fixtures[[#This Row],[penalties]], IF(Fixtures[[#This Row],[userPens]]=Fixtures[[#This Row],[homePens]],Fixtures[[#This Row],[awayPens]],Fixtures[[#This Row],[homePens]]), "N/A")</f>
        <v>N/A</v>
      </c>
      <c r="AI219" s="58" t="b">
        <f>COUNTBLANK(Fixtures[[#This Row],[G]:[MOTM]]) = 0</f>
        <v>0</v>
      </c>
      <c r="AJ219" s="58" t="str">
        <f>IF(Fixtures[[#This Row],[APP]], Fixtures[[#This Row],[G]]+Fixtures[[#This Row],[A]], "N/A")</f>
        <v>N/A</v>
      </c>
      <c r="AK2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0" spans="1:39" ht="13">
      <c r="A220" s="55"/>
      <c r="B220" s="61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7"/>
      <c r="R220" s="56"/>
      <c r="S220" s="58" t="str" cm="1">
        <f t="array" ref="S220">_xlfn._xlws.FILTER(Competitions[compType], (Fixtures[[#This Row],[competition]] = Competitions[name]), "N/A")</f>
        <v>N/A</v>
      </c>
      <c r="T220" s="58" t="str" cm="1">
        <f t="array" ref="T220">_xlfn._xlws.FILTER(Competitions[exhibition], (Fixtures[[#This Row],[competition]] = Competitions[name]), "N/A")</f>
        <v>N/A</v>
      </c>
      <c r="U220" s="58" t="str" cm="1">
        <f t="array" ref="U220">_xlfn._xlws.FILTER(Competitions[compID], (Fixtures[[#This Row],[competition]] = Competitions[name]), "N/A")</f>
        <v>N/A</v>
      </c>
      <c r="V2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0" s="58" t="str" cm="1">
        <f t="array" ref="W2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0" s="58" t="str" cm="1">
        <f t="array" ref="X220">_xlfn._xlws.FILTER(Teams[name], (Fixtures[[#This Row],[userTeamID]] = Teams[teamID]), "N/A")</f>
        <v>N/A</v>
      </c>
      <c r="Y220" s="58" t="str" cm="1">
        <f t="array" ref="Y220">_xlfn._xlws.FILTER(Teams[teamType], (Fixtures[[#This Row],[userTeamID]] = Teams[teamID]), "N/A")</f>
        <v>N/A</v>
      </c>
      <c r="Z220" s="58" t="str" cm="1">
        <f t="array" ref="Z2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0" s="58" t="str">
        <f>IF(Fixtures[[#This Row],[userSide]] = "N/A", "N/A", IF(Fixtures[[#This Row],[userSide]] = "H", Fixtures[[#This Row],[awayTeam]], Fixtures[[#This Row],[homeTeam]]))</f>
        <v>N/A</v>
      </c>
      <c r="AB220" s="58" t="str" cm="1">
        <f t="array" ref="AB220">_xlfn._xlws.FILTER(Teams[teamID], Fixtures[[#This Row],[oppTeam]] = Teams[name], "N/A")</f>
        <v>N/A</v>
      </c>
      <c r="AC220" s="58" t="str" cm="1">
        <f t="array" ref="AC220">_xlfn._xlws.FILTER(Teams[teamType], Fixtures[[#This Row],[oppTeam]] = Teams[name], "N/A")</f>
        <v>N/A</v>
      </c>
      <c r="AD220" s="58" t="str">
        <f>IF(ISBLANK(Fixtures[[#This Row],[date]]), "N/A", IF(Fixtures[[#This Row],[userSide]]="H", Fixtures[[#This Row],[homeScore]], Fixtures[[#This Row],[awayScore]]))</f>
        <v>N/A</v>
      </c>
      <c r="AE220" s="58" t="str">
        <f>IF(ISBLANK(Fixtures[[#This Row],[date]]), "N/A", IF(Fixtures[[#This Row],[userScore]] = Fixtures[[#This Row],[homeScore]], Fixtures[[#This Row],[awayScore]], Fixtures[[#This Row],[homeScore]]))</f>
        <v>N/A</v>
      </c>
      <c r="AF220" s="58" t="b">
        <f>NOT(AND(ISBLANK(Fixtures[[#This Row],[homePens]]), ISBLANK(Fixtures[[#This Row],[awayPens]])))</f>
        <v>0</v>
      </c>
      <c r="AG220" s="58" t="str">
        <f>IF(Fixtures[[#This Row],[penalties]], IF(Fixtures[[#This Row],[userSide]]="H", Fixtures[[#This Row],[homePens]], Fixtures[[#This Row],[awayPens]]), "N/A")</f>
        <v>N/A</v>
      </c>
      <c r="AH220" s="58" t="str">
        <f>IF(Fixtures[[#This Row],[penalties]], IF(Fixtures[[#This Row],[userPens]]=Fixtures[[#This Row],[homePens]],Fixtures[[#This Row],[awayPens]],Fixtures[[#This Row],[homePens]]), "N/A")</f>
        <v>N/A</v>
      </c>
      <c r="AI220" s="58" t="b">
        <f>COUNTBLANK(Fixtures[[#This Row],[G]:[MOTM]]) = 0</f>
        <v>0</v>
      </c>
      <c r="AJ220" s="58" t="str">
        <f>IF(Fixtures[[#This Row],[APP]], Fixtures[[#This Row],[G]]+Fixtures[[#This Row],[A]], "N/A")</f>
        <v>N/A</v>
      </c>
      <c r="AK2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1" spans="1:39" ht="13">
      <c r="A221" s="55"/>
      <c r="B221" s="61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7"/>
      <c r="R221" s="56"/>
      <c r="S221" s="58" t="str" cm="1">
        <f t="array" ref="S221">_xlfn._xlws.FILTER(Competitions[compType], (Fixtures[[#This Row],[competition]] = Competitions[name]), "N/A")</f>
        <v>N/A</v>
      </c>
      <c r="T221" s="58" t="str" cm="1">
        <f t="array" ref="T221">_xlfn._xlws.FILTER(Competitions[exhibition], (Fixtures[[#This Row],[competition]] = Competitions[name]), "N/A")</f>
        <v>N/A</v>
      </c>
      <c r="U221" s="58" t="str" cm="1">
        <f t="array" ref="U221">_xlfn._xlws.FILTER(Competitions[compID], (Fixtures[[#This Row],[competition]] = Competitions[name]), "N/A")</f>
        <v>N/A</v>
      </c>
      <c r="V2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1" s="58" t="str" cm="1">
        <f t="array" ref="W2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1" s="58" t="str" cm="1">
        <f t="array" ref="X221">_xlfn._xlws.FILTER(Teams[name], (Fixtures[[#This Row],[userTeamID]] = Teams[teamID]), "N/A")</f>
        <v>N/A</v>
      </c>
      <c r="Y221" s="58" t="str" cm="1">
        <f t="array" ref="Y221">_xlfn._xlws.FILTER(Teams[teamType], (Fixtures[[#This Row],[userTeamID]] = Teams[teamID]), "N/A")</f>
        <v>N/A</v>
      </c>
      <c r="Z221" s="58" t="str" cm="1">
        <f t="array" ref="Z2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1" s="58" t="str">
        <f>IF(Fixtures[[#This Row],[userSide]] = "N/A", "N/A", IF(Fixtures[[#This Row],[userSide]] = "H", Fixtures[[#This Row],[awayTeam]], Fixtures[[#This Row],[homeTeam]]))</f>
        <v>N/A</v>
      </c>
      <c r="AB221" s="58" t="str" cm="1">
        <f t="array" ref="AB221">_xlfn._xlws.FILTER(Teams[teamID], Fixtures[[#This Row],[oppTeam]] = Teams[name], "N/A")</f>
        <v>N/A</v>
      </c>
      <c r="AC221" s="58" t="str" cm="1">
        <f t="array" ref="AC221">_xlfn._xlws.FILTER(Teams[teamType], Fixtures[[#This Row],[oppTeam]] = Teams[name], "N/A")</f>
        <v>N/A</v>
      </c>
      <c r="AD221" s="58" t="str">
        <f>IF(ISBLANK(Fixtures[[#This Row],[date]]), "N/A", IF(Fixtures[[#This Row],[userSide]]="H", Fixtures[[#This Row],[homeScore]], Fixtures[[#This Row],[awayScore]]))</f>
        <v>N/A</v>
      </c>
      <c r="AE221" s="58" t="str">
        <f>IF(ISBLANK(Fixtures[[#This Row],[date]]), "N/A", IF(Fixtures[[#This Row],[userScore]] = Fixtures[[#This Row],[homeScore]], Fixtures[[#This Row],[awayScore]], Fixtures[[#This Row],[homeScore]]))</f>
        <v>N/A</v>
      </c>
      <c r="AF221" s="58" t="b">
        <f>NOT(AND(ISBLANK(Fixtures[[#This Row],[homePens]]), ISBLANK(Fixtures[[#This Row],[awayPens]])))</f>
        <v>0</v>
      </c>
      <c r="AG221" s="58" t="str">
        <f>IF(Fixtures[[#This Row],[penalties]], IF(Fixtures[[#This Row],[userSide]]="H", Fixtures[[#This Row],[homePens]], Fixtures[[#This Row],[awayPens]]), "N/A")</f>
        <v>N/A</v>
      </c>
      <c r="AH221" s="58" t="str">
        <f>IF(Fixtures[[#This Row],[penalties]], IF(Fixtures[[#This Row],[userPens]]=Fixtures[[#This Row],[homePens]],Fixtures[[#This Row],[awayPens]],Fixtures[[#This Row],[homePens]]), "N/A")</f>
        <v>N/A</v>
      </c>
      <c r="AI221" s="58" t="b">
        <f>COUNTBLANK(Fixtures[[#This Row],[G]:[MOTM]]) = 0</f>
        <v>0</v>
      </c>
      <c r="AJ221" s="58" t="str">
        <f>IF(Fixtures[[#This Row],[APP]], Fixtures[[#This Row],[G]]+Fixtures[[#This Row],[A]], "N/A")</f>
        <v>N/A</v>
      </c>
      <c r="AK2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2" spans="1:39" ht="13">
      <c r="A222" s="55"/>
      <c r="B222" s="61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7"/>
      <c r="R222" s="56"/>
      <c r="S222" s="58" t="str" cm="1">
        <f t="array" ref="S222">_xlfn._xlws.FILTER(Competitions[compType], (Fixtures[[#This Row],[competition]] = Competitions[name]), "N/A")</f>
        <v>N/A</v>
      </c>
      <c r="T222" s="58" t="str" cm="1">
        <f t="array" ref="T222">_xlfn._xlws.FILTER(Competitions[exhibition], (Fixtures[[#This Row],[competition]] = Competitions[name]), "N/A")</f>
        <v>N/A</v>
      </c>
      <c r="U222" s="58" t="str" cm="1">
        <f t="array" ref="U222">_xlfn._xlws.FILTER(Competitions[compID], (Fixtures[[#This Row],[competition]] = Competitions[name]), "N/A")</f>
        <v>N/A</v>
      </c>
      <c r="V2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2" s="58" t="str" cm="1">
        <f t="array" ref="W2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2" s="58" t="str" cm="1">
        <f t="array" ref="X222">_xlfn._xlws.FILTER(Teams[name], (Fixtures[[#This Row],[userTeamID]] = Teams[teamID]), "N/A")</f>
        <v>N/A</v>
      </c>
      <c r="Y222" s="58" t="str" cm="1">
        <f t="array" ref="Y222">_xlfn._xlws.FILTER(Teams[teamType], (Fixtures[[#This Row],[userTeamID]] = Teams[teamID]), "N/A")</f>
        <v>N/A</v>
      </c>
      <c r="Z222" s="58" t="str" cm="1">
        <f t="array" ref="Z2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2" s="58" t="str">
        <f>IF(Fixtures[[#This Row],[userSide]] = "N/A", "N/A", IF(Fixtures[[#This Row],[userSide]] = "H", Fixtures[[#This Row],[awayTeam]], Fixtures[[#This Row],[homeTeam]]))</f>
        <v>N/A</v>
      </c>
      <c r="AB222" s="58" t="str" cm="1">
        <f t="array" ref="AB222">_xlfn._xlws.FILTER(Teams[teamID], Fixtures[[#This Row],[oppTeam]] = Teams[name], "N/A")</f>
        <v>N/A</v>
      </c>
      <c r="AC222" s="58" t="str" cm="1">
        <f t="array" ref="AC222">_xlfn._xlws.FILTER(Teams[teamType], Fixtures[[#This Row],[oppTeam]] = Teams[name], "N/A")</f>
        <v>N/A</v>
      </c>
      <c r="AD222" s="58" t="str">
        <f>IF(ISBLANK(Fixtures[[#This Row],[date]]), "N/A", IF(Fixtures[[#This Row],[userSide]]="H", Fixtures[[#This Row],[homeScore]], Fixtures[[#This Row],[awayScore]]))</f>
        <v>N/A</v>
      </c>
      <c r="AE222" s="58" t="str">
        <f>IF(ISBLANK(Fixtures[[#This Row],[date]]), "N/A", IF(Fixtures[[#This Row],[userScore]] = Fixtures[[#This Row],[homeScore]], Fixtures[[#This Row],[awayScore]], Fixtures[[#This Row],[homeScore]]))</f>
        <v>N/A</v>
      </c>
      <c r="AF222" s="58" t="b">
        <f>NOT(AND(ISBLANK(Fixtures[[#This Row],[homePens]]), ISBLANK(Fixtures[[#This Row],[awayPens]])))</f>
        <v>0</v>
      </c>
      <c r="AG222" s="58" t="str">
        <f>IF(Fixtures[[#This Row],[penalties]], IF(Fixtures[[#This Row],[userSide]]="H", Fixtures[[#This Row],[homePens]], Fixtures[[#This Row],[awayPens]]), "N/A")</f>
        <v>N/A</v>
      </c>
      <c r="AH222" s="58" t="str">
        <f>IF(Fixtures[[#This Row],[penalties]], IF(Fixtures[[#This Row],[userPens]]=Fixtures[[#This Row],[homePens]],Fixtures[[#This Row],[awayPens]],Fixtures[[#This Row],[homePens]]), "N/A")</f>
        <v>N/A</v>
      </c>
      <c r="AI222" s="58" t="b">
        <f>COUNTBLANK(Fixtures[[#This Row],[G]:[MOTM]]) = 0</f>
        <v>0</v>
      </c>
      <c r="AJ222" s="58" t="str">
        <f>IF(Fixtures[[#This Row],[APP]], Fixtures[[#This Row],[G]]+Fixtures[[#This Row],[A]], "N/A")</f>
        <v>N/A</v>
      </c>
      <c r="AK2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3" spans="1:39" ht="13">
      <c r="A223" s="55"/>
      <c r="B223" s="61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7"/>
      <c r="R223" s="56"/>
      <c r="S223" s="58" t="str" cm="1">
        <f t="array" ref="S223">_xlfn._xlws.FILTER(Competitions[compType], (Fixtures[[#This Row],[competition]] = Competitions[name]), "N/A")</f>
        <v>N/A</v>
      </c>
      <c r="T223" s="58" t="str" cm="1">
        <f t="array" ref="T223">_xlfn._xlws.FILTER(Competitions[exhibition], (Fixtures[[#This Row],[competition]] = Competitions[name]), "N/A")</f>
        <v>N/A</v>
      </c>
      <c r="U223" s="58" t="str" cm="1">
        <f t="array" ref="U223">_xlfn._xlws.FILTER(Competitions[compID], (Fixtures[[#This Row],[competition]] = Competitions[name]), "N/A")</f>
        <v>N/A</v>
      </c>
      <c r="V2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3" s="58" t="str" cm="1">
        <f t="array" ref="W2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3" s="58" t="str" cm="1">
        <f t="array" ref="X223">_xlfn._xlws.FILTER(Teams[name], (Fixtures[[#This Row],[userTeamID]] = Teams[teamID]), "N/A")</f>
        <v>N/A</v>
      </c>
      <c r="Y223" s="58" t="str" cm="1">
        <f t="array" ref="Y223">_xlfn._xlws.FILTER(Teams[teamType], (Fixtures[[#This Row],[userTeamID]] = Teams[teamID]), "N/A")</f>
        <v>N/A</v>
      </c>
      <c r="Z223" s="58" t="str" cm="1">
        <f t="array" ref="Z2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3" s="58" t="str">
        <f>IF(Fixtures[[#This Row],[userSide]] = "N/A", "N/A", IF(Fixtures[[#This Row],[userSide]] = "H", Fixtures[[#This Row],[awayTeam]], Fixtures[[#This Row],[homeTeam]]))</f>
        <v>N/A</v>
      </c>
      <c r="AB223" s="58" t="str" cm="1">
        <f t="array" ref="AB223">_xlfn._xlws.FILTER(Teams[teamID], Fixtures[[#This Row],[oppTeam]] = Teams[name], "N/A")</f>
        <v>N/A</v>
      </c>
      <c r="AC223" s="58" t="str" cm="1">
        <f t="array" ref="AC223">_xlfn._xlws.FILTER(Teams[teamType], Fixtures[[#This Row],[oppTeam]] = Teams[name], "N/A")</f>
        <v>N/A</v>
      </c>
      <c r="AD223" s="58" t="str">
        <f>IF(ISBLANK(Fixtures[[#This Row],[date]]), "N/A", IF(Fixtures[[#This Row],[userSide]]="H", Fixtures[[#This Row],[homeScore]], Fixtures[[#This Row],[awayScore]]))</f>
        <v>N/A</v>
      </c>
      <c r="AE223" s="58" t="str">
        <f>IF(ISBLANK(Fixtures[[#This Row],[date]]), "N/A", IF(Fixtures[[#This Row],[userScore]] = Fixtures[[#This Row],[homeScore]], Fixtures[[#This Row],[awayScore]], Fixtures[[#This Row],[homeScore]]))</f>
        <v>N/A</v>
      </c>
      <c r="AF223" s="58" t="b">
        <f>NOT(AND(ISBLANK(Fixtures[[#This Row],[homePens]]), ISBLANK(Fixtures[[#This Row],[awayPens]])))</f>
        <v>0</v>
      </c>
      <c r="AG223" s="58" t="str">
        <f>IF(Fixtures[[#This Row],[penalties]], IF(Fixtures[[#This Row],[userSide]]="H", Fixtures[[#This Row],[homePens]], Fixtures[[#This Row],[awayPens]]), "N/A")</f>
        <v>N/A</v>
      </c>
      <c r="AH223" s="58" t="str">
        <f>IF(Fixtures[[#This Row],[penalties]], IF(Fixtures[[#This Row],[userPens]]=Fixtures[[#This Row],[homePens]],Fixtures[[#This Row],[awayPens]],Fixtures[[#This Row],[homePens]]), "N/A")</f>
        <v>N/A</v>
      </c>
      <c r="AI223" s="58" t="b">
        <f>COUNTBLANK(Fixtures[[#This Row],[G]:[MOTM]]) = 0</f>
        <v>0</v>
      </c>
      <c r="AJ223" s="58" t="str">
        <f>IF(Fixtures[[#This Row],[APP]], Fixtures[[#This Row],[G]]+Fixtures[[#This Row],[A]], "N/A")</f>
        <v>N/A</v>
      </c>
      <c r="AK2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4" spans="1:39" ht="13">
      <c r="A224" s="55"/>
      <c r="B224" s="61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7"/>
      <c r="R224" s="56"/>
      <c r="S224" s="58" t="str" cm="1">
        <f t="array" ref="S224">_xlfn._xlws.FILTER(Competitions[compType], (Fixtures[[#This Row],[competition]] = Competitions[name]), "N/A")</f>
        <v>N/A</v>
      </c>
      <c r="T224" s="58" t="str" cm="1">
        <f t="array" ref="T224">_xlfn._xlws.FILTER(Competitions[exhibition], (Fixtures[[#This Row],[competition]] = Competitions[name]), "N/A")</f>
        <v>N/A</v>
      </c>
      <c r="U224" s="58" t="str" cm="1">
        <f t="array" ref="U224">_xlfn._xlws.FILTER(Competitions[compID], (Fixtures[[#This Row],[competition]] = Competitions[name]), "N/A")</f>
        <v>N/A</v>
      </c>
      <c r="V2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4" s="58" t="str" cm="1">
        <f t="array" ref="W2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4" s="58" t="str" cm="1">
        <f t="array" ref="X224">_xlfn._xlws.FILTER(Teams[name], (Fixtures[[#This Row],[userTeamID]] = Teams[teamID]), "N/A")</f>
        <v>N/A</v>
      </c>
      <c r="Y224" s="58" t="str" cm="1">
        <f t="array" ref="Y224">_xlfn._xlws.FILTER(Teams[teamType], (Fixtures[[#This Row],[userTeamID]] = Teams[teamID]), "N/A")</f>
        <v>N/A</v>
      </c>
      <c r="Z224" s="58" t="str" cm="1">
        <f t="array" ref="Z2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4" s="58" t="str">
        <f>IF(Fixtures[[#This Row],[userSide]] = "N/A", "N/A", IF(Fixtures[[#This Row],[userSide]] = "H", Fixtures[[#This Row],[awayTeam]], Fixtures[[#This Row],[homeTeam]]))</f>
        <v>N/A</v>
      </c>
      <c r="AB224" s="58" t="str" cm="1">
        <f t="array" ref="AB224">_xlfn._xlws.FILTER(Teams[teamID], Fixtures[[#This Row],[oppTeam]] = Teams[name], "N/A")</f>
        <v>N/A</v>
      </c>
      <c r="AC224" s="58" t="str" cm="1">
        <f t="array" ref="AC224">_xlfn._xlws.FILTER(Teams[teamType], Fixtures[[#This Row],[oppTeam]] = Teams[name], "N/A")</f>
        <v>N/A</v>
      </c>
      <c r="AD224" s="58" t="str">
        <f>IF(ISBLANK(Fixtures[[#This Row],[date]]), "N/A", IF(Fixtures[[#This Row],[userSide]]="H", Fixtures[[#This Row],[homeScore]], Fixtures[[#This Row],[awayScore]]))</f>
        <v>N/A</v>
      </c>
      <c r="AE224" s="58" t="str">
        <f>IF(ISBLANK(Fixtures[[#This Row],[date]]), "N/A", IF(Fixtures[[#This Row],[userScore]] = Fixtures[[#This Row],[homeScore]], Fixtures[[#This Row],[awayScore]], Fixtures[[#This Row],[homeScore]]))</f>
        <v>N/A</v>
      </c>
      <c r="AF224" s="58" t="b">
        <f>NOT(AND(ISBLANK(Fixtures[[#This Row],[homePens]]), ISBLANK(Fixtures[[#This Row],[awayPens]])))</f>
        <v>0</v>
      </c>
      <c r="AG224" s="58" t="str">
        <f>IF(Fixtures[[#This Row],[penalties]], IF(Fixtures[[#This Row],[userSide]]="H", Fixtures[[#This Row],[homePens]], Fixtures[[#This Row],[awayPens]]), "N/A")</f>
        <v>N/A</v>
      </c>
      <c r="AH224" s="58" t="str">
        <f>IF(Fixtures[[#This Row],[penalties]], IF(Fixtures[[#This Row],[userPens]]=Fixtures[[#This Row],[homePens]],Fixtures[[#This Row],[awayPens]],Fixtures[[#This Row],[homePens]]), "N/A")</f>
        <v>N/A</v>
      </c>
      <c r="AI224" s="58" t="b">
        <f>COUNTBLANK(Fixtures[[#This Row],[G]:[MOTM]]) = 0</f>
        <v>0</v>
      </c>
      <c r="AJ224" s="58" t="str">
        <f>IF(Fixtures[[#This Row],[APP]], Fixtures[[#This Row],[G]]+Fixtures[[#This Row],[A]], "N/A")</f>
        <v>N/A</v>
      </c>
      <c r="AK2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5" spans="1:39" ht="13">
      <c r="A225" s="55"/>
      <c r="B225" s="61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7"/>
      <c r="R225" s="56"/>
      <c r="S225" s="58" t="str" cm="1">
        <f t="array" ref="S225">_xlfn._xlws.FILTER(Competitions[compType], (Fixtures[[#This Row],[competition]] = Competitions[name]), "N/A")</f>
        <v>N/A</v>
      </c>
      <c r="T225" s="58" t="str" cm="1">
        <f t="array" ref="T225">_xlfn._xlws.FILTER(Competitions[exhibition], (Fixtures[[#This Row],[competition]] = Competitions[name]), "N/A")</f>
        <v>N/A</v>
      </c>
      <c r="U225" s="58" t="str" cm="1">
        <f t="array" ref="U225">_xlfn._xlws.FILTER(Competitions[compID], (Fixtures[[#This Row],[competition]] = Competitions[name]), "N/A")</f>
        <v>N/A</v>
      </c>
      <c r="V2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5" s="58" t="str" cm="1">
        <f t="array" ref="W2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5" s="58" t="str" cm="1">
        <f t="array" ref="X225">_xlfn._xlws.FILTER(Teams[name], (Fixtures[[#This Row],[userTeamID]] = Teams[teamID]), "N/A")</f>
        <v>N/A</v>
      </c>
      <c r="Y225" s="58" t="str" cm="1">
        <f t="array" ref="Y225">_xlfn._xlws.FILTER(Teams[teamType], (Fixtures[[#This Row],[userTeamID]] = Teams[teamID]), "N/A")</f>
        <v>N/A</v>
      </c>
      <c r="Z225" s="58" t="str" cm="1">
        <f t="array" ref="Z2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5" s="58" t="str">
        <f>IF(Fixtures[[#This Row],[userSide]] = "N/A", "N/A", IF(Fixtures[[#This Row],[userSide]] = "H", Fixtures[[#This Row],[awayTeam]], Fixtures[[#This Row],[homeTeam]]))</f>
        <v>N/A</v>
      </c>
      <c r="AB225" s="58" t="str" cm="1">
        <f t="array" ref="AB225">_xlfn._xlws.FILTER(Teams[teamID], Fixtures[[#This Row],[oppTeam]] = Teams[name], "N/A")</f>
        <v>N/A</v>
      </c>
      <c r="AC225" s="58" t="str" cm="1">
        <f t="array" ref="AC225">_xlfn._xlws.FILTER(Teams[teamType], Fixtures[[#This Row],[oppTeam]] = Teams[name], "N/A")</f>
        <v>N/A</v>
      </c>
      <c r="AD225" s="58" t="str">
        <f>IF(ISBLANK(Fixtures[[#This Row],[date]]), "N/A", IF(Fixtures[[#This Row],[userSide]]="H", Fixtures[[#This Row],[homeScore]], Fixtures[[#This Row],[awayScore]]))</f>
        <v>N/A</v>
      </c>
      <c r="AE225" s="58" t="str">
        <f>IF(ISBLANK(Fixtures[[#This Row],[date]]), "N/A", IF(Fixtures[[#This Row],[userScore]] = Fixtures[[#This Row],[homeScore]], Fixtures[[#This Row],[awayScore]], Fixtures[[#This Row],[homeScore]]))</f>
        <v>N/A</v>
      </c>
      <c r="AF225" s="58" t="b">
        <f>NOT(AND(ISBLANK(Fixtures[[#This Row],[homePens]]), ISBLANK(Fixtures[[#This Row],[awayPens]])))</f>
        <v>0</v>
      </c>
      <c r="AG225" s="58" t="str">
        <f>IF(Fixtures[[#This Row],[penalties]], IF(Fixtures[[#This Row],[userSide]]="H", Fixtures[[#This Row],[homePens]], Fixtures[[#This Row],[awayPens]]), "N/A")</f>
        <v>N/A</v>
      </c>
      <c r="AH225" s="58" t="str">
        <f>IF(Fixtures[[#This Row],[penalties]], IF(Fixtures[[#This Row],[userPens]]=Fixtures[[#This Row],[homePens]],Fixtures[[#This Row],[awayPens]],Fixtures[[#This Row],[homePens]]), "N/A")</f>
        <v>N/A</v>
      </c>
      <c r="AI225" s="58" t="b">
        <f>COUNTBLANK(Fixtures[[#This Row],[G]:[MOTM]]) = 0</f>
        <v>0</v>
      </c>
      <c r="AJ225" s="58" t="str">
        <f>IF(Fixtures[[#This Row],[APP]], Fixtures[[#This Row],[G]]+Fixtures[[#This Row],[A]], "N/A")</f>
        <v>N/A</v>
      </c>
      <c r="AK2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6" spans="1:39" ht="13">
      <c r="A226" s="55"/>
      <c r="B226" s="61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7"/>
      <c r="R226" s="56"/>
      <c r="S226" s="58" t="str" cm="1">
        <f t="array" ref="S226">_xlfn._xlws.FILTER(Competitions[compType], (Fixtures[[#This Row],[competition]] = Competitions[name]), "N/A")</f>
        <v>N/A</v>
      </c>
      <c r="T226" s="58" t="str" cm="1">
        <f t="array" ref="T226">_xlfn._xlws.FILTER(Competitions[exhibition], (Fixtures[[#This Row],[competition]] = Competitions[name]), "N/A")</f>
        <v>N/A</v>
      </c>
      <c r="U226" s="58" t="str" cm="1">
        <f t="array" ref="U226">_xlfn._xlws.FILTER(Competitions[compID], (Fixtures[[#This Row],[competition]] = Competitions[name]), "N/A")</f>
        <v>N/A</v>
      </c>
      <c r="V2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6" s="58" t="str" cm="1">
        <f t="array" ref="W2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6" s="58" t="str" cm="1">
        <f t="array" ref="X226">_xlfn._xlws.FILTER(Teams[name], (Fixtures[[#This Row],[userTeamID]] = Teams[teamID]), "N/A")</f>
        <v>N/A</v>
      </c>
      <c r="Y226" s="58" t="str" cm="1">
        <f t="array" ref="Y226">_xlfn._xlws.FILTER(Teams[teamType], (Fixtures[[#This Row],[userTeamID]] = Teams[teamID]), "N/A")</f>
        <v>N/A</v>
      </c>
      <c r="Z226" s="58" t="str" cm="1">
        <f t="array" ref="Z2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6" s="58" t="str">
        <f>IF(Fixtures[[#This Row],[userSide]] = "N/A", "N/A", IF(Fixtures[[#This Row],[userSide]] = "H", Fixtures[[#This Row],[awayTeam]], Fixtures[[#This Row],[homeTeam]]))</f>
        <v>N/A</v>
      </c>
      <c r="AB226" s="58" t="str" cm="1">
        <f t="array" ref="AB226">_xlfn._xlws.FILTER(Teams[teamID], Fixtures[[#This Row],[oppTeam]] = Teams[name], "N/A")</f>
        <v>N/A</v>
      </c>
      <c r="AC226" s="58" t="str" cm="1">
        <f t="array" ref="AC226">_xlfn._xlws.FILTER(Teams[teamType], Fixtures[[#This Row],[oppTeam]] = Teams[name], "N/A")</f>
        <v>N/A</v>
      </c>
      <c r="AD226" s="58" t="str">
        <f>IF(ISBLANK(Fixtures[[#This Row],[date]]), "N/A", IF(Fixtures[[#This Row],[userSide]]="H", Fixtures[[#This Row],[homeScore]], Fixtures[[#This Row],[awayScore]]))</f>
        <v>N/A</v>
      </c>
      <c r="AE226" s="58" t="str">
        <f>IF(ISBLANK(Fixtures[[#This Row],[date]]), "N/A", IF(Fixtures[[#This Row],[userScore]] = Fixtures[[#This Row],[homeScore]], Fixtures[[#This Row],[awayScore]], Fixtures[[#This Row],[homeScore]]))</f>
        <v>N/A</v>
      </c>
      <c r="AF226" s="58" t="b">
        <f>NOT(AND(ISBLANK(Fixtures[[#This Row],[homePens]]), ISBLANK(Fixtures[[#This Row],[awayPens]])))</f>
        <v>0</v>
      </c>
      <c r="AG226" s="58" t="str">
        <f>IF(Fixtures[[#This Row],[penalties]], IF(Fixtures[[#This Row],[userSide]]="H", Fixtures[[#This Row],[homePens]], Fixtures[[#This Row],[awayPens]]), "N/A")</f>
        <v>N/A</v>
      </c>
      <c r="AH226" s="58" t="str">
        <f>IF(Fixtures[[#This Row],[penalties]], IF(Fixtures[[#This Row],[userPens]]=Fixtures[[#This Row],[homePens]],Fixtures[[#This Row],[awayPens]],Fixtures[[#This Row],[homePens]]), "N/A")</f>
        <v>N/A</v>
      </c>
      <c r="AI226" s="58" t="b">
        <f>COUNTBLANK(Fixtures[[#This Row],[G]:[MOTM]]) = 0</f>
        <v>0</v>
      </c>
      <c r="AJ226" s="58" t="str">
        <f>IF(Fixtures[[#This Row],[APP]], Fixtures[[#This Row],[G]]+Fixtures[[#This Row],[A]], "N/A")</f>
        <v>N/A</v>
      </c>
      <c r="AK2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7" spans="1:39" ht="13">
      <c r="A227" s="55"/>
      <c r="B227" s="61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7"/>
      <c r="R227" s="56"/>
      <c r="S227" s="58" t="str" cm="1">
        <f t="array" ref="S227">_xlfn._xlws.FILTER(Competitions[compType], (Fixtures[[#This Row],[competition]] = Competitions[name]), "N/A")</f>
        <v>N/A</v>
      </c>
      <c r="T227" s="58" t="str" cm="1">
        <f t="array" ref="T227">_xlfn._xlws.FILTER(Competitions[exhibition], (Fixtures[[#This Row],[competition]] = Competitions[name]), "N/A")</f>
        <v>N/A</v>
      </c>
      <c r="U227" s="58" t="str" cm="1">
        <f t="array" ref="U227">_xlfn._xlws.FILTER(Competitions[compID], (Fixtures[[#This Row],[competition]] = Competitions[name]), "N/A")</f>
        <v>N/A</v>
      </c>
      <c r="V2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7" s="58" t="str" cm="1">
        <f t="array" ref="W2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7" s="58" t="str" cm="1">
        <f t="array" ref="X227">_xlfn._xlws.FILTER(Teams[name], (Fixtures[[#This Row],[userTeamID]] = Teams[teamID]), "N/A")</f>
        <v>N/A</v>
      </c>
      <c r="Y227" s="58" t="str" cm="1">
        <f t="array" ref="Y227">_xlfn._xlws.FILTER(Teams[teamType], (Fixtures[[#This Row],[userTeamID]] = Teams[teamID]), "N/A")</f>
        <v>N/A</v>
      </c>
      <c r="Z227" s="58" t="str" cm="1">
        <f t="array" ref="Z2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7" s="58" t="str">
        <f>IF(Fixtures[[#This Row],[userSide]] = "N/A", "N/A", IF(Fixtures[[#This Row],[userSide]] = "H", Fixtures[[#This Row],[awayTeam]], Fixtures[[#This Row],[homeTeam]]))</f>
        <v>N/A</v>
      </c>
      <c r="AB227" s="58" t="str" cm="1">
        <f t="array" ref="AB227">_xlfn._xlws.FILTER(Teams[teamID], Fixtures[[#This Row],[oppTeam]] = Teams[name], "N/A")</f>
        <v>N/A</v>
      </c>
      <c r="AC227" s="58" t="str" cm="1">
        <f t="array" ref="AC227">_xlfn._xlws.FILTER(Teams[teamType], Fixtures[[#This Row],[oppTeam]] = Teams[name], "N/A")</f>
        <v>N/A</v>
      </c>
      <c r="AD227" s="58" t="str">
        <f>IF(ISBLANK(Fixtures[[#This Row],[date]]), "N/A", IF(Fixtures[[#This Row],[userSide]]="H", Fixtures[[#This Row],[homeScore]], Fixtures[[#This Row],[awayScore]]))</f>
        <v>N/A</v>
      </c>
      <c r="AE227" s="58" t="str">
        <f>IF(ISBLANK(Fixtures[[#This Row],[date]]), "N/A", IF(Fixtures[[#This Row],[userScore]] = Fixtures[[#This Row],[homeScore]], Fixtures[[#This Row],[awayScore]], Fixtures[[#This Row],[homeScore]]))</f>
        <v>N/A</v>
      </c>
      <c r="AF227" s="58" t="b">
        <f>NOT(AND(ISBLANK(Fixtures[[#This Row],[homePens]]), ISBLANK(Fixtures[[#This Row],[awayPens]])))</f>
        <v>0</v>
      </c>
      <c r="AG227" s="58" t="str">
        <f>IF(Fixtures[[#This Row],[penalties]], IF(Fixtures[[#This Row],[userSide]]="H", Fixtures[[#This Row],[homePens]], Fixtures[[#This Row],[awayPens]]), "N/A")</f>
        <v>N/A</v>
      </c>
      <c r="AH227" s="58" t="str">
        <f>IF(Fixtures[[#This Row],[penalties]], IF(Fixtures[[#This Row],[userPens]]=Fixtures[[#This Row],[homePens]],Fixtures[[#This Row],[awayPens]],Fixtures[[#This Row],[homePens]]), "N/A")</f>
        <v>N/A</v>
      </c>
      <c r="AI227" s="58" t="b">
        <f>COUNTBLANK(Fixtures[[#This Row],[G]:[MOTM]]) = 0</f>
        <v>0</v>
      </c>
      <c r="AJ227" s="58" t="str">
        <f>IF(Fixtures[[#This Row],[APP]], Fixtures[[#This Row],[G]]+Fixtures[[#This Row],[A]], "N/A")</f>
        <v>N/A</v>
      </c>
      <c r="AK2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8" spans="1:39" ht="13">
      <c r="A228" s="55"/>
      <c r="B228" s="61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7"/>
      <c r="R228" s="56"/>
      <c r="S228" s="58" t="str" cm="1">
        <f t="array" ref="S228">_xlfn._xlws.FILTER(Competitions[compType], (Fixtures[[#This Row],[competition]] = Competitions[name]), "N/A")</f>
        <v>N/A</v>
      </c>
      <c r="T228" s="58" t="str" cm="1">
        <f t="array" ref="T228">_xlfn._xlws.FILTER(Competitions[exhibition], (Fixtures[[#This Row],[competition]] = Competitions[name]), "N/A")</f>
        <v>N/A</v>
      </c>
      <c r="U228" s="58" t="str" cm="1">
        <f t="array" ref="U228">_xlfn._xlws.FILTER(Competitions[compID], (Fixtures[[#This Row],[competition]] = Competitions[name]), "N/A")</f>
        <v>N/A</v>
      </c>
      <c r="V2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8" s="58" t="str" cm="1">
        <f t="array" ref="W2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8" s="58" t="str" cm="1">
        <f t="array" ref="X228">_xlfn._xlws.FILTER(Teams[name], (Fixtures[[#This Row],[userTeamID]] = Teams[teamID]), "N/A")</f>
        <v>N/A</v>
      </c>
      <c r="Y228" s="58" t="str" cm="1">
        <f t="array" ref="Y228">_xlfn._xlws.FILTER(Teams[teamType], (Fixtures[[#This Row],[userTeamID]] = Teams[teamID]), "N/A")</f>
        <v>N/A</v>
      </c>
      <c r="Z228" s="58" t="str" cm="1">
        <f t="array" ref="Z2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8" s="58" t="str">
        <f>IF(Fixtures[[#This Row],[userSide]] = "N/A", "N/A", IF(Fixtures[[#This Row],[userSide]] = "H", Fixtures[[#This Row],[awayTeam]], Fixtures[[#This Row],[homeTeam]]))</f>
        <v>N/A</v>
      </c>
      <c r="AB228" s="58" t="str" cm="1">
        <f t="array" ref="AB228">_xlfn._xlws.FILTER(Teams[teamID], Fixtures[[#This Row],[oppTeam]] = Teams[name], "N/A")</f>
        <v>N/A</v>
      </c>
      <c r="AC228" s="58" t="str" cm="1">
        <f t="array" ref="AC228">_xlfn._xlws.FILTER(Teams[teamType], Fixtures[[#This Row],[oppTeam]] = Teams[name], "N/A")</f>
        <v>N/A</v>
      </c>
      <c r="AD228" s="58" t="str">
        <f>IF(ISBLANK(Fixtures[[#This Row],[date]]), "N/A", IF(Fixtures[[#This Row],[userSide]]="H", Fixtures[[#This Row],[homeScore]], Fixtures[[#This Row],[awayScore]]))</f>
        <v>N/A</v>
      </c>
      <c r="AE228" s="58" t="str">
        <f>IF(ISBLANK(Fixtures[[#This Row],[date]]), "N/A", IF(Fixtures[[#This Row],[userScore]] = Fixtures[[#This Row],[homeScore]], Fixtures[[#This Row],[awayScore]], Fixtures[[#This Row],[homeScore]]))</f>
        <v>N/A</v>
      </c>
      <c r="AF228" s="58" t="b">
        <f>NOT(AND(ISBLANK(Fixtures[[#This Row],[homePens]]), ISBLANK(Fixtures[[#This Row],[awayPens]])))</f>
        <v>0</v>
      </c>
      <c r="AG228" s="58" t="str">
        <f>IF(Fixtures[[#This Row],[penalties]], IF(Fixtures[[#This Row],[userSide]]="H", Fixtures[[#This Row],[homePens]], Fixtures[[#This Row],[awayPens]]), "N/A")</f>
        <v>N/A</v>
      </c>
      <c r="AH228" s="58" t="str">
        <f>IF(Fixtures[[#This Row],[penalties]], IF(Fixtures[[#This Row],[userPens]]=Fixtures[[#This Row],[homePens]],Fixtures[[#This Row],[awayPens]],Fixtures[[#This Row],[homePens]]), "N/A")</f>
        <v>N/A</v>
      </c>
      <c r="AI228" s="58" t="b">
        <f>COUNTBLANK(Fixtures[[#This Row],[G]:[MOTM]]) = 0</f>
        <v>0</v>
      </c>
      <c r="AJ228" s="58" t="str">
        <f>IF(Fixtures[[#This Row],[APP]], Fixtures[[#This Row],[G]]+Fixtures[[#This Row],[A]], "N/A")</f>
        <v>N/A</v>
      </c>
      <c r="AK2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29" spans="1:39" ht="13">
      <c r="A229" s="55"/>
      <c r="B229" s="61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7"/>
      <c r="R229" s="56"/>
      <c r="S229" s="58" t="str" cm="1">
        <f t="array" ref="S229">_xlfn._xlws.FILTER(Competitions[compType], (Fixtures[[#This Row],[competition]] = Competitions[name]), "N/A")</f>
        <v>N/A</v>
      </c>
      <c r="T229" s="58" t="str" cm="1">
        <f t="array" ref="T229">_xlfn._xlws.FILTER(Competitions[exhibition], (Fixtures[[#This Row],[competition]] = Competitions[name]), "N/A")</f>
        <v>N/A</v>
      </c>
      <c r="U229" s="58" t="str" cm="1">
        <f t="array" ref="U229">_xlfn._xlws.FILTER(Competitions[compID], (Fixtures[[#This Row],[competition]] = Competitions[name]), "N/A")</f>
        <v>N/A</v>
      </c>
      <c r="V2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29" s="58" t="str" cm="1">
        <f t="array" ref="W2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29" s="58" t="str" cm="1">
        <f t="array" ref="X229">_xlfn._xlws.FILTER(Teams[name], (Fixtures[[#This Row],[userTeamID]] = Teams[teamID]), "N/A")</f>
        <v>N/A</v>
      </c>
      <c r="Y229" s="58" t="str" cm="1">
        <f t="array" ref="Y229">_xlfn._xlws.FILTER(Teams[teamType], (Fixtures[[#This Row],[userTeamID]] = Teams[teamID]), "N/A")</f>
        <v>N/A</v>
      </c>
      <c r="Z229" s="58" t="str" cm="1">
        <f t="array" ref="Z2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29" s="58" t="str">
        <f>IF(Fixtures[[#This Row],[userSide]] = "N/A", "N/A", IF(Fixtures[[#This Row],[userSide]] = "H", Fixtures[[#This Row],[awayTeam]], Fixtures[[#This Row],[homeTeam]]))</f>
        <v>N/A</v>
      </c>
      <c r="AB229" s="58" t="str" cm="1">
        <f t="array" ref="AB229">_xlfn._xlws.FILTER(Teams[teamID], Fixtures[[#This Row],[oppTeam]] = Teams[name], "N/A")</f>
        <v>N/A</v>
      </c>
      <c r="AC229" s="58" t="str" cm="1">
        <f t="array" ref="AC229">_xlfn._xlws.FILTER(Teams[teamType], Fixtures[[#This Row],[oppTeam]] = Teams[name], "N/A")</f>
        <v>N/A</v>
      </c>
      <c r="AD229" s="58" t="str">
        <f>IF(ISBLANK(Fixtures[[#This Row],[date]]), "N/A", IF(Fixtures[[#This Row],[userSide]]="H", Fixtures[[#This Row],[homeScore]], Fixtures[[#This Row],[awayScore]]))</f>
        <v>N/A</v>
      </c>
      <c r="AE229" s="58" t="str">
        <f>IF(ISBLANK(Fixtures[[#This Row],[date]]), "N/A", IF(Fixtures[[#This Row],[userScore]] = Fixtures[[#This Row],[homeScore]], Fixtures[[#This Row],[awayScore]], Fixtures[[#This Row],[homeScore]]))</f>
        <v>N/A</v>
      </c>
      <c r="AF229" s="58" t="b">
        <f>NOT(AND(ISBLANK(Fixtures[[#This Row],[homePens]]), ISBLANK(Fixtures[[#This Row],[awayPens]])))</f>
        <v>0</v>
      </c>
      <c r="AG229" s="58" t="str">
        <f>IF(Fixtures[[#This Row],[penalties]], IF(Fixtures[[#This Row],[userSide]]="H", Fixtures[[#This Row],[homePens]], Fixtures[[#This Row],[awayPens]]), "N/A")</f>
        <v>N/A</v>
      </c>
      <c r="AH229" s="58" t="str">
        <f>IF(Fixtures[[#This Row],[penalties]], IF(Fixtures[[#This Row],[userPens]]=Fixtures[[#This Row],[homePens]],Fixtures[[#This Row],[awayPens]],Fixtures[[#This Row],[homePens]]), "N/A")</f>
        <v>N/A</v>
      </c>
      <c r="AI229" s="58" t="b">
        <f>COUNTBLANK(Fixtures[[#This Row],[G]:[MOTM]]) = 0</f>
        <v>0</v>
      </c>
      <c r="AJ229" s="58" t="str">
        <f>IF(Fixtures[[#This Row],[APP]], Fixtures[[#This Row],[G]]+Fixtures[[#This Row],[A]], "N/A")</f>
        <v>N/A</v>
      </c>
      <c r="AK2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0" spans="1:39" ht="13">
      <c r="A230" s="55"/>
      <c r="B230" s="61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7"/>
      <c r="R230" s="56"/>
      <c r="S230" s="58" t="str" cm="1">
        <f t="array" ref="S230">_xlfn._xlws.FILTER(Competitions[compType], (Fixtures[[#This Row],[competition]] = Competitions[name]), "N/A")</f>
        <v>N/A</v>
      </c>
      <c r="T230" s="58" t="str" cm="1">
        <f t="array" ref="T230">_xlfn._xlws.FILTER(Competitions[exhibition], (Fixtures[[#This Row],[competition]] = Competitions[name]), "N/A")</f>
        <v>N/A</v>
      </c>
      <c r="U230" s="58" t="str" cm="1">
        <f t="array" ref="U230">_xlfn._xlws.FILTER(Competitions[compID], (Fixtures[[#This Row],[competition]] = Competitions[name]), "N/A")</f>
        <v>N/A</v>
      </c>
      <c r="V2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0" s="58" t="str" cm="1">
        <f t="array" ref="W2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0" s="58" t="str" cm="1">
        <f t="array" ref="X230">_xlfn._xlws.FILTER(Teams[name], (Fixtures[[#This Row],[userTeamID]] = Teams[teamID]), "N/A")</f>
        <v>N/A</v>
      </c>
      <c r="Y230" s="58" t="str" cm="1">
        <f t="array" ref="Y230">_xlfn._xlws.FILTER(Teams[teamType], (Fixtures[[#This Row],[userTeamID]] = Teams[teamID]), "N/A")</f>
        <v>N/A</v>
      </c>
      <c r="Z230" s="58" t="str" cm="1">
        <f t="array" ref="Z2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0" s="58" t="str">
        <f>IF(Fixtures[[#This Row],[userSide]] = "N/A", "N/A", IF(Fixtures[[#This Row],[userSide]] = "H", Fixtures[[#This Row],[awayTeam]], Fixtures[[#This Row],[homeTeam]]))</f>
        <v>N/A</v>
      </c>
      <c r="AB230" s="58" t="str" cm="1">
        <f t="array" ref="AB230">_xlfn._xlws.FILTER(Teams[teamID], Fixtures[[#This Row],[oppTeam]] = Teams[name], "N/A")</f>
        <v>N/A</v>
      </c>
      <c r="AC230" s="58" t="str" cm="1">
        <f t="array" ref="AC230">_xlfn._xlws.FILTER(Teams[teamType], Fixtures[[#This Row],[oppTeam]] = Teams[name], "N/A")</f>
        <v>N/A</v>
      </c>
      <c r="AD230" s="58" t="str">
        <f>IF(ISBLANK(Fixtures[[#This Row],[date]]), "N/A", IF(Fixtures[[#This Row],[userSide]]="H", Fixtures[[#This Row],[homeScore]], Fixtures[[#This Row],[awayScore]]))</f>
        <v>N/A</v>
      </c>
      <c r="AE230" s="58" t="str">
        <f>IF(ISBLANK(Fixtures[[#This Row],[date]]), "N/A", IF(Fixtures[[#This Row],[userScore]] = Fixtures[[#This Row],[homeScore]], Fixtures[[#This Row],[awayScore]], Fixtures[[#This Row],[homeScore]]))</f>
        <v>N/A</v>
      </c>
      <c r="AF230" s="58" t="b">
        <f>NOT(AND(ISBLANK(Fixtures[[#This Row],[homePens]]), ISBLANK(Fixtures[[#This Row],[awayPens]])))</f>
        <v>0</v>
      </c>
      <c r="AG230" s="58" t="str">
        <f>IF(Fixtures[[#This Row],[penalties]], IF(Fixtures[[#This Row],[userSide]]="H", Fixtures[[#This Row],[homePens]], Fixtures[[#This Row],[awayPens]]), "N/A")</f>
        <v>N/A</v>
      </c>
      <c r="AH230" s="58" t="str">
        <f>IF(Fixtures[[#This Row],[penalties]], IF(Fixtures[[#This Row],[userPens]]=Fixtures[[#This Row],[homePens]],Fixtures[[#This Row],[awayPens]],Fixtures[[#This Row],[homePens]]), "N/A")</f>
        <v>N/A</v>
      </c>
      <c r="AI230" s="58" t="b">
        <f>COUNTBLANK(Fixtures[[#This Row],[G]:[MOTM]]) = 0</f>
        <v>0</v>
      </c>
      <c r="AJ230" s="58" t="str">
        <f>IF(Fixtures[[#This Row],[APP]], Fixtures[[#This Row],[G]]+Fixtures[[#This Row],[A]], "N/A")</f>
        <v>N/A</v>
      </c>
      <c r="AK2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1" spans="1:39" ht="13">
      <c r="A231" s="55"/>
      <c r="B231" s="61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7"/>
      <c r="R231" s="56"/>
      <c r="S231" s="58" t="str" cm="1">
        <f t="array" ref="S231">_xlfn._xlws.FILTER(Competitions[compType], (Fixtures[[#This Row],[competition]] = Competitions[name]), "N/A")</f>
        <v>N/A</v>
      </c>
      <c r="T231" s="58" t="str" cm="1">
        <f t="array" ref="T231">_xlfn._xlws.FILTER(Competitions[exhibition], (Fixtures[[#This Row],[competition]] = Competitions[name]), "N/A")</f>
        <v>N/A</v>
      </c>
      <c r="U231" s="58" t="str" cm="1">
        <f t="array" ref="U231">_xlfn._xlws.FILTER(Competitions[compID], (Fixtures[[#This Row],[competition]] = Competitions[name]), "N/A")</f>
        <v>N/A</v>
      </c>
      <c r="V2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1" s="58" t="str" cm="1">
        <f t="array" ref="W2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1" s="58" t="str" cm="1">
        <f t="array" ref="X231">_xlfn._xlws.FILTER(Teams[name], (Fixtures[[#This Row],[userTeamID]] = Teams[teamID]), "N/A")</f>
        <v>N/A</v>
      </c>
      <c r="Y231" s="58" t="str" cm="1">
        <f t="array" ref="Y231">_xlfn._xlws.FILTER(Teams[teamType], (Fixtures[[#This Row],[userTeamID]] = Teams[teamID]), "N/A")</f>
        <v>N/A</v>
      </c>
      <c r="Z231" s="58" t="str" cm="1">
        <f t="array" ref="Z2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1" s="58" t="str">
        <f>IF(Fixtures[[#This Row],[userSide]] = "N/A", "N/A", IF(Fixtures[[#This Row],[userSide]] = "H", Fixtures[[#This Row],[awayTeam]], Fixtures[[#This Row],[homeTeam]]))</f>
        <v>N/A</v>
      </c>
      <c r="AB231" s="58" t="str" cm="1">
        <f t="array" ref="AB231">_xlfn._xlws.FILTER(Teams[teamID], Fixtures[[#This Row],[oppTeam]] = Teams[name], "N/A")</f>
        <v>N/A</v>
      </c>
      <c r="AC231" s="58" t="str" cm="1">
        <f t="array" ref="AC231">_xlfn._xlws.FILTER(Teams[teamType], Fixtures[[#This Row],[oppTeam]] = Teams[name], "N/A")</f>
        <v>N/A</v>
      </c>
      <c r="AD231" s="58" t="str">
        <f>IF(ISBLANK(Fixtures[[#This Row],[date]]), "N/A", IF(Fixtures[[#This Row],[userSide]]="H", Fixtures[[#This Row],[homeScore]], Fixtures[[#This Row],[awayScore]]))</f>
        <v>N/A</v>
      </c>
      <c r="AE231" s="58" t="str">
        <f>IF(ISBLANK(Fixtures[[#This Row],[date]]), "N/A", IF(Fixtures[[#This Row],[userScore]] = Fixtures[[#This Row],[homeScore]], Fixtures[[#This Row],[awayScore]], Fixtures[[#This Row],[homeScore]]))</f>
        <v>N/A</v>
      </c>
      <c r="AF231" s="58" t="b">
        <f>NOT(AND(ISBLANK(Fixtures[[#This Row],[homePens]]), ISBLANK(Fixtures[[#This Row],[awayPens]])))</f>
        <v>0</v>
      </c>
      <c r="AG231" s="58" t="str">
        <f>IF(Fixtures[[#This Row],[penalties]], IF(Fixtures[[#This Row],[userSide]]="H", Fixtures[[#This Row],[homePens]], Fixtures[[#This Row],[awayPens]]), "N/A")</f>
        <v>N/A</v>
      </c>
      <c r="AH231" s="58" t="str">
        <f>IF(Fixtures[[#This Row],[penalties]], IF(Fixtures[[#This Row],[userPens]]=Fixtures[[#This Row],[homePens]],Fixtures[[#This Row],[awayPens]],Fixtures[[#This Row],[homePens]]), "N/A")</f>
        <v>N/A</v>
      </c>
      <c r="AI231" s="58" t="b">
        <f>COUNTBLANK(Fixtures[[#This Row],[G]:[MOTM]]) = 0</f>
        <v>0</v>
      </c>
      <c r="AJ231" s="58" t="str">
        <f>IF(Fixtures[[#This Row],[APP]], Fixtures[[#This Row],[G]]+Fixtures[[#This Row],[A]], "N/A")</f>
        <v>N/A</v>
      </c>
      <c r="AK2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2" spans="1:39" ht="13">
      <c r="A232" s="55"/>
      <c r="B232" s="61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7"/>
      <c r="R232" s="56"/>
      <c r="S232" s="58" t="str" cm="1">
        <f t="array" ref="S232">_xlfn._xlws.FILTER(Competitions[compType], (Fixtures[[#This Row],[competition]] = Competitions[name]), "N/A")</f>
        <v>N/A</v>
      </c>
      <c r="T232" s="58" t="str" cm="1">
        <f t="array" ref="T232">_xlfn._xlws.FILTER(Competitions[exhibition], (Fixtures[[#This Row],[competition]] = Competitions[name]), "N/A")</f>
        <v>N/A</v>
      </c>
      <c r="U232" s="58" t="str" cm="1">
        <f t="array" ref="U232">_xlfn._xlws.FILTER(Competitions[compID], (Fixtures[[#This Row],[competition]] = Competitions[name]), "N/A")</f>
        <v>N/A</v>
      </c>
      <c r="V2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2" s="58" t="str" cm="1">
        <f t="array" ref="W2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2" s="58" t="str" cm="1">
        <f t="array" ref="X232">_xlfn._xlws.FILTER(Teams[name], (Fixtures[[#This Row],[userTeamID]] = Teams[teamID]), "N/A")</f>
        <v>N/A</v>
      </c>
      <c r="Y232" s="58" t="str" cm="1">
        <f t="array" ref="Y232">_xlfn._xlws.FILTER(Teams[teamType], (Fixtures[[#This Row],[userTeamID]] = Teams[teamID]), "N/A")</f>
        <v>N/A</v>
      </c>
      <c r="Z232" s="58" t="str" cm="1">
        <f t="array" ref="Z2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2" s="58" t="str">
        <f>IF(Fixtures[[#This Row],[userSide]] = "N/A", "N/A", IF(Fixtures[[#This Row],[userSide]] = "H", Fixtures[[#This Row],[awayTeam]], Fixtures[[#This Row],[homeTeam]]))</f>
        <v>N/A</v>
      </c>
      <c r="AB232" s="58" t="str" cm="1">
        <f t="array" ref="AB232">_xlfn._xlws.FILTER(Teams[teamID], Fixtures[[#This Row],[oppTeam]] = Teams[name], "N/A")</f>
        <v>N/A</v>
      </c>
      <c r="AC232" s="58" t="str" cm="1">
        <f t="array" ref="AC232">_xlfn._xlws.FILTER(Teams[teamType], Fixtures[[#This Row],[oppTeam]] = Teams[name], "N/A")</f>
        <v>N/A</v>
      </c>
      <c r="AD232" s="58" t="str">
        <f>IF(ISBLANK(Fixtures[[#This Row],[date]]), "N/A", IF(Fixtures[[#This Row],[userSide]]="H", Fixtures[[#This Row],[homeScore]], Fixtures[[#This Row],[awayScore]]))</f>
        <v>N/A</v>
      </c>
      <c r="AE232" s="58" t="str">
        <f>IF(ISBLANK(Fixtures[[#This Row],[date]]), "N/A", IF(Fixtures[[#This Row],[userScore]] = Fixtures[[#This Row],[homeScore]], Fixtures[[#This Row],[awayScore]], Fixtures[[#This Row],[homeScore]]))</f>
        <v>N/A</v>
      </c>
      <c r="AF232" s="58" t="b">
        <f>NOT(AND(ISBLANK(Fixtures[[#This Row],[homePens]]), ISBLANK(Fixtures[[#This Row],[awayPens]])))</f>
        <v>0</v>
      </c>
      <c r="AG232" s="58" t="str">
        <f>IF(Fixtures[[#This Row],[penalties]], IF(Fixtures[[#This Row],[userSide]]="H", Fixtures[[#This Row],[homePens]], Fixtures[[#This Row],[awayPens]]), "N/A")</f>
        <v>N/A</v>
      </c>
      <c r="AH232" s="58" t="str">
        <f>IF(Fixtures[[#This Row],[penalties]], IF(Fixtures[[#This Row],[userPens]]=Fixtures[[#This Row],[homePens]],Fixtures[[#This Row],[awayPens]],Fixtures[[#This Row],[homePens]]), "N/A")</f>
        <v>N/A</v>
      </c>
      <c r="AI232" s="58" t="b">
        <f>COUNTBLANK(Fixtures[[#This Row],[G]:[MOTM]]) = 0</f>
        <v>0</v>
      </c>
      <c r="AJ232" s="58" t="str">
        <f>IF(Fixtures[[#This Row],[APP]], Fixtures[[#This Row],[G]]+Fixtures[[#This Row],[A]], "N/A")</f>
        <v>N/A</v>
      </c>
      <c r="AK2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3" spans="1:39" ht="13">
      <c r="A233" s="55"/>
      <c r="B233" s="61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7"/>
      <c r="R233" s="56"/>
      <c r="S233" s="58" t="str" cm="1">
        <f t="array" ref="S233">_xlfn._xlws.FILTER(Competitions[compType], (Fixtures[[#This Row],[competition]] = Competitions[name]), "N/A")</f>
        <v>N/A</v>
      </c>
      <c r="T233" s="58" t="str" cm="1">
        <f t="array" ref="T233">_xlfn._xlws.FILTER(Competitions[exhibition], (Fixtures[[#This Row],[competition]] = Competitions[name]), "N/A")</f>
        <v>N/A</v>
      </c>
      <c r="U233" s="58" t="str" cm="1">
        <f t="array" ref="U233">_xlfn._xlws.FILTER(Competitions[compID], (Fixtures[[#This Row],[competition]] = Competitions[name]), "N/A")</f>
        <v>N/A</v>
      </c>
      <c r="V2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3" s="58" t="str" cm="1">
        <f t="array" ref="W2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3" s="58" t="str" cm="1">
        <f t="array" ref="X233">_xlfn._xlws.FILTER(Teams[name], (Fixtures[[#This Row],[userTeamID]] = Teams[teamID]), "N/A")</f>
        <v>N/A</v>
      </c>
      <c r="Y233" s="58" t="str" cm="1">
        <f t="array" ref="Y233">_xlfn._xlws.FILTER(Teams[teamType], (Fixtures[[#This Row],[userTeamID]] = Teams[teamID]), "N/A")</f>
        <v>N/A</v>
      </c>
      <c r="Z233" s="58" t="str" cm="1">
        <f t="array" ref="Z2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3" s="58" t="str">
        <f>IF(Fixtures[[#This Row],[userSide]] = "N/A", "N/A", IF(Fixtures[[#This Row],[userSide]] = "H", Fixtures[[#This Row],[awayTeam]], Fixtures[[#This Row],[homeTeam]]))</f>
        <v>N/A</v>
      </c>
      <c r="AB233" s="58" t="str" cm="1">
        <f t="array" ref="AB233">_xlfn._xlws.FILTER(Teams[teamID], Fixtures[[#This Row],[oppTeam]] = Teams[name], "N/A")</f>
        <v>N/A</v>
      </c>
      <c r="AC233" s="58" t="str" cm="1">
        <f t="array" ref="AC233">_xlfn._xlws.FILTER(Teams[teamType], Fixtures[[#This Row],[oppTeam]] = Teams[name], "N/A")</f>
        <v>N/A</v>
      </c>
      <c r="AD233" s="58" t="str">
        <f>IF(ISBLANK(Fixtures[[#This Row],[date]]), "N/A", IF(Fixtures[[#This Row],[userSide]]="H", Fixtures[[#This Row],[homeScore]], Fixtures[[#This Row],[awayScore]]))</f>
        <v>N/A</v>
      </c>
      <c r="AE233" s="58" t="str">
        <f>IF(ISBLANK(Fixtures[[#This Row],[date]]), "N/A", IF(Fixtures[[#This Row],[userScore]] = Fixtures[[#This Row],[homeScore]], Fixtures[[#This Row],[awayScore]], Fixtures[[#This Row],[homeScore]]))</f>
        <v>N/A</v>
      </c>
      <c r="AF233" s="58" t="b">
        <f>NOT(AND(ISBLANK(Fixtures[[#This Row],[homePens]]), ISBLANK(Fixtures[[#This Row],[awayPens]])))</f>
        <v>0</v>
      </c>
      <c r="AG233" s="58" t="str">
        <f>IF(Fixtures[[#This Row],[penalties]], IF(Fixtures[[#This Row],[userSide]]="H", Fixtures[[#This Row],[homePens]], Fixtures[[#This Row],[awayPens]]), "N/A")</f>
        <v>N/A</v>
      </c>
      <c r="AH233" s="58" t="str">
        <f>IF(Fixtures[[#This Row],[penalties]], IF(Fixtures[[#This Row],[userPens]]=Fixtures[[#This Row],[homePens]],Fixtures[[#This Row],[awayPens]],Fixtures[[#This Row],[homePens]]), "N/A")</f>
        <v>N/A</v>
      </c>
      <c r="AI233" s="58" t="b">
        <f>COUNTBLANK(Fixtures[[#This Row],[G]:[MOTM]]) = 0</f>
        <v>0</v>
      </c>
      <c r="AJ233" s="58" t="str">
        <f>IF(Fixtures[[#This Row],[APP]], Fixtures[[#This Row],[G]]+Fixtures[[#This Row],[A]], "N/A")</f>
        <v>N/A</v>
      </c>
      <c r="AK2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4" spans="1:39" ht="13">
      <c r="A234" s="55"/>
      <c r="B234" s="61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7"/>
      <c r="R234" s="56"/>
      <c r="S234" s="58" t="str" cm="1">
        <f t="array" ref="S234">_xlfn._xlws.FILTER(Competitions[compType], (Fixtures[[#This Row],[competition]] = Competitions[name]), "N/A")</f>
        <v>N/A</v>
      </c>
      <c r="T234" s="58" t="str" cm="1">
        <f t="array" ref="T234">_xlfn._xlws.FILTER(Competitions[exhibition], (Fixtures[[#This Row],[competition]] = Competitions[name]), "N/A")</f>
        <v>N/A</v>
      </c>
      <c r="U234" s="58" t="str" cm="1">
        <f t="array" ref="U234">_xlfn._xlws.FILTER(Competitions[compID], (Fixtures[[#This Row],[competition]] = Competitions[name]), "N/A")</f>
        <v>N/A</v>
      </c>
      <c r="V2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4" s="58" t="str" cm="1">
        <f t="array" ref="W2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4" s="58" t="str" cm="1">
        <f t="array" ref="X234">_xlfn._xlws.FILTER(Teams[name], (Fixtures[[#This Row],[userTeamID]] = Teams[teamID]), "N/A")</f>
        <v>N/A</v>
      </c>
      <c r="Y234" s="58" t="str" cm="1">
        <f t="array" ref="Y234">_xlfn._xlws.FILTER(Teams[teamType], (Fixtures[[#This Row],[userTeamID]] = Teams[teamID]), "N/A")</f>
        <v>N/A</v>
      </c>
      <c r="Z234" s="58" t="str" cm="1">
        <f t="array" ref="Z2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4" s="58" t="str">
        <f>IF(Fixtures[[#This Row],[userSide]] = "N/A", "N/A", IF(Fixtures[[#This Row],[userSide]] = "H", Fixtures[[#This Row],[awayTeam]], Fixtures[[#This Row],[homeTeam]]))</f>
        <v>N/A</v>
      </c>
      <c r="AB234" s="58" t="str" cm="1">
        <f t="array" ref="AB234">_xlfn._xlws.FILTER(Teams[teamID], Fixtures[[#This Row],[oppTeam]] = Teams[name], "N/A")</f>
        <v>N/A</v>
      </c>
      <c r="AC234" s="58" t="str" cm="1">
        <f t="array" ref="AC234">_xlfn._xlws.FILTER(Teams[teamType], Fixtures[[#This Row],[oppTeam]] = Teams[name], "N/A")</f>
        <v>N/A</v>
      </c>
      <c r="AD234" s="58" t="str">
        <f>IF(ISBLANK(Fixtures[[#This Row],[date]]), "N/A", IF(Fixtures[[#This Row],[userSide]]="H", Fixtures[[#This Row],[homeScore]], Fixtures[[#This Row],[awayScore]]))</f>
        <v>N/A</v>
      </c>
      <c r="AE234" s="58" t="str">
        <f>IF(ISBLANK(Fixtures[[#This Row],[date]]), "N/A", IF(Fixtures[[#This Row],[userScore]] = Fixtures[[#This Row],[homeScore]], Fixtures[[#This Row],[awayScore]], Fixtures[[#This Row],[homeScore]]))</f>
        <v>N/A</v>
      </c>
      <c r="AF234" s="58" t="b">
        <f>NOT(AND(ISBLANK(Fixtures[[#This Row],[homePens]]), ISBLANK(Fixtures[[#This Row],[awayPens]])))</f>
        <v>0</v>
      </c>
      <c r="AG234" s="58" t="str">
        <f>IF(Fixtures[[#This Row],[penalties]], IF(Fixtures[[#This Row],[userSide]]="H", Fixtures[[#This Row],[homePens]], Fixtures[[#This Row],[awayPens]]), "N/A")</f>
        <v>N/A</v>
      </c>
      <c r="AH234" s="58" t="str">
        <f>IF(Fixtures[[#This Row],[penalties]], IF(Fixtures[[#This Row],[userPens]]=Fixtures[[#This Row],[homePens]],Fixtures[[#This Row],[awayPens]],Fixtures[[#This Row],[homePens]]), "N/A")</f>
        <v>N/A</v>
      </c>
      <c r="AI234" s="58" t="b">
        <f>COUNTBLANK(Fixtures[[#This Row],[G]:[MOTM]]) = 0</f>
        <v>0</v>
      </c>
      <c r="AJ234" s="58" t="str">
        <f>IF(Fixtures[[#This Row],[APP]], Fixtures[[#This Row],[G]]+Fixtures[[#This Row],[A]], "N/A")</f>
        <v>N/A</v>
      </c>
      <c r="AK2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5" spans="1:39" ht="13">
      <c r="A235" s="55"/>
      <c r="B235" s="61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7"/>
      <c r="R235" s="56"/>
      <c r="S235" s="58" t="str" cm="1">
        <f t="array" ref="S235">_xlfn._xlws.FILTER(Competitions[compType], (Fixtures[[#This Row],[competition]] = Competitions[name]), "N/A")</f>
        <v>N/A</v>
      </c>
      <c r="T235" s="58" t="str" cm="1">
        <f t="array" ref="T235">_xlfn._xlws.FILTER(Competitions[exhibition], (Fixtures[[#This Row],[competition]] = Competitions[name]), "N/A")</f>
        <v>N/A</v>
      </c>
      <c r="U235" s="58" t="str" cm="1">
        <f t="array" ref="U235">_xlfn._xlws.FILTER(Competitions[compID], (Fixtures[[#This Row],[competition]] = Competitions[name]), "N/A")</f>
        <v>N/A</v>
      </c>
      <c r="V2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5" s="58" t="str" cm="1">
        <f t="array" ref="W2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5" s="58" t="str" cm="1">
        <f t="array" ref="X235">_xlfn._xlws.FILTER(Teams[name], (Fixtures[[#This Row],[userTeamID]] = Teams[teamID]), "N/A")</f>
        <v>N/A</v>
      </c>
      <c r="Y235" s="58" t="str" cm="1">
        <f t="array" ref="Y235">_xlfn._xlws.FILTER(Teams[teamType], (Fixtures[[#This Row],[userTeamID]] = Teams[teamID]), "N/A")</f>
        <v>N/A</v>
      </c>
      <c r="Z235" s="58" t="str" cm="1">
        <f t="array" ref="Z2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5" s="58" t="str">
        <f>IF(Fixtures[[#This Row],[userSide]] = "N/A", "N/A", IF(Fixtures[[#This Row],[userSide]] = "H", Fixtures[[#This Row],[awayTeam]], Fixtures[[#This Row],[homeTeam]]))</f>
        <v>N/A</v>
      </c>
      <c r="AB235" s="58" t="str" cm="1">
        <f t="array" ref="AB235">_xlfn._xlws.FILTER(Teams[teamID], Fixtures[[#This Row],[oppTeam]] = Teams[name], "N/A")</f>
        <v>N/A</v>
      </c>
      <c r="AC235" s="58" t="str" cm="1">
        <f t="array" ref="AC235">_xlfn._xlws.FILTER(Teams[teamType], Fixtures[[#This Row],[oppTeam]] = Teams[name], "N/A")</f>
        <v>N/A</v>
      </c>
      <c r="AD235" s="58" t="str">
        <f>IF(ISBLANK(Fixtures[[#This Row],[date]]), "N/A", IF(Fixtures[[#This Row],[userSide]]="H", Fixtures[[#This Row],[homeScore]], Fixtures[[#This Row],[awayScore]]))</f>
        <v>N/A</v>
      </c>
      <c r="AE235" s="58" t="str">
        <f>IF(ISBLANK(Fixtures[[#This Row],[date]]), "N/A", IF(Fixtures[[#This Row],[userScore]] = Fixtures[[#This Row],[homeScore]], Fixtures[[#This Row],[awayScore]], Fixtures[[#This Row],[homeScore]]))</f>
        <v>N/A</v>
      </c>
      <c r="AF235" s="58" t="b">
        <f>NOT(AND(ISBLANK(Fixtures[[#This Row],[homePens]]), ISBLANK(Fixtures[[#This Row],[awayPens]])))</f>
        <v>0</v>
      </c>
      <c r="AG235" s="58" t="str">
        <f>IF(Fixtures[[#This Row],[penalties]], IF(Fixtures[[#This Row],[userSide]]="H", Fixtures[[#This Row],[homePens]], Fixtures[[#This Row],[awayPens]]), "N/A")</f>
        <v>N/A</v>
      </c>
      <c r="AH235" s="58" t="str">
        <f>IF(Fixtures[[#This Row],[penalties]], IF(Fixtures[[#This Row],[userPens]]=Fixtures[[#This Row],[homePens]],Fixtures[[#This Row],[awayPens]],Fixtures[[#This Row],[homePens]]), "N/A")</f>
        <v>N/A</v>
      </c>
      <c r="AI235" s="58" t="b">
        <f>COUNTBLANK(Fixtures[[#This Row],[G]:[MOTM]]) = 0</f>
        <v>0</v>
      </c>
      <c r="AJ235" s="58" t="str">
        <f>IF(Fixtures[[#This Row],[APP]], Fixtures[[#This Row],[G]]+Fixtures[[#This Row],[A]], "N/A")</f>
        <v>N/A</v>
      </c>
      <c r="AK2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6" spans="1:39" ht="13">
      <c r="A236" s="55"/>
      <c r="B236" s="61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7"/>
      <c r="R236" s="56"/>
      <c r="S236" s="58" t="str" cm="1">
        <f t="array" ref="S236">_xlfn._xlws.FILTER(Competitions[compType], (Fixtures[[#This Row],[competition]] = Competitions[name]), "N/A")</f>
        <v>N/A</v>
      </c>
      <c r="T236" s="58" t="str" cm="1">
        <f t="array" ref="T236">_xlfn._xlws.FILTER(Competitions[exhibition], (Fixtures[[#This Row],[competition]] = Competitions[name]), "N/A")</f>
        <v>N/A</v>
      </c>
      <c r="U236" s="58" t="str" cm="1">
        <f t="array" ref="U236">_xlfn._xlws.FILTER(Competitions[compID], (Fixtures[[#This Row],[competition]] = Competitions[name]), "N/A")</f>
        <v>N/A</v>
      </c>
      <c r="V2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6" s="58" t="str" cm="1">
        <f t="array" ref="W2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6" s="58" t="str" cm="1">
        <f t="array" ref="X236">_xlfn._xlws.FILTER(Teams[name], (Fixtures[[#This Row],[userTeamID]] = Teams[teamID]), "N/A")</f>
        <v>N/A</v>
      </c>
      <c r="Y236" s="58" t="str" cm="1">
        <f t="array" ref="Y236">_xlfn._xlws.FILTER(Teams[teamType], (Fixtures[[#This Row],[userTeamID]] = Teams[teamID]), "N/A")</f>
        <v>N/A</v>
      </c>
      <c r="Z236" s="58" t="str" cm="1">
        <f t="array" ref="Z2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6" s="58" t="str">
        <f>IF(Fixtures[[#This Row],[userSide]] = "N/A", "N/A", IF(Fixtures[[#This Row],[userSide]] = "H", Fixtures[[#This Row],[awayTeam]], Fixtures[[#This Row],[homeTeam]]))</f>
        <v>N/A</v>
      </c>
      <c r="AB236" s="58" t="str" cm="1">
        <f t="array" ref="AB236">_xlfn._xlws.FILTER(Teams[teamID], Fixtures[[#This Row],[oppTeam]] = Teams[name], "N/A")</f>
        <v>N/A</v>
      </c>
      <c r="AC236" s="58" t="str" cm="1">
        <f t="array" ref="AC236">_xlfn._xlws.FILTER(Teams[teamType], Fixtures[[#This Row],[oppTeam]] = Teams[name], "N/A")</f>
        <v>N/A</v>
      </c>
      <c r="AD236" s="58" t="str">
        <f>IF(ISBLANK(Fixtures[[#This Row],[date]]), "N/A", IF(Fixtures[[#This Row],[userSide]]="H", Fixtures[[#This Row],[homeScore]], Fixtures[[#This Row],[awayScore]]))</f>
        <v>N/A</v>
      </c>
      <c r="AE236" s="58" t="str">
        <f>IF(ISBLANK(Fixtures[[#This Row],[date]]), "N/A", IF(Fixtures[[#This Row],[userScore]] = Fixtures[[#This Row],[homeScore]], Fixtures[[#This Row],[awayScore]], Fixtures[[#This Row],[homeScore]]))</f>
        <v>N/A</v>
      </c>
      <c r="AF236" s="58" t="b">
        <f>NOT(AND(ISBLANK(Fixtures[[#This Row],[homePens]]), ISBLANK(Fixtures[[#This Row],[awayPens]])))</f>
        <v>0</v>
      </c>
      <c r="AG236" s="58" t="str">
        <f>IF(Fixtures[[#This Row],[penalties]], IF(Fixtures[[#This Row],[userSide]]="H", Fixtures[[#This Row],[homePens]], Fixtures[[#This Row],[awayPens]]), "N/A")</f>
        <v>N/A</v>
      </c>
      <c r="AH236" s="58" t="str">
        <f>IF(Fixtures[[#This Row],[penalties]], IF(Fixtures[[#This Row],[userPens]]=Fixtures[[#This Row],[homePens]],Fixtures[[#This Row],[awayPens]],Fixtures[[#This Row],[homePens]]), "N/A")</f>
        <v>N/A</v>
      </c>
      <c r="AI236" s="58" t="b">
        <f>COUNTBLANK(Fixtures[[#This Row],[G]:[MOTM]]) = 0</f>
        <v>0</v>
      </c>
      <c r="AJ236" s="58" t="str">
        <f>IF(Fixtures[[#This Row],[APP]], Fixtures[[#This Row],[G]]+Fixtures[[#This Row],[A]], "N/A")</f>
        <v>N/A</v>
      </c>
      <c r="AK2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7" spans="1:39" ht="13">
      <c r="A237" s="55"/>
      <c r="B237" s="61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7"/>
      <c r="R237" s="56"/>
      <c r="S237" s="58" t="str" cm="1">
        <f t="array" ref="S237">_xlfn._xlws.FILTER(Competitions[compType], (Fixtures[[#This Row],[competition]] = Competitions[name]), "N/A")</f>
        <v>N/A</v>
      </c>
      <c r="T237" s="58" t="str" cm="1">
        <f t="array" ref="T237">_xlfn._xlws.FILTER(Competitions[exhibition], (Fixtures[[#This Row],[competition]] = Competitions[name]), "N/A")</f>
        <v>N/A</v>
      </c>
      <c r="U237" s="58" t="str" cm="1">
        <f t="array" ref="U237">_xlfn._xlws.FILTER(Competitions[compID], (Fixtures[[#This Row],[competition]] = Competitions[name]), "N/A")</f>
        <v>N/A</v>
      </c>
      <c r="V2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7" s="58" t="str" cm="1">
        <f t="array" ref="W2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7" s="58" t="str" cm="1">
        <f t="array" ref="X237">_xlfn._xlws.FILTER(Teams[name], (Fixtures[[#This Row],[userTeamID]] = Teams[teamID]), "N/A")</f>
        <v>N/A</v>
      </c>
      <c r="Y237" s="58" t="str" cm="1">
        <f t="array" ref="Y237">_xlfn._xlws.FILTER(Teams[teamType], (Fixtures[[#This Row],[userTeamID]] = Teams[teamID]), "N/A")</f>
        <v>N/A</v>
      </c>
      <c r="Z237" s="58" t="str" cm="1">
        <f t="array" ref="Z2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7" s="58" t="str">
        <f>IF(Fixtures[[#This Row],[userSide]] = "N/A", "N/A", IF(Fixtures[[#This Row],[userSide]] = "H", Fixtures[[#This Row],[awayTeam]], Fixtures[[#This Row],[homeTeam]]))</f>
        <v>N/A</v>
      </c>
      <c r="AB237" s="58" t="str" cm="1">
        <f t="array" ref="AB237">_xlfn._xlws.FILTER(Teams[teamID], Fixtures[[#This Row],[oppTeam]] = Teams[name], "N/A")</f>
        <v>N/A</v>
      </c>
      <c r="AC237" s="58" t="str" cm="1">
        <f t="array" ref="AC237">_xlfn._xlws.FILTER(Teams[teamType], Fixtures[[#This Row],[oppTeam]] = Teams[name], "N/A")</f>
        <v>N/A</v>
      </c>
      <c r="AD237" s="58" t="str">
        <f>IF(ISBLANK(Fixtures[[#This Row],[date]]), "N/A", IF(Fixtures[[#This Row],[userSide]]="H", Fixtures[[#This Row],[homeScore]], Fixtures[[#This Row],[awayScore]]))</f>
        <v>N/A</v>
      </c>
      <c r="AE237" s="58" t="str">
        <f>IF(ISBLANK(Fixtures[[#This Row],[date]]), "N/A", IF(Fixtures[[#This Row],[userScore]] = Fixtures[[#This Row],[homeScore]], Fixtures[[#This Row],[awayScore]], Fixtures[[#This Row],[homeScore]]))</f>
        <v>N/A</v>
      </c>
      <c r="AF237" s="58" t="b">
        <f>NOT(AND(ISBLANK(Fixtures[[#This Row],[homePens]]), ISBLANK(Fixtures[[#This Row],[awayPens]])))</f>
        <v>0</v>
      </c>
      <c r="AG237" s="58" t="str">
        <f>IF(Fixtures[[#This Row],[penalties]], IF(Fixtures[[#This Row],[userSide]]="H", Fixtures[[#This Row],[homePens]], Fixtures[[#This Row],[awayPens]]), "N/A")</f>
        <v>N/A</v>
      </c>
      <c r="AH237" s="58" t="str">
        <f>IF(Fixtures[[#This Row],[penalties]], IF(Fixtures[[#This Row],[userPens]]=Fixtures[[#This Row],[homePens]],Fixtures[[#This Row],[awayPens]],Fixtures[[#This Row],[homePens]]), "N/A")</f>
        <v>N/A</v>
      </c>
      <c r="AI237" s="58" t="b">
        <f>COUNTBLANK(Fixtures[[#This Row],[G]:[MOTM]]) = 0</f>
        <v>0</v>
      </c>
      <c r="AJ237" s="58" t="str">
        <f>IF(Fixtures[[#This Row],[APP]], Fixtures[[#This Row],[G]]+Fixtures[[#This Row],[A]], "N/A")</f>
        <v>N/A</v>
      </c>
      <c r="AK2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8" spans="1:39" ht="13">
      <c r="A238" s="55"/>
      <c r="B238" s="61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7"/>
      <c r="R238" s="56"/>
      <c r="S238" s="58" t="str" cm="1">
        <f t="array" ref="S238">_xlfn._xlws.FILTER(Competitions[compType], (Fixtures[[#This Row],[competition]] = Competitions[name]), "N/A")</f>
        <v>N/A</v>
      </c>
      <c r="T238" s="58" t="str" cm="1">
        <f t="array" ref="T238">_xlfn._xlws.FILTER(Competitions[exhibition], (Fixtures[[#This Row],[competition]] = Competitions[name]), "N/A")</f>
        <v>N/A</v>
      </c>
      <c r="U238" s="58" t="str" cm="1">
        <f t="array" ref="U238">_xlfn._xlws.FILTER(Competitions[compID], (Fixtures[[#This Row],[competition]] = Competitions[name]), "N/A")</f>
        <v>N/A</v>
      </c>
      <c r="V2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8" s="58" t="str" cm="1">
        <f t="array" ref="W2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8" s="58" t="str" cm="1">
        <f t="array" ref="X238">_xlfn._xlws.FILTER(Teams[name], (Fixtures[[#This Row],[userTeamID]] = Teams[teamID]), "N/A")</f>
        <v>N/A</v>
      </c>
      <c r="Y238" s="58" t="str" cm="1">
        <f t="array" ref="Y238">_xlfn._xlws.FILTER(Teams[teamType], (Fixtures[[#This Row],[userTeamID]] = Teams[teamID]), "N/A")</f>
        <v>N/A</v>
      </c>
      <c r="Z238" s="58" t="str" cm="1">
        <f t="array" ref="Z2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8" s="58" t="str">
        <f>IF(Fixtures[[#This Row],[userSide]] = "N/A", "N/A", IF(Fixtures[[#This Row],[userSide]] = "H", Fixtures[[#This Row],[awayTeam]], Fixtures[[#This Row],[homeTeam]]))</f>
        <v>N/A</v>
      </c>
      <c r="AB238" s="58" t="str" cm="1">
        <f t="array" ref="AB238">_xlfn._xlws.FILTER(Teams[teamID], Fixtures[[#This Row],[oppTeam]] = Teams[name], "N/A")</f>
        <v>N/A</v>
      </c>
      <c r="AC238" s="58" t="str" cm="1">
        <f t="array" ref="AC238">_xlfn._xlws.FILTER(Teams[teamType], Fixtures[[#This Row],[oppTeam]] = Teams[name], "N/A")</f>
        <v>N/A</v>
      </c>
      <c r="AD238" s="58" t="str">
        <f>IF(ISBLANK(Fixtures[[#This Row],[date]]), "N/A", IF(Fixtures[[#This Row],[userSide]]="H", Fixtures[[#This Row],[homeScore]], Fixtures[[#This Row],[awayScore]]))</f>
        <v>N/A</v>
      </c>
      <c r="AE238" s="58" t="str">
        <f>IF(ISBLANK(Fixtures[[#This Row],[date]]), "N/A", IF(Fixtures[[#This Row],[userScore]] = Fixtures[[#This Row],[homeScore]], Fixtures[[#This Row],[awayScore]], Fixtures[[#This Row],[homeScore]]))</f>
        <v>N/A</v>
      </c>
      <c r="AF238" s="58" t="b">
        <f>NOT(AND(ISBLANK(Fixtures[[#This Row],[homePens]]), ISBLANK(Fixtures[[#This Row],[awayPens]])))</f>
        <v>0</v>
      </c>
      <c r="AG238" s="58" t="str">
        <f>IF(Fixtures[[#This Row],[penalties]], IF(Fixtures[[#This Row],[userSide]]="H", Fixtures[[#This Row],[homePens]], Fixtures[[#This Row],[awayPens]]), "N/A")</f>
        <v>N/A</v>
      </c>
      <c r="AH238" s="58" t="str">
        <f>IF(Fixtures[[#This Row],[penalties]], IF(Fixtures[[#This Row],[userPens]]=Fixtures[[#This Row],[homePens]],Fixtures[[#This Row],[awayPens]],Fixtures[[#This Row],[homePens]]), "N/A")</f>
        <v>N/A</v>
      </c>
      <c r="AI238" s="58" t="b">
        <f>COUNTBLANK(Fixtures[[#This Row],[G]:[MOTM]]) = 0</f>
        <v>0</v>
      </c>
      <c r="AJ238" s="58" t="str">
        <f>IF(Fixtures[[#This Row],[APP]], Fixtures[[#This Row],[G]]+Fixtures[[#This Row],[A]], "N/A")</f>
        <v>N/A</v>
      </c>
      <c r="AK2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39" spans="1:39" ht="13">
      <c r="A239" s="55"/>
      <c r="B239" s="61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7"/>
      <c r="R239" s="56"/>
      <c r="S239" s="58" t="str" cm="1">
        <f t="array" ref="S239">_xlfn._xlws.FILTER(Competitions[compType], (Fixtures[[#This Row],[competition]] = Competitions[name]), "N/A")</f>
        <v>N/A</v>
      </c>
      <c r="T239" s="58" t="str" cm="1">
        <f t="array" ref="T239">_xlfn._xlws.FILTER(Competitions[exhibition], (Fixtures[[#This Row],[competition]] = Competitions[name]), "N/A")</f>
        <v>N/A</v>
      </c>
      <c r="U239" s="58" t="str" cm="1">
        <f t="array" ref="U239">_xlfn._xlws.FILTER(Competitions[compID], (Fixtures[[#This Row],[competition]] = Competitions[name]), "N/A")</f>
        <v>N/A</v>
      </c>
      <c r="V2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39" s="58" t="str" cm="1">
        <f t="array" ref="W2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39" s="58" t="str" cm="1">
        <f t="array" ref="X239">_xlfn._xlws.FILTER(Teams[name], (Fixtures[[#This Row],[userTeamID]] = Teams[teamID]), "N/A")</f>
        <v>N/A</v>
      </c>
      <c r="Y239" s="58" t="str" cm="1">
        <f t="array" ref="Y239">_xlfn._xlws.FILTER(Teams[teamType], (Fixtures[[#This Row],[userTeamID]] = Teams[teamID]), "N/A")</f>
        <v>N/A</v>
      </c>
      <c r="Z239" s="58" t="str" cm="1">
        <f t="array" ref="Z2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39" s="58" t="str">
        <f>IF(Fixtures[[#This Row],[userSide]] = "N/A", "N/A", IF(Fixtures[[#This Row],[userSide]] = "H", Fixtures[[#This Row],[awayTeam]], Fixtures[[#This Row],[homeTeam]]))</f>
        <v>N/A</v>
      </c>
      <c r="AB239" s="58" t="str" cm="1">
        <f t="array" ref="AB239">_xlfn._xlws.FILTER(Teams[teamID], Fixtures[[#This Row],[oppTeam]] = Teams[name], "N/A")</f>
        <v>N/A</v>
      </c>
      <c r="AC239" s="58" t="str" cm="1">
        <f t="array" ref="AC239">_xlfn._xlws.FILTER(Teams[teamType], Fixtures[[#This Row],[oppTeam]] = Teams[name], "N/A")</f>
        <v>N/A</v>
      </c>
      <c r="AD239" s="58" t="str">
        <f>IF(ISBLANK(Fixtures[[#This Row],[date]]), "N/A", IF(Fixtures[[#This Row],[userSide]]="H", Fixtures[[#This Row],[homeScore]], Fixtures[[#This Row],[awayScore]]))</f>
        <v>N/A</v>
      </c>
      <c r="AE239" s="58" t="str">
        <f>IF(ISBLANK(Fixtures[[#This Row],[date]]), "N/A", IF(Fixtures[[#This Row],[userScore]] = Fixtures[[#This Row],[homeScore]], Fixtures[[#This Row],[awayScore]], Fixtures[[#This Row],[homeScore]]))</f>
        <v>N/A</v>
      </c>
      <c r="AF239" s="58" t="b">
        <f>NOT(AND(ISBLANK(Fixtures[[#This Row],[homePens]]), ISBLANK(Fixtures[[#This Row],[awayPens]])))</f>
        <v>0</v>
      </c>
      <c r="AG239" s="58" t="str">
        <f>IF(Fixtures[[#This Row],[penalties]], IF(Fixtures[[#This Row],[userSide]]="H", Fixtures[[#This Row],[homePens]], Fixtures[[#This Row],[awayPens]]), "N/A")</f>
        <v>N/A</v>
      </c>
      <c r="AH239" s="58" t="str">
        <f>IF(Fixtures[[#This Row],[penalties]], IF(Fixtures[[#This Row],[userPens]]=Fixtures[[#This Row],[homePens]],Fixtures[[#This Row],[awayPens]],Fixtures[[#This Row],[homePens]]), "N/A")</f>
        <v>N/A</v>
      </c>
      <c r="AI239" s="58" t="b">
        <f>COUNTBLANK(Fixtures[[#This Row],[G]:[MOTM]]) = 0</f>
        <v>0</v>
      </c>
      <c r="AJ239" s="58" t="str">
        <f>IF(Fixtures[[#This Row],[APP]], Fixtures[[#This Row],[G]]+Fixtures[[#This Row],[A]], "N/A")</f>
        <v>N/A</v>
      </c>
      <c r="AK2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0" spans="1:39" ht="13">
      <c r="A240" s="55"/>
      <c r="B240" s="61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7"/>
      <c r="R240" s="56"/>
      <c r="S240" s="58" t="str" cm="1">
        <f t="array" ref="S240">_xlfn._xlws.FILTER(Competitions[compType], (Fixtures[[#This Row],[competition]] = Competitions[name]), "N/A")</f>
        <v>N/A</v>
      </c>
      <c r="T240" s="58" t="str" cm="1">
        <f t="array" ref="T240">_xlfn._xlws.FILTER(Competitions[exhibition], (Fixtures[[#This Row],[competition]] = Competitions[name]), "N/A")</f>
        <v>N/A</v>
      </c>
      <c r="U240" s="58" t="str" cm="1">
        <f t="array" ref="U240">_xlfn._xlws.FILTER(Competitions[compID], (Fixtures[[#This Row],[competition]] = Competitions[name]), "N/A")</f>
        <v>N/A</v>
      </c>
      <c r="V2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0" s="58" t="str" cm="1">
        <f t="array" ref="W2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0" s="58" t="str" cm="1">
        <f t="array" ref="X240">_xlfn._xlws.FILTER(Teams[name], (Fixtures[[#This Row],[userTeamID]] = Teams[teamID]), "N/A")</f>
        <v>N/A</v>
      </c>
      <c r="Y240" s="58" t="str" cm="1">
        <f t="array" ref="Y240">_xlfn._xlws.FILTER(Teams[teamType], (Fixtures[[#This Row],[userTeamID]] = Teams[teamID]), "N/A")</f>
        <v>N/A</v>
      </c>
      <c r="Z240" s="58" t="str" cm="1">
        <f t="array" ref="Z2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0" s="58" t="str">
        <f>IF(Fixtures[[#This Row],[userSide]] = "N/A", "N/A", IF(Fixtures[[#This Row],[userSide]] = "H", Fixtures[[#This Row],[awayTeam]], Fixtures[[#This Row],[homeTeam]]))</f>
        <v>N/A</v>
      </c>
      <c r="AB240" s="58" t="str" cm="1">
        <f t="array" ref="AB240">_xlfn._xlws.FILTER(Teams[teamID], Fixtures[[#This Row],[oppTeam]] = Teams[name], "N/A")</f>
        <v>N/A</v>
      </c>
      <c r="AC240" s="58" t="str" cm="1">
        <f t="array" ref="AC240">_xlfn._xlws.FILTER(Teams[teamType], Fixtures[[#This Row],[oppTeam]] = Teams[name], "N/A")</f>
        <v>N/A</v>
      </c>
      <c r="AD240" s="58" t="str">
        <f>IF(ISBLANK(Fixtures[[#This Row],[date]]), "N/A", IF(Fixtures[[#This Row],[userSide]]="H", Fixtures[[#This Row],[homeScore]], Fixtures[[#This Row],[awayScore]]))</f>
        <v>N/A</v>
      </c>
      <c r="AE240" s="58" t="str">
        <f>IF(ISBLANK(Fixtures[[#This Row],[date]]), "N/A", IF(Fixtures[[#This Row],[userScore]] = Fixtures[[#This Row],[homeScore]], Fixtures[[#This Row],[awayScore]], Fixtures[[#This Row],[homeScore]]))</f>
        <v>N/A</v>
      </c>
      <c r="AF240" s="58" t="b">
        <f>NOT(AND(ISBLANK(Fixtures[[#This Row],[homePens]]), ISBLANK(Fixtures[[#This Row],[awayPens]])))</f>
        <v>0</v>
      </c>
      <c r="AG240" s="58" t="str">
        <f>IF(Fixtures[[#This Row],[penalties]], IF(Fixtures[[#This Row],[userSide]]="H", Fixtures[[#This Row],[homePens]], Fixtures[[#This Row],[awayPens]]), "N/A")</f>
        <v>N/A</v>
      </c>
      <c r="AH240" s="58" t="str">
        <f>IF(Fixtures[[#This Row],[penalties]], IF(Fixtures[[#This Row],[userPens]]=Fixtures[[#This Row],[homePens]],Fixtures[[#This Row],[awayPens]],Fixtures[[#This Row],[homePens]]), "N/A")</f>
        <v>N/A</v>
      </c>
      <c r="AI240" s="58" t="b">
        <f>COUNTBLANK(Fixtures[[#This Row],[G]:[MOTM]]) = 0</f>
        <v>0</v>
      </c>
      <c r="AJ240" s="58" t="str">
        <f>IF(Fixtures[[#This Row],[APP]], Fixtures[[#This Row],[G]]+Fixtures[[#This Row],[A]], "N/A")</f>
        <v>N/A</v>
      </c>
      <c r="AK2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1" spans="1:39" ht="13">
      <c r="A241" s="55"/>
      <c r="B241" s="61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7"/>
      <c r="R241" s="56"/>
      <c r="S241" s="58" t="str" cm="1">
        <f t="array" ref="S241">_xlfn._xlws.FILTER(Competitions[compType], (Fixtures[[#This Row],[competition]] = Competitions[name]), "N/A")</f>
        <v>N/A</v>
      </c>
      <c r="T241" s="58" t="str" cm="1">
        <f t="array" ref="T241">_xlfn._xlws.FILTER(Competitions[exhibition], (Fixtures[[#This Row],[competition]] = Competitions[name]), "N/A")</f>
        <v>N/A</v>
      </c>
      <c r="U241" s="58" t="str" cm="1">
        <f t="array" ref="U241">_xlfn._xlws.FILTER(Competitions[compID], (Fixtures[[#This Row],[competition]] = Competitions[name]), "N/A")</f>
        <v>N/A</v>
      </c>
      <c r="V2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1" s="58" t="str" cm="1">
        <f t="array" ref="W2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1" s="58" t="str" cm="1">
        <f t="array" ref="X241">_xlfn._xlws.FILTER(Teams[name], (Fixtures[[#This Row],[userTeamID]] = Teams[teamID]), "N/A")</f>
        <v>N/A</v>
      </c>
      <c r="Y241" s="58" t="str" cm="1">
        <f t="array" ref="Y241">_xlfn._xlws.FILTER(Teams[teamType], (Fixtures[[#This Row],[userTeamID]] = Teams[teamID]), "N/A")</f>
        <v>N/A</v>
      </c>
      <c r="Z241" s="58" t="str" cm="1">
        <f t="array" ref="Z2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1" s="58" t="str">
        <f>IF(Fixtures[[#This Row],[userSide]] = "N/A", "N/A", IF(Fixtures[[#This Row],[userSide]] = "H", Fixtures[[#This Row],[awayTeam]], Fixtures[[#This Row],[homeTeam]]))</f>
        <v>N/A</v>
      </c>
      <c r="AB241" s="58" t="str" cm="1">
        <f t="array" ref="AB241">_xlfn._xlws.FILTER(Teams[teamID], Fixtures[[#This Row],[oppTeam]] = Teams[name], "N/A")</f>
        <v>N/A</v>
      </c>
      <c r="AC241" s="58" t="str" cm="1">
        <f t="array" ref="AC241">_xlfn._xlws.FILTER(Teams[teamType], Fixtures[[#This Row],[oppTeam]] = Teams[name], "N/A")</f>
        <v>N/A</v>
      </c>
      <c r="AD241" s="58" t="str">
        <f>IF(ISBLANK(Fixtures[[#This Row],[date]]), "N/A", IF(Fixtures[[#This Row],[userSide]]="H", Fixtures[[#This Row],[homeScore]], Fixtures[[#This Row],[awayScore]]))</f>
        <v>N/A</v>
      </c>
      <c r="AE241" s="58" t="str">
        <f>IF(ISBLANK(Fixtures[[#This Row],[date]]), "N/A", IF(Fixtures[[#This Row],[userScore]] = Fixtures[[#This Row],[homeScore]], Fixtures[[#This Row],[awayScore]], Fixtures[[#This Row],[homeScore]]))</f>
        <v>N/A</v>
      </c>
      <c r="AF241" s="58" t="b">
        <f>NOT(AND(ISBLANK(Fixtures[[#This Row],[homePens]]), ISBLANK(Fixtures[[#This Row],[awayPens]])))</f>
        <v>0</v>
      </c>
      <c r="AG241" s="58" t="str">
        <f>IF(Fixtures[[#This Row],[penalties]], IF(Fixtures[[#This Row],[userSide]]="H", Fixtures[[#This Row],[homePens]], Fixtures[[#This Row],[awayPens]]), "N/A")</f>
        <v>N/A</v>
      </c>
      <c r="AH241" s="58" t="str">
        <f>IF(Fixtures[[#This Row],[penalties]], IF(Fixtures[[#This Row],[userPens]]=Fixtures[[#This Row],[homePens]],Fixtures[[#This Row],[awayPens]],Fixtures[[#This Row],[homePens]]), "N/A")</f>
        <v>N/A</v>
      </c>
      <c r="AI241" s="58" t="b">
        <f>COUNTBLANK(Fixtures[[#This Row],[G]:[MOTM]]) = 0</f>
        <v>0</v>
      </c>
      <c r="AJ241" s="58" t="str">
        <f>IF(Fixtures[[#This Row],[APP]], Fixtures[[#This Row],[G]]+Fixtures[[#This Row],[A]], "N/A")</f>
        <v>N/A</v>
      </c>
      <c r="AK2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2" spans="1:39" ht="13">
      <c r="A242" s="55"/>
      <c r="B242" s="61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7"/>
      <c r="R242" s="56"/>
      <c r="S242" s="58" t="str" cm="1">
        <f t="array" ref="S242">_xlfn._xlws.FILTER(Competitions[compType], (Fixtures[[#This Row],[competition]] = Competitions[name]), "N/A")</f>
        <v>N/A</v>
      </c>
      <c r="T242" s="58" t="str" cm="1">
        <f t="array" ref="T242">_xlfn._xlws.FILTER(Competitions[exhibition], (Fixtures[[#This Row],[competition]] = Competitions[name]), "N/A")</f>
        <v>N/A</v>
      </c>
      <c r="U242" s="58" t="str" cm="1">
        <f t="array" ref="U242">_xlfn._xlws.FILTER(Competitions[compID], (Fixtures[[#This Row],[competition]] = Competitions[name]), "N/A")</f>
        <v>N/A</v>
      </c>
      <c r="V2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2" s="58" t="str" cm="1">
        <f t="array" ref="W2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2" s="58" t="str" cm="1">
        <f t="array" ref="X242">_xlfn._xlws.FILTER(Teams[name], (Fixtures[[#This Row],[userTeamID]] = Teams[teamID]), "N/A")</f>
        <v>N/A</v>
      </c>
      <c r="Y242" s="58" t="str" cm="1">
        <f t="array" ref="Y242">_xlfn._xlws.FILTER(Teams[teamType], (Fixtures[[#This Row],[userTeamID]] = Teams[teamID]), "N/A")</f>
        <v>N/A</v>
      </c>
      <c r="Z242" s="58" t="str" cm="1">
        <f t="array" ref="Z2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2" s="58" t="str">
        <f>IF(Fixtures[[#This Row],[userSide]] = "N/A", "N/A", IF(Fixtures[[#This Row],[userSide]] = "H", Fixtures[[#This Row],[awayTeam]], Fixtures[[#This Row],[homeTeam]]))</f>
        <v>N/A</v>
      </c>
      <c r="AB242" s="58" t="str" cm="1">
        <f t="array" ref="AB242">_xlfn._xlws.FILTER(Teams[teamID], Fixtures[[#This Row],[oppTeam]] = Teams[name], "N/A")</f>
        <v>N/A</v>
      </c>
      <c r="AC242" s="58" t="str" cm="1">
        <f t="array" ref="AC242">_xlfn._xlws.FILTER(Teams[teamType], Fixtures[[#This Row],[oppTeam]] = Teams[name], "N/A")</f>
        <v>N/A</v>
      </c>
      <c r="AD242" s="58" t="str">
        <f>IF(ISBLANK(Fixtures[[#This Row],[date]]), "N/A", IF(Fixtures[[#This Row],[userSide]]="H", Fixtures[[#This Row],[homeScore]], Fixtures[[#This Row],[awayScore]]))</f>
        <v>N/A</v>
      </c>
      <c r="AE242" s="58" t="str">
        <f>IF(ISBLANK(Fixtures[[#This Row],[date]]), "N/A", IF(Fixtures[[#This Row],[userScore]] = Fixtures[[#This Row],[homeScore]], Fixtures[[#This Row],[awayScore]], Fixtures[[#This Row],[homeScore]]))</f>
        <v>N/A</v>
      </c>
      <c r="AF242" s="58" t="b">
        <f>NOT(AND(ISBLANK(Fixtures[[#This Row],[homePens]]), ISBLANK(Fixtures[[#This Row],[awayPens]])))</f>
        <v>0</v>
      </c>
      <c r="AG242" s="58" t="str">
        <f>IF(Fixtures[[#This Row],[penalties]], IF(Fixtures[[#This Row],[userSide]]="H", Fixtures[[#This Row],[homePens]], Fixtures[[#This Row],[awayPens]]), "N/A")</f>
        <v>N/A</v>
      </c>
      <c r="AH242" s="58" t="str">
        <f>IF(Fixtures[[#This Row],[penalties]], IF(Fixtures[[#This Row],[userPens]]=Fixtures[[#This Row],[homePens]],Fixtures[[#This Row],[awayPens]],Fixtures[[#This Row],[homePens]]), "N/A")</f>
        <v>N/A</v>
      </c>
      <c r="AI242" s="58" t="b">
        <f>COUNTBLANK(Fixtures[[#This Row],[G]:[MOTM]]) = 0</f>
        <v>0</v>
      </c>
      <c r="AJ242" s="58" t="str">
        <f>IF(Fixtures[[#This Row],[APP]], Fixtures[[#This Row],[G]]+Fixtures[[#This Row],[A]], "N/A")</f>
        <v>N/A</v>
      </c>
      <c r="AK2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3" spans="1:39" ht="13">
      <c r="A243" s="55"/>
      <c r="B243" s="61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7"/>
      <c r="R243" s="56"/>
      <c r="S243" s="58" t="str" cm="1">
        <f t="array" ref="S243">_xlfn._xlws.FILTER(Competitions[compType], (Fixtures[[#This Row],[competition]] = Competitions[name]), "N/A")</f>
        <v>N/A</v>
      </c>
      <c r="T243" s="58" t="str" cm="1">
        <f t="array" ref="T243">_xlfn._xlws.FILTER(Competitions[exhibition], (Fixtures[[#This Row],[competition]] = Competitions[name]), "N/A")</f>
        <v>N/A</v>
      </c>
      <c r="U243" s="58" t="str" cm="1">
        <f t="array" ref="U243">_xlfn._xlws.FILTER(Competitions[compID], (Fixtures[[#This Row],[competition]] = Competitions[name]), "N/A")</f>
        <v>N/A</v>
      </c>
      <c r="V2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3" s="58" t="str" cm="1">
        <f t="array" ref="W2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3" s="58" t="str" cm="1">
        <f t="array" ref="X243">_xlfn._xlws.FILTER(Teams[name], (Fixtures[[#This Row],[userTeamID]] = Teams[teamID]), "N/A")</f>
        <v>N/A</v>
      </c>
      <c r="Y243" s="58" t="str" cm="1">
        <f t="array" ref="Y243">_xlfn._xlws.FILTER(Teams[teamType], (Fixtures[[#This Row],[userTeamID]] = Teams[teamID]), "N/A")</f>
        <v>N/A</v>
      </c>
      <c r="Z243" s="58" t="str" cm="1">
        <f t="array" ref="Z2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3" s="58" t="str">
        <f>IF(Fixtures[[#This Row],[userSide]] = "N/A", "N/A", IF(Fixtures[[#This Row],[userSide]] = "H", Fixtures[[#This Row],[awayTeam]], Fixtures[[#This Row],[homeTeam]]))</f>
        <v>N/A</v>
      </c>
      <c r="AB243" s="58" t="str" cm="1">
        <f t="array" ref="AB243">_xlfn._xlws.FILTER(Teams[teamID], Fixtures[[#This Row],[oppTeam]] = Teams[name], "N/A")</f>
        <v>N/A</v>
      </c>
      <c r="AC243" s="58" t="str" cm="1">
        <f t="array" ref="AC243">_xlfn._xlws.FILTER(Teams[teamType], Fixtures[[#This Row],[oppTeam]] = Teams[name], "N/A")</f>
        <v>N/A</v>
      </c>
      <c r="AD243" s="58" t="str">
        <f>IF(ISBLANK(Fixtures[[#This Row],[date]]), "N/A", IF(Fixtures[[#This Row],[userSide]]="H", Fixtures[[#This Row],[homeScore]], Fixtures[[#This Row],[awayScore]]))</f>
        <v>N/A</v>
      </c>
      <c r="AE243" s="58" t="str">
        <f>IF(ISBLANK(Fixtures[[#This Row],[date]]), "N/A", IF(Fixtures[[#This Row],[userScore]] = Fixtures[[#This Row],[homeScore]], Fixtures[[#This Row],[awayScore]], Fixtures[[#This Row],[homeScore]]))</f>
        <v>N/A</v>
      </c>
      <c r="AF243" s="58" t="b">
        <f>NOT(AND(ISBLANK(Fixtures[[#This Row],[homePens]]), ISBLANK(Fixtures[[#This Row],[awayPens]])))</f>
        <v>0</v>
      </c>
      <c r="AG243" s="58" t="str">
        <f>IF(Fixtures[[#This Row],[penalties]], IF(Fixtures[[#This Row],[userSide]]="H", Fixtures[[#This Row],[homePens]], Fixtures[[#This Row],[awayPens]]), "N/A")</f>
        <v>N/A</v>
      </c>
      <c r="AH243" s="58" t="str">
        <f>IF(Fixtures[[#This Row],[penalties]], IF(Fixtures[[#This Row],[userPens]]=Fixtures[[#This Row],[homePens]],Fixtures[[#This Row],[awayPens]],Fixtures[[#This Row],[homePens]]), "N/A")</f>
        <v>N/A</v>
      </c>
      <c r="AI243" s="58" t="b">
        <f>COUNTBLANK(Fixtures[[#This Row],[G]:[MOTM]]) = 0</f>
        <v>0</v>
      </c>
      <c r="AJ243" s="58" t="str">
        <f>IF(Fixtures[[#This Row],[APP]], Fixtures[[#This Row],[G]]+Fixtures[[#This Row],[A]], "N/A")</f>
        <v>N/A</v>
      </c>
      <c r="AK2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4" spans="1:39" ht="13">
      <c r="A244" s="55"/>
      <c r="B244" s="61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7"/>
      <c r="R244" s="56"/>
      <c r="S244" s="58" t="str" cm="1">
        <f t="array" ref="S244">_xlfn._xlws.FILTER(Competitions[compType], (Fixtures[[#This Row],[competition]] = Competitions[name]), "N/A")</f>
        <v>N/A</v>
      </c>
      <c r="T244" s="58" t="str" cm="1">
        <f t="array" ref="T244">_xlfn._xlws.FILTER(Competitions[exhibition], (Fixtures[[#This Row],[competition]] = Competitions[name]), "N/A")</f>
        <v>N/A</v>
      </c>
      <c r="U244" s="58" t="str" cm="1">
        <f t="array" ref="U244">_xlfn._xlws.FILTER(Competitions[compID], (Fixtures[[#This Row],[competition]] = Competitions[name]), "N/A")</f>
        <v>N/A</v>
      </c>
      <c r="V2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4" s="58" t="str" cm="1">
        <f t="array" ref="W2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4" s="58" t="str" cm="1">
        <f t="array" ref="X244">_xlfn._xlws.FILTER(Teams[name], (Fixtures[[#This Row],[userTeamID]] = Teams[teamID]), "N/A")</f>
        <v>N/A</v>
      </c>
      <c r="Y244" s="58" t="str" cm="1">
        <f t="array" ref="Y244">_xlfn._xlws.FILTER(Teams[teamType], (Fixtures[[#This Row],[userTeamID]] = Teams[teamID]), "N/A")</f>
        <v>N/A</v>
      </c>
      <c r="Z244" s="58" t="str" cm="1">
        <f t="array" ref="Z2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4" s="58" t="str">
        <f>IF(Fixtures[[#This Row],[userSide]] = "N/A", "N/A", IF(Fixtures[[#This Row],[userSide]] = "H", Fixtures[[#This Row],[awayTeam]], Fixtures[[#This Row],[homeTeam]]))</f>
        <v>N/A</v>
      </c>
      <c r="AB244" s="58" t="str" cm="1">
        <f t="array" ref="AB244">_xlfn._xlws.FILTER(Teams[teamID], Fixtures[[#This Row],[oppTeam]] = Teams[name], "N/A")</f>
        <v>N/A</v>
      </c>
      <c r="AC244" s="58" t="str" cm="1">
        <f t="array" ref="AC244">_xlfn._xlws.FILTER(Teams[teamType], Fixtures[[#This Row],[oppTeam]] = Teams[name], "N/A")</f>
        <v>N/A</v>
      </c>
      <c r="AD244" s="58" t="str">
        <f>IF(ISBLANK(Fixtures[[#This Row],[date]]), "N/A", IF(Fixtures[[#This Row],[userSide]]="H", Fixtures[[#This Row],[homeScore]], Fixtures[[#This Row],[awayScore]]))</f>
        <v>N/A</v>
      </c>
      <c r="AE244" s="58" t="str">
        <f>IF(ISBLANK(Fixtures[[#This Row],[date]]), "N/A", IF(Fixtures[[#This Row],[userScore]] = Fixtures[[#This Row],[homeScore]], Fixtures[[#This Row],[awayScore]], Fixtures[[#This Row],[homeScore]]))</f>
        <v>N/A</v>
      </c>
      <c r="AF244" s="58" t="b">
        <f>NOT(AND(ISBLANK(Fixtures[[#This Row],[homePens]]), ISBLANK(Fixtures[[#This Row],[awayPens]])))</f>
        <v>0</v>
      </c>
      <c r="AG244" s="58" t="str">
        <f>IF(Fixtures[[#This Row],[penalties]], IF(Fixtures[[#This Row],[userSide]]="H", Fixtures[[#This Row],[homePens]], Fixtures[[#This Row],[awayPens]]), "N/A")</f>
        <v>N/A</v>
      </c>
      <c r="AH244" s="58" t="str">
        <f>IF(Fixtures[[#This Row],[penalties]], IF(Fixtures[[#This Row],[userPens]]=Fixtures[[#This Row],[homePens]],Fixtures[[#This Row],[awayPens]],Fixtures[[#This Row],[homePens]]), "N/A")</f>
        <v>N/A</v>
      </c>
      <c r="AI244" s="58" t="b">
        <f>COUNTBLANK(Fixtures[[#This Row],[G]:[MOTM]]) = 0</f>
        <v>0</v>
      </c>
      <c r="AJ244" s="58" t="str">
        <f>IF(Fixtures[[#This Row],[APP]], Fixtures[[#This Row],[G]]+Fixtures[[#This Row],[A]], "N/A")</f>
        <v>N/A</v>
      </c>
      <c r="AK2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5" spans="1:39" ht="13">
      <c r="A245" s="55"/>
      <c r="B245" s="61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7"/>
      <c r="R245" s="56"/>
      <c r="S245" s="58" t="str" cm="1">
        <f t="array" ref="S245">_xlfn._xlws.FILTER(Competitions[compType], (Fixtures[[#This Row],[competition]] = Competitions[name]), "N/A")</f>
        <v>N/A</v>
      </c>
      <c r="T245" s="58" t="str" cm="1">
        <f t="array" ref="T245">_xlfn._xlws.FILTER(Competitions[exhibition], (Fixtures[[#This Row],[competition]] = Competitions[name]), "N/A")</f>
        <v>N/A</v>
      </c>
      <c r="U245" s="58" t="str" cm="1">
        <f t="array" ref="U245">_xlfn._xlws.FILTER(Competitions[compID], (Fixtures[[#This Row],[competition]] = Competitions[name]), "N/A")</f>
        <v>N/A</v>
      </c>
      <c r="V2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5" s="58" t="str" cm="1">
        <f t="array" ref="W2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5" s="58" t="str" cm="1">
        <f t="array" ref="X245">_xlfn._xlws.FILTER(Teams[name], (Fixtures[[#This Row],[userTeamID]] = Teams[teamID]), "N/A")</f>
        <v>N/A</v>
      </c>
      <c r="Y245" s="58" t="str" cm="1">
        <f t="array" ref="Y245">_xlfn._xlws.FILTER(Teams[teamType], (Fixtures[[#This Row],[userTeamID]] = Teams[teamID]), "N/A")</f>
        <v>N/A</v>
      </c>
      <c r="Z245" s="58" t="str" cm="1">
        <f t="array" ref="Z2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5" s="58" t="str">
        <f>IF(Fixtures[[#This Row],[userSide]] = "N/A", "N/A", IF(Fixtures[[#This Row],[userSide]] = "H", Fixtures[[#This Row],[awayTeam]], Fixtures[[#This Row],[homeTeam]]))</f>
        <v>N/A</v>
      </c>
      <c r="AB245" s="58" t="str" cm="1">
        <f t="array" ref="AB245">_xlfn._xlws.FILTER(Teams[teamID], Fixtures[[#This Row],[oppTeam]] = Teams[name], "N/A")</f>
        <v>N/A</v>
      </c>
      <c r="AC245" s="58" t="str" cm="1">
        <f t="array" ref="AC245">_xlfn._xlws.FILTER(Teams[teamType], Fixtures[[#This Row],[oppTeam]] = Teams[name], "N/A")</f>
        <v>N/A</v>
      </c>
      <c r="AD245" s="58" t="str">
        <f>IF(ISBLANK(Fixtures[[#This Row],[date]]), "N/A", IF(Fixtures[[#This Row],[userSide]]="H", Fixtures[[#This Row],[homeScore]], Fixtures[[#This Row],[awayScore]]))</f>
        <v>N/A</v>
      </c>
      <c r="AE245" s="58" t="str">
        <f>IF(ISBLANK(Fixtures[[#This Row],[date]]), "N/A", IF(Fixtures[[#This Row],[userScore]] = Fixtures[[#This Row],[homeScore]], Fixtures[[#This Row],[awayScore]], Fixtures[[#This Row],[homeScore]]))</f>
        <v>N/A</v>
      </c>
      <c r="AF245" s="58" t="b">
        <f>NOT(AND(ISBLANK(Fixtures[[#This Row],[homePens]]), ISBLANK(Fixtures[[#This Row],[awayPens]])))</f>
        <v>0</v>
      </c>
      <c r="AG245" s="58" t="str">
        <f>IF(Fixtures[[#This Row],[penalties]], IF(Fixtures[[#This Row],[userSide]]="H", Fixtures[[#This Row],[homePens]], Fixtures[[#This Row],[awayPens]]), "N/A")</f>
        <v>N/A</v>
      </c>
      <c r="AH245" s="58" t="str">
        <f>IF(Fixtures[[#This Row],[penalties]], IF(Fixtures[[#This Row],[userPens]]=Fixtures[[#This Row],[homePens]],Fixtures[[#This Row],[awayPens]],Fixtures[[#This Row],[homePens]]), "N/A")</f>
        <v>N/A</v>
      </c>
      <c r="AI245" s="58" t="b">
        <f>COUNTBLANK(Fixtures[[#This Row],[G]:[MOTM]]) = 0</f>
        <v>0</v>
      </c>
      <c r="AJ245" s="58" t="str">
        <f>IF(Fixtures[[#This Row],[APP]], Fixtures[[#This Row],[G]]+Fixtures[[#This Row],[A]], "N/A")</f>
        <v>N/A</v>
      </c>
      <c r="AK2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6" spans="1:39" ht="13">
      <c r="A246" s="55"/>
      <c r="B246" s="61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7"/>
      <c r="R246" s="56"/>
      <c r="S246" s="58" t="str" cm="1">
        <f t="array" ref="S246">_xlfn._xlws.FILTER(Competitions[compType], (Fixtures[[#This Row],[competition]] = Competitions[name]), "N/A")</f>
        <v>N/A</v>
      </c>
      <c r="T246" s="58" t="str" cm="1">
        <f t="array" ref="T246">_xlfn._xlws.FILTER(Competitions[exhibition], (Fixtures[[#This Row],[competition]] = Competitions[name]), "N/A")</f>
        <v>N/A</v>
      </c>
      <c r="U246" s="58" t="str" cm="1">
        <f t="array" ref="U246">_xlfn._xlws.FILTER(Competitions[compID], (Fixtures[[#This Row],[competition]] = Competitions[name]), "N/A")</f>
        <v>N/A</v>
      </c>
      <c r="V2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6" s="58" t="str" cm="1">
        <f t="array" ref="W2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6" s="58" t="str" cm="1">
        <f t="array" ref="X246">_xlfn._xlws.FILTER(Teams[name], (Fixtures[[#This Row],[userTeamID]] = Teams[teamID]), "N/A")</f>
        <v>N/A</v>
      </c>
      <c r="Y246" s="58" t="str" cm="1">
        <f t="array" ref="Y246">_xlfn._xlws.FILTER(Teams[teamType], (Fixtures[[#This Row],[userTeamID]] = Teams[teamID]), "N/A")</f>
        <v>N/A</v>
      </c>
      <c r="Z246" s="58" t="str" cm="1">
        <f t="array" ref="Z2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6" s="58" t="str">
        <f>IF(Fixtures[[#This Row],[userSide]] = "N/A", "N/A", IF(Fixtures[[#This Row],[userSide]] = "H", Fixtures[[#This Row],[awayTeam]], Fixtures[[#This Row],[homeTeam]]))</f>
        <v>N/A</v>
      </c>
      <c r="AB246" s="58" t="str" cm="1">
        <f t="array" ref="AB246">_xlfn._xlws.FILTER(Teams[teamID], Fixtures[[#This Row],[oppTeam]] = Teams[name], "N/A")</f>
        <v>N/A</v>
      </c>
      <c r="AC246" s="58" t="str" cm="1">
        <f t="array" ref="AC246">_xlfn._xlws.FILTER(Teams[teamType], Fixtures[[#This Row],[oppTeam]] = Teams[name], "N/A")</f>
        <v>N/A</v>
      </c>
      <c r="AD246" s="58" t="str">
        <f>IF(ISBLANK(Fixtures[[#This Row],[date]]), "N/A", IF(Fixtures[[#This Row],[userSide]]="H", Fixtures[[#This Row],[homeScore]], Fixtures[[#This Row],[awayScore]]))</f>
        <v>N/A</v>
      </c>
      <c r="AE246" s="58" t="str">
        <f>IF(ISBLANK(Fixtures[[#This Row],[date]]), "N/A", IF(Fixtures[[#This Row],[userScore]] = Fixtures[[#This Row],[homeScore]], Fixtures[[#This Row],[awayScore]], Fixtures[[#This Row],[homeScore]]))</f>
        <v>N/A</v>
      </c>
      <c r="AF246" s="58" t="b">
        <f>NOT(AND(ISBLANK(Fixtures[[#This Row],[homePens]]), ISBLANK(Fixtures[[#This Row],[awayPens]])))</f>
        <v>0</v>
      </c>
      <c r="AG246" s="58" t="str">
        <f>IF(Fixtures[[#This Row],[penalties]], IF(Fixtures[[#This Row],[userSide]]="H", Fixtures[[#This Row],[homePens]], Fixtures[[#This Row],[awayPens]]), "N/A")</f>
        <v>N/A</v>
      </c>
      <c r="AH246" s="58" t="str">
        <f>IF(Fixtures[[#This Row],[penalties]], IF(Fixtures[[#This Row],[userPens]]=Fixtures[[#This Row],[homePens]],Fixtures[[#This Row],[awayPens]],Fixtures[[#This Row],[homePens]]), "N/A")</f>
        <v>N/A</v>
      </c>
      <c r="AI246" s="58" t="b">
        <f>COUNTBLANK(Fixtures[[#This Row],[G]:[MOTM]]) = 0</f>
        <v>0</v>
      </c>
      <c r="AJ246" s="58" t="str">
        <f>IF(Fixtures[[#This Row],[APP]], Fixtures[[#This Row],[G]]+Fixtures[[#This Row],[A]], "N/A")</f>
        <v>N/A</v>
      </c>
      <c r="AK2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7" spans="1:39" ht="13">
      <c r="A247" s="55"/>
      <c r="B247" s="61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7"/>
      <c r="R247" s="56"/>
      <c r="S247" s="58" t="str" cm="1">
        <f t="array" ref="S247">_xlfn._xlws.FILTER(Competitions[compType], (Fixtures[[#This Row],[competition]] = Competitions[name]), "N/A")</f>
        <v>N/A</v>
      </c>
      <c r="T247" s="58" t="str" cm="1">
        <f t="array" ref="T247">_xlfn._xlws.FILTER(Competitions[exhibition], (Fixtures[[#This Row],[competition]] = Competitions[name]), "N/A")</f>
        <v>N/A</v>
      </c>
      <c r="U247" s="58" t="str" cm="1">
        <f t="array" ref="U247">_xlfn._xlws.FILTER(Competitions[compID], (Fixtures[[#This Row],[competition]] = Competitions[name]), "N/A")</f>
        <v>N/A</v>
      </c>
      <c r="V2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7" s="58" t="str" cm="1">
        <f t="array" ref="W2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7" s="58" t="str" cm="1">
        <f t="array" ref="X247">_xlfn._xlws.FILTER(Teams[name], (Fixtures[[#This Row],[userTeamID]] = Teams[teamID]), "N/A")</f>
        <v>N/A</v>
      </c>
      <c r="Y247" s="58" t="str" cm="1">
        <f t="array" ref="Y247">_xlfn._xlws.FILTER(Teams[teamType], (Fixtures[[#This Row],[userTeamID]] = Teams[teamID]), "N/A")</f>
        <v>N/A</v>
      </c>
      <c r="Z247" s="58" t="str" cm="1">
        <f t="array" ref="Z2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7" s="58" t="str">
        <f>IF(Fixtures[[#This Row],[userSide]] = "N/A", "N/A", IF(Fixtures[[#This Row],[userSide]] = "H", Fixtures[[#This Row],[awayTeam]], Fixtures[[#This Row],[homeTeam]]))</f>
        <v>N/A</v>
      </c>
      <c r="AB247" s="58" t="str" cm="1">
        <f t="array" ref="AB247">_xlfn._xlws.FILTER(Teams[teamID], Fixtures[[#This Row],[oppTeam]] = Teams[name], "N/A")</f>
        <v>N/A</v>
      </c>
      <c r="AC247" s="58" t="str" cm="1">
        <f t="array" ref="AC247">_xlfn._xlws.FILTER(Teams[teamType], Fixtures[[#This Row],[oppTeam]] = Teams[name], "N/A")</f>
        <v>N/A</v>
      </c>
      <c r="AD247" s="58" t="str">
        <f>IF(ISBLANK(Fixtures[[#This Row],[date]]), "N/A", IF(Fixtures[[#This Row],[userSide]]="H", Fixtures[[#This Row],[homeScore]], Fixtures[[#This Row],[awayScore]]))</f>
        <v>N/A</v>
      </c>
      <c r="AE247" s="58" t="str">
        <f>IF(ISBLANK(Fixtures[[#This Row],[date]]), "N/A", IF(Fixtures[[#This Row],[userScore]] = Fixtures[[#This Row],[homeScore]], Fixtures[[#This Row],[awayScore]], Fixtures[[#This Row],[homeScore]]))</f>
        <v>N/A</v>
      </c>
      <c r="AF247" s="58" t="b">
        <f>NOT(AND(ISBLANK(Fixtures[[#This Row],[homePens]]), ISBLANK(Fixtures[[#This Row],[awayPens]])))</f>
        <v>0</v>
      </c>
      <c r="AG247" s="58" t="str">
        <f>IF(Fixtures[[#This Row],[penalties]], IF(Fixtures[[#This Row],[userSide]]="H", Fixtures[[#This Row],[homePens]], Fixtures[[#This Row],[awayPens]]), "N/A")</f>
        <v>N/A</v>
      </c>
      <c r="AH247" s="58" t="str">
        <f>IF(Fixtures[[#This Row],[penalties]], IF(Fixtures[[#This Row],[userPens]]=Fixtures[[#This Row],[homePens]],Fixtures[[#This Row],[awayPens]],Fixtures[[#This Row],[homePens]]), "N/A")</f>
        <v>N/A</v>
      </c>
      <c r="AI247" s="58" t="b">
        <f>COUNTBLANK(Fixtures[[#This Row],[G]:[MOTM]]) = 0</f>
        <v>0</v>
      </c>
      <c r="AJ247" s="58" t="str">
        <f>IF(Fixtures[[#This Row],[APP]], Fixtures[[#This Row],[G]]+Fixtures[[#This Row],[A]], "N/A")</f>
        <v>N/A</v>
      </c>
      <c r="AK2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8" spans="1:39" ht="13">
      <c r="A248" s="55"/>
      <c r="B248" s="61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7"/>
      <c r="R248" s="56"/>
      <c r="S248" s="58" t="str" cm="1">
        <f t="array" ref="S248">_xlfn._xlws.FILTER(Competitions[compType], (Fixtures[[#This Row],[competition]] = Competitions[name]), "N/A")</f>
        <v>N/A</v>
      </c>
      <c r="T248" s="58" t="str" cm="1">
        <f t="array" ref="T248">_xlfn._xlws.FILTER(Competitions[exhibition], (Fixtures[[#This Row],[competition]] = Competitions[name]), "N/A")</f>
        <v>N/A</v>
      </c>
      <c r="U248" s="58" t="str" cm="1">
        <f t="array" ref="U248">_xlfn._xlws.FILTER(Competitions[compID], (Fixtures[[#This Row],[competition]] = Competitions[name]), "N/A")</f>
        <v>N/A</v>
      </c>
      <c r="V2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8" s="58" t="str" cm="1">
        <f t="array" ref="W2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8" s="58" t="str" cm="1">
        <f t="array" ref="X248">_xlfn._xlws.FILTER(Teams[name], (Fixtures[[#This Row],[userTeamID]] = Teams[teamID]), "N/A")</f>
        <v>N/A</v>
      </c>
      <c r="Y248" s="58" t="str" cm="1">
        <f t="array" ref="Y248">_xlfn._xlws.FILTER(Teams[teamType], (Fixtures[[#This Row],[userTeamID]] = Teams[teamID]), "N/A")</f>
        <v>N/A</v>
      </c>
      <c r="Z248" s="58" t="str" cm="1">
        <f t="array" ref="Z2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8" s="58" t="str">
        <f>IF(Fixtures[[#This Row],[userSide]] = "N/A", "N/A", IF(Fixtures[[#This Row],[userSide]] = "H", Fixtures[[#This Row],[awayTeam]], Fixtures[[#This Row],[homeTeam]]))</f>
        <v>N/A</v>
      </c>
      <c r="AB248" s="58" t="str" cm="1">
        <f t="array" ref="AB248">_xlfn._xlws.FILTER(Teams[teamID], Fixtures[[#This Row],[oppTeam]] = Teams[name], "N/A")</f>
        <v>N/A</v>
      </c>
      <c r="AC248" s="58" t="str" cm="1">
        <f t="array" ref="AC248">_xlfn._xlws.FILTER(Teams[teamType], Fixtures[[#This Row],[oppTeam]] = Teams[name], "N/A")</f>
        <v>N/A</v>
      </c>
      <c r="AD248" s="58" t="str">
        <f>IF(ISBLANK(Fixtures[[#This Row],[date]]), "N/A", IF(Fixtures[[#This Row],[userSide]]="H", Fixtures[[#This Row],[homeScore]], Fixtures[[#This Row],[awayScore]]))</f>
        <v>N/A</v>
      </c>
      <c r="AE248" s="58" t="str">
        <f>IF(ISBLANK(Fixtures[[#This Row],[date]]), "N/A", IF(Fixtures[[#This Row],[userScore]] = Fixtures[[#This Row],[homeScore]], Fixtures[[#This Row],[awayScore]], Fixtures[[#This Row],[homeScore]]))</f>
        <v>N/A</v>
      </c>
      <c r="AF248" s="58" t="b">
        <f>NOT(AND(ISBLANK(Fixtures[[#This Row],[homePens]]), ISBLANK(Fixtures[[#This Row],[awayPens]])))</f>
        <v>0</v>
      </c>
      <c r="AG248" s="58" t="str">
        <f>IF(Fixtures[[#This Row],[penalties]], IF(Fixtures[[#This Row],[userSide]]="H", Fixtures[[#This Row],[homePens]], Fixtures[[#This Row],[awayPens]]), "N/A")</f>
        <v>N/A</v>
      </c>
      <c r="AH248" s="58" t="str">
        <f>IF(Fixtures[[#This Row],[penalties]], IF(Fixtures[[#This Row],[userPens]]=Fixtures[[#This Row],[homePens]],Fixtures[[#This Row],[awayPens]],Fixtures[[#This Row],[homePens]]), "N/A")</f>
        <v>N/A</v>
      </c>
      <c r="AI248" s="58" t="b">
        <f>COUNTBLANK(Fixtures[[#This Row],[G]:[MOTM]]) = 0</f>
        <v>0</v>
      </c>
      <c r="AJ248" s="58" t="str">
        <f>IF(Fixtures[[#This Row],[APP]], Fixtures[[#This Row],[G]]+Fixtures[[#This Row],[A]], "N/A")</f>
        <v>N/A</v>
      </c>
      <c r="AK2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49" spans="1:39" ht="13">
      <c r="A249" s="55"/>
      <c r="B249" s="61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7"/>
      <c r="R249" s="56"/>
      <c r="S249" s="58" t="str" cm="1">
        <f t="array" ref="S249">_xlfn._xlws.FILTER(Competitions[compType], (Fixtures[[#This Row],[competition]] = Competitions[name]), "N/A")</f>
        <v>N/A</v>
      </c>
      <c r="T249" s="58" t="str" cm="1">
        <f t="array" ref="T249">_xlfn._xlws.FILTER(Competitions[exhibition], (Fixtures[[#This Row],[competition]] = Competitions[name]), "N/A")</f>
        <v>N/A</v>
      </c>
      <c r="U249" s="58" t="str" cm="1">
        <f t="array" ref="U249">_xlfn._xlws.FILTER(Competitions[compID], (Fixtures[[#This Row],[competition]] = Competitions[name]), "N/A")</f>
        <v>N/A</v>
      </c>
      <c r="V2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49" s="58" t="str" cm="1">
        <f t="array" ref="W2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49" s="58" t="str" cm="1">
        <f t="array" ref="X249">_xlfn._xlws.FILTER(Teams[name], (Fixtures[[#This Row],[userTeamID]] = Teams[teamID]), "N/A")</f>
        <v>N/A</v>
      </c>
      <c r="Y249" s="58" t="str" cm="1">
        <f t="array" ref="Y249">_xlfn._xlws.FILTER(Teams[teamType], (Fixtures[[#This Row],[userTeamID]] = Teams[teamID]), "N/A")</f>
        <v>N/A</v>
      </c>
      <c r="Z249" s="58" t="str" cm="1">
        <f t="array" ref="Z2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49" s="58" t="str">
        <f>IF(Fixtures[[#This Row],[userSide]] = "N/A", "N/A", IF(Fixtures[[#This Row],[userSide]] = "H", Fixtures[[#This Row],[awayTeam]], Fixtures[[#This Row],[homeTeam]]))</f>
        <v>N/A</v>
      </c>
      <c r="AB249" s="58" t="str" cm="1">
        <f t="array" ref="AB249">_xlfn._xlws.FILTER(Teams[teamID], Fixtures[[#This Row],[oppTeam]] = Teams[name], "N/A")</f>
        <v>N/A</v>
      </c>
      <c r="AC249" s="58" t="str" cm="1">
        <f t="array" ref="AC249">_xlfn._xlws.FILTER(Teams[teamType], Fixtures[[#This Row],[oppTeam]] = Teams[name], "N/A")</f>
        <v>N/A</v>
      </c>
      <c r="AD249" s="58" t="str">
        <f>IF(ISBLANK(Fixtures[[#This Row],[date]]), "N/A", IF(Fixtures[[#This Row],[userSide]]="H", Fixtures[[#This Row],[homeScore]], Fixtures[[#This Row],[awayScore]]))</f>
        <v>N/A</v>
      </c>
      <c r="AE249" s="58" t="str">
        <f>IF(ISBLANK(Fixtures[[#This Row],[date]]), "N/A", IF(Fixtures[[#This Row],[userScore]] = Fixtures[[#This Row],[homeScore]], Fixtures[[#This Row],[awayScore]], Fixtures[[#This Row],[homeScore]]))</f>
        <v>N/A</v>
      </c>
      <c r="AF249" s="58" t="b">
        <f>NOT(AND(ISBLANK(Fixtures[[#This Row],[homePens]]), ISBLANK(Fixtures[[#This Row],[awayPens]])))</f>
        <v>0</v>
      </c>
      <c r="AG249" s="58" t="str">
        <f>IF(Fixtures[[#This Row],[penalties]], IF(Fixtures[[#This Row],[userSide]]="H", Fixtures[[#This Row],[homePens]], Fixtures[[#This Row],[awayPens]]), "N/A")</f>
        <v>N/A</v>
      </c>
      <c r="AH249" s="58" t="str">
        <f>IF(Fixtures[[#This Row],[penalties]], IF(Fixtures[[#This Row],[userPens]]=Fixtures[[#This Row],[homePens]],Fixtures[[#This Row],[awayPens]],Fixtures[[#This Row],[homePens]]), "N/A")</f>
        <v>N/A</v>
      </c>
      <c r="AI249" s="58" t="b">
        <f>COUNTBLANK(Fixtures[[#This Row],[G]:[MOTM]]) = 0</f>
        <v>0</v>
      </c>
      <c r="AJ249" s="58" t="str">
        <f>IF(Fixtures[[#This Row],[APP]], Fixtures[[#This Row],[G]]+Fixtures[[#This Row],[A]], "N/A")</f>
        <v>N/A</v>
      </c>
      <c r="AK2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0" spans="1:39" ht="13">
      <c r="A250" s="55"/>
      <c r="B250" s="61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7"/>
      <c r="R250" s="56"/>
      <c r="S250" s="58" t="str" cm="1">
        <f t="array" ref="S250">_xlfn._xlws.FILTER(Competitions[compType], (Fixtures[[#This Row],[competition]] = Competitions[name]), "N/A")</f>
        <v>N/A</v>
      </c>
      <c r="T250" s="58" t="str" cm="1">
        <f t="array" ref="T250">_xlfn._xlws.FILTER(Competitions[exhibition], (Fixtures[[#This Row],[competition]] = Competitions[name]), "N/A")</f>
        <v>N/A</v>
      </c>
      <c r="U250" s="58" t="str" cm="1">
        <f t="array" ref="U250">_xlfn._xlws.FILTER(Competitions[compID], (Fixtures[[#This Row],[competition]] = Competitions[name]), "N/A")</f>
        <v>N/A</v>
      </c>
      <c r="V2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0" s="58" t="str" cm="1">
        <f t="array" ref="W2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0" s="58" t="str" cm="1">
        <f t="array" ref="X250">_xlfn._xlws.FILTER(Teams[name], (Fixtures[[#This Row],[userTeamID]] = Teams[teamID]), "N/A")</f>
        <v>N/A</v>
      </c>
      <c r="Y250" s="58" t="str" cm="1">
        <f t="array" ref="Y250">_xlfn._xlws.FILTER(Teams[teamType], (Fixtures[[#This Row],[userTeamID]] = Teams[teamID]), "N/A")</f>
        <v>N/A</v>
      </c>
      <c r="Z250" s="58" t="str" cm="1">
        <f t="array" ref="Z2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0" s="58" t="str">
        <f>IF(Fixtures[[#This Row],[userSide]] = "N/A", "N/A", IF(Fixtures[[#This Row],[userSide]] = "H", Fixtures[[#This Row],[awayTeam]], Fixtures[[#This Row],[homeTeam]]))</f>
        <v>N/A</v>
      </c>
      <c r="AB250" s="58" t="str" cm="1">
        <f t="array" ref="AB250">_xlfn._xlws.FILTER(Teams[teamID], Fixtures[[#This Row],[oppTeam]] = Teams[name], "N/A")</f>
        <v>N/A</v>
      </c>
      <c r="AC250" s="58" t="str" cm="1">
        <f t="array" ref="AC250">_xlfn._xlws.FILTER(Teams[teamType], Fixtures[[#This Row],[oppTeam]] = Teams[name], "N/A")</f>
        <v>N/A</v>
      </c>
      <c r="AD250" s="58" t="str">
        <f>IF(ISBLANK(Fixtures[[#This Row],[date]]), "N/A", IF(Fixtures[[#This Row],[userSide]]="H", Fixtures[[#This Row],[homeScore]], Fixtures[[#This Row],[awayScore]]))</f>
        <v>N/A</v>
      </c>
      <c r="AE250" s="58" t="str">
        <f>IF(ISBLANK(Fixtures[[#This Row],[date]]), "N/A", IF(Fixtures[[#This Row],[userScore]] = Fixtures[[#This Row],[homeScore]], Fixtures[[#This Row],[awayScore]], Fixtures[[#This Row],[homeScore]]))</f>
        <v>N/A</v>
      </c>
      <c r="AF250" s="58" t="b">
        <f>NOT(AND(ISBLANK(Fixtures[[#This Row],[homePens]]), ISBLANK(Fixtures[[#This Row],[awayPens]])))</f>
        <v>0</v>
      </c>
      <c r="AG250" s="58" t="str">
        <f>IF(Fixtures[[#This Row],[penalties]], IF(Fixtures[[#This Row],[userSide]]="H", Fixtures[[#This Row],[homePens]], Fixtures[[#This Row],[awayPens]]), "N/A")</f>
        <v>N/A</v>
      </c>
      <c r="AH250" s="58" t="str">
        <f>IF(Fixtures[[#This Row],[penalties]], IF(Fixtures[[#This Row],[userPens]]=Fixtures[[#This Row],[homePens]],Fixtures[[#This Row],[awayPens]],Fixtures[[#This Row],[homePens]]), "N/A")</f>
        <v>N/A</v>
      </c>
      <c r="AI250" s="58" t="b">
        <f>COUNTBLANK(Fixtures[[#This Row],[G]:[MOTM]]) = 0</f>
        <v>0</v>
      </c>
      <c r="AJ250" s="58" t="str">
        <f>IF(Fixtures[[#This Row],[APP]], Fixtures[[#This Row],[G]]+Fixtures[[#This Row],[A]], "N/A")</f>
        <v>N/A</v>
      </c>
      <c r="AK2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1" spans="1:39" ht="13">
      <c r="A251" s="55"/>
      <c r="B251" s="61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7"/>
      <c r="R251" s="56"/>
      <c r="S251" s="58" t="str" cm="1">
        <f t="array" ref="S251">_xlfn._xlws.FILTER(Competitions[compType], (Fixtures[[#This Row],[competition]] = Competitions[name]), "N/A")</f>
        <v>N/A</v>
      </c>
      <c r="T251" s="58" t="str" cm="1">
        <f t="array" ref="T251">_xlfn._xlws.FILTER(Competitions[exhibition], (Fixtures[[#This Row],[competition]] = Competitions[name]), "N/A")</f>
        <v>N/A</v>
      </c>
      <c r="U251" s="58" t="str" cm="1">
        <f t="array" ref="U251">_xlfn._xlws.FILTER(Competitions[compID], (Fixtures[[#This Row],[competition]] = Competitions[name]), "N/A")</f>
        <v>N/A</v>
      </c>
      <c r="V2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1" s="58" t="str" cm="1">
        <f t="array" ref="W2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1" s="58" t="str" cm="1">
        <f t="array" ref="X251">_xlfn._xlws.FILTER(Teams[name], (Fixtures[[#This Row],[userTeamID]] = Teams[teamID]), "N/A")</f>
        <v>N/A</v>
      </c>
      <c r="Y251" s="58" t="str" cm="1">
        <f t="array" ref="Y251">_xlfn._xlws.FILTER(Teams[teamType], (Fixtures[[#This Row],[userTeamID]] = Teams[teamID]), "N/A")</f>
        <v>N/A</v>
      </c>
      <c r="Z251" s="58" t="str" cm="1">
        <f t="array" ref="Z2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1" s="58" t="str">
        <f>IF(Fixtures[[#This Row],[userSide]] = "N/A", "N/A", IF(Fixtures[[#This Row],[userSide]] = "H", Fixtures[[#This Row],[awayTeam]], Fixtures[[#This Row],[homeTeam]]))</f>
        <v>N/A</v>
      </c>
      <c r="AB251" s="58" t="str" cm="1">
        <f t="array" ref="AB251">_xlfn._xlws.FILTER(Teams[teamID], Fixtures[[#This Row],[oppTeam]] = Teams[name], "N/A")</f>
        <v>N/A</v>
      </c>
      <c r="AC251" s="58" t="str" cm="1">
        <f t="array" ref="AC251">_xlfn._xlws.FILTER(Teams[teamType], Fixtures[[#This Row],[oppTeam]] = Teams[name], "N/A")</f>
        <v>N/A</v>
      </c>
      <c r="AD251" s="58" t="str">
        <f>IF(ISBLANK(Fixtures[[#This Row],[date]]), "N/A", IF(Fixtures[[#This Row],[userSide]]="H", Fixtures[[#This Row],[homeScore]], Fixtures[[#This Row],[awayScore]]))</f>
        <v>N/A</v>
      </c>
      <c r="AE251" s="58" t="str">
        <f>IF(ISBLANK(Fixtures[[#This Row],[date]]), "N/A", IF(Fixtures[[#This Row],[userScore]] = Fixtures[[#This Row],[homeScore]], Fixtures[[#This Row],[awayScore]], Fixtures[[#This Row],[homeScore]]))</f>
        <v>N/A</v>
      </c>
      <c r="AF251" s="58" t="b">
        <f>NOT(AND(ISBLANK(Fixtures[[#This Row],[homePens]]), ISBLANK(Fixtures[[#This Row],[awayPens]])))</f>
        <v>0</v>
      </c>
      <c r="AG251" s="58" t="str">
        <f>IF(Fixtures[[#This Row],[penalties]], IF(Fixtures[[#This Row],[userSide]]="H", Fixtures[[#This Row],[homePens]], Fixtures[[#This Row],[awayPens]]), "N/A")</f>
        <v>N/A</v>
      </c>
      <c r="AH251" s="58" t="str">
        <f>IF(Fixtures[[#This Row],[penalties]], IF(Fixtures[[#This Row],[userPens]]=Fixtures[[#This Row],[homePens]],Fixtures[[#This Row],[awayPens]],Fixtures[[#This Row],[homePens]]), "N/A")</f>
        <v>N/A</v>
      </c>
      <c r="AI251" s="58" t="b">
        <f>COUNTBLANK(Fixtures[[#This Row],[G]:[MOTM]]) = 0</f>
        <v>0</v>
      </c>
      <c r="AJ251" s="58" t="str">
        <f>IF(Fixtures[[#This Row],[APP]], Fixtures[[#This Row],[G]]+Fixtures[[#This Row],[A]], "N/A")</f>
        <v>N/A</v>
      </c>
      <c r="AK2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2" spans="1:39" ht="13">
      <c r="A252" s="55"/>
      <c r="B252" s="61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7"/>
      <c r="R252" s="56"/>
      <c r="S252" s="58" t="str" cm="1">
        <f t="array" ref="S252">_xlfn._xlws.FILTER(Competitions[compType], (Fixtures[[#This Row],[competition]] = Competitions[name]), "N/A")</f>
        <v>N/A</v>
      </c>
      <c r="T252" s="58" t="str" cm="1">
        <f t="array" ref="T252">_xlfn._xlws.FILTER(Competitions[exhibition], (Fixtures[[#This Row],[competition]] = Competitions[name]), "N/A")</f>
        <v>N/A</v>
      </c>
      <c r="U252" s="58" t="str" cm="1">
        <f t="array" ref="U252">_xlfn._xlws.FILTER(Competitions[compID], (Fixtures[[#This Row],[competition]] = Competitions[name]), "N/A")</f>
        <v>N/A</v>
      </c>
      <c r="V2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2" s="58" t="str" cm="1">
        <f t="array" ref="W2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2" s="58" t="str" cm="1">
        <f t="array" ref="X252">_xlfn._xlws.FILTER(Teams[name], (Fixtures[[#This Row],[userTeamID]] = Teams[teamID]), "N/A")</f>
        <v>N/A</v>
      </c>
      <c r="Y252" s="58" t="str" cm="1">
        <f t="array" ref="Y252">_xlfn._xlws.FILTER(Teams[teamType], (Fixtures[[#This Row],[userTeamID]] = Teams[teamID]), "N/A")</f>
        <v>N/A</v>
      </c>
      <c r="Z252" s="58" t="str" cm="1">
        <f t="array" ref="Z2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2" s="58" t="str">
        <f>IF(Fixtures[[#This Row],[userSide]] = "N/A", "N/A", IF(Fixtures[[#This Row],[userSide]] = "H", Fixtures[[#This Row],[awayTeam]], Fixtures[[#This Row],[homeTeam]]))</f>
        <v>N/A</v>
      </c>
      <c r="AB252" s="58" t="str" cm="1">
        <f t="array" ref="AB252">_xlfn._xlws.FILTER(Teams[teamID], Fixtures[[#This Row],[oppTeam]] = Teams[name], "N/A")</f>
        <v>N/A</v>
      </c>
      <c r="AC252" s="58" t="str" cm="1">
        <f t="array" ref="AC252">_xlfn._xlws.FILTER(Teams[teamType], Fixtures[[#This Row],[oppTeam]] = Teams[name], "N/A")</f>
        <v>N/A</v>
      </c>
      <c r="AD252" s="58" t="str">
        <f>IF(ISBLANK(Fixtures[[#This Row],[date]]), "N/A", IF(Fixtures[[#This Row],[userSide]]="H", Fixtures[[#This Row],[homeScore]], Fixtures[[#This Row],[awayScore]]))</f>
        <v>N/A</v>
      </c>
      <c r="AE252" s="58" t="str">
        <f>IF(ISBLANK(Fixtures[[#This Row],[date]]), "N/A", IF(Fixtures[[#This Row],[userScore]] = Fixtures[[#This Row],[homeScore]], Fixtures[[#This Row],[awayScore]], Fixtures[[#This Row],[homeScore]]))</f>
        <v>N/A</v>
      </c>
      <c r="AF252" s="58" t="b">
        <f>NOT(AND(ISBLANK(Fixtures[[#This Row],[homePens]]), ISBLANK(Fixtures[[#This Row],[awayPens]])))</f>
        <v>0</v>
      </c>
      <c r="AG252" s="58" t="str">
        <f>IF(Fixtures[[#This Row],[penalties]], IF(Fixtures[[#This Row],[userSide]]="H", Fixtures[[#This Row],[homePens]], Fixtures[[#This Row],[awayPens]]), "N/A")</f>
        <v>N/A</v>
      </c>
      <c r="AH252" s="58" t="str">
        <f>IF(Fixtures[[#This Row],[penalties]], IF(Fixtures[[#This Row],[userPens]]=Fixtures[[#This Row],[homePens]],Fixtures[[#This Row],[awayPens]],Fixtures[[#This Row],[homePens]]), "N/A")</f>
        <v>N/A</v>
      </c>
      <c r="AI252" s="58" t="b">
        <f>COUNTBLANK(Fixtures[[#This Row],[G]:[MOTM]]) = 0</f>
        <v>0</v>
      </c>
      <c r="AJ252" s="58" t="str">
        <f>IF(Fixtures[[#This Row],[APP]], Fixtures[[#This Row],[G]]+Fixtures[[#This Row],[A]], "N/A")</f>
        <v>N/A</v>
      </c>
      <c r="AK2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3" spans="1:39" ht="13">
      <c r="A253" s="55"/>
      <c r="B253" s="61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7"/>
      <c r="R253" s="56"/>
      <c r="S253" s="58" t="str" cm="1">
        <f t="array" ref="S253">_xlfn._xlws.FILTER(Competitions[compType], (Fixtures[[#This Row],[competition]] = Competitions[name]), "N/A")</f>
        <v>N/A</v>
      </c>
      <c r="T253" s="58" t="str" cm="1">
        <f t="array" ref="T253">_xlfn._xlws.FILTER(Competitions[exhibition], (Fixtures[[#This Row],[competition]] = Competitions[name]), "N/A")</f>
        <v>N/A</v>
      </c>
      <c r="U253" s="58" t="str" cm="1">
        <f t="array" ref="U253">_xlfn._xlws.FILTER(Competitions[compID], (Fixtures[[#This Row],[competition]] = Competitions[name]), "N/A")</f>
        <v>N/A</v>
      </c>
      <c r="V2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3" s="58" t="str" cm="1">
        <f t="array" ref="W2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3" s="58" t="str" cm="1">
        <f t="array" ref="X253">_xlfn._xlws.FILTER(Teams[name], (Fixtures[[#This Row],[userTeamID]] = Teams[teamID]), "N/A")</f>
        <v>N/A</v>
      </c>
      <c r="Y253" s="58" t="str" cm="1">
        <f t="array" ref="Y253">_xlfn._xlws.FILTER(Teams[teamType], (Fixtures[[#This Row],[userTeamID]] = Teams[teamID]), "N/A")</f>
        <v>N/A</v>
      </c>
      <c r="Z253" s="58" t="str" cm="1">
        <f t="array" ref="Z2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3" s="58" t="str">
        <f>IF(Fixtures[[#This Row],[userSide]] = "N/A", "N/A", IF(Fixtures[[#This Row],[userSide]] = "H", Fixtures[[#This Row],[awayTeam]], Fixtures[[#This Row],[homeTeam]]))</f>
        <v>N/A</v>
      </c>
      <c r="AB253" s="58" t="str" cm="1">
        <f t="array" ref="AB253">_xlfn._xlws.FILTER(Teams[teamID], Fixtures[[#This Row],[oppTeam]] = Teams[name], "N/A")</f>
        <v>N/A</v>
      </c>
      <c r="AC253" s="58" t="str" cm="1">
        <f t="array" ref="AC253">_xlfn._xlws.FILTER(Teams[teamType], Fixtures[[#This Row],[oppTeam]] = Teams[name], "N/A")</f>
        <v>N/A</v>
      </c>
      <c r="AD253" s="58" t="str">
        <f>IF(ISBLANK(Fixtures[[#This Row],[date]]), "N/A", IF(Fixtures[[#This Row],[userSide]]="H", Fixtures[[#This Row],[homeScore]], Fixtures[[#This Row],[awayScore]]))</f>
        <v>N/A</v>
      </c>
      <c r="AE253" s="58" t="str">
        <f>IF(ISBLANK(Fixtures[[#This Row],[date]]), "N/A", IF(Fixtures[[#This Row],[userScore]] = Fixtures[[#This Row],[homeScore]], Fixtures[[#This Row],[awayScore]], Fixtures[[#This Row],[homeScore]]))</f>
        <v>N/A</v>
      </c>
      <c r="AF253" s="58" t="b">
        <f>NOT(AND(ISBLANK(Fixtures[[#This Row],[homePens]]), ISBLANK(Fixtures[[#This Row],[awayPens]])))</f>
        <v>0</v>
      </c>
      <c r="AG253" s="58" t="str">
        <f>IF(Fixtures[[#This Row],[penalties]], IF(Fixtures[[#This Row],[userSide]]="H", Fixtures[[#This Row],[homePens]], Fixtures[[#This Row],[awayPens]]), "N/A")</f>
        <v>N/A</v>
      </c>
      <c r="AH253" s="58" t="str">
        <f>IF(Fixtures[[#This Row],[penalties]], IF(Fixtures[[#This Row],[userPens]]=Fixtures[[#This Row],[homePens]],Fixtures[[#This Row],[awayPens]],Fixtures[[#This Row],[homePens]]), "N/A")</f>
        <v>N/A</v>
      </c>
      <c r="AI253" s="58" t="b">
        <f>COUNTBLANK(Fixtures[[#This Row],[G]:[MOTM]]) = 0</f>
        <v>0</v>
      </c>
      <c r="AJ253" s="58" t="str">
        <f>IF(Fixtures[[#This Row],[APP]], Fixtures[[#This Row],[G]]+Fixtures[[#This Row],[A]], "N/A")</f>
        <v>N/A</v>
      </c>
      <c r="AK2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4" spans="1:39" ht="13">
      <c r="A254" s="55"/>
      <c r="B254" s="61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7"/>
      <c r="R254" s="56"/>
      <c r="S254" s="58" t="str" cm="1">
        <f t="array" ref="S254">_xlfn._xlws.FILTER(Competitions[compType], (Fixtures[[#This Row],[competition]] = Competitions[name]), "N/A")</f>
        <v>N/A</v>
      </c>
      <c r="T254" s="58" t="str" cm="1">
        <f t="array" ref="T254">_xlfn._xlws.FILTER(Competitions[exhibition], (Fixtures[[#This Row],[competition]] = Competitions[name]), "N/A")</f>
        <v>N/A</v>
      </c>
      <c r="U254" s="58" t="str" cm="1">
        <f t="array" ref="U254">_xlfn._xlws.FILTER(Competitions[compID], (Fixtures[[#This Row],[competition]] = Competitions[name]), "N/A")</f>
        <v>N/A</v>
      </c>
      <c r="V2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4" s="58" t="str" cm="1">
        <f t="array" ref="W2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4" s="58" t="str" cm="1">
        <f t="array" ref="X254">_xlfn._xlws.FILTER(Teams[name], (Fixtures[[#This Row],[userTeamID]] = Teams[teamID]), "N/A")</f>
        <v>N/A</v>
      </c>
      <c r="Y254" s="58" t="str" cm="1">
        <f t="array" ref="Y254">_xlfn._xlws.FILTER(Teams[teamType], (Fixtures[[#This Row],[userTeamID]] = Teams[teamID]), "N/A")</f>
        <v>N/A</v>
      </c>
      <c r="Z254" s="58" t="str" cm="1">
        <f t="array" ref="Z2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4" s="58" t="str">
        <f>IF(Fixtures[[#This Row],[userSide]] = "N/A", "N/A", IF(Fixtures[[#This Row],[userSide]] = "H", Fixtures[[#This Row],[awayTeam]], Fixtures[[#This Row],[homeTeam]]))</f>
        <v>N/A</v>
      </c>
      <c r="AB254" s="58" t="str" cm="1">
        <f t="array" ref="AB254">_xlfn._xlws.FILTER(Teams[teamID], Fixtures[[#This Row],[oppTeam]] = Teams[name], "N/A")</f>
        <v>N/A</v>
      </c>
      <c r="AC254" s="58" t="str" cm="1">
        <f t="array" ref="AC254">_xlfn._xlws.FILTER(Teams[teamType], Fixtures[[#This Row],[oppTeam]] = Teams[name], "N/A")</f>
        <v>N/A</v>
      </c>
      <c r="AD254" s="58" t="str">
        <f>IF(ISBLANK(Fixtures[[#This Row],[date]]), "N/A", IF(Fixtures[[#This Row],[userSide]]="H", Fixtures[[#This Row],[homeScore]], Fixtures[[#This Row],[awayScore]]))</f>
        <v>N/A</v>
      </c>
      <c r="AE254" s="58" t="str">
        <f>IF(ISBLANK(Fixtures[[#This Row],[date]]), "N/A", IF(Fixtures[[#This Row],[userScore]] = Fixtures[[#This Row],[homeScore]], Fixtures[[#This Row],[awayScore]], Fixtures[[#This Row],[homeScore]]))</f>
        <v>N/A</v>
      </c>
      <c r="AF254" s="58" t="b">
        <f>NOT(AND(ISBLANK(Fixtures[[#This Row],[homePens]]), ISBLANK(Fixtures[[#This Row],[awayPens]])))</f>
        <v>0</v>
      </c>
      <c r="AG254" s="58" t="str">
        <f>IF(Fixtures[[#This Row],[penalties]], IF(Fixtures[[#This Row],[userSide]]="H", Fixtures[[#This Row],[homePens]], Fixtures[[#This Row],[awayPens]]), "N/A")</f>
        <v>N/A</v>
      </c>
      <c r="AH254" s="58" t="str">
        <f>IF(Fixtures[[#This Row],[penalties]], IF(Fixtures[[#This Row],[userPens]]=Fixtures[[#This Row],[homePens]],Fixtures[[#This Row],[awayPens]],Fixtures[[#This Row],[homePens]]), "N/A")</f>
        <v>N/A</v>
      </c>
      <c r="AI254" s="58" t="b">
        <f>COUNTBLANK(Fixtures[[#This Row],[G]:[MOTM]]) = 0</f>
        <v>0</v>
      </c>
      <c r="AJ254" s="58" t="str">
        <f>IF(Fixtures[[#This Row],[APP]], Fixtures[[#This Row],[G]]+Fixtures[[#This Row],[A]], "N/A")</f>
        <v>N/A</v>
      </c>
      <c r="AK2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5" spans="1:39" ht="13">
      <c r="A255" s="55"/>
      <c r="B255" s="61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7"/>
      <c r="R255" s="56"/>
      <c r="S255" s="58" t="str" cm="1">
        <f t="array" ref="S255">_xlfn._xlws.FILTER(Competitions[compType], (Fixtures[[#This Row],[competition]] = Competitions[name]), "N/A")</f>
        <v>N/A</v>
      </c>
      <c r="T255" s="58" t="str" cm="1">
        <f t="array" ref="T255">_xlfn._xlws.FILTER(Competitions[exhibition], (Fixtures[[#This Row],[competition]] = Competitions[name]), "N/A")</f>
        <v>N/A</v>
      </c>
      <c r="U255" s="58" t="str" cm="1">
        <f t="array" ref="U255">_xlfn._xlws.FILTER(Competitions[compID], (Fixtures[[#This Row],[competition]] = Competitions[name]), "N/A")</f>
        <v>N/A</v>
      </c>
      <c r="V2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5" s="58" t="str" cm="1">
        <f t="array" ref="W2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5" s="58" t="str" cm="1">
        <f t="array" ref="X255">_xlfn._xlws.FILTER(Teams[name], (Fixtures[[#This Row],[userTeamID]] = Teams[teamID]), "N/A")</f>
        <v>N/A</v>
      </c>
      <c r="Y255" s="58" t="str" cm="1">
        <f t="array" ref="Y255">_xlfn._xlws.FILTER(Teams[teamType], (Fixtures[[#This Row],[userTeamID]] = Teams[teamID]), "N/A")</f>
        <v>N/A</v>
      </c>
      <c r="Z255" s="58" t="str" cm="1">
        <f t="array" ref="Z2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5" s="58" t="str">
        <f>IF(Fixtures[[#This Row],[userSide]] = "N/A", "N/A", IF(Fixtures[[#This Row],[userSide]] = "H", Fixtures[[#This Row],[awayTeam]], Fixtures[[#This Row],[homeTeam]]))</f>
        <v>N/A</v>
      </c>
      <c r="AB255" s="58" t="str" cm="1">
        <f t="array" ref="AB255">_xlfn._xlws.FILTER(Teams[teamID], Fixtures[[#This Row],[oppTeam]] = Teams[name], "N/A")</f>
        <v>N/A</v>
      </c>
      <c r="AC255" s="58" t="str" cm="1">
        <f t="array" ref="AC255">_xlfn._xlws.FILTER(Teams[teamType], Fixtures[[#This Row],[oppTeam]] = Teams[name], "N/A")</f>
        <v>N/A</v>
      </c>
      <c r="AD255" s="58" t="str">
        <f>IF(ISBLANK(Fixtures[[#This Row],[date]]), "N/A", IF(Fixtures[[#This Row],[userSide]]="H", Fixtures[[#This Row],[homeScore]], Fixtures[[#This Row],[awayScore]]))</f>
        <v>N/A</v>
      </c>
      <c r="AE255" s="58" t="str">
        <f>IF(ISBLANK(Fixtures[[#This Row],[date]]), "N/A", IF(Fixtures[[#This Row],[userScore]] = Fixtures[[#This Row],[homeScore]], Fixtures[[#This Row],[awayScore]], Fixtures[[#This Row],[homeScore]]))</f>
        <v>N/A</v>
      </c>
      <c r="AF255" s="58" t="b">
        <f>NOT(AND(ISBLANK(Fixtures[[#This Row],[homePens]]), ISBLANK(Fixtures[[#This Row],[awayPens]])))</f>
        <v>0</v>
      </c>
      <c r="AG255" s="58" t="str">
        <f>IF(Fixtures[[#This Row],[penalties]], IF(Fixtures[[#This Row],[userSide]]="H", Fixtures[[#This Row],[homePens]], Fixtures[[#This Row],[awayPens]]), "N/A")</f>
        <v>N/A</v>
      </c>
      <c r="AH255" s="58" t="str">
        <f>IF(Fixtures[[#This Row],[penalties]], IF(Fixtures[[#This Row],[userPens]]=Fixtures[[#This Row],[homePens]],Fixtures[[#This Row],[awayPens]],Fixtures[[#This Row],[homePens]]), "N/A")</f>
        <v>N/A</v>
      </c>
      <c r="AI255" s="58" t="b">
        <f>COUNTBLANK(Fixtures[[#This Row],[G]:[MOTM]]) = 0</f>
        <v>0</v>
      </c>
      <c r="AJ255" s="58" t="str">
        <f>IF(Fixtures[[#This Row],[APP]], Fixtures[[#This Row],[G]]+Fixtures[[#This Row],[A]], "N/A")</f>
        <v>N/A</v>
      </c>
      <c r="AK2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6" spans="1:39" ht="13">
      <c r="A256" s="55"/>
      <c r="B256" s="61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7"/>
      <c r="R256" s="56"/>
      <c r="S256" s="58" t="str" cm="1">
        <f t="array" ref="S256">_xlfn._xlws.FILTER(Competitions[compType], (Fixtures[[#This Row],[competition]] = Competitions[name]), "N/A")</f>
        <v>N/A</v>
      </c>
      <c r="T256" s="58" t="str" cm="1">
        <f t="array" ref="T256">_xlfn._xlws.FILTER(Competitions[exhibition], (Fixtures[[#This Row],[competition]] = Competitions[name]), "N/A")</f>
        <v>N/A</v>
      </c>
      <c r="U256" s="58" t="str" cm="1">
        <f t="array" ref="U256">_xlfn._xlws.FILTER(Competitions[compID], (Fixtures[[#This Row],[competition]] = Competitions[name]), "N/A")</f>
        <v>N/A</v>
      </c>
      <c r="V2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6" s="58" t="str" cm="1">
        <f t="array" ref="W2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6" s="58" t="str" cm="1">
        <f t="array" ref="X256">_xlfn._xlws.FILTER(Teams[name], (Fixtures[[#This Row],[userTeamID]] = Teams[teamID]), "N/A")</f>
        <v>N/A</v>
      </c>
      <c r="Y256" s="58" t="str" cm="1">
        <f t="array" ref="Y256">_xlfn._xlws.FILTER(Teams[teamType], (Fixtures[[#This Row],[userTeamID]] = Teams[teamID]), "N/A")</f>
        <v>N/A</v>
      </c>
      <c r="Z256" s="58" t="str" cm="1">
        <f t="array" ref="Z2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6" s="58" t="str">
        <f>IF(Fixtures[[#This Row],[userSide]] = "N/A", "N/A", IF(Fixtures[[#This Row],[userSide]] = "H", Fixtures[[#This Row],[awayTeam]], Fixtures[[#This Row],[homeTeam]]))</f>
        <v>N/A</v>
      </c>
      <c r="AB256" s="58" t="str" cm="1">
        <f t="array" ref="AB256">_xlfn._xlws.FILTER(Teams[teamID], Fixtures[[#This Row],[oppTeam]] = Teams[name], "N/A")</f>
        <v>N/A</v>
      </c>
      <c r="AC256" s="58" t="str" cm="1">
        <f t="array" ref="AC256">_xlfn._xlws.FILTER(Teams[teamType], Fixtures[[#This Row],[oppTeam]] = Teams[name], "N/A")</f>
        <v>N/A</v>
      </c>
      <c r="AD256" s="58" t="str">
        <f>IF(ISBLANK(Fixtures[[#This Row],[date]]), "N/A", IF(Fixtures[[#This Row],[userSide]]="H", Fixtures[[#This Row],[homeScore]], Fixtures[[#This Row],[awayScore]]))</f>
        <v>N/A</v>
      </c>
      <c r="AE256" s="58" t="str">
        <f>IF(ISBLANK(Fixtures[[#This Row],[date]]), "N/A", IF(Fixtures[[#This Row],[userScore]] = Fixtures[[#This Row],[homeScore]], Fixtures[[#This Row],[awayScore]], Fixtures[[#This Row],[homeScore]]))</f>
        <v>N/A</v>
      </c>
      <c r="AF256" s="58" t="b">
        <f>NOT(AND(ISBLANK(Fixtures[[#This Row],[homePens]]), ISBLANK(Fixtures[[#This Row],[awayPens]])))</f>
        <v>0</v>
      </c>
      <c r="AG256" s="58" t="str">
        <f>IF(Fixtures[[#This Row],[penalties]], IF(Fixtures[[#This Row],[userSide]]="H", Fixtures[[#This Row],[homePens]], Fixtures[[#This Row],[awayPens]]), "N/A")</f>
        <v>N/A</v>
      </c>
      <c r="AH256" s="58" t="str">
        <f>IF(Fixtures[[#This Row],[penalties]], IF(Fixtures[[#This Row],[userPens]]=Fixtures[[#This Row],[homePens]],Fixtures[[#This Row],[awayPens]],Fixtures[[#This Row],[homePens]]), "N/A")</f>
        <v>N/A</v>
      </c>
      <c r="AI256" s="58" t="b">
        <f>COUNTBLANK(Fixtures[[#This Row],[G]:[MOTM]]) = 0</f>
        <v>0</v>
      </c>
      <c r="AJ256" s="58" t="str">
        <f>IF(Fixtures[[#This Row],[APP]], Fixtures[[#This Row],[G]]+Fixtures[[#This Row],[A]], "N/A")</f>
        <v>N/A</v>
      </c>
      <c r="AK2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7" spans="1:39" ht="13">
      <c r="A257" s="55"/>
      <c r="B257" s="61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7"/>
      <c r="R257" s="56"/>
      <c r="S257" s="58" t="str" cm="1">
        <f t="array" ref="S257">_xlfn._xlws.FILTER(Competitions[compType], (Fixtures[[#This Row],[competition]] = Competitions[name]), "N/A")</f>
        <v>N/A</v>
      </c>
      <c r="T257" s="58" t="str" cm="1">
        <f t="array" ref="T257">_xlfn._xlws.FILTER(Competitions[exhibition], (Fixtures[[#This Row],[competition]] = Competitions[name]), "N/A")</f>
        <v>N/A</v>
      </c>
      <c r="U257" s="58" t="str" cm="1">
        <f t="array" ref="U257">_xlfn._xlws.FILTER(Competitions[compID], (Fixtures[[#This Row],[competition]] = Competitions[name]), "N/A")</f>
        <v>N/A</v>
      </c>
      <c r="V2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7" s="58" t="str" cm="1">
        <f t="array" ref="W2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7" s="58" t="str" cm="1">
        <f t="array" ref="X257">_xlfn._xlws.FILTER(Teams[name], (Fixtures[[#This Row],[userTeamID]] = Teams[teamID]), "N/A")</f>
        <v>N/A</v>
      </c>
      <c r="Y257" s="58" t="str" cm="1">
        <f t="array" ref="Y257">_xlfn._xlws.FILTER(Teams[teamType], (Fixtures[[#This Row],[userTeamID]] = Teams[teamID]), "N/A")</f>
        <v>N/A</v>
      </c>
      <c r="Z257" s="58" t="str" cm="1">
        <f t="array" ref="Z2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7" s="58" t="str">
        <f>IF(Fixtures[[#This Row],[userSide]] = "N/A", "N/A", IF(Fixtures[[#This Row],[userSide]] = "H", Fixtures[[#This Row],[awayTeam]], Fixtures[[#This Row],[homeTeam]]))</f>
        <v>N/A</v>
      </c>
      <c r="AB257" s="58" t="str" cm="1">
        <f t="array" ref="AB257">_xlfn._xlws.FILTER(Teams[teamID], Fixtures[[#This Row],[oppTeam]] = Teams[name], "N/A")</f>
        <v>N/A</v>
      </c>
      <c r="AC257" s="58" t="str" cm="1">
        <f t="array" ref="AC257">_xlfn._xlws.FILTER(Teams[teamType], Fixtures[[#This Row],[oppTeam]] = Teams[name], "N/A")</f>
        <v>N/A</v>
      </c>
      <c r="AD257" s="58" t="str">
        <f>IF(ISBLANK(Fixtures[[#This Row],[date]]), "N/A", IF(Fixtures[[#This Row],[userSide]]="H", Fixtures[[#This Row],[homeScore]], Fixtures[[#This Row],[awayScore]]))</f>
        <v>N/A</v>
      </c>
      <c r="AE257" s="58" t="str">
        <f>IF(ISBLANK(Fixtures[[#This Row],[date]]), "N/A", IF(Fixtures[[#This Row],[userScore]] = Fixtures[[#This Row],[homeScore]], Fixtures[[#This Row],[awayScore]], Fixtures[[#This Row],[homeScore]]))</f>
        <v>N/A</v>
      </c>
      <c r="AF257" s="58" t="b">
        <f>NOT(AND(ISBLANK(Fixtures[[#This Row],[homePens]]), ISBLANK(Fixtures[[#This Row],[awayPens]])))</f>
        <v>0</v>
      </c>
      <c r="AG257" s="58" t="str">
        <f>IF(Fixtures[[#This Row],[penalties]], IF(Fixtures[[#This Row],[userSide]]="H", Fixtures[[#This Row],[homePens]], Fixtures[[#This Row],[awayPens]]), "N/A")</f>
        <v>N/A</v>
      </c>
      <c r="AH257" s="58" t="str">
        <f>IF(Fixtures[[#This Row],[penalties]], IF(Fixtures[[#This Row],[userPens]]=Fixtures[[#This Row],[homePens]],Fixtures[[#This Row],[awayPens]],Fixtures[[#This Row],[homePens]]), "N/A")</f>
        <v>N/A</v>
      </c>
      <c r="AI257" s="58" t="b">
        <f>COUNTBLANK(Fixtures[[#This Row],[G]:[MOTM]]) = 0</f>
        <v>0</v>
      </c>
      <c r="AJ257" s="58" t="str">
        <f>IF(Fixtures[[#This Row],[APP]], Fixtures[[#This Row],[G]]+Fixtures[[#This Row],[A]], "N/A")</f>
        <v>N/A</v>
      </c>
      <c r="AK2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8" spans="1:39" ht="13">
      <c r="A258" s="55"/>
      <c r="B258" s="61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7"/>
      <c r="R258" s="56"/>
      <c r="S258" s="58" t="str" cm="1">
        <f t="array" ref="S258">_xlfn._xlws.FILTER(Competitions[compType], (Fixtures[[#This Row],[competition]] = Competitions[name]), "N/A")</f>
        <v>N/A</v>
      </c>
      <c r="T258" s="58" t="str" cm="1">
        <f t="array" ref="T258">_xlfn._xlws.FILTER(Competitions[exhibition], (Fixtures[[#This Row],[competition]] = Competitions[name]), "N/A")</f>
        <v>N/A</v>
      </c>
      <c r="U258" s="58" t="str" cm="1">
        <f t="array" ref="U258">_xlfn._xlws.FILTER(Competitions[compID], (Fixtures[[#This Row],[competition]] = Competitions[name]), "N/A")</f>
        <v>N/A</v>
      </c>
      <c r="V2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8" s="58" t="str" cm="1">
        <f t="array" ref="W2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8" s="58" t="str" cm="1">
        <f t="array" ref="X258">_xlfn._xlws.FILTER(Teams[name], (Fixtures[[#This Row],[userTeamID]] = Teams[teamID]), "N/A")</f>
        <v>N/A</v>
      </c>
      <c r="Y258" s="58" t="str" cm="1">
        <f t="array" ref="Y258">_xlfn._xlws.FILTER(Teams[teamType], (Fixtures[[#This Row],[userTeamID]] = Teams[teamID]), "N/A")</f>
        <v>N/A</v>
      </c>
      <c r="Z258" s="58" t="str" cm="1">
        <f t="array" ref="Z2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8" s="58" t="str">
        <f>IF(Fixtures[[#This Row],[userSide]] = "N/A", "N/A", IF(Fixtures[[#This Row],[userSide]] = "H", Fixtures[[#This Row],[awayTeam]], Fixtures[[#This Row],[homeTeam]]))</f>
        <v>N/A</v>
      </c>
      <c r="AB258" s="58" t="str" cm="1">
        <f t="array" ref="AB258">_xlfn._xlws.FILTER(Teams[teamID], Fixtures[[#This Row],[oppTeam]] = Teams[name], "N/A")</f>
        <v>N/A</v>
      </c>
      <c r="AC258" s="58" t="str" cm="1">
        <f t="array" ref="AC258">_xlfn._xlws.FILTER(Teams[teamType], Fixtures[[#This Row],[oppTeam]] = Teams[name], "N/A")</f>
        <v>N/A</v>
      </c>
      <c r="AD258" s="58" t="str">
        <f>IF(ISBLANK(Fixtures[[#This Row],[date]]), "N/A", IF(Fixtures[[#This Row],[userSide]]="H", Fixtures[[#This Row],[homeScore]], Fixtures[[#This Row],[awayScore]]))</f>
        <v>N/A</v>
      </c>
      <c r="AE258" s="58" t="str">
        <f>IF(ISBLANK(Fixtures[[#This Row],[date]]), "N/A", IF(Fixtures[[#This Row],[userScore]] = Fixtures[[#This Row],[homeScore]], Fixtures[[#This Row],[awayScore]], Fixtures[[#This Row],[homeScore]]))</f>
        <v>N/A</v>
      </c>
      <c r="AF258" s="58" t="b">
        <f>NOT(AND(ISBLANK(Fixtures[[#This Row],[homePens]]), ISBLANK(Fixtures[[#This Row],[awayPens]])))</f>
        <v>0</v>
      </c>
      <c r="AG258" s="58" t="str">
        <f>IF(Fixtures[[#This Row],[penalties]], IF(Fixtures[[#This Row],[userSide]]="H", Fixtures[[#This Row],[homePens]], Fixtures[[#This Row],[awayPens]]), "N/A")</f>
        <v>N/A</v>
      </c>
      <c r="AH258" s="58" t="str">
        <f>IF(Fixtures[[#This Row],[penalties]], IF(Fixtures[[#This Row],[userPens]]=Fixtures[[#This Row],[homePens]],Fixtures[[#This Row],[awayPens]],Fixtures[[#This Row],[homePens]]), "N/A")</f>
        <v>N/A</v>
      </c>
      <c r="AI258" s="58" t="b">
        <f>COUNTBLANK(Fixtures[[#This Row],[G]:[MOTM]]) = 0</f>
        <v>0</v>
      </c>
      <c r="AJ258" s="58" t="str">
        <f>IF(Fixtures[[#This Row],[APP]], Fixtures[[#This Row],[G]]+Fixtures[[#This Row],[A]], "N/A")</f>
        <v>N/A</v>
      </c>
      <c r="AK2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59" spans="1:39" ht="13">
      <c r="A259" s="55"/>
      <c r="B259" s="61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7"/>
      <c r="R259" s="56"/>
      <c r="S259" s="58" t="str" cm="1">
        <f t="array" ref="S259">_xlfn._xlws.FILTER(Competitions[compType], (Fixtures[[#This Row],[competition]] = Competitions[name]), "N/A")</f>
        <v>N/A</v>
      </c>
      <c r="T259" s="58" t="str" cm="1">
        <f t="array" ref="T259">_xlfn._xlws.FILTER(Competitions[exhibition], (Fixtures[[#This Row],[competition]] = Competitions[name]), "N/A")</f>
        <v>N/A</v>
      </c>
      <c r="U259" s="58" t="str" cm="1">
        <f t="array" ref="U259">_xlfn._xlws.FILTER(Competitions[compID], (Fixtures[[#This Row],[competition]] = Competitions[name]), "N/A")</f>
        <v>N/A</v>
      </c>
      <c r="V2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59" s="58" t="str" cm="1">
        <f t="array" ref="W2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59" s="58" t="str" cm="1">
        <f t="array" ref="X259">_xlfn._xlws.FILTER(Teams[name], (Fixtures[[#This Row],[userTeamID]] = Teams[teamID]), "N/A")</f>
        <v>N/A</v>
      </c>
      <c r="Y259" s="58" t="str" cm="1">
        <f t="array" ref="Y259">_xlfn._xlws.FILTER(Teams[teamType], (Fixtures[[#This Row],[userTeamID]] = Teams[teamID]), "N/A")</f>
        <v>N/A</v>
      </c>
      <c r="Z259" s="58" t="str" cm="1">
        <f t="array" ref="Z2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59" s="58" t="str">
        <f>IF(Fixtures[[#This Row],[userSide]] = "N/A", "N/A", IF(Fixtures[[#This Row],[userSide]] = "H", Fixtures[[#This Row],[awayTeam]], Fixtures[[#This Row],[homeTeam]]))</f>
        <v>N/A</v>
      </c>
      <c r="AB259" s="58" t="str" cm="1">
        <f t="array" ref="AB259">_xlfn._xlws.FILTER(Teams[teamID], Fixtures[[#This Row],[oppTeam]] = Teams[name], "N/A")</f>
        <v>N/A</v>
      </c>
      <c r="AC259" s="58" t="str" cm="1">
        <f t="array" ref="AC259">_xlfn._xlws.FILTER(Teams[teamType], Fixtures[[#This Row],[oppTeam]] = Teams[name], "N/A")</f>
        <v>N/A</v>
      </c>
      <c r="AD259" s="58" t="str">
        <f>IF(ISBLANK(Fixtures[[#This Row],[date]]), "N/A", IF(Fixtures[[#This Row],[userSide]]="H", Fixtures[[#This Row],[homeScore]], Fixtures[[#This Row],[awayScore]]))</f>
        <v>N/A</v>
      </c>
      <c r="AE259" s="58" t="str">
        <f>IF(ISBLANK(Fixtures[[#This Row],[date]]), "N/A", IF(Fixtures[[#This Row],[userScore]] = Fixtures[[#This Row],[homeScore]], Fixtures[[#This Row],[awayScore]], Fixtures[[#This Row],[homeScore]]))</f>
        <v>N/A</v>
      </c>
      <c r="AF259" s="58" t="b">
        <f>NOT(AND(ISBLANK(Fixtures[[#This Row],[homePens]]), ISBLANK(Fixtures[[#This Row],[awayPens]])))</f>
        <v>0</v>
      </c>
      <c r="AG259" s="58" t="str">
        <f>IF(Fixtures[[#This Row],[penalties]], IF(Fixtures[[#This Row],[userSide]]="H", Fixtures[[#This Row],[homePens]], Fixtures[[#This Row],[awayPens]]), "N/A")</f>
        <v>N/A</v>
      </c>
      <c r="AH259" s="58" t="str">
        <f>IF(Fixtures[[#This Row],[penalties]], IF(Fixtures[[#This Row],[userPens]]=Fixtures[[#This Row],[homePens]],Fixtures[[#This Row],[awayPens]],Fixtures[[#This Row],[homePens]]), "N/A")</f>
        <v>N/A</v>
      </c>
      <c r="AI259" s="58" t="b">
        <f>COUNTBLANK(Fixtures[[#This Row],[G]:[MOTM]]) = 0</f>
        <v>0</v>
      </c>
      <c r="AJ259" s="58" t="str">
        <f>IF(Fixtures[[#This Row],[APP]], Fixtures[[#This Row],[G]]+Fixtures[[#This Row],[A]], "N/A")</f>
        <v>N/A</v>
      </c>
      <c r="AK2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0" spans="1:39" ht="13">
      <c r="A260" s="55"/>
      <c r="B260" s="61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7"/>
      <c r="R260" s="56"/>
      <c r="S260" s="58" t="str" cm="1">
        <f t="array" ref="S260">_xlfn._xlws.FILTER(Competitions[compType], (Fixtures[[#This Row],[competition]] = Competitions[name]), "N/A")</f>
        <v>N/A</v>
      </c>
      <c r="T260" s="58" t="str" cm="1">
        <f t="array" ref="T260">_xlfn._xlws.FILTER(Competitions[exhibition], (Fixtures[[#This Row],[competition]] = Competitions[name]), "N/A")</f>
        <v>N/A</v>
      </c>
      <c r="U260" s="58" t="str" cm="1">
        <f t="array" ref="U260">_xlfn._xlws.FILTER(Competitions[compID], (Fixtures[[#This Row],[competition]] = Competitions[name]), "N/A")</f>
        <v>N/A</v>
      </c>
      <c r="V2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0" s="58" t="str" cm="1">
        <f t="array" ref="W2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0" s="58" t="str" cm="1">
        <f t="array" ref="X260">_xlfn._xlws.FILTER(Teams[name], (Fixtures[[#This Row],[userTeamID]] = Teams[teamID]), "N/A")</f>
        <v>N/A</v>
      </c>
      <c r="Y260" s="58" t="str" cm="1">
        <f t="array" ref="Y260">_xlfn._xlws.FILTER(Teams[teamType], (Fixtures[[#This Row],[userTeamID]] = Teams[teamID]), "N/A")</f>
        <v>N/A</v>
      </c>
      <c r="Z260" s="58" t="str" cm="1">
        <f t="array" ref="Z2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0" s="58" t="str">
        <f>IF(Fixtures[[#This Row],[userSide]] = "N/A", "N/A", IF(Fixtures[[#This Row],[userSide]] = "H", Fixtures[[#This Row],[awayTeam]], Fixtures[[#This Row],[homeTeam]]))</f>
        <v>N/A</v>
      </c>
      <c r="AB260" s="58" t="str" cm="1">
        <f t="array" ref="AB260">_xlfn._xlws.FILTER(Teams[teamID], Fixtures[[#This Row],[oppTeam]] = Teams[name], "N/A")</f>
        <v>N/A</v>
      </c>
      <c r="AC260" s="58" t="str" cm="1">
        <f t="array" ref="AC260">_xlfn._xlws.FILTER(Teams[teamType], Fixtures[[#This Row],[oppTeam]] = Teams[name], "N/A")</f>
        <v>N/A</v>
      </c>
      <c r="AD260" s="58" t="str">
        <f>IF(ISBLANK(Fixtures[[#This Row],[date]]), "N/A", IF(Fixtures[[#This Row],[userSide]]="H", Fixtures[[#This Row],[homeScore]], Fixtures[[#This Row],[awayScore]]))</f>
        <v>N/A</v>
      </c>
      <c r="AE260" s="58" t="str">
        <f>IF(ISBLANK(Fixtures[[#This Row],[date]]), "N/A", IF(Fixtures[[#This Row],[userScore]] = Fixtures[[#This Row],[homeScore]], Fixtures[[#This Row],[awayScore]], Fixtures[[#This Row],[homeScore]]))</f>
        <v>N/A</v>
      </c>
      <c r="AF260" s="58" t="b">
        <f>NOT(AND(ISBLANK(Fixtures[[#This Row],[homePens]]), ISBLANK(Fixtures[[#This Row],[awayPens]])))</f>
        <v>0</v>
      </c>
      <c r="AG260" s="58" t="str">
        <f>IF(Fixtures[[#This Row],[penalties]], IF(Fixtures[[#This Row],[userSide]]="H", Fixtures[[#This Row],[homePens]], Fixtures[[#This Row],[awayPens]]), "N/A")</f>
        <v>N/A</v>
      </c>
      <c r="AH260" s="58" t="str">
        <f>IF(Fixtures[[#This Row],[penalties]], IF(Fixtures[[#This Row],[userPens]]=Fixtures[[#This Row],[homePens]],Fixtures[[#This Row],[awayPens]],Fixtures[[#This Row],[homePens]]), "N/A")</f>
        <v>N/A</v>
      </c>
      <c r="AI260" s="58" t="b">
        <f>COUNTBLANK(Fixtures[[#This Row],[G]:[MOTM]]) = 0</f>
        <v>0</v>
      </c>
      <c r="AJ260" s="58" t="str">
        <f>IF(Fixtures[[#This Row],[APP]], Fixtures[[#This Row],[G]]+Fixtures[[#This Row],[A]], "N/A")</f>
        <v>N/A</v>
      </c>
      <c r="AK2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1" spans="1:39" ht="13">
      <c r="A261" s="55"/>
      <c r="B261" s="61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7"/>
      <c r="R261" s="56"/>
      <c r="S261" s="58" t="str" cm="1">
        <f t="array" ref="S261">_xlfn._xlws.FILTER(Competitions[compType], (Fixtures[[#This Row],[competition]] = Competitions[name]), "N/A")</f>
        <v>N/A</v>
      </c>
      <c r="T261" s="58" t="str" cm="1">
        <f t="array" ref="T261">_xlfn._xlws.FILTER(Competitions[exhibition], (Fixtures[[#This Row],[competition]] = Competitions[name]), "N/A")</f>
        <v>N/A</v>
      </c>
      <c r="U261" s="58" t="str" cm="1">
        <f t="array" ref="U261">_xlfn._xlws.FILTER(Competitions[compID], (Fixtures[[#This Row],[competition]] = Competitions[name]), "N/A")</f>
        <v>N/A</v>
      </c>
      <c r="V2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1" s="58" t="str" cm="1">
        <f t="array" ref="W2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1" s="58" t="str" cm="1">
        <f t="array" ref="X261">_xlfn._xlws.FILTER(Teams[name], (Fixtures[[#This Row],[userTeamID]] = Teams[teamID]), "N/A")</f>
        <v>N/A</v>
      </c>
      <c r="Y261" s="58" t="str" cm="1">
        <f t="array" ref="Y261">_xlfn._xlws.FILTER(Teams[teamType], (Fixtures[[#This Row],[userTeamID]] = Teams[teamID]), "N/A")</f>
        <v>N/A</v>
      </c>
      <c r="Z261" s="58" t="str" cm="1">
        <f t="array" ref="Z2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1" s="58" t="str">
        <f>IF(Fixtures[[#This Row],[userSide]] = "N/A", "N/A", IF(Fixtures[[#This Row],[userSide]] = "H", Fixtures[[#This Row],[awayTeam]], Fixtures[[#This Row],[homeTeam]]))</f>
        <v>N/A</v>
      </c>
      <c r="AB261" s="58" t="str" cm="1">
        <f t="array" ref="AB261">_xlfn._xlws.FILTER(Teams[teamID], Fixtures[[#This Row],[oppTeam]] = Teams[name], "N/A")</f>
        <v>N/A</v>
      </c>
      <c r="AC261" s="58" t="str" cm="1">
        <f t="array" ref="AC261">_xlfn._xlws.FILTER(Teams[teamType], Fixtures[[#This Row],[oppTeam]] = Teams[name], "N/A")</f>
        <v>N/A</v>
      </c>
      <c r="AD261" s="58" t="str">
        <f>IF(ISBLANK(Fixtures[[#This Row],[date]]), "N/A", IF(Fixtures[[#This Row],[userSide]]="H", Fixtures[[#This Row],[homeScore]], Fixtures[[#This Row],[awayScore]]))</f>
        <v>N/A</v>
      </c>
      <c r="AE261" s="58" t="str">
        <f>IF(ISBLANK(Fixtures[[#This Row],[date]]), "N/A", IF(Fixtures[[#This Row],[userScore]] = Fixtures[[#This Row],[homeScore]], Fixtures[[#This Row],[awayScore]], Fixtures[[#This Row],[homeScore]]))</f>
        <v>N/A</v>
      </c>
      <c r="AF261" s="58" t="b">
        <f>NOT(AND(ISBLANK(Fixtures[[#This Row],[homePens]]), ISBLANK(Fixtures[[#This Row],[awayPens]])))</f>
        <v>0</v>
      </c>
      <c r="AG261" s="58" t="str">
        <f>IF(Fixtures[[#This Row],[penalties]], IF(Fixtures[[#This Row],[userSide]]="H", Fixtures[[#This Row],[homePens]], Fixtures[[#This Row],[awayPens]]), "N/A")</f>
        <v>N/A</v>
      </c>
      <c r="AH261" s="58" t="str">
        <f>IF(Fixtures[[#This Row],[penalties]], IF(Fixtures[[#This Row],[userPens]]=Fixtures[[#This Row],[homePens]],Fixtures[[#This Row],[awayPens]],Fixtures[[#This Row],[homePens]]), "N/A")</f>
        <v>N/A</v>
      </c>
      <c r="AI261" s="58" t="b">
        <f>COUNTBLANK(Fixtures[[#This Row],[G]:[MOTM]]) = 0</f>
        <v>0</v>
      </c>
      <c r="AJ261" s="58" t="str">
        <f>IF(Fixtures[[#This Row],[APP]], Fixtures[[#This Row],[G]]+Fixtures[[#This Row],[A]], "N/A")</f>
        <v>N/A</v>
      </c>
      <c r="AK2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2" spans="1:39" ht="13">
      <c r="A262" s="55"/>
      <c r="B262" s="61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7"/>
      <c r="R262" s="56"/>
      <c r="S262" s="58" t="str" cm="1">
        <f t="array" ref="S262">_xlfn._xlws.FILTER(Competitions[compType], (Fixtures[[#This Row],[competition]] = Competitions[name]), "N/A")</f>
        <v>N/A</v>
      </c>
      <c r="T262" s="58" t="str" cm="1">
        <f t="array" ref="T262">_xlfn._xlws.FILTER(Competitions[exhibition], (Fixtures[[#This Row],[competition]] = Competitions[name]), "N/A")</f>
        <v>N/A</v>
      </c>
      <c r="U262" s="58" t="str" cm="1">
        <f t="array" ref="U262">_xlfn._xlws.FILTER(Competitions[compID], (Fixtures[[#This Row],[competition]] = Competitions[name]), "N/A")</f>
        <v>N/A</v>
      </c>
      <c r="V2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2" s="58" t="str" cm="1">
        <f t="array" ref="W2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2" s="58" t="str" cm="1">
        <f t="array" ref="X262">_xlfn._xlws.FILTER(Teams[name], (Fixtures[[#This Row],[userTeamID]] = Teams[teamID]), "N/A")</f>
        <v>N/A</v>
      </c>
      <c r="Y262" s="58" t="str" cm="1">
        <f t="array" ref="Y262">_xlfn._xlws.FILTER(Teams[teamType], (Fixtures[[#This Row],[userTeamID]] = Teams[teamID]), "N/A")</f>
        <v>N/A</v>
      </c>
      <c r="Z262" s="58" t="str" cm="1">
        <f t="array" ref="Z2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2" s="58" t="str">
        <f>IF(Fixtures[[#This Row],[userSide]] = "N/A", "N/A", IF(Fixtures[[#This Row],[userSide]] = "H", Fixtures[[#This Row],[awayTeam]], Fixtures[[#This Row],[homeTeam]]))</f>
        <v>N/A</v>
      </c>
      <c r="AB262" s="58" t="str" cm="1">
        <f t="array" ref="AB262">_xlfn._xlws.FILTER(Teams[teamID], Fixtures[[#This Row],[oppTeam]] = Teams[name], "N/A")</f>
        <v>N/A</v>
      </c>
      <c r="AC262" s="58" t="str" cm="1">
        <f t="array" ref="AC262">_xlfn._xlws.FILTER(Teams[teamType], Fixtures[[#This Row],[oppTeam]] = Teams[name], "N/A")</f>
        <v>N/A</v>
      </c>
      <c r="AD262" s="58" t="str">
        <f>IF(ISBLANK(Fixtures[[#This Row],[date]]), "N/A", IF(Fixtures[[#This Row],[userSide]]="H", Fixtures[[#This Row],[homeScore]], Fixtures[[#This Row],[awayScore]]))</f>
        <v>N/A</v>
      </c>
      <c r="AE262" s="58" t="str">
        <f>IF(ISBLANK(Fixtures[[#This Row],[date]]), "N/A", IF(Fixtures[[#This Row],[userScore]] = Fixtures[[#This Row],[homeScore]], Fixtures[[#This Row],[awayScore]], Fixtures[[#This Row],[homeScore]]))</f>
        <v>N/A</v>
      </c>
      <c r="AF262" s="58" t="b">
        <f>NOT(AND(ISBLANK(Fixtures[[#This Row],[homePens]]), ISBLANK(Fixtures[[#This Row],[awayPens]])))</f>
        <v>0</v>
      </c>
      <c r="AG262" s="58" t="str">
        <f>IF(Fixtures[[#This Row],[penalties]], IF(Fixtures[[#This Row],[userSide]]="H", Fixtures[[#This Row],[homePens]], Fixtures[[#This Row],[awayPens]]), "N/A")</f>
        <v>N/A</v>
      </c>
      <c r="AH262" s="58" t="str">
        <f>IF(Fixtures[[#This Row],[penalties]], IF(Fixtures[[#This Row],[userPens]]=Fixtures[[#This Row],[homePens]],Fixtures[[#This Row],[awayPens]],Fixtures[[#This Row],[homePens]]), "N/A")</f>
        <v>N/A</v>
      </c>
      <c r="AI262" s="58" t="b">
        <f>COUNTBLANK(Fixtures[[#This Row],[G]:[MOTM]]) = 0</f>
        <v>0</v>
      </c>
      <c r="AJ262" s="58" t="str">
        <f>IF(Fixtures[[#This Row],[APP]], Fixtures[[#This Row],[G]]+Fixtures[[#This Row],[A]], "N/A")</f>
        <v>N/A</v>
      </c>
      <c r="AK2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3" spans="1:39" ht="13">
      <c r="A263" s="55"/>
      <c r="B263" s="61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7"/>
      <c r="R263" s="56"/>
      <c r="S263" s="58" t="str" cm="1">
        <f t="array" ref="S263">_xlfn._xlws.FILTER(Competitions[compType], (Fixtures[[#This Row],[competition]] = Competitions[name]), "N/A")</f>
        <v>N/A</v>
      </c>
      <c r="T263" s="58" t="str" cm="1">
        <f t="array" ref="T263">_xlfn._xlws.FILTER(Competitions[exhibition], (Fixtures[[#This Row],[competition]] = Competitions[name]), "N/A")</f>
        <v>N/A</v>
      </c>
      <c r="U263" s="58" t="str" cm="1">
        <f t="array" ref="U263">_xlfn._xlws.FILTER(Competitions[compID], (Fixtures[[#This Row],[competition]] = Competitions[name]), "N/A")</f>
        <v>N/A</v>
      </c>
      <c r="V2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3" s="58" t="str" cm="1">
        <f t="array" ref="W2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3" s="58" t="str" cm="1">
        <f t="array" ref="X263">_xlfn._xlws.FILTER(Teams[name], (Fixtures[[#This Row],[userTeamID]] = Teams[teamID]), "N/A")</f>
        <v>N/A</v>
      </c>
      <c r="Y263" s="58" t="str" cm="1">
        <f t="array" ref="Y263">_xlfn._xlws.FILTER(Teams[teamType], (Fixtures[[#This Row],[userTeamID]] = Teams[teamID]), "N/A")</f>
        <v>N/A</v>
      </c>
      <c r="Z263" s="58" t="str" cm="1">
        <f t="array" ref="Z2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3" s="58" t="str">
        <f>IF(Fixtures[[#This Row],[userSide]] = "N/A", "N/A", IF(Fixtures[[#This Row],[userSide]] = "H", Fixtures[[#This Row],[awayTeam]], Fixtures[[#This Row],[homeTeam]]))</f>
        <v>N/A</v>
      </c>
      <c r="AB263" s="58" t="str" cm="1">
        <f t="array" ref="AB263">_xlfn._xlws.FILTER(Teams[teamID], Fixtures[[#This Row],[oppTeam]] = Teams[name], "N/A")</f>
        <v>N/A</v>
      </c>
      <c r="AC263" s="58" t="str" cm="1">
        <f t="array" ref="AC263">_xlfn._xlws.FILTER(Teams[teamType], Fixtures[[#This Row],[oppTeam]] = Teams[name], "N/A")</f>
        <v>N/A</v>
      </c>
      <c r="AD263" s="58" t="str">
        <f>IF(ISBLANK(Fixtures[[#This Row],[date]]), "N/A", IF(Fixtures[[#This Row],[userSide]]="H", Fixtures[[#This Row],[homeScore]], Fixtures[[#This Row],[awayScore]]))</f>
        <v>N/A</v>
      </c>
      <c r="AE263" s="58" t="str">
        <f>IF(ISBLANK(Fixtures[[#This Row],[date]]), "N/A", IF(Fixtures[[#This Row],[userScore]] = Fixtures[[#This Row],[homeScore]], Fixtures[[#This Row],[awayScore]], Fixtures[[#This Row],[homeScore]]))</f>
        <v>N/A</v>
      </c>
      <c r="AF263" s="58" t="b">
        <f>NOT(AND(ISBLANK(Fixtures[[#This Row],[homePens]]), ISBLANK(Fixtures[[#This Row],[awayPens]])))</f>
        <v>0</v>
      </c>
      <c r="AG263" s="58" t="str">
        <f>IF(Fixtures[[#This Row],[penalties]], IF(Fixtures[[#This Row],[userSide]]="H", Fixtures[[#This Row],[homePens]], Fixtures[[#This Row],[awayPens]]), "N/A")</f>
        <v>N/A</v>
      </c>
      <c r="AH263" s="58" t="str">
        <f>IF(Fixtures[[#This Row],[penalties]], IF(Fixtures[[#This Row],[userPens]]=Fixtures[[#This Row],[homePens]],Fixtures[[#This Row],[awayPens]],Fixtures[[#This Row],[homePens]]), "N/A")</f>
        <v>N/A</v>
      </c>
      <c r="AI263" s="58" t="b">
        <f>COUNTBLANK(Fixtures[[#This Row],[G]:[MOTM]]) = 0</f>
        <v>0</v>
      </c>
      <c r="AJ263" s="58" t="str">
        <f>IF(Fixtures[[#This Row],[APP]], Fixtures[[#This Row],[G]]+Fixtures[[#This Row],[A]], "N/A")</f>
        <v>N/A</v>
      </c>
      <c r="AK2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4" spans="1:39" ht="13">
      <c r="A264" s="55"/>
      <c r="B264" s="61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7"/>
      <c r="R264" s="56"/>
      <c r="S264" s="58" t="str" cm="1">
        <f t="array" ref="S264">_xlfn._xlws.FILTER(Competitions[compType], (Fixtures[[#This Row],[competition]] = Competitions[name]), "N/A")</f>
        <v>N/A</v>
      </c>
      <c r="T264" s="58" t="str" cm="1">
        <f t="array" ref="T264">_xlfn._xlws.FILTER(Competitions[exhibition], (Fixtures[[#This Row],[competition]] = Competitions[name]), "N/A")</f>
        <v>N/A</v>
      </c>
      <c r="U264" s="58" t="str" cm="1">
        <f t="array" ref="U264">_xlfn._xlws.FILTER(Competitions[compID], (Fixtures[[#This Row],[competition]] = Competitions[name]), "N/A")</f>
        <v>N/A</v>
      </c>
      <c r="V2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4" s="58" t="str" cm="1">
        <f t="array" ref="W2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4" s="58" t="str" cm="1">
        <f t="array" ref="X264">_xlfn._xlws.FILTER(Teams[name], (Fixtures[[#This Row],[userTeamID]] = Teams[teamID]), "N/A")</f>
        <v>N/A</v>
      </c>
      <c r="Y264" s="58" t="str" cm="1">
        <f t="array" ref="Y264">_xlfn._xlws.FILTER(Teams[teamType], (Fixtures[[#This Row],[userTeamID]] = Teams[teamID]), "N/A")</f>
        <v>N/A</v>
      </c>
      <c r="Z264" s="58" t="str" cm="1">
        <f t="array" ref="Z2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4" s="58" t="str">
        <f>IF(Fixtures[[#This Row],[userSide]] = "N/A", "N/A", IF(Fixtures[[#This Row],[userSide]] = "H", Fixtures[[#This Row],[awayTeam]], Fixtures[[#This Row],[homeTeam]]))</f>
        <v>N/A</v>
      </c>
      <c r="AB264" s="58" t="str" cm="1">
        <f t="array" ref="AB264">_xlfn._xlws.FILTER(Teams[teamID], Fixtures[[#This Row],[oppTeam]] = Teams[name], "N/A")</f>
        <v>N/A</v>
      </c>
      <c r="AC264" s="58" t="str" cm="1">
        <f t="array" ref="AC264">_xlfn._xlws.FILTER(Teams[teamType], Fixtures[[#This Row],[oppTeam]] = Teams[name], "N/A")</f>
        <v>N/A</v>
      </c>
      <c r="AD264" s="58" t="str">
        <f>IF(ISBLANK(Fixtures[[#This Row],[date]]), "N/A", IF(Fixtures[[#This Row],[userSide]]="H", Fixtures[[#This Row],[homeScore]], Fixtures[[#This Row],[awayScore]]))</f>
        <v>N/A</v>
      </c>
      <c r="AE264" s="58" t="str">
        <f>IF(ISBLANK(Fixtures[[#This Row],[date]]), "N/A", IF(Fixtures[[#This Row],[userScore]] = Fixtures[[#This Row],[homeScore]], Fixtures[[#This Row],[awayScore]], Fixtures[[#This Row],[homeScore]]))</f>
        <v>N/A</v>
      </c>
      <c r="AF264" s="58" t="b">
        <f>NOT(AND(ISBLANK(Fixtures[[#This Row],[homePens]]), ISBLANK(Fixtures[[#This Row],[awayPens]])))</f>
        <v>0</v>
      </c>
      <c r="AG264" s="58" t="str">
        <f>IF(Fixtures[[#This Row],[penalties]], IF(Fixtures[[#This Row],[userSide]]="H", Fixtures[[#This Row],[homePens]], Fixtures[[#This Row],[awayPens]]), "N/A")</f>
        <v>N/A</v>
      </c>
      <c r="AH264" s="58" t="str">
        <f>IF(Fixtures[[#This Row],[penalties]], IF(Fixtures[[#This Row],[userPens]]=Fixtures[[#This Row],[homePens]],Fixtures[[#This Row],[awayPens]],Fixtures[[#This Row],[homePens]]), "N/A")</f>
        <v>N/A</v>
      </c>
      <c r="AI264" s="58" t="b">
        <f>COUNTBLANK(Fixtures[[#This Row],[G]:[MOTM]]) = 0</f>
        <v>0</v>
      </c>
      <c r="AJ264" s="58" t="str">
        <f>IF(Fixtures[[#This Row],[APP]], Fixtures[[#This Row],[G]]+Fixtures[[#This Row],[A]], "N/A")</f>
        <v>N/A</v>
      </c>
      <c r="AK2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5" spans="1:39" ht="13">
      <c r="A265" s="55"/>
      <c r="B265" s="61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7"/>
      <c r="R265" s="56"/>
      <c r="S265" s="58" t="str" cm="1">
        <f t="array" ref="S265">_xlfn._xlws.FILTER(Competitions[compType], (Fixtures[[#This Row],[competition]] = Competitions[name]), "N/A")</f>
        <v>N/A</v>
      </c>
      <c r="T265" s="58" t="str" cm="1">
        <f t="array" ref="T265">_xlfn._xlws.FILTER(Competitions[exhibition], (Fixtures[[#This Row],[competition]] = Competitions[name]), "N/A")</f>
        <v>N/A</v>
      </c>
      <c r="U265" s="58" t="str" cm="1">
        <f t="array" ref="U265">_xlfn._xlws.FILTER(Competitions[compID], (Fixtures[[#This Row],[competition]] = Competitions[name]), "N/A")</f>
        <v>N/A</v>
      </c>
      <c r="V2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5" s="58" t="str" cm="1">
        <f t="array" ref="W2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5" s="58" t="str" cm="1">
        <f t="array" ref="X265">_xlfn._xlws.FILTER(Teams[name], (Fixtures[[#This Row],[userTeamID]] = Teams[teamID]), "N/A")</f>
        <v>N/A</v>
      </c>
      <c r="Y265" s="58" t="str" cm="1">
        <f t="array" ref="Y265">_xlfn._xlws.FILTER(Teams[teamType], (Fixtures[[#This Row],[userTeamID]] = Teams[teamID]), "N/A")</f>
        <v>N/A</v>
      </c>
      <c r="Z265" s="58" t="str" cm="1">
        <f t="array" ref="Z2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5" s="58" t="str">
        <f>IF(Fixtures[[#This Row],[userSide]] = "N/A", "N/A", IF(Fixtures[[#This Row],[userSide]] = "H", Fixtures[[#This Row],[awayTeam]], Fixtures[[#This Row],[homeTeam]]))</f>
        <v>N/A</v>
      </c>
      <c r="AB265" s="58" t="str" cm="1">
        <f t="array" ref="AB265">_xlfn._xlws.FILTER(Teams[teamID], Fixtures[[#This Row],[oppTeam]] = Teams[name], "N/A")</f>
        <v>N/A</v>
      </c>
      <c r="AC265" s="58" t="str" cm="1">
        <f t="array" ref="AC265">_xlfn._xlws.FILTER(Teams[teamType], Fixtures[[#This Row],[oppTeam]] = Teams[name], "N/A")</f>
        <v>N/A</v>
      </c>
      <c r="AD265" s="58" t="str">
        <f>IF(ISBLANK(Fixtures[[#This Row],[date]]), "N/A", IF(Fixtures[[#This Row],[userSide]]="H", Fixtures[[#This Row],[homeScore]], Fixtures[[#This Row],[awayScore]]))</f>
        <v>N/A</v>
      </c>
      <c r="AE265" s="58" t="str">
        <f>IF(ISBLANK(Fixtures[[#This Row],[date]]), "N/A", IF(Fixtures[[#This Row],[userScore]] = Fixtures[[#This Row],[homeScore]], Fixtures[[#This Row],[awayScore]], Fixtures[[#This Row],[homeScore]]))</f>
        <v>N/A</v>
      </c>
      <c r="AF265" s="58" t="b">
        <f>NOT(AND(ISBLANK(Fixtures[[#This Row],[homePens]]), ISBLANK(Fixtures[[#This Row],[awayPens]])))</f>
        <v>0</v>
      </c>
      <c r="AG265" s="58" t="str">
        <f>IF(Fixtures[[#This Row],[penalties]], IF(Fixtures[[#This Row],[userSide]]="H", Fixtures[[#This Row],[homePens]], Fixtures[[#This Row],[awayPens]]), "N/A")</f>
        <v>N/A</v>
      </c>
      <c r="AH265" s="58" t="str">
        <f>IF(Fixtures[[#This Row],[penalties]], IF(Fixtures[[#This Row],[userPens]]=Fixtures[[#This Row],[homePens]],Fixtures[[#This Row],[awayPens]],Fixtures[[#This Row],[homePens]]), "N/A")</f>
        <v>N/A</v>
      </c>
      <c r="AI265" s="58" t="b">
        <f>COUNTBLANK(Fixtures[[#This Row],[G]:[MOTM]]) = 0</f>
        <v>0</v>
      </c>
      <c r="AJ265" s="58" t="str">
        <f>IF(Fixtures[[#This Row],[APP]], Fixtures[[#This Row],[G]]+Fixtures[[#This Row],[A]], "N/A")</f>
        <v>N/A</v>
      </c>
      <c r="AK2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6" spans="1:39" ht="13">
      <c r="A266" s="55"/>
      <c r="B266" s="61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7"/>
      <c r="R266" s="56"/>
      <c r="S266" s="58" t="str" cm="1">
        <f t="array" ref="S266">_xlfn._xlws.FILTER(Competitions[compType], (Fixtures[[#This Row],[competition]] = Competitions[name]), "N/A")</f>
        <v>N/A</v>
      </c>
      <c r="T266" s="58" t="str" cm="1">
        <f t="array" ref="T266">_xlfn._xlws.FILTER(Competitions[exhibition], (Fixtures[[#This Row],[competition]] = Competitions[name]), "N/A")</f>
        <v>N/A</v>
      </c>
      <c r="U266" s="58" t="str" cm="1">
        <f t="array" ref="U266">_xlfn._xlws.FILTER(Competitions[compID], (Fixtures[[#This Row],[competition]] = Competitions[name]), "N/A")</f>
        <v>N/A</v>
      </c>
      <c r="V2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6" s="58" t="str" cm="1">
        <f t="array" ref="W2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6" s="58" t="str" cm="1">
        <f t="array" ref="X266">_xlfn._xlws.FILTER(Teams[name], (Fixtures[[#This Row],[userTeamID]] = Teams[teamID]), "N/A")</f>
        <v>N/A</v>
      </c>
      <c r="Y266" s="58" t="str" cm="1">
        <f t="array" ref="Y266">_xlfn._xlws.FILTER(Teams[teamType], (Fixtures[[#This Row],[userTeamID]] = Teams[teamID]), "N/A")</f>
        <v>N/A</v>
      </c>
      <c r="Z266" s="58" t="str" cm="1">
        <f t="array" ref="Z2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6" s="58" t="str">
        <f>IF(Fixtures[[#This Row],[userSide]] = "N/A", "N/A", IF(Fixtures[[#This Row],[userSide]] = "H", Fixtures[[#This Row],[awayTeam]], Fixtures[[#This Row],[homeTeam]]))</f>
        <v>N/A</v>
      </c>
      <c r="AB266" s="58" t="str" cm="1">
        <f t="array" ref="AB266">_xlfn._xlws.FILTER(Teams[teamID], Fixtures[[#This Row],[oppTeam]] = Teams[name], "N/A")</f>
        <v>N/A</v>
      </c>
      <c r="AC266" s="58" t="str" cm="1">
        <f t="array" ref="AC266">_xlfn._xlws.FILTER(Teams[teamType], Fixtures[[#This Row],[oppTeam]] = Teams[name], "N/A")</f>
        <v>N/A</v>
      </c>
      <c r="AD266" s="58" t="str">
        <f>IF(ISBLANK(Fixtures[[#This Row],[date]]), "N/A", IF(Fixtures[[#This Row],[userSide]]="H", Fixtures[[#This Row],[homeScore]], Fixtures[[#This Row],[awayScore]]))</f>
        <v>N/A</v>
      </c>
      <c r="AE266" s="58" t="str">
        <f>IF(ISBLANK(Fixtures[[#This Row],[date]]), "N/A", IF(Fixtures[[#This Row],[userScore]] = Fixtures[[#This Row],[homeScore]], Fixtures[[#This Row],[awayScore]], Fixtures[[#This Row],[homeScore]]))</f>
        <v>N/A</v>
      </c>
      <c r="AF266" s="58" t="b">
        <f>NOT(AND(ISBLANK(Fixtures[[#This Row],[homePens]]), ISBLANK(Fixtures[[#This Row],[awayPens]])))</f>
        <v>0</v>
      </c>
      <c r="AG266" s="58" t="str">
        <f>IF(Fixtures[[#This Row],[penalties]], IF(Fixtures[[#This Row],[userSide]]="H", Fixtures[[#This Row],[homePens]], Fixtures[[#This Row],[awayPens]]), "N/A")</f>
        <v>N/A</v>
      </c>
      <c r="AH266" s="58" t="str">
        <f>IF(Fixtures[[#This Row],[penalties]], IF(Fixtures[[#This Row],[userPens]]=Fixtures[[#This Row],[homePens]],Fixtures[[#This Row],[awayPens]],Fixtures[[#This Row],[homePens]]), "N/A")</f>
        <v>N/A</v>
      </c>
      <c r="AI266" s="58" t="b">
        <f>COUNTBLANK(Fixtures[[#This Row],[G]:[MOTM]]) = 0</f>
        <v>0</v>
      </c>
      <c r="AJ266" s="58" t="str">
        <f>IF(Fixtures[[#This Row],[APP]], Fixtures[[#This Row],[G]]+Fixtures[[#This Row],[A]], "N/A")</f>
        <v>N/A</v>
      </c>
      <c r="AK2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7" spans="1:39" ht="13">
      <c r="A267" s="55"/>
      <c r="B267" s="61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7"/>
      <c r="R267" s="56"/>
      <c r="S267" s="58" t="str" cm="1">
        <f t="array" ref="S267">_xlfn._xlws.FILTER(Competitions[compType], (Fixtures[[#This Row],[competition]] = Competitions[name]), "N/A")</f>
        <v>N/A</v>
      </c>
      <c r="T267" s="58" t="str" cm="1">
        <f t="array" ref="T267">_xlfn._xlws.FILTER(Competitions[exhibition], (Fixtures[[#This Row],[competition]] = Competitions[name]), "N/A")</f>
        <v>N/A</v>
      </c>
      <c r="U267" s="58" t="str" cm="1">
        <f t="array" ref="U267">_xlfn._xlws.FILTER(Competitions[compID], (Fixtures[[#This Row],[competition]] = Competitions[name]), "N/A")</f>
        <v>N/A</v>
      </c>
      <c r="V2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7" s="58" t="str" cm="1">
        <f t="array" ref="W2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7" s="58" t="str" cm="1">
        <f t="array" ref="X267">_xlfn._xlws.FILTER(Teams[name], (Fixtures[[#This Row],[userTeamID]] = Teams[teamID]), "N/A")</f>
        <v>N/A</v>
      </c>
      <c r="Y267" s="58" t="str" cm="1">
        <f t="array" ref="Y267">_xlfn._xlws.FILTER(Teams[teamType], (Fixtures[[#This Row],[userTeamID]] = Teams[teamID]), "N/A")</f>
        <v>N/A</v>
      </c>
      <c r="Z267" s="58" t="str" cm="1">
        <f t="array" ref="Z2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7" s="58" t="str">
        <f>IF(Fixtures[[#This Row],[userSide]] = "N/A", "N/A", IF(Fixtures[[#This Row],[userSide]] = "H", Fixtures[[#This Row],[awayTeam]], Fixtures[[#This Row],[homeTeam]]))</f>
        <v>N/A</v>
      </c>
      <c r="AB267" s="58" t="str" cm="1">
        <f t="array" ref="AB267">_xlfn._xlws.FILTER(Teams[teamID], Fixtures[[#This Row],[oppTeam]] = Teams[name], "N/A")</f>
        <v>N/A</v>
      </c>
      <c r="AC267" s="58" t="str" cm="1">
        <f t="array" ref="AC267">_xlfn._xlws.FILTER(Teams[teamType], Fixtures[[#This Row],[oppTeam]] = Teams[name], "N/A")</f>
        <v>N/A</v>
      </c>
      <c r="AD267" s="58" t="str">
        <f>IF(ISBLANK(Fixtures[[#This Row],[date]]), "N/A", IF(Fixtures[[#This Row],[userSide]]="H", Fixtures[[#This Row],[homeScore]], Fixtures[[#This Row],[awayScore]]))</f>
        <v>N/A</v>
      </c>
      <c r="AE267" s="58" t="str">
        <f>IF(ISBLANK(Fixtures[[#This Row],[date]]), "N/A", IF(Fixtures[[#This Row],[userScore]] = Fixtures[[#This Row],[homeScore]], Fixtures[[#This Row],[awayScore]], Fixtures[[#This Row],[homeScore]]))</f>
        <v>N/A</v>
      </c>
      <c r="AF267" s="58" t="b">
        <f>NOT(AND(ISBLANK(Fixtures[[#This Row],[homePens]]), ISBLANK(Fixtures[[#This Row],[awayPens]])))</f>
        <v>0</v>
      </c>
      <c r="AG267" s="58" t="str">
        <f>IF(Fixtures[[#This Row],[penalties]], IF(Fixtures[[#This Row],[userSide]]="H", Fixtures[[#This Row],[homePens]], Fixtures[[#This Row],[awayPens]]), "N/A")</f>
        <v>N/A</v>
      </c>
      <c r="AH267" s="58" t="str">
        <f>IF(Fixtures[[#This Row],[penalties]], IF(Fixtures[[#This Row],[userPens]]=Fixtures[[#This Row],[homePens]],Fixtures[[#This Row],[awayPens]],Fixtures[[#This Row],[homePens]]), "N/A")</f>
        <v>N/A</v>
      </c>
      <c r="AI267" s="58" t="b">
        <f>COUNTBLANK(Fixtures[[#This Row],[G]:[MOTM]]) = 0</f>
        <v>0</v>
      </c>
      <c r="AJ267" s="58" t="str">
        <f>IF(Fixtures[[#This Row],[APP]], Fixtures[[#This Row],[G]]+Fixtures[[#This Row],[A]], "N/A")</f>
        <v>N/A</v>
      </c>
      <c r="AK2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8" spans="1:39" ht="13">
      <c r="A268" s="55"/>
      <c r="B268" s="61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7"/>
      <c r="R268" s="56"/>
      <c r="S268" s="58" t="str" cm="1">
        <f t="array" ref="S268">_xlfn._xlws.FILTER(Competitions[compType], (Fixtures[[#This Row],[competition]] = Competitions[name]), "N/A")</f>
        <v>N/A</v>
      </c>
      <c r="T268" s="58" t="str" cm="1">
        <f t="array" ref="T268">_xlfn._xlws.FILTER(Competitions[exhibition], (Fixtures[[#This Row],[competition]] = Competitions[name]), "N/A")</f>
        <v>N/A</v>
      </c>
      <c r="U268" s="58" t="str" cm="1">
        <f t="array" ref="U268">_xlfn._xlws.FILTER(Competitions[compID], (Fixtures[[#This Row],[competition]] = Competitions[name]), "N/A")</f>
        <v>N/A</v>
      </c>
      <c r="V2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8" s="58" t="str" cm="1">
        <f t="array" ref="W2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8" s="58" t="str" cm="1">
        <f t="array" ref="X268">_xlfn._xlws.FILTER(Teams[name], (Fixtures[[#This Row],[userTeamID]] = Teams[teamID]), "N/A")</f>
        <v>N/A</v>
      </c>
      <c r="Y268" s="58" t="str" cm="1">
        <f t="array" ref="Y268">_xlfn._xlws.FILTER(Teams[teamType], (Fixtures[[#This Row],[userTeamID]] = Teams[teamID]), "N/A")</f>
        <v>N/A</v>
      </c>
      <c r="Z268" s="58" t="str" cm="1">
        <f t="array" ref="Z2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8" s="58" t="str">
        <f>IF(Fixtures[[#This Row],[userSide]] = "N/A", "N/A", IF(Fixtures[[#This Row],[userSide]] = "H", Fixtures[[#This Row],[awayTeam]], Fixtures[[#This Row],[homeTeam]]))</f>
        <v>N/A</v>
      </c>
      <c r="AB268" s="58" t="str" cm="1">
        <f t="array" ref="AB268">_xlfn._xlws.FILTER(Teams[teamID], Fixtures[[#This Row],[oppTeam]] = Teams[name], "N/A")</f>
        <v>N/A</v>
      </c>
      <c r="AC268" s="58" t="str" cm="1">
        <f t="array" ref="AC268">_xlfn._xlws.FILTER(Teams[teamType], Fixtures[[#This Row],[oppTeam]] = Teams[name], "N/A")</f>
        <v>N/A</v>
      </c>
      <c r="AD268" s="58" t="str">
        <f>IF(ISBLANK(Fixtures[[#This Row],[date]]), "N/A", IF(Fixtures[[#This Row],[userSide]]="H", Fixtures[[#This Row],[homeScore]], Fixtures[[#This Row],[awayScore]]))</f>
        <v>N/A</v>
      </c>
      <c r="AE268" s="58" t="str">
        <f>IF(ISBLANK(Fixtures[[#This Row],[date]]), "N/A", IF(Fixtures[[#This Row],[userScore]] = Fixtures[[#This Row],[homeScore]], Fixtures[[#This Row],[awayScore]], Fixtures[[#This Row],[homeScore]]))</f>
        <v>N/A</v>
      </c>
      <c r="AF268" s="58" t="b">
        <f>NOT(AND(ISBLANK(Fixtures[[#This Row],[homePens]]), ISBLANK(Fixtures[[#This Row],[awayPens]])))</f>
        <v>0</v>
      </c>
      <c r="AG268" s="58" t="str">
        <f>IF(Fixtures[[#This Row],[penalties]], IF(Fixtures[[#This Row],[userSide]]="H", Fixtures[[#This Row],[homePens]], Fixtures[[#This Row],[awayPens]]), "N/A")</f>
        <v>N/A</v>
      </c>
      <c r="AH268" s="58" t="str">
        <f>IF(Fixtures[[#This Row],[penalties]], IF(Fixtures[[#This Row],[userPens]]=Fixtures[[#This Row],[homePens]],Fixtures[[#This Row],[awayPens]],Fixtures[[#This Row],[homePens]]), "N/A")</f>
        <v>N/A</v>
      </c>
      <c r="AI268" s="58" t="b">
        <f>COUNTBLANK(Fixtures[[#This Row],[G]:[MOTM]]) = 0</f>
        <v>0</v>
      </c>
      <c r="AJ268" s="58" t="str">
        <f>IF(Fixtures[[#This Row],[APP]], Fixtures[[#This Row],[G]]+Fixtures[[#This Row],[A]], "N/A")</f>
        <v>N/A</v>
      </c>
      <c r="AK2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69" spans="1:39" ht="13">
      <c r="A269" s="55"/>
      <c r="B269" s="61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7"/>
      <c r="R269" s="56"/>
      <c r="S269" s="58" t="str" cm="1">
        <f t="array" ref="S269">_xlfn._xlws.FILTER(Competitions[compType], (Fixtures[[#This Row],[competition]] = Competitions[name]), "N/A")</f>
        <v>N/A</v>
      </c>
      <c r="T269" s="58" t="str" cm="1">
        <f t="array" ref="T269">_xlfn._xlws.FILTER(Competitions[exhibition], (Fixtures[[#This Row],[competition]] = Competitions[name]), "N/A")</f>
        <v>N/A</v>
      </c>
      <c r="U269" s="58" t="str" cm="1">
        <f t="array" ref="U269">_xlfn._xlws.FILTER(Competitions[compID], (Fixtures[[#This Row],[competition]] = Competitions[name]), "N/A")</f>
        <v>N/A</v>
      </c>
      <c r="V2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69" s="58" t="str" cm="1">
        <f t="array" ref="W2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69" s="58" t="str" cm="1">
        <f t="array" ref="X269">_xlfn._xlws.FILTER(Teams[name], (Fixtures[[#This Row],[userTeamID]] = Teams[teamID]), "N/A")</f>
        <v>N/A</v>
      </c>
      <c r="Y269" s="58" t="str" cm="1">
        <f t="array" ref="Y269">_xlfn._xlws.FILTER(Teams[teamType], (Fixtures[[#This Row],[userTeamID]] = Teams[teamID]), "N/A")</f>
        <v>N/A</v>
      </c>
      <c r="Z269" s="58" t="str" cm="1">
        <f t="array" ref="Z2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69" s="58" t="str">
        <f>IF(Fixtures[[#This Row],[userSide]] = "N/A", "N/A", IF(Fixtures[[#This Row],[userSide]] = "H", Fixtures[[#This Row],[awayTeam]], Fixtures[[#This Row],[homeTeam]]))</f>
        <v>N/A</v>
      </c>
      <c r="AB269" s="58" t="str" cm="1">
        <f t="array" ref="AB269">_xlfn._xlws.FILTER(Teams[teamID], Fixtures[[#This Row],[oppTeam]] = Teams[name], "N/A")</f>
        <v>N/A</v>
      </c>
      <c r="AC269" s="58" t="str" cm="1">
        <f t="array" ref="AC269">_xlfn._xlws.FILTER(Teams[teamType], Fixtures[[#This Row],[oppTeam]] = Teams[name], "N/A")</f>
        <v>N/A</v>
      </c>
      <c r="AD269" s="58" t="str">
        <f>IF(ISBLANK(Fixtures[[#This Row],[date]]), "N/A", IF(Fixtures[[#This Row],[userSide]]="H", Fixtures[[#This Row],[homeScore]], Fixtures[[#This Row],[awayScore]]))</f>
        <v>N/A</v>
      </c>
      <c r="AE269" s="58" t="str">
        <f>IF(ISBLANK(Fixtures[[#This Row],[date]]), "N/A", IF(Fixtures[[#This Row],[userScore]] = Fixtures[[#This Row],[homeScore]], Fixtures[[#This Row],[awayScore]], Fixtures[[#This Row],[homeScore]]))</f>
        <v>N/A</v>
      </c>
      <c r="AF269" s="58" t="b">
        <f>NOT(AND(ISBLANK(Fixtures[[#This Row],[homePens]]), ISBLANK(Fixtures[[#This Row],[awayPens]])))</f>
        <v>0</v>
      </c>
      <c r="AG269" s="58" t="str">
        <f>IF(Fixtures[[#This Row],[penalties]], IF(Fixtures[[#This Row],[userSide]]="H", Fixtures[[#This Row],[homePens]], Fixtures[[#This Row],[awayPens]]), "N/A")</f>
        <v>N/A</v>
      </c>
      <c r="AH269" s="58" t="str">
        <f>IF(Fixtures[[#This Row],[penalties]], IF(Fixtures[[#This Row],[userPens]]=Fixtures[[#This Row],[homePens]],Fixtures[[#This Row],[awayPens]],Fixtures[[#This Row],[homePens]]), "N/A")</f>
        <v>N/A</v>
      </c>
      <c r="AI269" s="58" t="b">
        <f>COUNTBLANK(Fixtures[[#This Row],[G]:[MOTM]]) = 0</f>
        <v>0</v>
      </c>
      <c r="AJ269" s="58" t="str">
        <f>IF(Fixtures[[#This Row],[APP]], Fixtures[[#This Row],[G]]+Fixtures[[#This Row],[A]], "N/A")</f>
        <v>N/A</v>
      </c>
      <c r="AK2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0" spans="1:39" ht="13">
      <c r="A270" s="55"/>
      <c r="B270" s="61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7"/>
      <c r="R270" s="56"/>
      <c r="S270" s="58" t="str" cm="1">
        <f t="array" ref="S270">_xlfn._xlws.FILTER(Competitions[compType], (Fixtures[[#This Row],[competition]] = Competitions[name]), "N/A")</f>
        <v>N/A</v>
      </c>
      <c r="T270" s="58" t="str" cm="1">
        <f t="array" ref="T270">_xlfn._xlws.FILTER(Competitions[exhibition], (Fixtures[[#This Row],[competition]] = Competitions[name]), "N/A")</f>
        <v>N/A</v>
      </c>
      <c r="U270" s="58" t="str" cm="1">
        <f t="array" ref="U270">_xlfn._xlws.FILTER(Competitions[compID], (Fixtures[[#This Row],[competition]] = Competitions[name]), "N/A")</f>
        <v>N/A</v>
      </c>
      <c r="V2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0" s="58" t="str" cm="1">
        <f t="array" ref="W2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0" s="58" t="str" cm="1">
        <f t="array" ref="X270">_xlfn._xlws.FILTER(Teams[name], (Fixtures[[#This Row],[userTeamID]] = Teams[teamID]), "N/A")</f>
        <v>N/A</v>
      </c>
      <c r="Y270" s="58" t="str" cm="1">
        <f t="array" ref="Y270">_xlfn._xlws.FILTER(Teams[teamType], (Fixtures[[#This Row],[userTeamID]] = Teams[teamID]), "N/A")</f>
        <v>N/A</v>
      </c>
      <c r="Z270" s="58" t="str" cm="1">
        <f t="array" ref="Z2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0" s="58" t="str">
        <f>IF(Fixtures[[#This Row],[userSide]] = "N/A", "N/A", IF(Fixtures[[#This Row],[userSide]] = "H", Fixtures[[#This Row],[awayTeam]], Fixtures[[#This Row],[homeTeam]]))</f>
        <v>N/A</v>
      </c>
      <c r="AB270" s="58" t="str" cm="1">
        <f t="array" ref="AB270">_xlfn._xlws.FILTER(Teams[teamID], Fixtures[[#This Row],[oppTeam]] = Teams[name], "N/A")</f>
        <v>N/A</v>
      </c>
      <c r="AC270" s="58" t="str" cm="1">
        <f t="array" ref="AC270">_xlfn._xlws.FILTER(Teams[teamType], Fixtures[[#This Row],[oppTeam]] = Teams[name], "N/A")</f>
        <v>N/A</v>
      </c>
      <c r="AD270" s="58" t="str">
        <f>IF(ISBLANK(Fixtures[[#This Row],[date]]), "N/A", IF(Fixtures[[#This Row],[userSide]]="H", Fixtures[[#This Row],[homeScore]], Fixtures[[#This Row],[awayScore]]))</f>
        <v>N/A</v>
      </c>
      <c r="AE270" s="58" t="str">
        <f>IF(ISBLANK(Fixtures[[#This Row],[date]]), "N/A", IF(Fixtures[[#This Row],[userScore]] = Fixtures[[#This Row],[homeScore]], Fixtures[[#This Row],[awayScore]], Fixtures[[#This Row],[homeScore]]))</f>
        <v>N/A</v>
      </c>
      <c r="AF270" s="58" t="b">
        <f>NOT(AND(ISBLANK(Fixtures[[#This Row],[homePens]]), ISBLANK(Fixtures[[#This Row],[awayPens]])))</f>
        <v>0</v>
      </c>
      <c r="AG270" s="58" t="str">
        <f>IF(Fixtures[[#This Row],[penalties]], IF(Fixtures[[#This Row],[userSide]]="H", Fixtures[[#This Row],[homePens]], Fixtures[[#This Row],[awayPens]]), "N/A")</f>
        <v>N/A</v>
      </c>
      <c r="AH270" s="58" t="str">
        <f>IF(Fixtures[[#This Row],[penalties]], IF(Fixtures[[#This Row],[userPens]]=Fixtures[[#This Row],[homePens]],Fixtures[[#This Row],[awayPens]],Fixtures[[#This Row],[homePens]]), "N/A")</f>
        <v>N/A</v>
      </c>
      <c r="AI270" s="58" t="b">
        <f>COUNTBLANK(Fixtures[[#This Row],[G]:[MOTM]]) = 0</f>
        <v>0</v>
      </c>
      <c r="AJ270" s="58" t="str">
        <f>IF(Fixtures[[#This Row],[APP]], Fixtures[[#This Row],[G]]+Fixtures[[#This Row],[A]], "N/A")</f>
        <v>N/A</v>
      </c>
      <c r="AK2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1" spans="1:39" ht="13">
      <c r="A271" s="55"/>
      <c r="B271" s="61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7"/>
      <c r="R271" s="56"/>
      <c r="S271" s="58" t="str" cm="1">
        <f t="array" ref="S271">_xlfn._xlws.FILTER(Competitions[compType], (Fixtures[[#This Row],[competition]] = Competitions[name]), "N/A")</f>
        <v>N/A</v>
      </c>
      <c r="T271" s="58" t="str" cm="1">
        <f t="array" ref="T271">_xlfn._xlws.FILTER(Competitions[exhibition], (Fixtures[[#This Row],[competition]] = Competitions[name]), "N/A")</f>
        <v>N/A</v>
      </c>
      <c r="U271" s="58" t="str" cm="1">
        <f t="array" ref="U271">_xlfn._xlws.FILTER(Competitions[compID], (Fixtures[[#This Row],[competition]] = Competitions[name]), "N/A")</f>
        <v>N/A</v>
      </c>
      <c r="V2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1" s="58" t="str" cm="1">
        <f t="array" ref="W2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1" s="58" t="str" cm="1">
        <f t="array" ref="X271">_xlfn._xlws.FILTER(Teams[name], (Fixtures[[#This Row],[userTeamID]] = Teams[teamID]), "N/A")</f>
        <v>N/A</v>
      </c>
      <c r="Y271" s="58" t="str" cm="1">
        <f t="array" ref="Y271">_xlfn._xlws.FILTER(Teams[teamType], (Fixtures[[#This Row],[userTeamID]] = Teams[teamID]), "N/A")</f>
        <v>N/A</v>
      </c>
      <c r="Z271" s="58" t="str" cm="1">
        <f t="array" ref="Z2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1" s="58" t="str">
        <f>IF(Fixtures[[#This Row],[userSide]] = "N/A", "N/A", IF(Fixtures[[#This Row],[userSide]] = "H", Fixtures[[#This Row],[awayTeam]], Fixtures[[#This Row],[homeTeam]]))</f>
        <v>N/A</v>
      </c>
      <c r="AB271" s="58" t="str" cm="1">
        <f t="array" ref="AB271">_xlfn._xlws.FILTER(Teams[teamID], Fixtures[[#This Row],[oppTeam]] = Teams[name], "N/A")</f>
        <v>N/A</v>
      </c>
      <c r="AC271" s="58" t="str" cm="1">
        <f t="array" ref="AC271">_xlfn._xlws.FILTER(Teams[teamType], Fixtures[[#This Row],[oppTeam]] = Teams[name], "N/A")</f>
        <v>N/A</v>
      </c>
      <c r="AD271" s="58" t="str">
        <f>IF(ISBLANK(Fixtures[[#This Row],[date]]), "N/A", IF(Fixtures[[#This Row],[userSide]]="H", Fixtures[[#This Row],[homeScore]], Fixtures[[#This Row],[awayScore]]))</f>
        <v>N/A</v>
      </c>
      <c r="AE271" s="58" t="str">
        <f>IF(ISBLANK(Fixtures[[#This Row],[date]]), "N/A", IF(Fixtures[[#This Row],[userScore]] = Fixtures[[#This Row],[homeScore]], Fixtures[[#This Row],[awayScore]], Fixtures[[#This Row],[homeScore]]))</f>
        <v>N/A</v>
      </c>
      <c r="AF271" s="58" t="b">
        <f>NOT(AND(ISBLANK(Fixtures[[#This Row],[homePens]]), ISBLANK(Fixtures[[#This Row],[awayPens]])))</f>
        <v>0</v>
      </c>
      <c r="AG271" s="58" t="str">
        <f>IF(Fixtures[[#This Row],[penalties]], IF(Fixtures[[#This Row],[userSide]]="H", Fixtures[[#This Row],[homePens]], Fixtures[[#This Row],[awayPens]]), "N/A")</f>
        <v>N/A</v>
      </c>
      <c r="AH271" s="58" t="str">
        <f>IF(Fixtures[[#This Row],[penalties]], IF(Fixtures[[#This Row],[userPens]]=Fixtures[[#This Row],[homePens]],Fixtures[[#This Row],[awayPens]],Fixtures[[#This Row],[homePens]]), "N/A")</f>
        <v>N/A</v>
      </c>
      <c r="AI271" s="58" t="b">
        <f>COUNTBLANK(Fixtures[[#This Row],[G]:[MOTM]]) = 0</f>
        <v>0</v>
      </c>
      <c r="AJ271" s="58" t="str">
        <f>IF(Fixtures[[#This Row],[APP]], Fixtures[[#This Row],[G]]+Fixtures[[#This Row],[A]], "N/A")</f>
        <v>N/A</v>
      </c>
      <c r="AK2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2" spans="1:39" ht="13">
      <c r="A272" s="55"/>
      <c r="B272" s="61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7"/>
      <c r="R272" s="56"/>
      <c r="S272" s="58" t="str" cm="1">
        <f t="array" ref="S272">_xlfn._xlws.FILTER(Competitions[compType], (Fixtures[[#This Row],[competition]] = Competitions[name]), "N/A")</f>
        <v>N/A</v>
      </c>
      <c r="T272" s="58" t="str" cm="1">
        <f t="array" ref="T272">_xlfn._xlws.FILTER(Competitions[exhibition], (Fixtures[[#This Row],[competition]] = Competitions[name]), "N/A")</f>
        <v>N/A</v>
      </c>
      <c r="U272" s="58" t="str" cm="1">
        <f t="array" ref="U272">_xlfn._xlws.FILTER(Competitions[compID], (Fixtures[[#This Row],[competition]] = Competitions[name]), "N/A")</f>
        <v>N/A</v>
      </c>
      <c r="V2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2" s="58" t="str" cm="1">
        <f t="array" ref="W2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2" s="58" t="str" cm="1">
        <f t="array" ref="X272">_xlfn._xlws.FILTER(Teams[name], (Fixtures[[#This Row],[userTeamID]] = Teams[teamID]), "N/A")</f>
        <v>N/A</v>
      </c>
      <c r="Y272" s="58" t="str" cm="1">
        <f t="array" ref="Y272">_xlfn._xlws.FILTER(Teams[teamType], (Fixtures[[#This Row],[userTeamID]] = Teams[teamID]), "N/A")</f>
        <v>N/A</v>
      </c>
      <c r="Z272" s="58" t="str" cm="1">
        <f t="array" ref="Z2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2" s="58" t="str">
        <f>IF(Fixtures[[#This Row],[userSide]] = "N/A", "N/A", IF(Fixtures[[#This Row],[userSide]] = "H", Fixtures[[#This Row],[awayTeam]], Fixtures[[#This Row],[homeTeam]]))</f>
        <v>N/A</v>
      </c>
      <c r="AB272" s="58" t="str" cm="1">
        <f t="array" ref="AB272">_xlfn._xlws.FILTER(Teams[teamID], Fixtures[[#This Row],[oppTeam]] = Teams[name], "N/A")</f>
        <v>N/A</v>
      </c>
      <c r="AC272" s="58" t="str" cm="1">
        <f t="array" ref="AC272">_xlfn._xlws.FILTER(Teams[teamType], Fixtures[[#This Row],[oppTeam]] = Teams[name], "N/A")</f>
        <v>N/A</v>
      </c>
      <c r="AD272" s="58" t="str">
        <f>IF(ISBLANK(Fixtures[[#This Row],[date]]), "N/A", IF(Fixtures[[#This Row],[userSide]]="H", Fixtures[[#This Row],[homeScore]], Fixtures[[#This Row],[awayScore]]))</f>
        <v>N/A</v>
      </c>
      <c r="AE272" s="58" t="str">
        <f>IF(ISBLANK(Fixtures[[#This Row],[date]]), "N/A", IF(Fixtures[[#This Row],[userScore]] = Fixtures[[#This Row],[homeScore]], Fixtures[[#This Row],[awayScore]], Fixtures[[#This Row],[homeScore]]))</f>
        <v>N/A</v>
      </c>
      <c r="AF272" s="58" t="b">
        <f>NOT(AND(ISBLANK(Fixtures[[#This Row],[homePens]]), ISBLANK(Fixtures[[#This Row],[awayPens]])))</f>
        <v>0</v>
      </c>
      <c r="AG272" s="58" t="str">
        <f>IF(Fixtures[[#This Row],[penalties]], IF(Fixtures[[#This Row],[userSide]]="H", Fixtures[[#This Row],[homePens]], Fixtures[[#This Row],[awayPens]]), "N/A")</f>
        <v>N/A</v>
      </c>
      <c r="AH272" s="58" t="str">
        <f>IF(Fixtures[[#This Row],[penalties]], IF(Fixtures[[#This Row],[userPens]]=Fixtures[[#This Row],[homePens]],Fixtures[[#This Row],[awayPens]],Fixtures[[#This Row],[homePens]]), "N/A")</f>
        <v>N/A</v>
      </c>
      <c r="AI272" s="58" t="b">
        <f>COUNTBLANK(Fixtures[[#This Row],[G]:[MOTM]]) = 0</f>
        <v>0</v>
      </c>
      <c r="AJ272" s="58" t="str">
        <f>IF(Fixtures[[#This Row],[APP]], Fixtures[[#This Row],[G]]+Fixtures[[#This Row],[A]], "N/A")</f>
        <v>N/A</v>
      </c>
      <c r="AK2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3" spans="1:39" ht="13">
      <c r="A273" s="55"/>
      <c r="B273" s="61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7"/>
      <c r="R273" s="56"/>
      <c r="S273" s="58" t="str" cm="1">
        <f t="array" ref="S273">_xlfn._xlws.FILTER(Competitions[compType], (Fixtures[[#This Row],[competition]] = Competitions[name]), "N/A")</f>
        <v>N/A</v>
      </c>
      <c r="T273" s="58" t="str" cm="1">
        <f t="array" ref="T273">_xlfn._xlws.FILTER(Competitions[exhibition], (Fixtures[[#This Row],[competition]] = Competitions[name]), "N/A")</f>
        <v>N/A</v>
      </c>
      <c r="U273" s="58" t="str" cm="1">
        <f t="array" ref="U273">_xlfn._xlws.FILTER(Competitions[compID], (Fixtures[[#This Row],[competition]] = Competitions[name]), "N/A")</f>
        <v>N/A</v>
      </c>
      <c r="V2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3" s="58" t="str" cm="1">
        <f t="array" ref="W2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3" s="58" t="str" cm="1">
        <f t="array" ref="X273">_xlfn._xlws.FILTER(Teams[name], (Fixtures[[#This Row],[userTeamID]] = Teams[teamID]), "N/A")</f>
        <v>N/A</v>
      </c>
      <c r="Y273" s="58" t="str" cm="1">
        <f t="array" ref="Y273">_xlfn._xlws.FILTER(Teams[teamType], (Fixtures[[#This Row],[userTeamID]] = Teams[teamID]), "N/A")</f>
        <v>N/A</v>
      </c>
      <c r="Z273" s="58" t="str" cm="1">
        <f t="array" ref="Z2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3" s="58" t="str">
        <f>IF(Fixtures[[#This Row],[userSide]] = "N/A", "N/A", IF(Fixtures[[#This Row],[userSide]] = "H", Fixtures[[#This Row],[awayTeam]], Fixtures[[#This Row],[homeTeam]]))</f>
        <v>N/A</v>
      </c>
      <c r="AB273" s="58" t="str" cm="1">
        <f t="array" ref="AB273">_xlfn._xlws.FILTER(Teams[teamID], Fixtures[[#This Row],[oppTeam]] = Teams[name], "N/A")</f>
        <v>N/A</v>
      </c>
      <c r="AC273" s="58" t="str" cm="1">
        <f t="array" ref="AC273">_xlfn._xlws.FILTER(Teams[teamType], Fixtures[[#This Row],[oppTeam]] = Teams[name], "N/A")</f>
        <v>N/A</v>
      </c>
      <c r="AD273" s="58" t="str">
        <f>IF(ISBLANK(Fixtures[[#This Row],[date]]), "N/A", IF(Fixtures[[#This Row],[userSide]]="H", Fixtures[[#This Row],[homeScore]], Fixtures[[#This Row],[awayScore]]))</f>
        <v>N/A</v>
      </c>
      <c r="AE273" s="58" t="str">
        <f>IF(ISBLANK(Fixtures[[#This Row],[date]]), "N/A", IF(Fixtures[[#This Row],[userScore]] = Fixtures[[#This Row],[homeScore]], Fixtures[[#This Row],[awayScore]], Fixtures[[#This Row],[homeScore]]))</f>
        <v>N/A</v>
      </c>
      <c r="AF273" s="58" t="b">
        <f>NOT(AND(ISBLANK(Fixtures[[#This Row],[homePens]]), ISBLANK(Fixtures[[#This Row],[awayPens]])))</f>
        <v>0</v>
      </c>
      <c r="AG273" s="58" t="str">
        <f>IF(Fixtures[[#This Row],[penalties]], IF(Fixtures[[#This Row],[userSide]]="H", Fixtures[[#This Row],[homePens]], Fixtures[[#This Row],[awayPens]]), "N/A")</f>
        <v>N/A</v>
      </c>
      <c r="AH273" s="58" t="str">
        <f>IF(Fixtures[[#This Row],[penalties]], IF(Fixtures[[#This Row],[userPens]]=Fixtures[[#This Row],[homePens]],Fixtures[[#This Row],[awayPens]],Fixtures[[#This Row],[homePens]]), "N/A")</f>
        <v>N/A</v>
      </c>
      <c r="AI273" s="58" t="b">
        <f>COUNTBLANK(Fixtures[[#This Row],[G]:[MOTM]]) = 0</f>
        <v>0</v>
      </c>
      <c r="AJ273" s="58" t="str">
        <f>IF(Fixtures[[#This Row],[APP]], Fixtures[[#This Row],[G]]+Fixtures[[#This Row],[A]], "N/A")</f>
        <v>N/A</v>
      </c>
      <c r="AK2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4" spans="1:39" ht="13">
      <c r="A274" s="55"/>
      <c r="B274" s="61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7"/>
      <c r="R274" s="56"/>
      <c r="S274" s="58" t="str" cm="1">
        <f t="array" ref="S274">_xlfn._xlws.FILTER(Competitions[compType], (Fixtures[[#This Row],[competition]] = Competitions[name]), "N/A")</f>
        <v>N/A</v>
      </c>
      <c r="T274" s="58" t="str" cm="1">
        <f t="array" ref="T274">_xlfn._xlws.FILTER(Competitions[exhibition], (Fixtures[[#This Row],[competition]] = Competitions[name]), "N/A")</f>
        <v>N/A</v>
      </c>
      <c r="U274" s="58" t="str" cm="1">
        <f t="array" ref="U274">_xlfn._xlws.FILTER(Competitions[compID], (Fixtures[[#This Row],[competition]] = Competitions[name]), "N/A")</f>
        <v>N/A</v>
      </c>
      <c r="V2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4" s="58" t="str" cm="1">
        <f t="array" ref="W2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4" s="58" t="str" cm="1">
        <f t="array" ref="X274">_xlfn._xlws.FILTER(Teams[name], (Fixtures[[#This Row],[userTeamID]] = Teams[teamID]), "N/A")</f>
        <v>N/A</v>
      </c>
      <c r="Y274" s="58" t="str" cm="1">
        <f t="array" ref="Y274">_xlfn._xlws.FILTER(Teams[teamType], (Fixtures[[#This Row],[userTeamID]] = Teams[teamID]), "N/A")</f>
        <v>N/A</v>
      </c>
      <c r="Z274" s="58" t="str" cm="1">
        <f t="array" ref="Z2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4" s="58" t="str">
        <f>IF(Fixtures[[#This Row],[userSide]] = "N/A", "N/A", IF(Fixtures[[#This Row],[userSide]] = "H", Fixtures[[#This Row],[awayTeam]], Fixtures[[#This Row],[homeTeam]]))</f>
        <v>N/A</v>
      </c>
      <c r="AB274" s="58" t="str" cm="1">
        <f t="array" ref="AB274">_xlfn._xlws.FILTER(Teams[teamID], Fixtures[[#This Row],[oppTeam]] = Teams[name], "N/A")</f>
        <v>N/A</v>
      </c>
      <c r="AC274" s="58" t="str" cm="1">
        <f t="array" ref="AC274">_xlfn._xlws.FILTER(Teams[teamType], Fixtures[[#This Row],[oppTeam]] = Teams[name], "N/A")</f>
        <v>N/A</v>
      </c>
      <c r="AD274" s="58" t="str">
        <f>IF(ISBLANK(Fixtures[[#This Row],[date]]), "N/A", IF(Fixtures[[#This Row],[userSide]]="H", Fixtures[[#This Row],[homeScore]], Fixtures[[#This Row],[awayScore]]))</f>
        <v>N/A</v>
      </c>
      <c r="AE274" s="58" t="str">
        <f>IF(ISBLANK(Fixtures[[#This Row],[date]]), "N/A", IF(Fixtures[[#This Row],[userScore]] = Fixtures[[#This Row],[homeScore]], Fixtures[[#This Row],[awayScore]], Fixtures[[#This Row],[homeScore]]))</f>
        <v>N/A</v>
      </c>
      <c r="AF274" s="58" t="b">
        <f>NOT(AND(ISBLANK(Fixtures[[#This Row],[homePens]]), ISBLANK(Fixtures[[#This Row],[awayPens]])))</f>
        <v>0</v>
      </c>
      <c r="AG274" s="58" t="str">
        <f>IF(Fixtures[[#This Row],[penalties]], IF(Fixtures[[#This Row],[userSide]]="H", Fixtures[[#This Row],[homePens]], Fixtures[[#This Row],[awayPens]]), "N/A")</f>
        <v>N/A</v>
      </c>
      <c r="AH274" s="58" t="str">
        <f>IF(Fixtures[[#This Row],[penalties]], IF(Fixtures[[#This Row],[userPens]]=Fixtures[[#This Row],[homePens]],Fixtures[[#This Row],[awayPens]],Fixtures[[#This Row],[homePens]]), "N/A")</f>
        <v>N/A</v>
      </c>
      <c r="AI274" s="58" t="b">
        <f>COUNTBLANK(Fixtures[[#This Row],[G]:[MOTM]]) = 0</f>
        <v>0</v>
      </c>
      <c r="AJ274" s="58" t="str">
        <f>IF(Fixtures[[#This Row],[APP]], Fixtures[[#This Row],[G]]+Fixtures[[#This Row],[A]], "N/A")</f>
        <v>N/A</v>
      </c>
      <c r="AK2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5" spans="1:39" ht="13">
      <c r="A275" s="55"/>
      <c r="B275" s="61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7"/>
      <c r="R275" s="56"/>
      <c r="S275" s="58" t="str" cm="1">
        <f t="array" ref="S275">_xlfn._xlws.FILTER(Competitions[compType], (Fixtures[[#This Row],[competition]] = Competitions[name]), "N/A")</f>
        <v>N/A</v>
      </c>
      <c r="T275" s="58" t="str" cm="1">
        <f t="array" ref="T275">_xlfn._xlws.FILTER(Competitions[exhibition], (Fixtures[[#This Row],[competition]] = Competitions[name]), "N/A")</f>
        <v>N/A</v>
      </c>
      <c r="U275" s="58" t="str" cm="1">
        <f t="array" ref="U275">_xlfn._xlws.FILTER(Competitions[compID], (Fixtures[[#This Row],[competition]] = Competitions[name]), "N/A")</f>
        <v>N/A</v>
      </c>
      <c r="V2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5" s="58" t="str" cm="1">
        <f t="array" ref="W2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5" s="58" t="str" cm="1">
        <f t="array" ref="X275">_xlfn._xlws.FILTER(Teams[name], (Fixtures[[#This Row],[userTeamID]] = Teams[teamID]), "N/A")</f>
        <v>N/A</v>
      </c>
      <c r="Y275" s="58" t="str" cm="1">
        <f t="array" ref="Y275">_xlfn._xlws.FILTER(Teams[teamType], (Fixtures[[#This Row],[userTeamID]] = Teams[teamID]), "N/A")</f>
        <v>N/A</v>
      </c>
      <c r="Z275" s="58" t="str" cm="1">
        <f t="array" ref="Z2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5" s="58" t="str">
        <f>IF(Fixtures[[#This Row],[userSide]] = "N/A", "N/A", IF(Fixtures[[#This Row],[userSide]] = "H", Fixtures[[#This Row],[awayTeam]], Fixtures[[#This Row],[homeTeam]]))</f>
        <v>N/A</v>
      </c>
      <c r="AB275" s="58" t="str" cm="1">
        <f t="array" ref="AB275">_xlfn._xlws.FILTER(Teams[teamID], Fixtures[[#This Row],[oppTeam]] = Teams[name], "N/A")</f>
        <v>N/A</v>
      </c>
      <c r="AC275" s="58" t="str" cm="1">
        <f t="array" ref="AC275">_xlfn._xlws.FILTER(Teams[teamType], Fixtures[[#This Row],[oppTeam]] = Teams[name], "N/A")</f>
        <v>N/A</v>
      </c>
      <c r="AD275" s="58" t="str">
        <f>IF(ISBLANK(Fixtures[[#This Row],[date]]), "N/A", IF(Fixtures[[#This Row],[userSide]]="H", Fixtures[[#This Row],[homeScore]], Fixtures[[#This Row],[awayScore]]))</f>
        <v>N/A</v>
      </c>
      <c r="AE275" s="58" t="str">
        <f>IF(ISBLANK(Fixtures[[#This Row],[date]]), "N/A", IF(Fixtures[[#This Row],[userScore]] = Fixtures[[#This Row],[homeScore]], Fixtures[[#This Row],[awayScore]], Fixtures[[#This Row],[homeScore]]))</f>
        <v>N/A</v>
      </c>
      <c r="AF275" s="58" t="b">
        <f>NOT(AND(ISBLANK(Fixtures[[#This Row],[homePens]]), ISBLANK(Fixtures[[#This Row],[awayPens]])))</f>
        <v>0</v>
      </c>
      <c r="AG275" s="58" t="str">
        <f>IF(Fixtures[[#This Row],[penalties]], IF(Fixtures[[#This Row],[userSide]]="H", Fixtures[[#This Row],[homePens]], Fixtures[[#This Row],[awayPens]]), "N/A")</f>
        <v>N/A</v>
      </c>
      <c r="AH275" s="58" t="str">
        <f>IF(Fixtures[[#This Row],[penalties]], IF(Fixtures[[#This Row],[userPens]]=Fixtures[[#This Row],[homePens]],Fixtures[[#This Row],[awayPens]],Fixtures[[#This Row],[homePens]]), "N/A")</f>
        <v>N/A</v>
      </c>
      <c r="AI275" s="58" t="b">
        <f>COUNTBLANK(Fixtures[[#This Row],[G]:[MOTM]]) = 0</f>
        <v>0</v>
      </c>
      <c r="AJ275" s="58" t="str">
        <f>IF(Fixtures[[#This Row],[APP]], Fixtures[[#This Row],[G]]+Fixtures[[#This Row],[A]], "N/A")</f>
        <v>N/A</v>
      </c>
      <c r="AK2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6" spans="1:39" ht="13">
      <c r="A276" s="55"/>
      <c r="B276" s="61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7"/>
      <c r="R276" s="56"/>
      <c r="S276" s="58" t="str" cm="1">
        <f t="array" ref="S276">_xlfn._xlws.FILTER(Competitions[compType], (Fixtures[[#This Row],[competition]] = Competitions[name]), "N/A")</f>
        <v>N/A</v>
      </c>
      <c r="T276" s="58" t="str" cm="1">
        <f t="array" ref="T276">_xlfn._xlws.FILTER(Competitions[exhibition], (Fixtures[[#This Row],[competition]] = Competitions[name]), "N/A")</f>
        <v>N/A</v>
      </c>
      <c r="U276" s="58" t="str" cm="1">
        <f t="array" ref="U276">_xlfn._xlws.FILTER(Competitions[compID], (Fixtures[[#This Row],[competition]] = Competitions[name]), "N/A")</f>
        <v>N/A</v>
      </c>
      <c r="V2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6" s="58" t="str" cm="1">
        <f t="array" ref="W2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6" s="58" t="str" cm="1">
        <f t="array" ref="X276">_xlfn._xlws.FILTER(Teams[name], (Fixtures[[#This Row],[userTeamID]] = Teams[teamID]), "N/A")</f>
        <v>N/A</v>
      </c>
      <c r="Y276" s="58" t="str" cm="1">
        <f t="array" ref="Y276">_xlfn._xlws.FILTER(Teams[teamType], (Fixtures[[#This Row],[userTeamID]] = Teams[teamID]), "N/A")</f>
        <v>N/A</v>
      </c>
      <c r="Z276" s="58" t="str" cm="1">
        <f t="array" ref="Z2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6" s="58" t="str">
        <f>IF(Fixtures[[#This Row],[userSide]] = "N/A", "N/A", IF(Fixtures[[#This Row],[userSide]] = "H", Fixtures[[#This Row],[awayTeam]], Fixtures[[#This Row],[homeTeam]]))</f>
        <v>N/A</v>
      </c>
      <c r="AB276" s="58" t="str" cm="1">
        <f t="array" ref="AB276">_xlfn._xlws.FILTER(Teams[teamID], Fixtures[[#This Row],[oppTeam]] = Teams[name], "N/A")</f>
        <v>N/A</v>
      </c>
      <c r="AC276" s="58" t="str" cm="1">
        <f t="array" ref="AC276">_xlfn._xlws.FILTER(Teams[teamType], Fixtures[[#This Row],[oppTeam]] = Teams[name], "N/A")</f>
        <v>N/A</v>
      </c>
      <c r="AD276" s="58" t="str">
        <f>IF(ISBLANK(Fixtures[[#This Row],[date]]), "N/A", IF(Fixtures[[#This Row],[userSide]]="H", Fixtures[[#This Row],[homeScore]], Fixtures[[#This Row],[awayScore]]))</f>
        <v>N/A</v>
      </c>
      <c r="AE276" s="58" t="str">
        <f>IF(ISBLANK(Fixtures[[#This Row],[date]]), "N/A", IF(Fixtures[[#This Row],[userScore]] = Fixtures[[#This Row],[homeScore]], Fixtures[[#This Row],[awayScore]], Fixtures[[#This Row],[homeScore]]))</f>
        <v>N/A</v>
      </c>
      <c r="AF276" s="58" t="b">
        <f>NOT(AND(ISBLANK(Fixtures[[#This Row],[homePens]]), ISBLANK(Fixtures[[#This Row],[awayPens]])))</f>
        <v>0</v>
      </c>
      <c r="AG276" s="58" t="str">
        <f>IF(Fixtures[[#This Row],[penalties]], IF(Fixtures[[#This Row],[userSide]]="H", Fixtures[[#This Row],[homePens]], Fixtures[[#This Row],[awayPens]]), "N/A")</f>
        <v>N/A</v>
      </c>
      <c r="AH276" s="58" t="str">
        <f>IF(Fixtures[[#This Row],[penalties]], IF(Fixtures[[#This Row],[userPens]]=Fixtures[[#This Row],[homePens]],Fixtures[[#This Row],[awayPens]],Fixtures[[#This Row],[homePens]]), "N/A")</f>
        <v>N/A</v>
      </c>
      <c r="AI276" s="58" t="b">
        <f>COUNTBLANK(Fixtures[[#This Row],[G]:[MOTM]]) = 0</f>
        <v>0</v>
      </c>
      <c r="AJ276" s="58" t="str">
        <f>IF(Fixtures[[#This Row],[APP]], Fixtures[[#This Row],[G]]+Fixtures[[#This Row],[A]], "N/A")</f>
        <v>N/A</v>
      </c>
      <c r="AK2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7" spans="1:39" ht="13">
      <c r="A277" s="55"/>
      <c r="B277" s="61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7"/>
      <c r="R277" s="56"/>
      <c r="S277" s="58" t="str" cm="1">
        <f t="array" ref="S277">_xlfn._xlws.FILTER(Competitions[compType], (Fixtures[[#This Row],[competition]] = Competitions[name]), "N/A")</f>
        <v>N/A</v>
      </c>
      <c r="T277" s="58" t="str" cm="1">
        <f t="array" ref="T277">_xlfn._xlws.FILTER(Competitions[exhibition], (Fixtures[[#This Row],[competition]] = Competitions[name]), "N/A")</f>
        <v>N/A</v>
      </c>
      <c r="U277" s="58" t="str" cm="1">
        <f t="array" ref="U277">_xlfn._xlws.FILTER(Competitions[compID], (Fixtures[[#This Row],[competition]] = Competitions[name]), "N/A")</f>
        <v>N/A</v>
      </c>
      <c r="V2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7" s="58" t="str" cm="1">
        <f t="array" ref="W2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7" s="58" t="str" cm="1">
        <f t="array" ref="X277">_xlfn._xlws.FILTER(Teams[name], (Fixtures[[#This Row],[userTeamID]] = Teams[teamID]), "N/A")</f>
        <v>N/A</v>
      </c>
      <c r="Y277" s="58" t="str" cm="1">
        <f t="array" ref="Y277">_xlfn._xlws.FILTER(Teams[teamType], (Fixtures[[#This Row],[userTeamID]] = Teams[teamID]), "N/A")</f>
        <v>N/A</v>
      </c>
      <c r="Z277" s="58" t="str" cm="1">
        <f t="array" ref="Z2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7" s="58" t="str">
        <f>IF(Fixtures[[#This Row],[userSide]] = "N/A", "N/A", IF(Fixtures[[#This Row],[userSide]] = "H", Fixtures[[#This Row],[awayTeam]], Fixtures[[#This Row],[homeTeam]]))</f>
        <v>N/A</v>
      </c>
      <c r="AB277" s="58" t="str" cm="1">
        <f t="array" ref="AB277">_xlfn._xlws.FILTER(Teams[teamID], Fixtures[[#This Row],[oppTeam]] = Teams[name], "N/A")</f>
        <v>N/A</v>
      </c>
      <c r="AC277" s="58" t="str" cm="1">
        <f t="array" ref="AC277">_xlfn._xlws.FILTER(Teams[teamType], Fixtures[[#This Row],[oppTeam]] = Teams[name], "N/A")</f>
        <v>N/A</v>
      </c>
      <c r="AD277" s="58" t="str">
        <f>IF(ISBLANK(Fixtures[[#This Row],[date]]), "N/A", IF(Fixtures[[#This Row],[userSide]]="H", Fixtures[[#This Row],[homeScore]], Fixtures[[#This Row],[awayScore]]))</f>
        <v>N/A</v>
      </c>
      <c r="AE277" s="58" t="str">
        <f>IF(ISBLANK(Fixtures[[#This Row],[date]]), "N/A", IF(Fixtures[[#This Row],[userScore]] = Fixtures[[#This Row],[homeScore]], Fixtures[[#This Row],[awayScore]], Fixtures[[#This Row],[homeScore]]))</f>
        <v>N/A</v>
      </c>
      <c r="AF277" s="58" t="b">
        <f>NOT(AND(ISBLANK(Fixtures[[#This Row],[homePens]]), ISBLANK(Fixtures[[#This Row],[awayPens]])))</f>
        <v>0</v>
      </c>
      <c r="AG277" s="58" t="str">
        <f>IF(Fixtures[[#This Row],[penalties]], IF(Fixtures[[#This Row],[userSide]]="H", Fixtures[[#This Row],[homePens]], Fixtures[[#This Row],[awayPens]]), "N/A")</f>
        <v>N/A</v>
      </c>
      <c r="AH277" s="58" t="str">
        <f>IF(Fixtures[[#This Row],[penalties]], IF(Fixtures[[#This Row],[userPens]]=Fixtures[[#This Row],[homePens]],Fixtures[[#This Row],[awayPens]],Fixtures[[#This Row],[homePens]]), "N/A")</f>
        <v>N/A</v>
      </c>
      <c r="AI277" s="58" t="b">
        <f>COUNTBLANK(Fixtures[[#This Row],[G]:[MOTM]]) = 0</f>
        <v>0</v>
      </c>
      <c r="AJ277" s="58" t="str">
        <f>IF(Fixtures[[#This Row],[APP]], Fixtures[[#This Row],[G]]+Fixtures[[#This Row],[A]], "N/A")</f>
        <v>N/A</v>
      </c>
      <c r="AK2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8" spans="1:39" ht="13">
      <c r="A278" s="55"/>
      <c r="B278" s="61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7"/>
      <c r="R278" s="56"/>
      <c r="S278" s="58" t="str" cm="1">
        <f t="array" ref="S278">_xlfn._xlws.FILTER(Competitions[compType], (Fixtures[[#This Row],[competition]] = Competitions[name]), "N/A")</f>
        <v>N/A</v>
      </c>
      <c r="T278" s="58" t="str" cm="1">
        <f t="array" ref="T278">_xlfn._xlws.FILTER(Competitions[exhibition], (Fixtures[[#This Row],[competition]] = Competitions[name]), "N/A")</f>
        <v>N/A</v>
      </c>
      <c r="U278" s="58" t="str" cm="1">
        <f t="array" ref="U278">_xlfn._xlws.FILTER(Competitions[compID], (Fixtures[[#This Row],[competition]] = Competitions[name]), "N/A")</f>
        <v>N/A</v>
      </c>
      <c r="V2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8" s="58" t="str" cm="1">
        <f t="array" ref="W2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8" s="58" t="str" cm="1">
        <f t="array" ref="X278">_xlfn._xlws.FILTER(Teams[name], (Fixtures[[#This Row],[userTeamID]] = Teams[teamID]), "N/A")</f>
        <v>N/A</v>
      </c>
      <c r="Y278" s="58" t="str" cm="1">
        <f t="array" ref="Y278">_xlfn._xlws.FILTER(Teams[teamType], (Fixtures[[#This Row],[userTeamID]] = Teams[teamID]), "N/A")</f>
        <v>N/A</v>
      </c>
      <c r="Z278" s="58" t="str" cm="1">
        <f t="array" ref="Z2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8" s="58" t="str">
        <f>IF(Fixtures[[#This Row],[userSide]] = "N/A", "N/A", IF(Fixtures[[#This Row],[userSide]] = "H", Fixtures[[#This Row],[awayTeam]], Fixtures[[#This Row],[homeTeam]]))</f>
        <v>N/A</v>
      </c>
      <c r="AB278" s="58" t="str" cm="1">
        <f t="array" ref="AB278">_xlfn._xlws.FILTER(Teams[teamID], Fixtures[[#This Row],[oppTeam]] = Teams[name], "N/A")</f>
        <v>N/A</v>
      </c>
      <c r="AC278" s="58" t="str" cm="1">
        <f t="array" ref="AC278">_xlfn._xlws.FILTER(Teams[teamType], Fixtures[[#This Row],[oppTeam]] = Teams[name], "N/A")</f>
        <v>N/A</v>
      </c>
      <c r="AD278" s="58" t="str">
        <f>IF(ISBLANK(Fixtures[[#This Row],[date]]), "N/A", IF(Fixtures[[#This Row],[userSide]]="H", Fixtures[[#This Row],[homeScore]], Fixtures[[#This Row],[awayScore]]))</f>
        <v>N/A</v>
      </c>
      <c r="AE278" s="58" t="str">
        <f>IF(ISBLANK(Fixtures[[#This Row],[date]]), "N/A", IF(Fixtures[[#This Row],[userScore]] = Fixtures[[#This Row],[homeScore]], Fixtures[[#This Row],[awayScore]], Fixtures[[#This Row],[homeScore]]))</f>
        <v>N/A</v>
      </c>
      <c r="AF278" s="58" t="b">
        <f>NOT(AND(ISBLANK(Fixtures[[#This Row],[homePens]]), ISBLANK(Fixtures[[#This Row],[awayPens]])))</f>
        <v>0</v>
      </c>
      <c r="AG278" s="58" t="str">
        <f>IF(Fixtures[[#This Row],[penalties]], IF(Fixtures[[#This Row],[userSide]]="H", Fixtures[[#This Row],[homePens]], Fixtures[[#This Row],[awayPens]]), "N/A")</f>
        <v>N/A</v>
      </c>
      <c r="AH278" s="58" t="str">
        <f>IF(Fixtures[[#This Row],[penalties]], IF(Fixtures[[#This Row],[userPens]]=Fixtures[[#This Row],[homePens]],Fixtures[[#This Row],[awayPens]],Fixtures[[#This Row],[homePens]]), "N/A")</f>
        <v>N/A</v>
      </c>
      <c r="AI278" s="58" t="b">
        <f>COUNTBLANK(Fixtures[[#This Row],[G]:[MOTM]]) = 0</f>
        <v>0</v>
      </c>
      <c r="AJ278" s="58" t="str">
        <f>IF(Fixtures[[#This Row],[APP]], Fixtures[[#This Row],[G]]+Fixtures[[#This Row],[A]], "N/A")</f>
        <v>N/A</v>
      </c>
      <c r="AK2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79" spans="1:39" ht="13">
      <c r="A279" s="55"/>
      <c r="B279" s="61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7"/>
      <c r="R279" s="56"/>
      <c r="S279" s="58" t="str" cm="1">
        <f t="array" ref="S279">_xlfn._xlws.FILTER(Competitions[compType], (Fixtures[[#This Row],[competition]] = Competitions[name]), "N/A")</f>
        <v>N/A</v>
      </c>
      <c r="T279" s="58" t="str" cm="1">
        <f t="array" ref="T279">_xlfn._xlws.FILTER(Competitions[exhibition], (Fixtures[[#This Row],[competition]] = Competitions[name]), "N/A")</f>
        <v>N/A</v>
      </c>
      <c r="U279" s="58" t="str" cm="1">
        <f t="array" ref="U279">_xlfn._xlws.FILTER(Competitions[compID], (Fixtures[[#This Row],[competition]] = Competitions[name]), "N/A")</f>
        <v>N/A</v>
      </c>
      <c r="V2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79" s="58" t="str" cm="1">
        <f t="array" ref="W2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79" s="58" t="str" cm="1">
        <f t="array" ref="X279">_xlfn._xlws.FILTER(Teams[name], (Fixtures[[#This Row],[userTeamID]] = Teams[teamID]), "N/A")</f>
        <v>N/A</v>
      </c>
      <c r="Y279" s="58" t="str" cm="1">
        <f t="array" ref="Y279">_xlfn._xlws.FILTER(Teams[teamType], (Fixtures[[#This Row],[userTeamID]] = Teams[teamID]), "N/A")</f>
        <v>N/A</v>
      </c>
      <c r="Z279" s="58" t="str" cm="1">
        <f t="array" ref="Z2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79" s="58" t="str">
        <f>IF(Fixtures[[#This Row],[userSide]] = "N/A", "N/A", IF(Fixtures[[#This Row],[userSide]] = "H", Fixtures[[#This Row],[awayTeam]], Fixtures[[#This Row],[homeTeam]]))</f>
        <v>N/A</v>
      </c>
      <c r="AB279" s="58" t="str" cm="1">
        <f t="array" ref="AB279">_xlfn._xlws.FILTER(Teams[teamID], Fixtures[[#This Row],[oppTeam]] = Teams[name], "N/A")</f>
        <v>N/A</v>
      </c>
      <c r="AC279" s="58" t="str" cm="1">
        <f t="array" ref="AC279">_xlfn._xlws.FILTER(Teams[teamType], Fixtures[[#This Row],[oppTeam]] = Teams[name], "N/A")</f>
        <v>N/A</v>
      </c>
      <c r="AD279" s="58" t="str">
        <f>IF(ISBLANK(Fixtures[[#This Row],[date]]), "N/A", IF(Fixtures[[#This Row],[userSide]]="H", Fixtures[[#This Row],[homeScore]], Fixtures[[#This Row],[awayScore]]))</f>
        <v>N/A</v>
      </c>
      <c r="AE279" s="58" t="str">
        <f>IF(ISBLANK(Fixtures[[#This Row],[date]]), "N/A", IF(Fixtures[[#This Row],[userScore]] = Fixtures[[#This Row],[homeScore]], Fixtures[[#This Row],[awayScore]], Fixtures[[#This Row],[homeScore]]))</f>
        <v>N/A</v>
      </c>
      <c r="AF279" s="58" t="b">
        <f>NOT(AND(ISBLANK(Fixtures[[#This Row],[homePens]]), ISBLANK(Fixtures[[#This Row],[awayPens]])))</f>
        <v>0</v>
      </c>
      <c r="AG279" s="58" t="str">
        <f>IF(Fixtures[[#This Row],[penalties]], IF(Fixtures[[#This Row],[userSide]]="H", Fixtures[[#This Row],[homePens]], Fixtures[[#This Row],[awayPens]]), "N/A")</f>
        <v>N/A</v>
      </c>
      <c r="AH279" s="58" t="str">
        <f>IF(Fixtures[[#This Row],[penalties]], IF(Fixtures[[#This Row],[userPens]]=Fixtures[[#This Row],[homePens]],Fixtures[[#This Row],[awayPens]],Fixtures[[#This Row],[homePens]]), "N/A")</f>
        <v>N/A</v>
      </c>
      <c r="AI279" s="58" t="b">
        <f>COUNTBLANK(Fixtures[[#This Row],[G]:[MOTM]]) = 0</f>
        <v>0</v>
      </c>
      <c r="AJ279" s="58" t="str">
        <f>IF(Fixtures[[#This Row],[APP]], Fixtures[[#This Row],[G]]+Fixtures[[#This Row],[A]], "N/A")</f>
        <v>N/A</v>
      </c>
      <c r="AK2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0" spans="1:39" ht="13">
      <c r="A280" s="55"/>
      <c r="B280" s="61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7"/>
      <c r="R280" s="56"/>
      <c r="S280" s="58" t="str" cm="1">
        <f t="array" ref="S280">_xlfn._xlws.FILTER(Competitions[compType], (Fixtures[[#This Row],[competition]] = Competitions[name]), "N/A")</f>
        <v>N/A</v>
      </c>
      <c r="T280" s="58" t="str" cm="1">
        <f t="array" ref="T280">_xlfn._xlws.FILTER(Competitions[exhibition], (Fixtures[[#This Row],[competition]] = Competitions[name]), "N/A")</f>
        <v>N/A</v>
      </c>
      <c r="U280" s="58" t="str" cm="1">
        <f t="array" ref="U280">_xlfn._xlws.FILTER(Competitions[compID], (Fixtures[[#This Row],[competition]] = Competitions[name]), "N/A")</f>
        <v>N/A</v>
      </c>
      <c r="V2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0" s="58" t="str" cm="1">
        <f t="array" ref="W2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0" s="58" t="str" cm="1">
        <f t="array" ref="X280">_xlfn._xlws.FILTER(Teams[name], (Fixtures[[#This Row],[userTeamID]] = Teams[teamID]), "N/A")</f>
        <v>N/A</v>
      </c>
      <c r="Y280" s="58" t="str" cm="1">
        <f t="array" ref="Y280">_xlfn._xlws.FILTER(Teams[teamType], (Fixtures[[#This Row],[userTeamID]] = Teams[teamID]), "N/A")</f>
        <v>N/A</v>
      </c>
      <c r="Z280" s="58" t="str" cm="1">
        <f t="array" ref="Z2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0" s="58" t="str">
        <f>IF(Fixtures[[#This Row],[userSide]] = "N/A", "N/A", IF(Fixtures[[#This Row],[userSide]] = "H", Fixtures[[#This Row],[awayTeam]], Fixtures[[#This Row],[homeTeam]]))</f>
        <v>N/A</v>
      </c>
      <c r="AB280" s="58" t="str" cm="1">
        <f t="array" ref="AB280">_xlfn._xlws.FILTER(Teams[teamID], Fixtures[[#This Row],[oppTeam]] = Teams[name], "N/A")</f>
        <v>N/A</v>
      </c>
      <c r="AC280" s="58" t="str" cm="1">
        <f t="array" ref="AC280">_xlfn._xlws.FILTER(Teams[teamType], Fixtures[[#This Row],[oppTeam]] = Teams[name], "N/A")</f>
        <v>N/A</v>
      </c>
      <c r="AD280" s="58" t="str">
        <f>IF(ISBLANK(Fixtures[[#This Row],[date]]), "N/A", IF(Fixtures[[#This Row],[userSide]]="H", Fixtures[[#This Row],[homeScore]], Fixtures[[#This Row],[awayScore]]))</f>
        <v>N/A</v>
      </c>
      <c r="AE280" s="58" t="str">
        <f>IF(ISBLANK(Fixtures[[#This Row],[date]]), "N/A", IF(Fixtures[[#This Row],[userScore]] = Fixtures[[#This Row],[homeScore]], Fixtures[[#This Row],[awayScore]], Fixtures[[#This Row],[homeScore]]))</f>
        <v>N/A</v>
      </c>
      <c r="AF280" s="58" t="b">
        <f>NOT(AND(ISBLANK(Fixtures[[#This Row],[homePens]]), ISBLANK(Fixtures[[#This Row],[awayPens]])))</f>
        <v>0</v>
      </c>
      <c r="AG280" s="58" t="str">
        <f>IF(Fixtures[[#This Row],[penalties]], IF(Fixtures[[#This Row],[userSide]]="H", Fixtures[[#This Row],[homePens]], Fixtures[[#This Row],[awayPens]]), "N/A")</f>
        <v>N/A</v>
      </c>
      <c r="AH280" s="58" t="str">
        <f>IF(Fixtures[[#This Row],[penalties]], IF(Fixtures[[#This Row],[userPens]]=Fixtures[[#This Row],[homePens]],Fixtures[[#This Row],[awayPens]],Fixtures[[#This Row],[homePens]]), "N/A")</f>
        <v>N/A</v>
      </c>
      <c r="AI280" s="58" t="b">
        <f>COUNTBLANK(Fixtures[[#This Row],[G]:[MOTM]]) = 0</f>
        <v>0</v>
      </c>
      <c r="AJ280" s="58" t="str">
        <f>IF(Fixtures[[#This Row],[APP]], Fixtures[[#This Row],[G]]+Fixtures[[#This Row],[A]], "N/A")</f>
        <v>N/A</v>
      </c>
      <c r="AK2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1" spans="1:39" ht="13">
      <c r="A281" s="55"/>
      <c r="B281" s="61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7"/>
      <c r="R281" s="56"/>
      <c r="S281" s="58" t="str" cm="1">
        <f t="array" ref="S281">_xlfn._xlws.FILTER(Competitions[compType], (Fixtures[[#This Row],[competition]] = Competitions[name]), "N/A")</f>
        <v>N/A</v>
      </c>
      <c r="T281" s="58" t="str" cm="1">
        <f t="array" ref="T281">_xlfn._xlws.FILTER(Competitions[exhibition], (Fixtures[[#This Row],[competition]] = Competitions[name]), "N/A")</f>
        <v>N/A</v>
      </c>
      <c r="U281" s="58" t="str" cm="1">
        <f t="array" ref="U281">_xlfn._xlws.FILTER(Competitions[compID], (Fixtures[[#This Row],[competition]] = Competitions[name]), "N/A")</f>
        <v>N/A</v>
      </c>
      <c r="V2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1" s="58" t="str" cm="1">
        <f t="array" ref="W2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1" s="58" t="str" cm="1">
        <f t="array" ref="X281">_xlfn._xlws.FILTER(Teams[name], (Fixtures[[#This Row],[userTeamID]] = Teams[teamID]), "N/A")</f>
        <v>N/A</v>
      </c>
      <c r="Y281" s="58" t="str" cm="1">
        <f t="array" ref="Y281">_xlfn._xlws.FILTER(Teams[teamType], (Fixtures[[#This Row],[userTeamID]] = Teams[teamID]), "N/A")</f>
        <v>N/A</v>
      </c>
      <c r="Z281" s="58" t="str" cm="1">
        <f t="array" ref="Z2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1" s="58" t="str">
        <f>IF(Fixtures[[#This Row],[userSide]] = "N/A", "N/A", IF(Fixtures[[#This Row],[userSide]] = "H", Fixtures[[#This Row],[awayTeam]], Fixtures[[#This Row],[homeTeam]]))</f>
        <v>N/A</v>
      </c>
      <c r="AB281" s="58" t="str" cm="1">
        <f t="array" ref="AB281">_xlfn._xlws.FILTER(Teams[teamID], Fixtures[[#This Row],[oppTeam]] = Teams[name], "N/A")</f>
        <v>N/A</v>
      </c>
      <c r="AC281" s="58" t="str" cm="1">
        <f t="array" ref="AC281">_xlfn._xlws.FILTER(Teams[teamType], Fixtures[[#This Row],[oppTeam]] = Teams[name], "N/A")</f>
        <v>N/A</v>
      </c>
      <c r="AD281" s="58" t="str">
        <f>IF(ISBLANK(Fixtures[[#This Row],[date]]), "N/A", IF(Fixtures[[#This Row],[userSide]]="H", Fixtures[[#This Row],[homeScore]], Fixtures[[#This Row],[awayScore]]))</f>
        <v>N/A</v>
      </c>
      <c r="AE281" s="58" t="str">
        <f>IF(ISBLANK(Fixtures[[#This Row],[date]]), "N/A", IF(Fixtures[[#This Row],[userScore]] = Fixtures[[#This Row],[homeScore]], Fixtures[[#This Row],[awayScore]], Fixtures[[#This Row],[homeScore]]))</f>
        <v>N/A</v>
      </c>
      <c r="AF281" s="58" t="b">
        <f>NOT(AND(ISBLANK(Fixtures[[#This Row],[homePens]]), ISBLANK(Fixtures[[#This Row],[awayPens]])))</f>
        <v>0</v>
      </c>
      <c r="AG281" s="58" t="str">
        <f>IF(Fixtures[[#This Row],[penalties]], IF(Fixtures[[#This Row],[userSide]]="H", Fixtures[[#This Row],[homePens]], Fixtures[[#This Row],[awayPens]]), "N/A")</f>
        <v>N/A</v>
      </c>
      <c r="AH281" s="58" t="str">
        <f>IF(Fixtures[[#This Row],[penalties]], IF(Fixtures[[#This Row],[userPens]]=Fixtures[[#This Row],[homePens]],Fixtures[[#This Row],[awayPens]],Fixtures[[#This Row],[homePens]]), "N/A")</f>
        <v>N/A</v>
      </c>
      <c r="AI281" s="58" t="b">
        <f>COUNTBLANK(Fixtures[[#This Row],[G]:[MOTM]]) = 0</f>
        <v>0</v>
      </c>
      <c r="AJ281" s="58" t="str">
        <f>IF(Fixtures[[#This Row],[APP]], Fixtures[[#This Row],[G]]+Fixtures[[#This Row],[A]], "N/A")</f>
        <v>N/A</v>
      </c>
      <c r="AK2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2" spans="1:39" ht="13">
      <c r="A282" s="55"/>
      <c r="B282" s="61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7"/>
      <c r="R282" s="56"/>
      <c r="S282" s="58" t="str" cm="1">
        <f t="array" ref="S282">_xlfn._xlws.FILTER(Competitions[compType], (Fixtures[[#This Row],[competition]] = Competitions[name]), "N/A")</f>
        <v>N/A</v>
      </c>
      <c r="T282" s="58" t="str" cm="1">
        <f t="array" ref="T282">_xlfn._xlws.FILTER(Competitions[exhibition], (Fixtures[[#This Row],[competition]] = Competitions[name]), "N/A")</f>
        <v>N/A</v>
      </c>
      <c r="U282" s="58" t="str" cm="1">
        <f t="array" ref="U282">_xlfn._xlws.FILTER(Competitions[compID], (Fixtures[[#This Row],[competition]] = Competitions[name]), "N/A")</f>
        <v>N/A</v>
      </c>
      <c r="V2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2" s="58" t="str" cm="1">
        <f t="array" ref="W2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2" s="58" t="str" cm="1">
        <f t="array" ref="X282">_xlfn._xlws.FILTER(Teams[name], (Fixtures[[#This Row],[userTeamID]] = Teams[teamID]), "N/A")</f>
        <v>N/A</v>
      </c>
      <c r="Y282" s="58" t="str" cm="1">
        <f t="array" ref="Y282">_xlfn._xlws.FILTER(Teams[teamType], (Fixtures[[#This Row],[userTeamID]] = Teams[teamID]), "N/A")</f>
        <v>N/A</v>
      </c>
      <c r="Z282" s="58" t="str" cm="1">
        <f t="array" ref="Z2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2" s="58" t="str">
        <f>IF(Fixtures[[#This Row],[userSide]] = "N/A", "N/A", IF(Fixtures[[#This Row],[userSide]] = "H", Fixtures[[#This Row],[awayTeam]], Fixtures[[#This Row],[homeTeam]]))</f>
        <v>N/A</v>
      </c>
      <c r="AB282" s="58" t="str" cm="1">
        <f t="array" ref="AB282">_xlfn._xlws.FILTER(Teams[teamID], Fixtures[[#This Row],[oppTeam]] = Teams[name], "N/A")</f>
        <v>N/A</v>
      </c>
      <c r="AC282" s="58" t="str" cm="1">
        <f t="array" ref="AC282">_xlfn._xlws.FILTER(Teams[teamType], Fixtures[[#This Row],[oppTeam]] = Teams[name], "N/A")</f>
        <v>N/A</v>
      </c>
      <c r="AD282" s="58" t="str">
        <f>IF(ISBLANK(Fixtures[[#This Row],[date]]), "N/A", IF(Fixtures[[#This Row],[userSide]]="H", Fixtures[[#This Row],[homeScore]], Fixtures[[#This Row],[awayScore]]))</f>
        <v>N/A</v>
      </c>
      <c r="AE282" s="58" t="str">
        <f>IF(ISBLANK(Fixtures[[#This Row],[date]]), "N/A", IF(Fixtures[[#This Row],[userScore]] = Fixtures[[#This Row],[homeScore]], Fixtures[[#This Row],[awayScore]], Fixtures[[#This Row],[homeScore]]))</f>
        <v>N/A</v>
      </c>
      <c r="AF282" s="58" t="b">
        <f>NOT(AND(ISBLANK(Fixtures[[#This Row],[homePens]]), ISBLANK(Fixtures[[#This Row],[awayPens]])))</f>
        <v>0</v>
      </c>
      <c r="AG282" s="58" t="str">
        <f>IF(Fixtures[[#This Row],[penalties]], IF(Fixtures[[#This Row],[userSide]]="H", Fixtures[[#This Row],[homePens]], Fixtures[[#This Row],[awayPens]]), "N/A")</f>
        <v>N/A</v>
      </c>
      <c r="AH282" s="58" t="str">
        <f>IF(Fixtures[[#This Row],[penalties]], IF(Fixtures[[#This Row],[userPens]]=Fixtures[[#This Row],[homePens]],Fixtures[[#This Row],[awayPens]],Fixtures[[#This Row],[homePens]]), "N/A")</f>
        <v>N/A</v>
      </c>
      <c r="AI282" s="58" t="b">
        <f>COUNTBLANK(Fixtures[[#This Row],[G]:[MOTM]]) = 0</f>
        <v>0</v>
      </c>
      <c r="AJ282" s="58" t="str">
        <f>IF(Fixtures[[#This Row],[APP]], Fixtures[[#This Row],[G]]+Fixtures[[#This Row],[A]], "N/A")</f>
        <v>N/A</v>
      </c>
      <c r="AK2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3" spans="1:39" ht="13">
      <c r="A283" s="55"/>
      <c r="B283" s="61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7"/>
      <c r="R283" s="56"/>
      <c r="S283" s="58" t="str" cm="1">
        <f t="array" ref="S283">_xlfn._xlws.FILTER(Competitions[compType], (Fixtures[[#This Row],[competition]] = Competitions[name]), "N/A")</f>
        <v>N/A</v>
      </c>
      <c r="T283" s="58" t="str" cm="1">
        <f t="array" ref="T283">_xlfn._xlws.FILTER(Competitions[exhibition], (Fixtures[[#This Row],[competition]] = Competitions[name]), "N/A")</f>
        <v>N/A</v>
      </c>
      <c r="U283" s="58" t="str" cm="1">
        <f t="array" ref="U283">_xlfn._xlws.FILTER(Competitions[compID], (Fixtures[[#This Row],[competition]] = Competitions[name]), "N/A")</f>
        <v>N/A</v>
      </c>
      <c r="V2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3" s="58" t="str" cm="1">
        <f t="array" ref="W2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3" s="58" t="str" cm="1">
        <f t="array" ref="X283">_xlfn._xlws.FILTER(Teams[name], (Fixtures[[#This Row],[userTeamID]] = Teams[teamID]), "N/A")</f>
        <v>N/A</v>
      </c>
      <c r="Y283" s="58" t="str" cm="1">
        <f t="array" ref="Y283">_xlfn._xlws.FILTER(Teams[teamType], (Fixtures[[#This Row],[userTeamID]] = Teams[teamID]), "N/A")</f>
        <v>N/A</v>
      </c>
      <c r="Z283" s="58" t="str" cm="1">
        <f t="array" ref="Z2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3" s="58" t="str">
        <f>IF(Fixtures[[#This Row],[userSide]] = "N/A", "N/A", IF(Fixtures[[#This Row],[userSide]] = "H", Fixtures[[#This Row],[awayTeam]], Fixtures[[#This Row],[homeTeam]]))</f>
        <v>N/A</v>
      </c>
      <c r="AB283" s="58" t="str" cm="1">
        <f t="array" ref="AB283">_xlfn._xlws.FILTER(Teams[teamID], Fixtures[[#This Row],[oppTeam]] = Teams[name], "N/A")</f>
        <v>N/A</v>
      </c>
      <c r="AC283" s="58" t="str" cm="1">
        <f t="array" ref="AC283">_xlfn._xlws.FILTER(Teams[teamType], Fixtures[[#This Row],[oppTeam]] = Teams[name], "N/A")</f>
        <v>N/A</v>
      </c>
      <c r="AD283" s="58" t="str">
        <f>IF(ISBLANK(Fixtures[[#This Row],[date]]), "N/A", IF(Fixtures[[#This Row],[userSide]]="H", Fixtures[[#This Row],[homeScore]], Fixtures[[#This Row],[awayScore]]))</f>
        <v>N/A</v>
      </c>
      <c r="AE283" s="58" t="str">
        <f>IF(ISBLANK(Fixtures[[#This Row],[date]]), "N/A", IF(Fixtures[[#This Row],[userScore]] = Fixtures[[#This Row],[homeScore]], Fixtures[[#This Row],[awayScore]], Fixtures[[#This Row],[homeScore]]))</f>
        <v>N/A</v>
      </c>
      <c r="AF283" s="58" t="b">
        <f>NOT(AND(ISBLANK(Fixtures[[#This Row],[homePens]]), ISBLANK(Fixtures[[#This Row],[awayPens]])))</f>
        <v>0</v>
      </c>
      <c r="AG283" s="58" t="str">
        <f>IF(Fixtures[[#This Row],[penalties]], IF(Fixtures[[#This Row],[userSide]]="H", Fixtures[[#This Row],[homePens]], Fixtures[[#This Row],[awayPens]]), "N/A")</f>
        <v>N/A</v>
      </c>
      <c r="AH283" s="58" t="str">
        <f>IF(Fixtures[[#This Row],[penalties]], IF(Fixtures[[#This Row],[userPens]]=Fixtures[[#This Row],[homePens]],Fixtures[[#This Row],[awayPens]],Fixtures[[#This Row],[homePens]]), "N/A")</f>
        <v>N/A</v>
      </c>
      <c r="AI283" s="58" t="b">
        <f>COUNTBLANK(Fixtures[[#This Row],[G]:[MOTM]]) = 0</f>
        <v>0</v>
      </c>
      <c r="AJ283" s="58" t="str">
        <f>IF(Fixtures[[#This Row],[APP]], Fixtures[[#This Row],[G]]+Fixtures[[#This Row],[A]], "N/A")</f>
        <v>N/A</v>
      </c>
      <c r="AK2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4" spans="1:39" ht="13">
      <c r="A284" s="55"/>
      <c r="B284" s="61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7"/>
      <c r="R284" s="56"/>
      <c r="S284" s="58" t="str" cm="1">
        <f t="array" ref="S284">_xlfn._xlws.FILTER(Competitions[compType], (Fixtures[[#This Row],[competition]] = Competitions[name]), "N/A")</f>
        <v>N/A</v>
      </c>
      <c r="T284" s="58" t="str" cm="1">
        <f t="array" ref="T284">_xlfn._xlws.FILTER(Competitions[exhibition], (Fixtures[[#This Row],[competition]] = Competitions[name]), "N/A")</f>
        <v>N/A</v>
      </c>
      <c r="U284" s="58" t="str" cm="1">
        <f t="array" ref="U284">_xlfn._xlws.FILTER(Competitions[compID], (Fixtures[[#This Row],[competition]] = Competitions[name]), "N/A")</f>
        <v>N/A</v>
      </c>
      <c r="V2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4" s="58" t="str" cm="1">
        <f t="array" ref="W2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4" s="58" t="str" cm="1">
        <f t="array" ref="X284">_xlfn._xlws.FILTER(Teams[name], (Fixtures[[#This Row],[userTeamID]] = Teams[teamID]), "N/A")</f>
        <v>N/A</v>
      </c>
      <c r="Y284" s="58" t="str" cm="1">
        <f t="array" ref="Y284">_xlfn._xlws.FILTER(Teams[teamType], (Fixtures[[#This Row],[userTeamID]] = Teams[teamID]), "N/A")</f>
        <v>N/A</v>
      </c>
      <c r="Z284" s="58" t="str" cm="1">
        <f t="array" ref="Z2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4" s="58" t="str">
        <f>IF(Fixtures[[#This Row],[userSide]] = "N/A", "N/A", IF(Fixtures[[#This Row],[userSide]] = "H", Fixtures[[#This Row],[awayTeam]], Fixtures[[#This Row],[homeTeam]]))</f>
        <v>N/A</v>
      </c>
      <c r="AB284" s="58" t="str" cm="1">
        <f t="array" ref="AB284">_xlfn._xlws.FILTER(Teams[teamID], Fixtures[[#This Row],[oppTeam]] = Teams[name], "N/A")</f>
        <v>N/A</v>
      </c>
      <c r="AC284" s="58" t="str" cm="1">
        <f t="array" ref="AC284">_xlfn._xlws.FILTER(Teams[teamType], Fixtures[[#This Row],[oppTeam]] = Teams[name], "N/A")</f>
        <v>N/A</v>
      </c>
      <c r="AD284" s="58" t="str">
        <f>IF(ISBLANK(Fixtures[[#This Row],[date]]), "N/A", IF(Fixtures[[#This Row],[userSide]]="H", Fixtures[[#This Row],[homeScore]], Fixtures[[#This Row],[awayScore]]))</f>
        <v>N/A</v>
      </c>
      <c r="AE284" s="58" t="str">
        <f>IF(ISBLANK(Fixtures[[#This Row],[date]]), "N/A", IF(Fixtures[[#This Row],[userScore]] = Fixtures[[#This Row],[homeScore]], Fixtures[[#This Row],[awayScore]], Fixtures[[#This Row],[homeScore]]))</f>
        <v>N/A</v>
      </c>
      <c r="AF284" s="58" t="b">
        <f>NOT(AND(ISBLANK(Fixtures[[#This Row],[homePens]]), ISBLANK(Fixtures[[#This Row],[awayPens]])))</f>
        <v>0</v>
      </c>
      <c r="AG284" s="58" t="str">
        <f>IF(Fixtures[[#This Row],[penalties]], IF(Fixtures[[#This Row],[userSide]]="H", Fixtures[[#This Row],[homePens]], Fixtures[[#This Row],[awayPens]]), "N/A")</f>
        <v>N/A</v>
      </c>
      <c r="AH284" s="58" t="str">
        <f>IF(Fixtures[[#This Row],[penalties]], IF(Fixtures[[#This Row],[userPens]]=Fixtures[[#This Row],[homePens]],Fixtures[[#This Row],[awayPens]],Fixtures[[#This Row],[homePens]]), "N/A")</f>
        <v>N/A</v>
      </c>
      <c r="AI284" s="58" t="b">
        <f>COUNTBLANK(Fixtures[[#This Row],[G]:[MOTM]]) = 0</f>
        <v>0</v>
      </c>
      <c r="AJ284" s="58" t="str">
        <f>IF(Fixtures[[#This Row],[APP]], Fixtures[[#This Row],[G]]+Fixtures[[#This Row],[A]], "N/A")</f>
        <v>N/A</v>
      </c>
      <c r="AK2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5" spans="1:39" ht="13">
      <c r="A285" s="55"/>
      <c r="B285" s="61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7"/>
      <c r="R285" s="56"/>
      <c r="S285" s="58" t="str" cm="1">
        <f t="array" ref="S285">_xlfn._xlws.FILTER(Competitions[compType], (Fixtures[[#This Row],[competition]] = Competitions[name]), "N/A")</f>
        <v>N/A</v>
      </c>
      <c r="T285" s="58" t="str" cm="1">
        <f t="array" ref="T285">_xlfn._xlws.FILTER(Competitions[exhibition], (Fixtures[[#This Row],[competition]] = Competitions[name]), "N/A")</f>
        <v>N/A</v>
      </c>
      <c r="U285" s="58" t="str" cm="1">
        <f t="array" ref="U285">_xlfn._xlws.FILTER(Competitions[compID], (Fixtures[[#This Row],[competition]] = Competitions[name]), "N/A")</f>
        <v>N/A</v>
      </c>
      <c r="V2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5" s="58" t="str" cm="1">
        <f t="array" ref="W2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5" s="58" t="str" cm="1">
        <f t="array" ref="X285">_xlfn._xlws.FILTER(Teams[name], (Fixtures[[#This Row],[userTeamID]] = Teams[teamID]), "N/A")</f>
        <v>N/A</v>
      </c>
      <c r="Y285" s="58" t="str" cm="1">
        <f t="array" ref="Y285">_xlfn._xlws.FILTER(Teams[teamType], (Fixtures[[#This Row],[userTeamID]] = Teams[teamID]), "N/A")</f>
        <v>N/A</v>
      </c>
      <c r="Z285" s="58" t="str" cm="1">
        <f t="array" ref="Z2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5" s="58" t="str">
        <f>IF(Fixtures[[#This Row],[userSide]] = "N/A", "N/A", IF(Fixtures[[#This Row],[userSide]] = "H", Fixtures[[#This Row],[awayTeam]], Fixtures[[#This Row],[homeTeam]]))</f>
        <v>N/A</v>
      </c>
      <c r="AB285" s="58" t="str" cm="1">
        <f t="array" ref="AB285">_xlfn._xlws.FILTER(Teams[teamID], Fixtures[[#This Row],[oppTeam]] = Teams[name], "N/A")</f>
        <v>N/A</v>
      </c>
      <c r="AC285" s="58" t="str" cm="1">
        <f t="array" ref="AC285">_xlfn._xlws.FILTER(Teams[teamType], Fixtures[[#This Row],[oppTeam]] = Teams[name], "N/A")</f>
        <v>N/A</v>
      </c>
      <c r="AD285" s="58" t="str">
        <f>IF(ISBLANK(Fixtures[[#This Row],[date]]), "N/A", IF(Fixtures[[#This Row],[userSide]]="H", Fixtures[[#This Row],[homeScore]], Fixtures[[#This Row],[awayScore]]))</f>
        <v>N/A</v>
      </c>
      <c r="AE285" s="58" t="str">
        <f>IF(ISBLANK(Fixtures[[#This Row],[date]]), "N/A", IF(Fixtures[[#This Row],[userScore]] = Fixtures[[#This Row],[homeScore]], Fixtures[[#This Row],[awayScore]], Fixtures[[#This Row],[homeScore]]))</f>
        <v>N/A</v>
      </c>
      <c r="AF285" s="58" t="b">
        <f>NOT(AND(ISBLANK(Fixtures[[#This Row],[homePens]]), ISBLANK(Fixtures[[#This Row],[awayPens]])))</f>
        <v>0</v>
      </c>
      <c r="AG285" s="58" t="str">
        <f>IF(Fixtures[[#This Row],[penalties]], IF(Fixtures[[#This Row],[userSide]]="H", Fixtures[[#This Row],[homePens]], Fixtures[[#This Row],[awayPens]]), "N/A")</f>
        <v>N/A</v>
      </c>
      <c r="AH285" s="58" t="str">
        <f>IF(Fixtures[[#This Row],[penalties]], IF(Fixtures[[#This Row],[userPens]]=Fixtures[[#This Row],[homePens]],Fixtures[[#This Row],[awayPens]],Fixtures[[#This Row],[homePens]]), "N/A")</f>
        <v>N/A</v>
      </c>
      <c r="AI285" s="58" t="b">
        <f>COUNTBLANK(Fixtures[[#This Row],[G]:[MOTM]]) = 0</f>
        <v>0</v>
      </c>
      <c r="AJ285" s="58" t="str">
        <f>IF(Fixtures[[#This Row],[APP]], Fixtures[[#This Row],[G]]+Fixtures[[#This Row],[A]], "N/A")</f>
        <v>N/A</v>
      </c>
      <c r="AK2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6" spans="1:39" ht="13">
      <c r="A286" s="55"/>
      <c r="B286" s="61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7"/>
      <c r="R286" s="56"/>
      <c r="S286" s="58" t="str" cm="1">
        <f t="array" ref="S286">_xlfn._xlws.FILTER(Competitions[compType], (Fixtures[[#This Row],[competition]] = Competitions[name]), "N/A")</f>
        <v>N/A</v>
      </c>
      <c r="T286" s="58" t="str" cm="1">
        <f t="array" ref="T286">_xlfn._xlws.FILTER(Competitions[exhibition], (Fixtures[[#This Row],[competition]] = Competitions[name]), "N/A")</f>
        <v>N/A</v>
      </c>
      <c r="U286" s="58" t="str" cm="1">
        <f t="array" ref="U286">_xlfn._xlws.FILTER(Competitions[compID], (Fixtures[[#This Row],[competition]] = Competitions[name]), "N/A")</f>
        <v>N/A</v>
      </c>
      <c r="V2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6" s="58" t="str" cm="1">
        <f t="array" ref="W2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6" s="58" t="str" cm="1">
        <f t="array" ref="X286">_xlfn._xlws.FILTER(Teams[name], (Fixtures[[#This Row],[userTeamID]] = Teams[teamID]), "N/A")</f>
        <v>N/A</v>
      </c>
      <c r="Y286" s="58" t="str" cm="1">
        <f t="array" ref="Y286">_xlfn._xlws.FILTER(Teams[teamType], (Fixtures[[#This Row],[userTeamID]] = Teams[teamID]), "N/A")</f>
        <v>N/A</v>
      </c>
      <c r="Z286" s="58" t="str" cm="1">
        <f t="array" ref="Z2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6" s="58" t="str">
        <f>IF(Fixtures[[#This Row],[userSide]] = "N/A", "N/A", IF(Fixtures[[#This Row],[userSide]] = "H", Fixtures[[#This Row],[awayTeam]], Fixtures[[#This Row],[homeTeam]]))</f>
        <v>N/A</v>
      </c>
      <c r="AB286" s="58" t="str" cm="1">
        <f t="array" ref="AB286">_xlfn._xlws.FILTER(Teams[teamID], Fixtures[[#This Row],[oppTeam]] = Teams[name], "N/A")</f>
        <v>N/A</v>
      </c>
      <c r="AC286" s="58" t="str" cm="1">
        <f t="array" ref="AC286">_xlfn._xlws.FILTER(Teams[teamType], Fixtures[[#This Row],[oppTeam]] = Teams[name], "N/A")</f>
        <v>N/A</v>
      </c>
      <c r="AD286" s="58" t="str">
        <f>IF(ISBLANK(Fixtures[[#This Row],[date]]), "N/A", IF(Fixtures[[#This Row],[userSide]]="H", Fixtures[[#This Row],[homeScore]], Fixtures[[#This Row],[awayScore]]))</f>
        <v>N/A</v>
      </c>
      <c r="AE286" s="58" t="str">
        <f>IF(ISBLANK(Fixtures[[#This Row],[date]]), "N/A", IF(Fixtures[[#This Row],[userScore]] = Fixtures[[#This Row],[homeScore]], Fixtures[[#This Row],[awayScore]], Fixtures[[#This Row],[homeScore]]))</f>
        <v>N/A</v>
      </c>
      <c r="AF286" s="58" t="b">
        <f>NOT(AND(ISBLANK(Fixtures[[#This Row],[homePens]]), ISBLANK(Fixtures[[#This Row],[awayPens]])))</f>
        <v>0</v>
      </c>
      <c r="AG286" s="58" t="str">
        <f>IF(Fixtures[[#This Row],[penalties]], IF(Fixtures[[#This Row],[userSide]]="H", Fixtures[[#This Row],[homePens]], Fixtures[[#This Row],[awayPens]]), "N/A")</f>
        <v>N/A</v>
      </c>
      <c r="AH286" s="58" t="str">
        <f>IF(Fixtures[[#This Row],[penalties]], IF(Fixtures[[#This Row],[userPens]]=Fixtures[[#This Row],[homePens]],Fixtures[[#This Row],[awayPens]],Fixtures[[#This Row],[homePens]]), "N/A")</f>
        <v>N/A</v>
      </c>
      <c r="AI286" s="58" t="b">
        <f>COUNTBLANK(Fixtures[[#This Row],[G]:[MOTM]]) = 0</f>
        <v>0</v>
      </c>
      <c r="AJ286" s="58" t="str">
        <f>IF(Fixtures[[#This Row],[APP]], Fixtures[[#This Row],[G]]+Fixtures[[#This Row],[A]], "N/A")</f>
        <v>N/A</v>
      </c>
      <c r="AK2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7" spans="1:39" ht="13">
      <c r="A287" s="55"/>
      <c r="B287" s="61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7"/>
      <c r="R287" s="56"/>
      <c r="S287" s="58" t="str" cm="1">
        <f t="array" ref="S287">_xlfn._xlws.FILTER(Competitions[compType], (Fixtures[[#This Row],[competition]] = Competitions[name]), "N/A")</f>
        <v>N/A</v>
      </c>
      <c r="T287" s="58" t="str" cm="1">
        <f t="array" ref="T287">_xlfn._xlws.FILTER(Competitions[exhibition], (Fixtures[[#This Row],[competition]] = Competitions[name]), "N/A")</f>
        <v>N/A</v>
      </c>
      <c r="U287" s="58" t="str" cm="1">
        <f t="array" ref="U287">_xlfn._xlws.FILTER(Competitions[compID], (Fixtures[[#This Row],[competition]] = Competitions[name]), "N/A")</f>
        <v>N/A</v>
      </c>
      <c r="V2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7" s="58" t="str" cm="1">
        <f t="array" ref="W2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7" s="58" t="str" cm="1">
        <f t="array" ref="X287">_xlfn._xlws.FILTER(Teams[name], (Fixtures[[#This Row],[userTeamID]] = Teams[teamID]), "N/A")</f>
        <v>N/A</v>
      </c>
      <c r="Y287" s="58" t="str" cm="1">
        <f t="array" ref="Y287">_xlfn._xlws.FILTER(Teams[teamType], (Fixtures[[#This Row],[userTeamID]] = Teams[teamID]), "N/A")</f>
        <v>N/A</v>
      </c>
      <c r="Z287" s="58" t="str" cm="1">
        <f t="array" ref="Z2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7" s="58" t="str">
        <f>IF(Fixtures[[#This Row],[userSide]] = "N/A", "N/A", IF(Fixtures[[#This Row],[userSide]] = "H", Fixtures[[#This Row],[awayTeam]], Fixtures[[#This Row],[homeTeam]]))</f>
        <v>N/A</v>
      </c>
      <c r="AB287" s="58" t="str" cm="1">
        <f t="array" ref="AB287">_xlfn._xlws.FILTER(Teams[teamID], Fixtures[[#This Row],[oppTeam]] = Teams[name], "N/A")</f>
        <v>N/A</v>
      </c>
      <c r="AC287" s="58" t="str" cm="1">
        <f t="array" ref="AC287">_xlfn._xlws.FILTER(Teams[teamType], Fixtures[[#This Row],[oppTeam]] = Teams[name], "N/A")</f>
        <v>N/A</v>
      </c>
      <c r="AD287" s="58" t="str">
        <f>IF(ISBLANK(Fixtures[[#This Row],[date]]), "N/A", IF(Fixtures[[#This Row],[userSide]]="H", Fixtures[[#This Row],[homeScore]], Fixtures[[#This Row],[awayScore]]))</f>
        <v>N/A</v>
      </c>
      <c r="AE287" s="58" t="str">
        <f>IF(ISBLANK(Fixtures[[#This Row],[date]]), "N/A", IF(Fixtures[[#This Row],[userScore]] = Fixtures[[#This Row],[homeScore]], Fixtures[[#This Row],[awayScore]], Fixtures[[#This Row],[homeScore]]))</f>
        <v>N/A</v>
      </c>
      <c r="AF287" s="58" t="b">
        <f>NOT(AND(ISBLANK(Fixtures[[#This Row],[homePens]]), ISBLANK(Fixtures[[#This Row],[awayPens]])))</f>
        <v>0</v>
      </c>
      <c r="AG287" s="58" t="str">
        <f>IF(Fixtures[[#This Row],[penalties]], IF(Fixtures[[#This Row],[userSide]]="H", Fixtures[[#This Row],[homePens]], Fixtures[[#This Row],[awayPens]]), "N/A")</f>
        <v>N/A</v>
      </c>
      <c r="AH287" s="58" t="str">
        <f>IF(Fixtures[[#This Row],[penalties]], IF(Fixtures[[#This Row],[userPens]]=Fixtures[[#This Row],[homePens]],Fixtures[[#This Row],[awayPens]],Fixtures[[#This Row],[homePens]]), "N/A")</f>
        <v>N/A</v>
      </c>
      <c r="AI287" s="58" t="b">
        <f>COUNTBLANK(Fixtures[[#This Row],[G]:[MOTM]]) = 0</f>
        <v>0</v>
      </c>
      <c r="AJ287" s="58" t="str">
        <f>IF(Fixtures[[#This Row],[APP]], Fixtures[[#This Row],[G]]+Fixtures[[#This Row],[A]], "N/A")</f>
        <v>N/A</v>
      </c>
      <c r="AK2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8" spans="1:39" ht="13">
      <c r="A288" s="55"/>
      <c r="B288" s="61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7"/>
      <c r="R288" s="56"/>
      <c r="S288" s="58" t="str" cm="1">
        <f t="array" ref="S288">_xlfn._xlws.FILTER(Competitions[compType], (Fixtures[[#This Row],[competition]] = Competitions[name]), "N/A")</f>
        <v>N/A</v>
      </c>
      <c r="T288" s="58" t="str" cm="1">
        <f t="array" ref="T288">_xlfn._xlws.FILTER(Competitions[exhibition], (Fixtures[[#This Row],[competition]] = Competitions[name]), "N/A")</f>
        <v>N/A</v>
      </c>
      <c r="U288" s="58" t="str" cm="1">
        <f t="array" ref="U288">_xlfn._xlws.FILTER(Competitions[compID], (Fixtures[[#This Row],[competition]] = Competitions[name]), "N/A")</f>
        <v>N/A</v>
      </c>
      <c r="V2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8" s="58" t="str" cm="1">
        <f t="array" ref="W2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8" s="58" t="str" cm="1">
        <f t="array" ref="X288">_xlfn._xlws.FILTER(Teams[name], (Fixtures[[#This Row],[userTeamID]] = Teams[teamID]), "N/A")</f>
        <v>N/A</v>
      </c>
      <c r="Y288" s="58" t="str" cm="1">
        <f t="array" ref="Y288">_xlfn._xlws.FILTER(Teams[teamType], (Fixtures[[#This Row],[userTeamID]] = Teams[teamID]), "N/A")</f>
        <v>N/A</v>
      </c>
      <c r="Z288" s="58" t="str" cm="1">
        <f t="array" ref="Z2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8" s="58" t="str">
        <f>IF(Fixtures[[#This Row],[userSide]] = "N/A", "N/A", IF(Fixtures[[#This Row],[userSide]] = "H", Fixtures[[#This Row],[awayTeam]], Fixtures[[#This Row],[homeTeam]]))</f>
        <v>N/A</v>
      </c>
      <c r="AB288" s="58" t="str" cm="1">
        <f t="array" ref="AB288">_xlfn._xlws.FILTER(Teams[teamID], Fixtures[[#This Row],[oppTeam]] = Teams[name], "N/A")</f>
        <v>N/A</v>
      </c>
      <c r="AC288" s="58" t="str" cm="1">
        <f t="array" ref="AC288">_xlfn._xlws.FILTER(Teams[teamType], Fixtures[[#This Row],[oppTeam]] = Teams[name], "N/A")</f>
        <v>N/A</v>
      </c>
      <c r="AD288" s="58" t="str">
        <f>IF(ISBLANK(Fixtures[[#This Row],[date]]), "N/A", IF(Fixtures[[#This Row],[userSide]]="H", Fixtures[[#This Row],[homeScore]], Fixtures[[#This Row],[awayScore]]))</f>
        <v>N/A</v>
      </c>
      <c r="AE288" s="58" t="str">
        <f>IF(ISBLANK(Fixtures[[#This Row],[date]]), "N/A", IF(Fixtures[[#This Row],[userScore]] = Fixtures[[#This Row],[homeScore]], Fixtures[[#This Row],[awayScore]], Fixtures[[#This Row],[homeScore]]))</f>
        <v>N/A</v>
      </c>
      <c r="AF288" s="58" t="b">
        <f>NOT(AND(ISBLANK(Fixtures[[#This Row],[homePens]]), ISBLANK(Fixtures[[#This Row],[awayPens]])))</f>
        <v>0</v>
      </c>
      <c r="AG288" s="58" t="str">
        <f>IF(Fixtures[[#This Row],[penalties]], IF(Fixtures[[#This Row],[userSide]]="H", Fixtures[[#This Row],[homePens]], Fixtures[[#This Row],[awayPens]]), "N/A")</f>
        <v>N/A</v>
      </c>
      <c r="AH288" s="58" t="str">
        <f>IF(Fixtures[[#This Row],[penalties]], IF(Fixtures[[#This Row],[userPens]]=Fixtures[[#This Row],[homePens]],Fixtures[[#This Row],[awayPens]],Fixtures[[#This Row],[homePens]]), "N/A")</f>
        <v>N/A</v>
      </c>
      <c r="AI288" s="58" t="b">
        <f>COUNTBLANK(Fixtures[[#This Row],[G]:[MOTM]]) = 0</f>
        <v>0</v>
      </c>
      <c r="AJ288" s="58" t="str">
        <f>IF(Fixtures[[#This Row],[APP]], Fixtures[[#This Row],[G]]+Fixtures[[#This Row],[A]], "N/A")</f>
        <v>N/A</v>
      </c>
      <c r="AK2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89" spans="1:39" ht="13">
      <c r="A289" s="55"/>
      <c r="B289" s="61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7"/>
      <c r="R289" s="56"/>
      <c r="S289" s="58" t="str" cm="1">
        <f t="array" ref="S289">_xlfn._xlws.FILTER(Competitions[compType], (Fixtures[[#This Row],[competition]] = Competitions[name]), "N/A")</f>
        <v>N/A</v>
      </c>
      <c r="T289" s="58" t="str" cm="1">
        <f t="array" ref="T289">_xlfn._xlws.FILTER(Competitions[exhibition], (Fixtures[[#This Row],[competition]] = Competitions[name]), "N/A")</f>
        <v>N/A</v>
      </c>
      <c r="U289" s="58" t="str" cm="1">
        <f t="array" ref="U289">_xlfn._xlws.FILTER(Competitions[compID], (Fixtures[[#This Row],[competition]] = Competitions[name]), "N/A")</f>
        <v>N/A</v>
      </c>
      <c r="V2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89" s="58" t="str" cm="1">
        <f t="array" ref="W2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89" s="58" t="str" cm="1">
        <f t="array" ref="X289">_xlfn._xlws.FILTER(Teams[name], (Fixtures[[#This Row],[userTeamID]] = Teams[teamID]), "N/A")</f>
        <v>N/A</v>
      </c>
      <c r="Y289" s="58" t="str" cm="1">
        <f t="array" ref="Y289">_xlfn._xlws.FILTER(Teams[teamType], (Fixtures[[#This Row],[userTeamID]] = Teams[teamID]), "N/A")</f>
        <v>N/A</v>
      </c>
      <c r="Z289" s="58" t="str" cm="1">
        <f t="array" ref="Z2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89" s="58" t="str">
        <f>IF(Fixtures[[#This Row],[userSide]] = "N/A", "N/A", IF(Fixtures[[#This Row],[userSide]] = "H", Fixtures[[#This Row],[awayTeam]], Fixtures[[#This Row],[homeTeam]]))</f>
        <v>N/A</v>
      </c>
      <c r="AB289" s="58" t="str" cm="1">
        <f t="array" ref="AB289">_xlfn._xlws.FILTER(Teams[teamID], Fixtures[[#This Row],[oppTeam]] = Teams[name], "N/A")</f>
        <v>N/A</v>
      </c>
      <c r="AC289" s="58" t="str" cm="1">
        <f t="array" ref="AC289">_xlfn._xlws.FILTER(Teams[teamType], Fixtures[[#This Row],[oppTeam]] = Teams[name], "N/A")</f>
        <v>N/A</v>
      </c>
      <c r="AD289" s="58" t="str">
        <f>IF(ISBLANK(Fixtures[[#This Row],[date]]), "N/A", IF(Fixtures[[#This Row],[userSide]]="H", Fixtures[[#This Row],[homeScore]], Fixtures[[#This Row],[awayScore]]))</f>
        <v>N/A</v>
      </c>
      <c r="AE289" s="58" t="str">
        <f>IF(ISBLANK(Fixtures[[#This Row],[date]]), "N/A", IF(Fixtures[[#This Row],[userScore]] = Fixtures[[#This Row],[homeScore]], Fixtures[[#This Row],[awayScore]], Fixtures[[#This Row],[homeScore]]))</f>
        <v>N/A</v>
      </c>
      <c r="AF289" s="58" t="b">
        <f>NOT(AND(ISBLANK(Fixtures[[#This Row],[homePens]]), ISBLANK(Fixtures[[#This Row],[awayPens]])))</f>
        <v>0</v>
      </c>
      <c r="AG289" s="58" t="str">
        <f>IF(Fixtures[[#This Row],[penalties]], IF(Fixtures[[#This Row],[userSide]]="H", Fixtures[[#This Row],[homePens]], Fixtures[[#This Row],[awayPens]]), "N/A")</f>
        <v>N/A</v>
      </c>
      <c r="AH289" s="58" t="str">
        <f>IF(Fixtures[[#This Row],[penalties]], IF(Fixtures[[#This Row],[userPens]]=Fixtures[[#This Row],[homePens]],Fixtures[[#This Row],[awayPens]],Fixtures[[#This Row],[homePens]]), "N/A")</f>
        <v>N/A</v>
      </c>
      <c r="AI289" s="58" t="b">
        <f>COUNTBLANK(Fixtures[[#This Row],[G]:[MOTM]]) = 0</f>
        <v>0</v>
      </c>
      <c r="AJ289" s="58" t="str">
        <f>IF(Fixtures[[#This Row],[APP]], Fixtures[[#This Row],[G]]+Fixtures[[#This Row],[A]], "N/A")</f>
        <v>N/A</v>
      </c>
      <c r="AK2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0" spans="1:39" ht="13">
      <c r="A290" s="55"/>
      <c r="B290" s="61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7"/>
      <c r="R290" s="56"/>
      <c r="S290" s="58" t="str" cm="1">
        <f t="array" ref="S290">_xlfn._xlws.FILTER(Competitions[compType], (Fixtures[[#This Row],[competition]] = Competitions[name]), "N/A")</f>
        <v>N/A</v>
      </c>
      <c r="T290" s="58" t="str" cm="1">
        <f t="array" ref="T290">_xlfn._xlws.FILTER(Competitions[exhibition], (Fixtures[[#This Row],[competition]] = Competitions[name]), "N/A")</f>
        <v>N/A</v>
      </c>
      <c r="U290" s="58" t="str" cm="1">
        <f t="array" ref="U290">_xlfn._xlws.FILTER(Competitions[compID], (Fixtures[[#This Row],[competition]] = Competitions[name]), "N/A")</f>
        <v>N/A</v>
      </c>
      <c r="V2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0" s="58" t="str" cm="1">
        <f t="array" ref="W2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0" s="58" t="str" cm="1">
        <f t="array" ref="X290">_xlfn._xlws.FILTER(Teams[name], (Fixtures[[#This Row],[userTeamID]] = Teams[teamID]), "N/A")</f>
        <v>N/A</v>
      </c>
      <c r="Y290" s="58" t="str" cm="1">
        <f t="array" ref="Y290">_xlfn._xlws.FILTER(Teams[teamType], (Fixtures[[#This Row],[userTeamID]] = Teams[teamID]), "N/A")</f>
        <v>N/A</v>
      </c>
      <c r="Z290" s="58" t="str" cm="1">
        <f t="array" ref="Z2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0" s="58" t="str">
        <f>IF(Fixtures[[#This Row],[userSide]] = "N/A", "N/A", IF(Fixtures[[#This Row],[userSide]] = "H", Fixtures[[#This Row],[awayTeam]], Fixtures[[#This Row],[homeTeam]]))</f>
        <v>N/A</v>
      </c>
      <c r="AB290" s="58" t="str" cm="1">
        <f t="array" ref="AB290">_xlfn._xlws.FILTER(Teams[teamID], Fixtures[[#This Row],[oppTeam]] = Teams[name], "N/A")</f>
        <v>N/A</v>
      </c>
      <c r="AC290" s="58" t="str" cm="1">
        <f t="array" ref="AC290">_xlfn._xlws.FILTER(Teams[teamType], Fixtures[[#This Row],[oppTeam]] = Teams[name], "N/A")</f>
        <v>N/A</v>
      </c>
      <c r="AD290" s="58" t="str">
        <f>IF(ISBLANK(Fixtures[[#This Row],[date]]), "N/A", IF(Fixtures[[#This Row],[userSide]]="H", Fixtures[[#This Row],[homeScore]], Fixtures[[#This Row],[awayScore]]))</f>
        <v>N/A</v>
      </c>
      <c r="AE290" s="58" t="str">
        <f>IF(ISBLANK(Fixtures[[#This Row],[date]]), "N/A", IF(Fixtures[[#This Row],[userScore]] = Fixtures[[#This Row],[homeScore]], Fixtures[[#This Row],[awayScore]], Fixtures[[#This Row],[homeScore]]))</f>
        <v>N/A</v>
      </c>
      <c r="AF290" s="58" t="b">
        <f>NOT(AND(ISBLANK(Fixtures[[#This Row],[homePens]]), ISBLANK(Fixtures[[#This Row],[awayPens]])))</f>
        <v>0</v>
      </c>
      <c r="AG290" s="58" t="str">
        <f>IF(Fixtures[[#This Row],[penalties]], IF(Fixtures[[#This Row],[userSide]]="H", Fixtures[[#This Row],[homePens]], Fixtures[[#This Row],[awayPens]]), "N/A")</f>
        <v>N/A</v>
      </c>
      <c r="AH290" s="58" t="str">
        <f>IF(Fixtures[[#This Row],[penalties]], IF(Fixtures[[#This Row],[userPens]]=Fixtures[[#This Row],[homePens]],Fixtures[[#This Row],[awayPens]],Fixtures[[#This Row],[homePens]]), "N/A")</f>
        <v>N/A</v>
      </c>
      <c r="AI290" s="58" t="b">
        <f>COUNTBLANK(Fixtures[[#This Row],[G]:[MOTM]]) = 0</f>
        <v>0</v>
      </c>
      <c r="AJ290" s="58" t="str">
        <f>IF(Fixtures[[#This Row],[APP]], Fixtures[[#This Row],[G]]+Fixtures[[#This Row],[A]], "N/A")</f>
        <v>N/A</v>
      </c>
      <c r="AK2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1" spans="1:39" ht="13">
      <c r="A291" s="55"/>
      <c r="B291" s="61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7"/>
      <c r="R291" s="56"/>
      <c r="S291" s="58" t="str" cm="1">
        <f t="array" ref="S291">_xlfn._xlws.FILTER(Competitions[compType], (Fixtures[[#This Row],[competition]] = Competitions[name]), "N/A")</f>
        <v>N/A</v>
      </c>
      <c r="T291" s="58" t="str" cm="1">
        <f t="array" ref="T291">_xlfn._xlws.FILTER(Competitions[exhibition], (Fixtures[[#This Row],[competition]] = Competitions[name]), "N/A")</f>
        <v>N/A</v>
      </c>
      <c r="U291" s="58" t="str" cm="1">
        <f t="array" ref="U291">_xlfn._xlws.FILTER(Competitions[compID], (Fixtures[[#This Row],[competition]] = Competitions[name]), "N/A")</f>
        <v>N/A</v>
      </c>
      <c r="V2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1" s="58" t="str" cm="1">
        <f t="array" ref="W2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1" s="58" t="str" cm="1">
        <f t="array" ref="X291">_xlfn._xlws.FILTER(Teams[name], (Fixtures[[#This Row],[userTeamID]] = Teams[teamID]), "N/A")</f>
        <v>N/A</v>
      </c>
      <c r="Y291" s="58" t="str" cm="1">
        <f t="array" ref="Y291">_xlfn._xlws.FILTER(Teams[teamType], (Fixtures[[#This Row],[userTeamID]] = Teams[teamID]), "N/A")</f>
        <v>N/A</v>
      </c>
      <c r="Z291" s="58" t="str" cm="1">
        <f t="array" ref="Z2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1" s="58" t="str">
        <f>IF(Fixtures[[#This Row],[userSide]] = "N/A", "N/A", IF(Fixtures[[#This Row],[userSide]] = "H", Fixtures[[#This Row],[awayTeam]], Fixtures[[#This Row],[homeTeam]]))</f>
        <v>N/A</v>
      </c>
      <c r="AB291" s="58" t="str" cm="1">
        <f t="array" ref="AB291">_xlfn._xlws.FILTER(Teams[teamID], Fixtures[[#This Row],[oppTeam]] = Teams[name], "N/A")</f>
        <v>N/A</v>
      </c>
      <c r="AC291" s="58" t="str" cm="1">
        <f t="array" ref="AC291">_xlfn._xlws.FILTER(Teams[teamType], Fixtures[[#This Row],[oppTeam]] = Teams[name], "N/A")</f>
        <v>N/A</v>
      </c>
      <c r="AD291" s="58" t="str">
        <f>IF(ISBLANK(Fixtures[[#This Row],[date]]), "N/A", IF(Fixtures[[#This Row],[userSide]]="H", Fixtures[[#This Row],[homeScore]], Fixtures[[#This Row],[awayScore]]))</f>
        <v>N/A</v>
      </c>
      <c r="AE291" s="58" t="str">
        <f>IF(ISBLANK(Fixtures[[#This Row],[date]]), "N/A", IF(Fixtures[[#This Row],[userScore]] = Fixtures[[#This Row],[homeScore]], Fixtures[[#This Row],[awayScore]], Fixtures[[#This Row],[homeScore]]))</f>
        <v>N/A</v>
      </c>
      <c r="AF291" s="58" t="b">
        <f>NOT(AND(ISBLANK(Fixtures[[#This Row],[homePens]]), ISBLANK(Fixtures[[#This Row],[awayPens]])))</f>
        <v>0</v>
      </c>
      <c r="AG291" s="58" t="str">
        <f>IF(Fixtures[[#This Row],[penalties]], IF(Fixtures[[#This Row],[userSide]]="H", Fixtures[[#This Row],[homePens]], Fixtures[[#This Row],[awayPens]]), "N/A")</f>
        <v>N/A</v>
      </c>
      <c r="AH291" s="58" t="str">
        <f>IF(Fixtures[[#This Row],[penalties]], IF(Fixtures[[#This Row],[userPens]]=Fixtures[[#This Row],[homePens]],Fixtures[[#This Row],[awayPens]],Fixtures[[#This Row],[homePens]]), "N/A")</f>
        <v>N/A</v>
      </c>
      <c r="AI291" s="58" t="b">
        <f>COUNTBLANK(Fixtures[[#This Row],[G]:[MOTM]]) = 0</f>
        <v>0</v>
      </c>
      <c r="AJ291" s="58" t="str">
        <f>IF(Fixtures[[#This Row],[APP]], Fixtures[[#This Row],[G]]+Fixtures[[#This Row],[A]], "N/A")</f>
        <v>N/A</v>
      </c>
      <c r="AK2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2" spans="1:39" ht="13">
      <c r="A292" s="55"/>
      <c r="B292" s="61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7"/>
      <c r="R292" s="56"/>
      <c r="S292" s="58" t="str" cm="1">
        <f t="array" ref="S292">_xlfn._xlws.FILTER(Competitions[compType], (Fixtures[[#This Row],[competition]] = Competitions[name]), "N/A")</f>
        <v>N/A</v>
      </c>
      <c r="T292" s="58" t="str" cm="1">
        <f t="array" ref="T292">_xlfn._xlws.FILTER(Competitions[exhibition], (Fixtures[[#This Row],[competition]] = Competitions[name]), "N/A")</f>
        <v>N/A</v>
      </c>
      <c r="U292" s="58" t="str" cm="1">
        <f t="array" ref="U292">_xlfn._xlws.FILTER(Competitions[compID], (Fixtures[[#This Row],[competition]] = Competitions[name]), "N/A")</f>
        <v>N/A</v>
      </c>
      <c r="V2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2" s="58" t="str" cm="1">
        <f t="array" ref="W2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2" s="58" t="str" cm="1">
        <f t="array" ref="X292">_xlfn._xlws.FILTER(Teams[name], (Fixtures[[#This Row],[userTeamID]] = Teams[teamID]), "N/A")</f>
        <v>N/A</v>
      </c>
      <c r="Y292" s="58" t="str" cm="1">
        <f t="array" ref="Y292">_xlfn._xlws.FILTER(Teams[teamType], (Fixtures[[#This Row],[userTeamID]] = Teams[teamID]), "N/A")</f>
        <v>N/A</v>
      </c>
      <c r="Z292" s="58" t="str" cm="1">
        <f t="array" ref="Z2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2" s="58" t="str">
        <f>IF(Fixtures[[#This Row],[userSide]] = "N/A", "N/A", IF(Fixtures[[#This Row],[userSide]] = "H", Fixtures[[#This Row],[awayTeam]], Fixtures[[#This Row],[homeTeam]]))</f>
        <v>N/A</v>
      </c>
      <c r="AB292" s="58" t="str" cm="1">
        <f t="array" ref="AB292">_xlfn._xlws.FILTER(Teams[teamID], Fixtures[[#This Row],[oppTeam]] = Teams[name], "N/A")</f>
        <v>N/A</v>
      </c>
      <c r="AC292" s="58" t="str" cm="1">
        <f t="array" ref="AC292">_xlfn._xlws.FILTER(Teams[teamType], Fixtures[[#This Row],[oppTeam]] = Teams[name], "N/A")</f>
        <v>N/A</v>
      </c>
      <c r="AD292" s="58" t="str">
        <f>IF(ISBLANK(Fixtures[[#This Row],[date]]), "N/A", IF(Fixtures[[#This Row],[userSide]]="H", Fixtures[[#This Row],[homeScore]], Fixtures[[#This Row],[awayScore]]))</f>
        <v>N/A</v>
      </c>
      <c r="AE292" s="58" t="str">
        <f>IF(ISBLANK(Fixtures[[#This Row],[date]]), "N/A", IF(Fixtures[[#This Row],[userScore]] = Fixtures[[#This Row],[homeScore]], Fixtures[[#This Row],[awayScore]], Fixtures[[#This Row],[homeScore]]))</f>
        <v>N/A</v>
      </c>
      <c r="AF292" s="58" t="b">
        <f>NOT(AND(ISBLANK(Fixtures[[#This Row],[homePens]]), ISBLANK(Fixtures[[#This Row],[awayPens]])))</f>
        <v>0</v>
      </c>
      <c r="AG292" s="58" t="str">
        <f>IF(Fixtures[[#This Row],[penalties]], IF(Fixtures[[#This Row],[userSide]]="H", Fixtures[[#This Row],[homePens]], Fixtures[[#This Row],[awayPens]]), "N/A")</f>
        <v>N/A</v>
      </c>
      <c r="AH292" s="58" t="str">
        <f>IF(Fixtures[[#This Row],[penalties]], IF(Fixtures[[#This Row],[userPens]]=Fixtures[[#This Row],[homePens]],Fixtures[[#This Row],[awayPens]],Fixtures[[#This Row],[homePens]]), "N/A")</f>
        <v>N/A</v>
      </c>
      <c r="AI292" s="58" t="b">
        <f>COUNTBLANK(Fixtures[[#This Row],[G]:[MOTM]]) = 0</f>
        <v>0</v>
      </c>
      <c r="AJ292" s="58" t="str">
        <f>IF(Fixtures[[#This Row],[APP]], Fixtures[[#This Row],[G]]+Fixtures[[#This Row],[A]], "N/A")</f>
        <v>N/A</v>
      </c>
      <c r="AK2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3" spans="1:39" ht="13">
      <c r="A293" s="55"/>
      <c r="B293" s="61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7"/>
      <c r="R293" s="56"/>
      <c r="S293" s="58" t="str" cm="1">
        <f t="array" ref="S293">_xlfn._xlws.FILTER(Competitions[compType], (Fixtures[[#This Row],[competition]] = Competitions[name]), "N/A")</f>
        <v>N/A</v>
      </c>
      <c r="T293" s="58" t="str" cm="1">
        <f t="array" ref="T293">_xlfn._xlws.FILTER(Competitions[exhibition], (Fixtures[[#This Row],[competition]] = Competitions[name]), "N/A")</f>
        <v>N/A</v>
      </c>
      <c r="U293" s="58" t="str" cm="1">
        <f t="array" ref="U293">_xlfn._xlws.FILTER(Competitions[compID], (Fixtures[[#This Row],[competition]] = Competitions[name]), "N/A")</f>
        <v>N/A</v>
      </c>
      <c r="V2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3" s="58" t="str" cm="1">
        <f t="array" ref="W2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3" s="58" t="str" cm="1">
        <f t="array" ref="X293">_xlfn._xlws.FILTER(Teams[name], (Fixtures[[#This Row],[userTeamID]] = Teams[teamID]), "N/A")</f>
        <v>N/A</v>
      </c>
      <c r="Y293" s="58" t="str" cm="1">
        <f t="array" ref="Y293">_xlfn._xlws.FILTER(Teams[teamType], (Fixtures[[#This Row],[userTeamID]] = Teams[teamID]), "N/A")</f>
        <v>N/A</v>
      </c>
      <c r="Z293" s="58" t="str" cm="1">
        <f t="array" ref="Z2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3" s="58" t="str">
        <f>IF(Fixtures[[#This Row],[userSide]] = "N/A", "N/A", IF(Fixtures[[#This Row],[userSide]] = "H", Fixtures[[#This Row],[awayTeam]], Fixtures[[#This Row],[homeTeam]]))</f>
        <v>N/A</v>
      </c>
      <c r="AB293" s="58" t="str" cm="1">
        <f t="array" ref="AB293">_xlfn._xlws.FILTER(Teams[teamID], Fixtures[[#This Row],[oppTeam]] = Teams[name], "N/A")</f>
        <v>N/A</v>
      </c>
      <c r="AC293" s="58" t="str" cm="1">
        <f t="array" ref="AC293">_xlfn._xlws.FILTER(Teams[teamType], Fixtures[[#This Row],[oppTeam]] = Teams[name], "N/A")</f>
        <v>N/A</v>
      </c>
      <c r="AD293" s="58" t="str">
        <f>IF(ISBLANK(Fixtures[[#This Row],[date]]), "N/A", IF(Fixtures[[#This Row],[userSide]]="H", Fixtures[[#This Row],[homeScore]], Fixtures[[#This Row],[awayScore]]))</f>
        <v>N/A</v>
      </c>
      <c r="AE293" s="58" t="str">
        <f>IF(ISBLANK(Fixtures[[#This Row],[date]]), "N/A", IF(Fixtures[[#This Row],[userScore]] = Fixtures[[#This Row],[homeScore]], Fixtures[[#This Row],[awayScore]], Fixtures[[#This Row],[homeScore]]))</f>
        <v>N/A</v>
      </c>
      <c r="AF293" s="58" t="b">
        <f>NOT(AND(ISBLANK(Fixtures[[#This Row],[homePens]]), ISBLANK(Fixtures[[#This Row],[awayPens]])))</f>
        <v>0</v>
      </c>
      <c r="AG293" s="58" t="str">
        <f>IF(Fixtures[[#This Row],[penalties]], IF(Fixtures[[#This Row],[userSide]]="H", Fixtures[[#This Row],[homePens]], Fixtures[[#This Row],[awayPens]]), "N/A")</f>
        <v>N/A</v>
      </c>
      <c r="AH293" s="58" t="str">
        <f>IF(Fixtures[[#This Row],[penalties]], IF(Fixtures[[#This Row],[userPens]]=Fixtures[[#This Row],[homePens]],Fixtures[[#This Row],[awayPens]],Fixtures[[#This Row],[homePens]]), "N/A")</f>
        <v>N/A</v>
      </c>
      <c r="AI293" s="58" t="b">
        <f>COUNTBLANK(Fixtures[[#This Row],[G]:[MOTM]]) = 0</f>
        <v>0</v>
      </c>
      <c r="AJ293" s="58" t="str">
        <f>IF(Fixtures[[#This Row],[APP]], Fixtures[[#This Row],[G]]+Fixtures[[#This Row],[A]], "N/A")</f>
        <v>N/A</v>
      </c>
      <c r="AK2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4" spans="1:39" ht="13">
      <c r="A294" s="55"/>
      <c r="B294" s="61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7"/>
      <c r="R294" s="56"/>
      <c r="S294" s="58" t="str" cm="1">
        <f t="array" ref="S294">_xlfn._xlws.FILTER(Competitions[compType], (Fixtures[[#This Row],[competition]] = Competitions[name]), "N/A")</f>
        <v>N/A</v>
      </c>
      <c r="T294" s="58" t="str" cm="1">
        <f t="array" ref="T294">_xlfn._xlws.FILTER(Competitions[exhibition], (Fixtures[[#This Row],[competition]] = Competitions[name]), "N/A")</f>
        <v>N/A</v>
      </c>
      <c r="U294" s="58" t="str" cm="1">
        <f t="array" ref="U294">_xlfn._xlws.FILTER(Competitions[compID], (Fixtures[[#This Row],[competition]] = Competitions[name]), "N/A")</f>
        <v>N/A</v>
      </c>
      <c r="V2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4" s="58" t="str" cm="1">
        <f t="array" ref="W2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4" s="58" t="str" cm="1">
        <f t="array" ref="X294">_xlfn._xlws.FILTER(Teams[name], (Fixtures[[#This Row],[userTeamID]] = Teams[teamID]), "N/A")</f>
        <v>N/A</v>
      </c>
      <c r="Y294" s="58" t="str" cm="1">
        <f t="array" ref="Y294">_xlfn._xlws.FILTER(Teams[teamType], (Fixtures[[#This Row],[userTeamID]] = Teams[teamID]), "N/A")</f>
        <v>N/A</v>
      </c>
      <c r="Z294" s="58" t="str" cm="1">
        <f t="array" ref="Z2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4" s="58" t="str">
        <f>IF(Fixtures[[#This Row],[userSide]] = "N/A", "N/A", IF(Fixtures[[#This Row],[userSide]] = "H", Fixtures[[#This Row],[awayTeam]], Fixtures[[#This Row],[homeTeam]]))</f>
        <v>N/A</v>
      </c>
      <c r="AB294" s="58" t="str" cm="1">
        <f t="array" ref="AB294">_xlfn._xlws.FILTER(Teams[teamID], Fixtures[[#This Row],[oppTeam]] = Teams[name], "N/A")</f>
        <v>N/A</v>
      </c>
      <c r="AC294" s="58" t="str" cm="1">
        <f t="array" ref="AC294">_xlfn._xlws.FILTER(Teams[teamType], Fixtures[[#This Row],[oppTeam]] = Teams[name], "N/A")</f>
        <v>N/A</v>
      </c>
      <c r="AD294" s="58" t="str">
        <f>IF(ISBLANK(Fixtures[[#This Row],[date]]), "N/A", IF(Fixtures[[#This Row],[userSide]]="H", Fixtures[[#This Row],[homeScore]], Fixtures[[#This Row],[awayScore]]))</f>
        <v>N/A</v>
      </c>
      <c r="AE294" s="58" t="str">
        <f>IF(ISBLANK(Fixtures[[#This Row],[date]]), "N/A", IF(Fixtures[[#This Row],[userScore]] = Fixtures[[#This Row],[homeScore]], Fixtures[[#This Row],[awayScore]], Fixtures[[#This Row],[homeScore]]))</f>
        <v>N/A</v>
      </c>
      <c r="AF294" s="58" t="b">
        <f>NOT(AND(ISBLANK(Fixtures[[#This Row],[homePens]]), ISBLANK(Fixtures[[#This Row],[awayPens]])))</f>
        <v>0</v>
      </c>
      <c r="AG294" s="58" t="str">
        <f>IF(Fixtures[[#This Row],[penalties]], IF(Fixtures[[#This Row],[userSide]]="H", Fixtures[[#This Row],[homePens]], Fixtures[[#This Row],[awayPens]]), "N/A")</f>
        <v>N/A</v>
      </c>
      <c r="AH294" s="58" t="str">
        <f>IF(Fixtures[[#This Row],[penalties]], IF(Fixtures[[#This Row],[userPens]]=Fixtures[[#This Row],[homePens]],Fixtures[[#This Row],[awayPens]],Fixtures[[#This Row],[homePens]]), "N/A")</f>
        <v>N/A</v>
      </c>
      <c r="AI294" s="58" t="b">
        <f>COUNTBLANK(Fixtures[[#This Row],[G]:[MOTM]]) = 0</f>
        <v>0</v>
      </c>
      <c r="AJ294" s="58" t="str">
        <f>IF(Fixtures[[#This Row],[APP]], Fixtures[[#This Row],[G]]+Fixtures[[#This Row],[A]], "N/A")</f>
        <v>N/A</v>
      </c>
      <c r="AK2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5" spans="1:39" ht="13">
      <c r="A295" s="55"/>
      <c r="B295" s="61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7"/>
      <c r="R295" s="56"/>
      <c r="S295" s="58" t="str" cm="1">
        <f t="array" ref="S295">_xlfn._xlws.FILTER(Competitions[compType], (Fixtures[[#This Row],[competition]] = Competitions[name]), "N/A")</f>
        <v>N/A</v>
      </c>
      <c r="T295" s="58" t="str" cm="1">
        <f t="array" ref="T295">_xlfn._xlws.FILTER(Competitions[exhibition], (Fixtures[[#This Row],[competition]] = Competitions[name]), "N/A")</f>
        <v>N/A</v>
      </c>
      <c r="U295" s="58" t="str" cm="1">
        <f t="array" ref="U295">_xlfn._xlws.FILTER(Competitions[compID], (Fixtures[[#This Row],[competition]] = Competitions[name]), "N/A")</f>
        <v>N/A</v>
      </c>
      <c r="V2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5" s="58" t="str" cm="1">
        <f t="array" ref="W2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5" s="58" t="str" cm="1">
        <f t="array" ref="X295">_xlfn._xlws.FILTER(Teams[name], (Fixtures[[#This Row],[userTeamID]] = Teams[teamID]), "N/A")</f>
        <v>N/A</v>
      </c>
      <c r="Y295" s="58" t="str" cm="1">
        <f t="array" ref="Y295">_xlfn._xlws.FILTER(Teams[teamType], (Fixtures[[#This Row],[userTeamID]] = Teams[teamID]), "N/A")</f>
        <v>N/A</v>
      </c>
      <c r="Z295" s="58" t="str" cm="1">
        <f t="array" ref="Z2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5" s="58" t="str">
        <f>IF(Fixtures[[#This Row],[userSide]] = "N/A", "N/A", IF(Fixtures[[#This Row],[userSide]] = "H", Fixtures[[#This Row],[awayTeam]], Fixtures[[#This Row],[homeTeam]]))</f>
        <v>N/A</v>
      </c>
      <c r="AB295" s="58" t="str" cm="1">
        <f t="array" ref="AB295">_xlfn._xlws.FILTER(Teams[teamID], Fixtures[[#This Row],[oppTeam]] = Teams[name], "N/A")</f>
        <v>N/A</v>
      </c>
      <c r="AC295" s="58" t="str" cm="1">
        <f t="array" ref="AC295">_xlfn._xlws.FILTER(Teams[teamType], Fixtures[[#This Row],[oppTeam]] = Teams[name], "N/A")</f>
        <v>N/A</v>
      </c>
      <c r="AD295" s="58" t="str">
        <f>IF(ISBLANK(Fixtures[[#This Row],[date]]), "N/A", IF(Fixtures[[#This Row],[userSide]]="H", Fixtures[[#This Row],[homeScore]], Fixtures[[#This Row],[awayScore]]))</f>
        <v>N/A</v>
      </c>
      <c r="AE295" s="58" t="str">
        <f>IF(ISBLANK(Fixtures[[#This Row],[date]]), "N/A", IF(Fixtures[[#This Row],[userScore]] = Fixtures[[#This Row],[homeScore]], Fixtures[[#This Row],[awayScore]], Fixtures[[#This Row],[homeScore]]))</f>
        <v>N/A</v>
      </c>
      <c r="AF295" s="58" t="b">
        <f>NOT(AND(ISBLANK(Fixtures[[#This Row],[homePens]]), ISBLANK(Fixtures[[#This Row],[awayPens]])))</f>
        <v>0</v>
      </c>
      <c r="AG295" s="58" t="str">
        <f>IF(Fixtures[[#This Row],[penalties]], IF(Fixtures[[#This Row],[userSide]]="H", Fixtures[[#This Row],[homePens]], Fixtures[[#This Row],[awayPens]]), "N/A")</f>
        <v>N/A</v>
      </c>
      <c r="AH295" s="58" t="str">
        <f>IF(Fixtures[[#This Row],[penalties]], IF(Fixtures[[#This Row],[userPens]]=Fixtures[[#This Row],[homePens]],Fixtures[[#This Row],[awayPens]],Fixtures[[#This Row],[homePens]]), "N/A")</f>
        <v>N/A</v>
      </c>
      <c r="AI295" s="58" t="b">
        <f>COUNTBLANK(Fixtures[[#This Row],[G]:[MOTM]]) = 0</f>
        <v>0</v>
      </c>
      <c r="AJ295" s="58" t="str">
        <f>IF(Fixtures[[#This Row],[APP]], Fixtures[[#This Row],[G]]+Fixtures[[#This Row],[A]], "N/A")</f>
        <v>N/A</v>
      </c>
      <c r="AK2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6" spans="1:39" ht="13">
      <c r="A296" s="55"/>
      <c r="B296" s="61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7"/>
      <c r="R296" s="56"/>
      <c r="S296" s="58" t="str" cm="1">
        <f t="array" ref="S296">_xlfn._xlws.FILTER(Competitions[compType], (Fixtures[[#This Row],[competition]] = Competitions[name]), "N/A")</f>
        <v>N/A</v>
      </c>
      <c r="T296" s="58" t="str" cm="1">
        <f t="array" ref="T296">_xlfn._xlws.FILTER(Competitions[exhibition], (Fixtures[[#This Row],[competition]] = Competitions[name]), "N/A")</f>
        <v>N/A</v>
      </c>
      <c r="U296" s="58" t="str" cm="1">
        <f t="array" ref="U296">_xlfn._xlws.FILTER(Competitions[compID], (Fixtures[[#This Row],[competition]] = Competitions[name]), "N/A")</f>
        <v>N/A</v>
      </c>
      <c r="V2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6" s="58" t="str" cm="1">
        <f t="array" ref="W2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6" s="58" t="str" cm="1">
        <f t="array" ref="X296">_xlfn._xlws.FILTER(Teams[name], (Fixtures[[#This Row],[userTeamID]] = Teams[teamID]), "N/A")</f>
        <v>N/A</v>
      </c>
      <c r="Y296" s="58" t="str" cm="1">
        <f t="array" ref="Y296">_xlfn._xlws.FILTER(Teams[teamType], (Fixtures[[#This Row],[userTeamID]] = Teams[teamID]), "N/A")</f>
        <v>N/A</v>
      </c>
      <c r="Z296" s="58" t="str" cm="1">
        <f t="array" ref="Z2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6" s="58" t="str">
        <f>IF(Fixtures[[#This Row],[userSide]] = "N/A", "N/A", IF(Fixtures[[#This Row],[userSide]] = "H", Fixtures[[#This Row],[awayTeam]], Fixtures[[#This Row],[homeTeam]]))</f>
        <v>N/A</v>
      </c>
      <c r="AB296" s="58" t="str" cm="1">
        <f t="array" ref="AB296">_xlfn._xlws.FILTER(Teams[teamID], Fixtures[[#This Row],[oppTeam]] = Teams[name], "N/A")</f>
        <v>N/A</v>
      </c>
      <c r="AC296" s="58" t="str" cm="1">
        <f t="array" ref="AC296">_xlfn._xlws.FILTER(Teams[teamType], Fixtures[[#This Row],[oppTeam]] = Teams[name], "N/A")</f>
        <v>N/A</v>
      </c>
      <c r="AD296" s="58" t="str">
        <f>IF(ISBLANK(Fixtures[[#This Row],[date]]), "N/A", IF(Fixtures[[#This Row],[userSide]]="H", Fixtures[[#This Row],[homeScore]], Fixtures[[#This Row],[awayScore]]))</f>
        <v>N/A</v>
      </c>
      <c r="AE296" s="58" t="str">
        <f>IF(ISBLANK(Fixtures[[#This Row],[date]]), "N/A", IF(Fixtures[[#This Row],[userScore]] = Fixtures[[#This Row],[homeScore]], Fixtures[[#This Row],[awayScore]], Fixtures[[#This Row],[homeScore]]))</f>
        <v>N/A</v>
      </c>
      <c r="AF296" s="58" t="b">
        <f>NOT(AND(ISBLANK(Fixtures[[#This Row],[homePens]]), ISBLANK(Fixtures[[#This Row],[awayPens]])))</f>
        <v>0</v>
      </c>
      <c r="AG296" s="58" t="str">
        <f>IF(Fixtures[[#This Row],[penalties]], IF(Fixtures[[#This Row],[userSide]]="H", Fixtures[[#This Row],[homePens]], Fixtures[[#This Row],[awayPens]]), "N/A")</f>
        <v>N/A</v>
      </c>
      <c r="AH296" s="58" t="str">
        <f>IF(Fixtures[[#This Row],[penalties]], IF(Fixtures[[#This Row],[userPens]]=Fixtures[[#This Row],[homePens]],Fixtures[[#This Row],[awayPens]],Fixtures[[#This Row],[homePens]]), "N/A")</f>
        <v>N/A</v>
      </c>
      <c r="AI296" s="58" t="b">
        <f>COUNTBLANK(Fixtures[[#This Row],[G]:[MOTM]]) = 0</f>
        <v>0</v>
      </c>
      <c r="AJ296" s="58" t="str">
        <f>IF(Fixtures[[#This Row],[APP]], Fixtures[[#This Row],[G]]+Fixtures[[#This Row],[A]], "N/A")</f>
        <v>N/A</v>
      </c>
      <c r="AK2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7" spans="1:39" ht="13">
      <c r="A297" s="55"/>
      <c r="B297" s="61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7"/>
      <c r="R297" s="56"/>
      <c r="S297" s="58" t="str" cm="1">
        <f t="array" ref="S297">_xlfn._xlws.FILTER(Competitions[compType], (Fixtures[[#This Row],[competition]] = Competitions[name]), "N/A")</f>
        <v>N/A</v>
      </c>
      <c r="T297" s="58" t="str" cm="1">
        <f t="array" ref="T297">_xlfn._xlws.FILTER(Competitions[exhibition], (Fixtures[[#This Row],[competition]] = Competitions[name]), "N/A")</f>
        <v>N/A</v>
      </c>
      <c r="U297" s="58" t="str" cm="1">
        <f t="array" ref="U297">_xlfn._xlws.FILTER(Competitions[compID], (Fixtures[[#This Row],[competition]] = Competitions[name]), "N/A")</f>
        <v>N/A</v>
      </c>
      <c r="V2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7" s="58" t="str" cm="1">
        <f t="array" ref="W2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7" s="58" t="str" cm="1">
        <f t="array" ref="X297">_xlfn._xlws.FILTER(Teams[name], (Fixtures[[#This Row],[userTeamID]] = Teams[teamID]), "N/A")</f>
        <v>N/A</v>
      </c>
      <c r="Y297" s="58" t="str" cm="1">
        <f t="array" ref="Y297">_xlfn._xlws.FILTER(Teams[teamType], (Fixtures[[#This Row],[userTeamID]] = Teams[teamID]), "N/A")</f>
        <v>N/A</v>
      </c>
      <c r="Z297" s="58" t="str" cm="1">
        <f t="array" ref="Z2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7" s="58" t="str">
        <f>IF(Fixtures[[#This Row],[userSide]] = "N/A", "N/A", IF(Fixtures[[#This Row],[userSide]] = "H", Fixtures[[#This Row],[awayTeam]], Fixtures[[#This Row],[homeTeam]]))</f>
        <v>N/A</v>
      </c>
      <c r="AB297" s="58" t="str" cm="1">
        <f t="array" ref="AB297">_xlfn._xlws.FILTER(Teams[teamID], Fixtures[[#This Row],[oppTeam]] = Teams[name], "N/A")</f>
        <v>N/A</v>
      </c>
      <c r="AC297" s="58" t="str" cm="1">
        <f t="array" ref="AC297">_xlfn._xlws.FILTER(Teams[teamType], Fixtures[[#This Row],[oppTeam]] = Teams[name], "N/A")</f>
        <v>N/A</v>
      </c>
      <c r="AD297" s="58" t="str">
        <f>IF(ISBLANK(Fixtures[[#This Row],[date]]), "N/A", IF(Fixtures[[#This Row],[userSide]]="H", Fixtures[[#This Row],[homeScore]], Fixtures[[#This Row],[awayScore]]))</f>
        <v>N/A</v>
      </c>
      <c r="AE297" s="58" t="str">
        <f>IF(ISBLANK(Fixtures[[#This Row],[date]]), "N/A", IF(Fixtures[[#This Row],[userScore]] = Fixtures[[#This Row],[homeScore]], Fixtures[[#This Row],[awayScore]], Fixtures[[#This Row],[homeScore]]))</f>
        <v>N/A</v>
      </c>
      <c r="AF297" s="58" t="b">
        <f>NOT(AND(ISBLANK(Fixtures[[#This Row],[homePens]]), ISBLANK(Fixtures[[#This Row],[awayPens]])))</f>
        <v>0</v>
      </c>
      <c r="AG297" s="58" t="str">
        <f>IF(Fixtures[[#This Row],[penalties]], IF(Fixtures[[#This Row],[userSide]]="H", Fixtures[[#This Row],[homePens]], Fixtures[[#This Row],[awayPens]]), "N/A")</f>
        <v>N/A</v>
      </c>
      <c r="AH297" s="58" t="str">
        <f>IF(Fixtures[[#This Row],[penalties]], IF(Fixtures[[#This Row],[userPens]]=Fixtures[[#This Row],[homePens]],Fixtures[[#This Row],[awayPens]],Fixtures[[#This Row],[homePens]]), "N/A")</f>
        <v>N/A</v>
      </c>
      <c r="AI297" s="58" t="b">
        <f>COUNTBLANK(Fixtures[[#This Row],[G]:[MOTM]]) = 0</f>
        <v>0</v>
      </c>
      <c r="AJ297" s="58" t="str">
        <f>IF(Fixtures[[#This Row],[APP]], Fixtures[[#This Row],[G]]+Fixtures[[#This Row],[A]], "N/A")</f>
        <v>N/A</v>
      </c>
      <c r="AK2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8" spans="1:39" ht="13">
      <c r="A298" s="55"/>
      <c r="B298" s="61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7"/>
      <c r="R298" s="56"/>
      <c r="S298" s="58" t="str" cm="1">
        <f t="array" ref="S298">_xlfn._xlws.FILTER(Competitions[compType], (Fixtures[[#This Row],[competition]] = Competitions[name]), "N/A")</f>
        <v>N/A</v>
      </c>
      <c r="T298" s="58" t="str" cm="1">
        <f t="array" ref="T298">_xlfn._xlws.FILTER(Competitions[exhibition], (Fixtures[[#This Row],[competition]] = Competitions[name]), "N/A")</f>
        <v>N/A</v>
      </c>
      <c r="U298" s="58" t="str" cm="1">
        <f t="array" ref="U298">_xlfn._xlws.FILTER(Competitions[compID], (Fixtures[[#This Row],[competition]] = Competitions[name]), "N/A")</f>
        <v>N/A</v>
      </c>
      <c r="V2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8" s="58" t="str" cm="1">
        <f t="array" ref="W2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8" s="58" t="str" cm="1">
        <f t="array" ref="X298">_xlfn._xlws.FILTER(Teams[name], (Fixtures[[#This Row],[userTeamID]] = Teams[teamID]), "N/A")</f>
        <v>N/A</v>
      </c>
      <c r="Y298" s="58" t="str" cm="1">
        <f t="array" ref="Y298">_xlfn._xlws.FILTER(Teams[teamType], (Fixtures[[#This Row],[userTeamID]] = Teams[teamID]), "N/A")</f>
        <v>N/A</v>
      </c>
      <c r="Z298" s="58" t="str" cm="1">
        <f t="array" ref="Z2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8" s="58" t="str">
        <f>IF(Fixtures[[#This Row],[userSide]] = "N/A", "N/A", IF(Fixtures[[#This Row],[userSide]] = "H", Fixtures[[#This Row],[awayTeam]], Fixtures[[#This Row],[homeTeam]]))</f>
        <v>N/A</v>
      </c>
      <c r="AB298" s="58" t="str" cm="1">
        <f t="array" ref="AB298">_xlfn._xlws.FILTER(Teams[teamID], Fixtures[[#This Row],[oppTeam]] = Teams[name], "N/A")</f>
        <v>N/A</v>
      </c>
      <c r="AC298" s="58" t="str" cm="1">
        <f t="array" ref="AC298">_xlfn._xlws.FILTER(Teams[teamType], Fixtures[[#This Row],[oppTeam]] = Teams[name], "N/A")</f>
        <v>N/A</v>
      </c>
      <c r="AD298" s="58" t="str">
        <f>IF(ISBLANK(Fixtures[[#This Row],[date]]), "N/A", IF(Fixtures[[#This Row],[userSide]]="H", Fixtures[[#This Row],[homeScore]], Fixtures[[#This Row],[awayScore]]))</f>
        <v>N/A</v>
      </c>
      <c r="AE298" s="58" t="str">
        <f>IF(ISBLANK(Fixtures[[#This Row],[date]]), "N/A", IF(Fixtures[[#This Row],[userScore]] = Fixtures[[#This Row],[homeScore]], Fixtures[[#This Row],[awayScore]], Fixtures[[#This Row],[homeScore]]))</f>
        <v>N/A</v>
      </c>
      <c r="AF298" s="58" t="b">
        <f>NOT(AND(ISBLANK(Fixtures[[#This Row],[homePens]]), ISBLANK(Fixtures[[#This Row],[awayPens]])))</f>
        <v>0</v>
      </c>
      <c r="AG298" s="58" t="str">
        <f>IF(Fixtures[[#This Row],[penalties]], IF(Fixtures[[#This Row],[userSide]]="H", Fixtures[[#This Row],[homePens]], Fixtures[[#This Row],[awayPens]]), "N/A")</f>
        <v>N/A</v>
      </c>
      <c r="AH298" s="58" t="str">
        <f>IF(Fixtures[[#This Row],[penalties]], IF(Fixtures[[#This Row],[userPens]]=Fixtures[[#This Row],[homePens]],Fixtures[[#This Row],[awayPens]],Fixtures[[#This Row],[homePens]]), "N/A")</f>
        <v>N/A</v>
      </c>
      <c r="AI298" s="58" t="b">
        <f>COUNTBLANK(Fixtures[[#This Row],[G]:[MOTM]]) = 0</f>
        <v>0</v>
      </c>
      <c r="AJ298" s="58" t="str">
        <f>IF(Fixtures[[#This Row],[APP]], Fixtures[[#This Row],[G]]+Fixtures[[#This Row],[A]], "N/A")</f>
        <v>N/A</v>
      </c>
      <c r="AK2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299" spans="1:39" ht="13">
      <c r="A299" s="55"/>
      <c r="B299" s="61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7"/>
      <c r="R299" s="56"/>
      <c r="S299" s="58" t="str" cm="1">
        <f t="array" ref="S299">_xlfn._xlws.FILTER(Competitions[compType], (Fixtures[[#This Row],[competition]] = Competitions[name]), "N/A")</f>
        <v>N/A</v>
      </c>
      <c r="T299" s="58" t="str" cm="1">
        <f t="array" ref="T299">_xlfn._xlws.FILTER(Competitions[exhibition], (Fixtures[[#This Row],[competition]] = Competitions[name]), "N/A")</f>
        <v>N/A</v>
      </c>
      <c r="U299" s="58" t="str" cm="1">
        <f t="array" ref="U299">_xlfn._xlws.FILTER(Competitions[compID], (Fixtures[[#This Row],[competition]] = Competitions[name]), "N/A")</f>
        <v>N/A</v>
      </c>
      <c r="V2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299" s="58" t="str" cm="1">
        <f t="array" ref="W2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299" s="58" t="str" cm="1">
        <f t="array" ref="X299">_xlfn._xlws.FILTER(Teams[name], (Fixtures[[#This Row],[userTeamID]] = Teams[teamID]), "N/A")</f>
        <v>N/A</v>
      </c>
      <c r="Y299" s="58" t="str" cm="1">
        <f t="array" ref="Y299">_xlfn._xlws.FILTER(Teams[teamType], (Fixtures[[#This Row],[userTeamID]] = Teams[teamID]), "N/A")</f>
        <v>N/A</v>
      </c>
      <c r="Z299" s="58" t="str" cm="1">
        <f t="array" ref="Z2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299" s="58" t="str">
        <f>IF(Fixtures[[#This Row],[userSide]] = "N/A", "N/A", IF(Fixtures[[#This Row],[userSide]] = "H", Fixtures[[#This Row],[awayTeam]], Fixtures[[#This Row],[homeTeam]]))</f>
        <v>N/A</v>
      </c>
      <c r="AB299" s="58" t="str" cm="1">
        <f t="array" ref="AB299">_xlfn._xlws.FILTER(Teams[teamID], Fixtures[[#This Row],[oppTeam]] = Teams[name], "N/A")</f>
        <v>N/A</v>
      </c>
      <c r="AC299" s="58" t="str" cm="1">
        <f t="array" ref="AC299">_xlfn._xlws.FILTER(Teams[teamType], Fixtures[[#This Row],[oppTeam]] = Teams[name], "N/A")</f>
        <v>N/A</v>
      </c>
      <c r="AD299" s="58" t="str">
        <f>IF(ISBLANK(Fixtures[[#This Row],[date]]), "N/A", IF(Fixtures[[#This Row],[userSide]]="H", Fixtures[[#This Row],[homeScore]], Fixtures[[#This Row],[awayScore]]))</f>
        <v>N/A</v>
      </c>
      <c r="AE299" s="58" t="str">
        <f>IF(ISBLANK(Fixtures[[#This Row],[date]]), "N/A", IF(Fixtures[[#This Row],[userScore]] = Fixtures[[#This Row],[homeScore]], Fixtures[[#This Row],[awayScore]], Fixtures[[#This Row],[homeScore]]))</f>
        <v>N/A</v>
      </c>
      <c r="AF299" s="58" t="b">
        <f>NOT(AND(ISBLANK(Fixtures[[#This Row],[homePens]]), ISBLANK(Fixtures[[#This Row],[awayPens]])))</f>
        <v>0</v>
      </c>
      <c r="AG299" s="58" t="str">
        <f>IF(Fixtures[[#This Row],[penalties]], IF(Fixtures[[#This Row],[userSide]]="H", Fixtures[[#This Row],[homePens]], Fixtures[[#This Row],[awayPens]]), "N/A")</f>
        <v>N/A</v>
      </c>
      <c r="AH299" s="58" t="str">
        <f>IF(Fixtures[[#This Row],[penalties]], IF(Fixtures[[#This Row],[userPens]]=Fixtures[[#This Row],[homePens]],Fixtures[[#This Row],[awayPens]],Fixtures[[#This Row],[homePens]]), "N/A")</f>
        <v>N/A</v>
      </c>
      <c r="AI299" s="58" t="b">
        <f>COUNTBLANK(Fixtures[[#This Row],[G]:[MOTM]]) = 0</f>
        <v>0</v>
      </c>
      <c r="AJ299" s="58" t="str">
        <f>IF(Fixtures[[#This Row],[APP]], Fixtures[[#This Row],[G]]+Fixtures[[#This Row],[A]], "N/A")</f>
        <v>N/A</v>
      </c>
      <c r="AK2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2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2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0" spans="1:39" ht="13">
      <c r="A300" s="55"/>
      <c r="B300" s="61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7"/>
      <c r="R300" s="56"/>
      <c r="S300" s="58" t="str" cm="1">
        <f t="array" ref="S300">_xlfn._xlws.FILTER(Competitions[compType], (Fixtures[[#This Row],[competition]] = Competitions[name]), "N/A")</f>
        <v>N/A</v>
      </c>
      <c r="T300" s="58" t="str" cm="1">
        <f t="array" ref="T300">_xlfn._xlws.FILTER(Competitions[exhibition], (Fixtures[[#This Row],[competition]] = Competitions[name]), "N/A")</f>
        <v>N/A</v>
      </c>
      <c r="U300" s="58" t="str" cm="1">
        <f t="array" ref="U300">_xlfn._xlws.FILTER(Competitions[compID], (Fixtures[[#This Row],[competition]] = Competitions[name]), "N/A")</f>
        <v>N/A</v>
      </c>
      <c r="V3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0" s="58" t="str" cm="1">
        <f t="array" ref="W3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0" s="58" t="str" cm="1">
        <f t="array" ref="X300">_xlfn._xlws.FILTER(Teams[name], (Fixtures[[#This Row],[userTeamID]] = Teams[teamID]), "N/A")</f>
        <v>N/A</v>
      </c>
      <c r="Y300" s="58" t="str" cm="1">
        <f t="array" ref="Y300">_xlfn._xlws.FILTER(Teams[teamType], (Fixtures[[#This Row],[userTeamID]] = Teams[teamID]), "N/A")</f>
        <v>N/A</v>
      </c>
      <c r="Z300" s="58" t="str" cm="1">
        <f t="array" ref="Z3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0" s="58" t="str">
        <f>IF(Fixtures[[#This Row],[userSide]] = "N/A", "N/A", IF(Fixtures[[#This Row],[userSide]] = "H", Fixtures[[#This Row],[awayTeam]], Fixtures[[#This Row],[homeTeam]]))</f>
        <v>N/A</v>
      </c>
      <c r="AB300" s="58" t="str" cm="1">
        <f t="array" ref="AB300">_xlfn._xlws.FILTER(Teams[teamID], Fixtures[[#This Row],[oppTeam]] = Teams[name], "N/A")</f>
        <v>N/A</v>
      </c>
      <c r="AC300" s="58" t="str" cm="1">
        <f t="array" ref="AC300">_xlfn._xlws.FILTER(Teams[teamType], Fixtures[[#This Row],[oppTeam]] = Teams[name], "N/A")</f>
        <v>N/A</v>
      </c>
      <c r="AD300" s="58" t="str">
        <f>IF(ISBLANK(Fixtures[[#This Row],[date]]), "N/A", IF(Fixtures[[#This Row],[userSide]]="H", Fixtures[[#This Row],[homeScore]], Fixtures[[#This Row],[awayScore]]))</f>
        <v>N/A</v>
      </c>
      <c r="AE300" s="58" t="str">
        <f>IF(ISBLANK(Fixtures[[#This Row],[date]]), "N/A", IF(Fixtures[[#This Row],[userScore]] = Fixtures[[#This Row],[homeScore]], Fixtures[[#This Row],[awayScore]], Fixtures[[#This Row],[homeScore]]))</f>
        <v>N/A</v>
      </c>
      <c r="AF300" s="58" t="b">
        <f>NOT(AND(ISBLANK(Fixtures[[#This Row],[homePens]]), ISBLANK(Fixtures[[#This Row],[awayPens]])))</f>
        <v>0</v>
      </c>
      <c r="AG300" s="58" t="str">
        <f>IF(Fixtures[[#This Row],[penalties]], IF(Fixtures[[#This Row],[userSide]]="H", Fixtures[[#This Row],[homePens]], Fixtures[[#This Row],[awayPens]]), "N/A")</f>
        <v>N/A</v>
      </c>
      <c r="AH300" s="58" t="str">
        <f>IF(Fixtures[[#This Row],[penalties]], IF(Fixtures[[#This Row],[userPens]]=Fixtures[[#This Row],[homePens]],Fixtures[[#This Row],[awayPens]],Fixtures[[#This Row],[homePens]]), "N/A")</f>
        <v>N/A</v>
      </c>
      <c r="AI300" s="58" t="b">
        <f>COUNTBLANK(Fixtures[[#This Row],[G]:[MOTM]]) = 0</f>
        <v>0</v>
      </c>
      <c r="AJ300" s="58" t="str">
        <f>IF(Fixtures[[#This Row],[APP]], Fixtures[[#This Row],[G]]+Fixtures[[#This Row],[A]], "N/A")</f>
        <v>N/A</v>
      </c>
      <c r="AK3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1" spans="1:39" ht="13">
      <c r="A301" s="55"/>
      <c r="B301" s="61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7"/>
      <c r="R301" s="56"/>
      <c r="S301" s="58" t="str" cm="1">
        <f t="array" ref="S301">_xlfn._xlws.FILTER(Competitions[compType], (Fixtures[[#This Row],[competition]] = Competitions[name]), "N/A")</f>
        <v>N/A</v>
      </c>
      <c r="T301" s="58" t="str" cm="1">
        <f t="array" ref="T301">_xlfn._xlws.FILTER(Competitions[exhibition], (Fixtures[[#This Row],[competition]] = Competitions[name]), "N/A")</f>
        <v>N/A</v>
      </c>
      <c r="U301" s="58" t="str" cm="1">
        <f t="array" ref="U301">_xlfn._xlws.FILTER(Competitions[compID], (Fixtures[[#This Row],[competition]] = Competitions[name]), "N/A")</f>
        <v>N/A</v>
      </c>
      <c r="V3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1" s="58" t="str" cm="1">
        <f t="array" ref="W3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1" s="58" t="str" cm="1">
        <f t="array" ref="X301">_xlfn._xlws.FILTER(Teams[name], (Fixtures[[#This Row],[userTeamID]] = Teams[teamID]), "N/A")</f>
        <v>N/A</v>
      </c>
      <c r="Y301" s="58" t="str" cm="1">
        <f t="array" ref="Y301">_xlfn._xlws.FILTER(Teams[teamType], (Fixtures[[#This Row],[userTeamID]] = Teams[teamID]), "N/A")</f>
        <v>N/A</v>
      </c>
      <c r="Z301" s="58" t="str" cm="1">
        <f t="array" ref="Z3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1" s="58" t="str">
        <f>IF(Fixtures[[#This Row],[userSide]] = "N/A", "N/A", IF(Fixtures[[#This Row],[userSide]] = "H", Fixtures[[#This Row],[awayTeam]], Fixtures[[#This Row],[homeTeam]]))</f>
        <v>N/A</v>
      </c>
      <c r="AB301" s="58" t="str" cm="1">
        <f t="array" ref="AB301">_xlfn._xlws.FILTER(Teams[teamID], Fixtures[[#This Row],[oppTeam]] = Teams[name], "N/A")</f>
        <v>N/A</v>
      </c>
      <c r="AC301" s="58" t="str" cm="1">
        <f t="array" ref="AC301">_xlfn._xlws.FILTER(Teams[teamType], Fixtures[[#This Row],[oppTeam]] = Teams[name], "N/A")</f>
        <v>N/A</v>
      </c>
      <c r="AD301" s="58" t="str">
        <f>IF(ISBLANK(Fixtures[[#This Row],[date]]), "N/A", IF(Fixtures[[#This Row],[userSide]]="H", Fixtures[[#This Row],[homeScore]], Fixtures[[#This Row],[awayScore]]))</f>
        <v>N/A</v>
      </c>
      <c r="AE301" s="58" t="str">
        <f>IF(ISBLANK(Fixtures[[#This Row],[date]]), "N/A", IF(Fixtures[[#This Row],[userScore]] = Fixtures[[#This Row],[homeScore]], Fixtures[[#This Row],[awayScore]], Fixtures[[#This Row],[homeScore]]))</f>
        <v>N/A</v>
      </c>
      <c r="AF301" s="58" t="b">
        <f>NOT(AND(ISBLANK(Fixtures[[#This Row],[homePens]]), ISBLANK(Fixtures[[#This Row],[awayPens]])))</f>
        <v>0</v>
      </c>
      <c r="AG301" s="58" t="str">
        <f>IF(Fixtures[[#This Row],[penalties]], IF(Fixtures[[#This Row],[userSide]]="H", Fixtures[[#This Row],[homePens]], Fixtures[[#This Row],[awayPens]]), "N/A")</f>
        <v>N/A</v>
      </c>
      <c r="AH301" s="58" t="str">
        <f>IF(Fixtures[[#This Row],[penalties]], IF(Fixtures[[#This Row],[userPens]]=Fixtures[[#This Row],[homePens]],Fixtures[[#This Row],[awayPens]],Fixtures[[#This Row],[homePens]]), "N/A")</f>
        <v>N/A</v>
      </c>
      <c r="AI301" s="58" t="b">
        <f>COUNTBLANK(Fixtures[[#This Row],[G]:[MOTM]]) = 0</f>
        <v>0</v>
      </c>
      <c r="AJ301" s="58" t="str">
        <f>IF(Fixtures[[#This Row],[APP]], Fixtures[[#This Row],[G]]+Fixtures[[#This Row],[A]], "N/A")</f>
        <v>N/A</v>
      </c>
      <c r="AK3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2" spans="1:39" ht="13">
      <c r="A302" s="55"/>
      <c r="B302" s="61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7"/>
      <c r="R302" s="56"/>
      <c r="S302" s="58" t="str" cm="1">
        <f t="array" ref="S302">_xlfn._xlws.FILTER(Competitions[compType], (Fixtures[[#This Row],[competition]] = Competitions[name]), "N/A")</f>
        <v>N/A</v>
      </c>
      <c r="T302" s="58" t="str" cm="1">
        <f t="array" ref="T302">_xlfn._xlws.FILTER(Competitions[exhibition], (Fixtures[[#This Row],[competition]] = Competitions[name]), "N/A")</f>
        <v>N/A</v>
      </c>
      <c r="U302" s="58" t="str" cm="1">
        <f t="array" ref="U302">_xlfn._xlws.FILTER(Competitions[compID], (Fixtures[[#This Row],[competition]] = Competitions[name]), "N/A")</f>
        <v>N/A</v>
      </c>
      <c r="V3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2" s="58" t="str" cm="1">
        <f t="array" ref="W3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2" s="58" t="str" cm="1">
        <f t="array" ref="X302">_xlfn._xlws.FILTER(Teams[name], (Fixtures[[#This Row],[userTeamID]] = Teams[teamID]), "N/A")</f>
        <v>N/A</v>
      </c>
      <c r="Y302" s="58" t="str" cm="1">
        <f t="array" ref="Y302">_xlfn._xlws.FILTER(Teams[teamType], (Fixtures[[#This Row],[userTeamID]] = Teams[teamID]), "N/A")</f>
        <v>N/A</v>
      </c>
      <c r="Z302" s="58" t="str" cm="1">
        <f t="array" ref="Z3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2" s="58" t="str">
        <f>IF(Fixtures[[#This Row],[userSide]] = "N/A", "N/A", IF(Fixtures[[#This Row],[userSide]] = "H", Fixtures[[#This Row],[awayTeam]], Fixtures[[#This Row],[homeTeam]]))</f>
        <v>N/A</v>
      </c>
      <c r="AB302" s="58" t="str" cm="1">
        <f t="array" ref="AB302">_xlfn._xlws.FILTER(Teams[teamID], Fixtures[[#This Row],[oppTeam]] = Teams[name], "N/A")</f>
        <v>N/A</v>
      </c>
      <c r="AC302" s="58" t="str" cm="1">
        <f t="array" ref="AC302">_xlfn._xlws.FILTER(Teams[teamType], Fixtures[[#This Row],[oppTeam]] = Teams[name], "N/A")</f>
        <v>N/A</v>
      </c>
      <c r="AD302" s="58" t="str">
        <f>IF(ISBLANK(Fixtures[[#This Row],[date]]), "N/A", IF(Fixtures[[#This Row],[userSide]]="H", Fixtures[[#This Row],[homeScore]], Fixtures[[#This Row],[awayScore]]))</f>
        <v>N/A</v>
      </c>
      <c r="AE302" s="58" t="str">
        <f>IF(ISBLANK(Fixtures[[#This Row],[date]]), "N/A", IF(Fixtures[[#This Row],[userScore]] = Fixtures[[#This Row],[homeScore]], Fixtures[[#This Row],[awayScore]], Fixtures[[#This Row],[homeScore]]))</f>
        <v>N/A</v>
      </c>
      <c r="AF302" s="58" t="b">
        <f>NOT(AND(ISBLANK(Fixtures[[#This Row],[homePens]]), ISBLANK(Fixtures[[#This Row],[awayPens]])))</f>
        <v>0</v>
      </c>
      <c r="AG302" s="58" t="str">
        <f>IF(Fixtures[[#This Row],[penalties]], IF(Fixtures[[#This Row],[userSide]]="H", Fixtures[[#This Row],[homePens]], Fixtures[[#This Row],[awayPens]]), "N/A")</f>
        <v>N/A</v>
      </c>
      <c r="AH302" s="58" t="str">
        <f>IF(Fixtures[[#This Row],[penalties]], IF(Fixtures[[#This Row],[userPens]]=Fixtures[[#This Row],[homePens]],Fixtures[[#This Row],[awayPens]],Fixtures[[#This Row],[homePens]]), "N/A")</f>
        <v>N/A</v>
      </c>
      <c r="AI302" s="58" t="b">
        <f>COUNTBLANK(Fixtures[[#This Row],[G]:[MOTM]]) = 0</f>
        <v>0</v>
      </c>
      <c r="AJ302" s="58" t="str">
        <f>IF(Fixtures[[#This Row],[APP]], Fixtures[[#This Row],[G]]+Fixtures[[#This Row],[A]], "N/A")</f>
        <v>N/A</v>
      </c>
      <c r="AK3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3" spans="1:39" ht="13">
      <c r="A303" s="55"/>
      <c r="B303" s="61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7"/>
      <c r="R303" s="56"/>
      <c r="S303" s="58" t="str" cm="1">
        <f t="array" ref="S303">_xlfn._xlws.FILTER(Competitions[compType], (Fixtures[[#This Row],[competition]] = Competitions[name]), "N/A")</f>
        <v>N/A</v>
      </c>
      <c r="T303" s="58" t="str" cm="1">
        <f t="array" ref="T303">_xlfn._xlws.FILTER(Competitions[exhibition], (Fixtures[[#This Row],[competition]] = Competitions[name]), "N/A")</f>
        <v>N/A</v>
      </c>
      <c r="U303" s="58" t="str" cm="1">
        <f t="array" ref="U303">_xlfn._xlws.FILTER(Competitions[compID], (Fixtures[[#This Row],[competition]] = Competitions[name]), "N/A")</f>
        <v>N/A</v>
      </c>
      <c r="V3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3" s="58" t="str" cm="1">
        <f t="array" ref="W3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3" s="58" t="str" cm="1">
        <f t="array" ref="X303">_xlfn._xlws.FILTER(Teams[name], (Fixtures[[#This Row],[userTeamID]] = Teams[teamID]), "N/A")</f>
        <v>N/A</v>
      </c>
      <c r="Y303" s="58" t="str" cm="1">
        <f t="array" ref="Y303">_xlfn._xlws.FILTER(Teams[teamType], (Fixtures[[#This Row],[userTeamID]] = Teams[teamID]), "N/A")</f>
        <v>N/A</v>
      </c>
      <c r="Z303" s="58" t="str" cm="1">
        <f t="array" ref="Z3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3" s="58" t="str">
        <f>IF(Fixtures[[#This Row],[userSide]] = "N/A", "N/A", IF(Fixtures[[#This Row],[userSide]] = "H", Fixtures[[#This Row],[awayTeam]], Fixtures[[#This Row],[homeTeam]]))</f>
        <v>N/A</v>
      </c>
      <c r="AB303" s="58" t="str" cm="1">
        <f t="array" ref="AB303">_xlfn._xlws.FILTER(Teams[teamID], Fixtures[[#This Row],[oppTeam]] = Teams[name], "N/A")</f>
        <v>N/A</v>
      </c>
      <c r="AC303" s="58" t="str" cm="1">
        <f t="array" ref="AC303">_xlfn._xlws.FILTER(Teams[teamType], Fixtures[[#This Row],[oppTeam]] = Teams[name], "N/A")</f>
        <v>N/A</v>
      </c>
      <c r="AD303" s="58" t="str">
        <f>IF(ISBLANK(Fixtures[[#This Row],[date]]), "N/A", IF(Fixtures[[#This Row],[userSide]]="H", Fixtures[[#This Row],[homeScore]], Fixtures[[#This Row],[awayScore]]))</f>
        <v>N/A</v>
      </c>
      <c r="AE303" s="58" t="str">
        <f>IF(ISBLANK(Fixtures[[#This Row],[date]]), "N/A", IF(Fixtures[[#This Row],[userScore]] = Fixtures[[#This Row],[homeScore]], Fixtures[[#This Row],[awayScore]], Fixtures[[#This Row],[homeScore]]))</f>
        <v>N/A</v>
      </c>
      <c r="AF303" s="58" t="b">
        <f>NOT(AND(ISBLANK(Fixtures[[#This Row],[homePens]]), ISBLANK(Fixtures[[#This Row],[awayPens]])))</f>
        <v>0</v>
      </c>
      <c r="AG303" s="58" t="str">
        <f>IF(Fixtures[[#This Row],[penalties]], IF(Fixtures[[#This Row],[userSide]]="H", Fixtures[[#This Row],[homePens]], Fixtures[[#This Row],[awayPens]]), "N/A")</f>
        <v>N/A</v>
      </c>
      <c r="AH303" s="58" t="str">
        <f>IF(Fixtures[[#This Row],[penalties]], IF(Fixtures[[#This Row],[userPens]]=Fixtures[[#This Row],[homePens]],Fixtures[[#This Row],[awayPens]],Fixtures[[#This Row],[homePens]]), "N/A")</f>
        <v>N/A</v>
      </c>
      <c r="AI303" s="58" t="b">
        <f>COUNTBLANK(Fixtures[[#This Row],[G]:[MOTM]]) = 0</f>
        <v>0</v>
      </c>
      <c r="AJ303" s="58" t="str">
        <f>IF(Fixtures[[#This Row],[APP]], Fixtures[[#This Row],[G]]+Fixtures[[#This Row],[A]], "N/A")</f>
        <v>N/A</v>
      </c>
      <c r="AK3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4" spans="1:39" ht="13">
      <c r="A304" s="55"/>
      <c r="B304" s="61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7"/>
      <c r="R304" s="56"/>
      <c r="S304" s="58" t="str" cm="1">
        <f t="array" ref="S304">_xlfn._xlws.FILTER(Competitions[compType], (Fixtures[[#This Row],[competition]] = Competitions[name]), "N/A")</f>
        <v>N/A</v>
      </c>
      <c r="T304" s="58" t="str" cm="1">
        <f t="array" ref="T304">_xlfn._xlws.FILTER(Competitions[exhibition], (Fixtures[[#This Row],[competition]] = Competitions[name]), "N/A")</f>
        <v>N/A</v>
      </c>
      <c r="U304" s="58" t="str" cm="1">
        <f t="array" ref="U304">_xlfn._xlws.FILTER(Competitions[compID], (Fixtures[[#This Row],[competition]] = Competitions[name]), "N/A")</f>
        <v>N/A</v>
      </c>
      <c r="V3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4" s="58" t="str" cm="1">
        <f t="array" ref="W3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4" s="58" t="str" cm="1">
        <f t="array" ref="X304">_xlfn._xlws.FILTER(Teams[name], (Fixtures[[#This Row],[userTeamID]] = Teams[teamID]), "N/A")</f>
        <v>N/A</v>
      </c>
      <c r="Y304" s="58" t="str" cm="1">
        <f t="array" ref="Y304">_xlfn._xlws.FILTER(Teams[teamType], (Fixtures[[#This Row],[userTeamID]] = Teams[teamID]), "N/A")</f>
        <v>N/A</v>
      </c>
      <c r="Z304" s="58" t="str" cm="1">
        <f t="array" ref="Z3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4" s="58" t="str">
        <f>IF(Fixtures[[#This Row],[userSide]] = "N/A", "N/A", IF(Fixtures[[#This Row],[userSide]] = "H", Fixtures[[#This Row],[awayTeam]], Fixtures[[#This Row],[homeTeam]]))</f>
        <v>N/A</v>
      </c>
      <c r="AB304" s="58" t="str" cm="1">
        <f t="array" ref="AB304">_xlfn._xlws.FILTER(Teams[teamID], Fixtures[[#This Row],[oppTeam]] = Teams[name], "N/A")</f>
        <v>N/A</v>
      </c>
      <c r="AC304" s="58" t="str" cm="1">
        <f t="array" ref="AC304">_xlfn._xlws.FILTER(Teams[teamType], Fixtures[[#This Row],[oppTeam]] = Teams[name], "N/A")</f>
        <v>N/A</v>
      </c>
      <c r="AD304" s="58" t="str">
        <f>IF(ISBLANK(Fixtures[[#This Row],[date]]), "N/A", IF(Fixtures[[#This Row],[userSide]]="H", Fixtures[[#This Row],[homeScore]], Fixtures[[#This Row],[awayScore]]))</f>
        <v>N/A</v>
      </c>
      <c r="AE304" s="58" t="str">
        <f>IF(ISBLANK(Fixtures[[#This Row],[date]]), "N/A", IF(Fixtures[[#This Row],[userScore]] = Fixtures[[#This Row],[homeScore]], Fixtures[[#This Row],[awayScore]], Fixtures[[#This Row],[homeScore]]))</f>
        <v>N/A</v>
      </c>
      <c r="AF304" s="58" t="b">
        <f>NOT(AND(ISBLANK(Fixtures[[#This Row],[homePens]]), ISBLANK(Fixtures[[#This Row],[awayPens]])))</f>
        <v>0</v>
      </c>
      <c r="AG304" s="58" t="str">
        <f>IF(Fixtures[[#This Row],[penalties]], IF(Fixtures[[#This Row],[userSide]]="H", Fixtures[[#This Row],[homePens]], Fixtures[[#This Row],[awayPens]]), "N/A")</f>
        <v>N/A</v>
      </c>
      <c r="AH304" s="58" t="str">
        <f>IF(Fixtures[[#This Row],[penalties]], IF(Fixtures[[#This Row],[userPens]]=Fixtures[[#This Row],[homePens]],Fixtures[[#This Row],[awayPens]],Fixtures[[#This Row],[homePens]]), "N/A")</f>
        <v>N/A</v>
      </c>
      <c r="AI304" s="58" t="b">
        <f>COUNTBLANK(Fixtures[[#This Row],[G]:[MOTM]]) = 0</f>
        <v>0</v>
      </c>
      <c r="AJ304" s="58" t="str">
        <f>IF(Fixtures[[#This Row],[APP]], Fixtures[[#This Row],[G]]+Fixtures[[#This Row],[A]], "N/A")</f>
        <v>N/A</v>
      </c>
      <c r="AK3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5" spans="1:39" ht="13">
      <c r="A305" s="55"/>
      <c r="B305" s="61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7"/>
      <c r="R305" s="56"/>
      <c r="S305" s="58" t="str" cm="1">
        <f t="array" ref="S305">_xlfn._xlws.FILTER(Competitions[compType], (Fixtures[[#This Row],[competition]] = Competitions[name]), "N/A")</f>
        <v>N/A</v>
      </c>
      <c r="T305" s="58" t="str" cm="1">
        <f t="array" ref="T305">_xlfn._xlws.FILTER(Competitions[exhibition], (Fixtures[[#This Row],[competition]] = Competitions[name]), "N/A")</f>
        <v>N/A</v>
      </c>
      <c r="U305" s="58" t="str" cm="1">
        <f t="array" ref="U305">_xlfn._xlws.FILTER(Competitions[compID], (Fixtures[[#This Row],[competition]] = Competitions[name]), "N/A")</f>
        <v>N/A</v>
      </c>
      <c r="V3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5" s="58" t="str" cm="1">
        <f t="array" ref="W3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5" s="58" t="str" cm="1">
        <f t="array" ref="X305">_xlfn._xlws.FILTER(Teams[name], (Fixtures[[#This Row],[userTeamID]] = Teams[teamID]), "N/A")</f>
        <v>N/A</v>
      </c>
      <c r="Y305" s="58" t="str" cm="1">
        <f t="array" ref="Y305">_xlfn._xlws.FILTER(Teams[teamType], (Fixtures[[#This Row],[userTeamID]] = Teams[teamID]), "N/A")</f>
        <v>N/A</v>
      </c>
      <c r="Z305" s="58" t="str" cm="1">
        <f t="array" ref="Z3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5" s="58" t="str">
        <f>IF(Fixtures[[#This Row],[userSide]] = "N/A", "N/A", IF(Fixtures[[#This Row],[userSide]] = "H", Fixtures[[#This Row],[awayTeam]], Fixtures[[#This Row],[homeTeam]]))</f>
        <v>N/A</v>
      </c>
      <c r="AB305" s="58" t="str" cm="1">
        <f t="array" ref="AB305">_xlfn._xlws.FILTER(Teams[teamID], Fixtures[[#This Row],[oppTeam]] = Teams[name], "N/A")</f>
        <v>N/A</v>
      </c>
      <c r="AC305" s="58" t="str" cm="1">
        <f t="array" ref="AC305">_xlfn._xlws.FILTER(Teams[teamType], Fixtures[[#This Row],[oppTeam]] = Teams[name], "N/A")</f>
        <v>N/A</v>
      </c>
      <c r="AD305" s="58" t="str">
        <f>IF(ISBLANK(Fixtures[[#This Row],[date]]), "N/A", IF(Fixtures[[#This Row],[userSide]]="H", Fixtures[[#This Row],[homeScore]], Fixtures[[#This Row],[awayScore]]))</f>
        <v>N/A</v>
      </c>
      <c r="AE305" s="58" t="str">
        <f>IF(ISBLANK(Fixtures[[#This Row],[date]]), "N/A", IF(Fixtures[[#This Row],[userScore]] = Fixtures[[#This Row],[homeScore]], Fixtures[[#This Row],[awayScore]], Fixtures[[#This Row],[homeScore]]))</f>
        <v>N/A</v>
      </c>
      <c r="AF305" s="58" t="b">
        <f>NOT(AND(ISBLANK(Fixtures[[#This Row],[homePens]]), ISBLANK(Fixtures[[#This Row],[awayPens]])))</f>
        <v>0</v>
      </c>
      <c r="AG305" s="58" t="str">
        <f>IF(Fixtures[[#This Row],[penalties]], IF(Fixtures[[#This Row],[userSide]]="H", Fixtures[[#This Row],[homePens]], Fixtures[[#This Row],[awayPens]]), "N/A")</f>
        <v>N/A</v>
      </c>
      <c r="AH305" s="58" t="str">
        <f>IF(Fixtures[[#This Row],[penalties]], IF(Fixtures[[#This Row],[userPens]]=Fixtures[[#This Row],[homePens]],Fixtures[[#This Row],[awayPens]],Fixtures[[#This Row],[homePens]]), "N/A")</f>
        <v>N/A</v>
      </c>
      <c r="AI305" s="58" t="b">
        <f>COUNTBLANK(Fixtures[[#This Row],[G]:[MOTM]]) = 0</f>
        <v>0</v>
      </c>
      <c r="AJ305" s="58" t="str">
        <f>IF(Fixtures[[#This Row],[APP]], Fixtures[[#This Row],[G]]+Fixtures[[#This Row],[A]], "N/A")</f>
        <v>N/A</v>
      </c>
      <c r="AK3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6" spans="1:39" ht="13">
      <c r="A306" s="55"/>
      <c r="B306" s="61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7"/>
      <c r="R306" s="56"/>
      <c r="S306" s="58" t="str" cm="1">
        <f t="array" ref="S306">_xlfn._xlws.FILTER(Competitions[compType], (Fixtures[[#This Row],[competition]] = Competitions[name]), "N/A")</f>
        <v>N/A</v>
      </c>
      <c r="T306" s="58" t="str" cm="1">
        <f t="array" ref="T306">_xlfn._xlws.FILTER(Competitions[exhibition], (Fixtures[[#This Row],[competition]] = Competitions[name]), "N/A")</f>
        <v>N/A</v>
      </c>
      <c r="U306" s="58" t="str" cm="1">
        <f t="array" ref="U306">_xlfn._xlws.FILTER(Competitions[compID], (Fixtures[[#This Row],[competition]] = Competitions[name]), "N/A")</f>
        <v>N/A</v>
      </c>
      <c r="V3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6" s="58" t="str" cm="1">
        <f t="array" ref="W3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6" s="58" t="str" cm="1">
        <f t="array" ref="X306">_xlfn._xlws.FILTER(Teams[name], (Fixtures[[#This Row],[userTeamID]] = Teams[teamID]), "N/A")</f>
        <v>N/A</v>
      </c>
      <c r="Y306" s="58" t="str" cm="1">
        <f t="array" ref="Y306">_xlfn._xlws.FILTER(Teams[teamType], (Fixtures[[#This Row],[userTeamID]] = Teams[teamID]), "N/A")</f>
        <v>N/A</v>
      </c>
      <c r="Z306" s="58" t="str" cm="1">
        <f t="array" ref="Z3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6" s="58" t="str">
        <f>IF(Fixtures[[#This Row],[userSide]] = "N/A", "N/A", IF(Fixtures[[#This Row],[userSide]] = "H", Fixtures[[#This Row],[awayTeam]], Fixtures[[#This Row],[homeTeam]]))</f>
        <v>N/A</v>
      </c>
      <c r="AB306" s="58" t="str" cm="1">
        <f t="array" ref="AB306">_xlfn._xlws.FILTER(Teams[teamID], Fixtures[[#This Row],[oppTeam]] = Teams[name], "N/A")</f>
        <v>N/A</v>
      </c>
      <c r="AC306" s="58" t="str" cm="1">
        <f t="array" ref="AC306">_xlfn._xlws.FILTER(Teams[teamType], Fixtures[[#This Row],[oppTeam]] = Teams[name], "N/A")</f>
        <v>N/A</v>
      </c>
      <c r="AD306" s="58" t="str">
        <f>IF(ISBLANK(Fixtures[[#This Row],[date]]), "N/A", IF(Fixtures[[#This Row],[userSide]]="H", Fixtures[[#This Row],[homeScore]], Fixtures[[#This Row],[awayScore]]))</f>
        <v>N/A</v>
      </c>
      <c r="AE306" s="58" t="str">
        <f>IF(ISBLANK(Fixtures[[#This Row],[date]]), "N/A", IF(Fixtures[[#This Row],[userScore]] = Fixtures[[#This Row],[homeScore]], Fixtures[[#This Row],[awayScore]], Fixtures[[#This Row],[homeScore]]))</f>
        <v>N/A</v>
      </c>
      <c r="AF306" s="58" t="b">
        <f>NOT(AND(ISBLANK(Fixtures[[#This Row],[homePens]]), ISBLANK(Fixtures[[#This Row],[awayPens]])))</f>
        <v>0</v>
      </c>
      <c r="AG306" s="58" t="str">
        <f>IF(Fixtures[[#This Row],[penalties]], IF(Fixtures[[#This Row],[userSide]]="H", Fixtures[[#This Row],[homePens]], Fixtures[[#This Row],[awayPens]]), "N/A")</f>
        <v>N/A</v>
      </c>
      <c r="AH306" s="58" t="str">
        <f>IF(Fixtures[[#This Row],[penalties]], IF(Fixtures[[#This Row],[userPens]]=Fixtures[[#This Row],[homePens]],Fixtures[[#This Row],[awayPens]],Fixtures[[#This Row],[homePens]]), "N/A")</f>
        <v>N/A</v>
      </c>
      <c r="AI306" s="58" t="b">
        <f>COUNTBLANK(Fixtures[[#This Row],[G]:[MOTM]]) = 0</f>
        <v>0</v>
      </c>
      <c r="AJ306" s="58" t="str">
        <f>IF(Fixtures[[#This Row],[APP]], Fixtures[[#This Row],[G]]+Fixtures[[#This Row],[A]], "N/A")</f>
        <v>N/A</v>
      </c>
      <c r="AK3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7" spans="1:39" ht="13">
      <c r="A307" s="55"/>
      <c r="B307" s="61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7"/>
      <c r="R307" s="56"/>
      <c r="S307" s="58" t="str" cm="1">
        <f t="array" ref="S307">_xlfn._xlws.FILTER(Competitions[compType], (Fixtures[[#This Row],[competition]] = Competitions[name]), "N/A")</f>
        <v>N/A</v>
      </c>
      <c r="T307" s="58" t="str" cm="1">
        <f t="array" ref="T307">_xlfn._xlws.FILTER(Competitions[exhibition], (Fixtures[[#This Row],[competition]] = Competitions[name]), "N/A")</f>
        <v>N/A</v>
      </c>
      <c r="U307" s="58" t="str" cm="1">
        <f t="array" ref="U307">_xlfn._xlws.FILTER(Competitions[compID], (Fixtures[[#This Row],[competition]] = Competitions[name]), "N/A")</f>
        <v>N/A</v>
      </c>
      <c r="V3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7" s="58" t="str" cm="1">
        <f t="array" ref="W3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7" s="58" t="str" cm="1">
        <f t="array" ref="X307">_xlfn._xlws.FILTER(Teams[name], (Fixtures[[#This Row],[userTeamID]] = Teams[teamID]), "N/A")</f>
        <v>N/A</v>
      </c>
      <c r="Y307" s="58" t="str" cm="1">
        <f t="array" ref="Y307">_xlfn._xlws.FILTER(Teams[teamType], (Fixtures[[#This Row],[userTeamID]] = Teams[teamID]), "N/A")</f>
        <v>N/A</v>
      </c>
      <c r="Z307" s="58" t="str" cm="1">
        <f t="array" ref="Z3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7" s="58" t="str">
        <f>IF(Fixtures[[#This Row],[userSide]] = "N/A", "N/A", IF(Fixtures[[#This Row],[userSide]] = "H", Fixtures[[#This Row],[awayTeam]], Fixtures[[#This Row],[homeTeam]]))</f>
        <v>N/A</v>
      </c>
      <c r="AB307" s="58" t="str" cm="1">
        <f t="array" ref="AB307">_xlfn._xlws.FILTER(Teams[teamID], Fixtures[[#This Row],[oppTeam]] = Teams[name], "N/A")</f>
        <v>N/A</v>
      </c>
      <c r="AC307" s="58" t="str" cm="1">
        <f t="array" ref="AC307">_xlfn._xlws.FILTER(Teams[teamType], Fixtures[[#This Row],[oppTeam]] = Teams[name], "N/A")</f>
        <v>N/A</v>
      </c>
      <c r="AD307" s="58" t="str">
        <f>IF(ISBLANK(Fixtures[[#This Row],[date]]), "N/A", IF(Fixtures[[#This Row],[userSide]]="H", Fixtures[[#This Row],[homeScore]], Fixtures[[#This Row],[awayScore]]))</f>
        <v>N/A</v>
      </c>
      <c r="AE307" s="58" t="str">
        <f>IF(ISBLANK(Fixtures[[#This Row],[date]]), "N/A", IF(Fixtures[[#This Row],[userScore]] = Fixtures[[#This Row],[homeScore]], Fixtures[[#This Row],[awayScore]], Fixtures[[#This Row],[homeScore]]))</f>
        <v>N/A</v>
      </c>
      <c r="AF307" s="58" t="b">
        <f>NOT(AND(ISBLANK(Fixtures[[#This Row],[homePens]]), ISBLANK(Fixtures[[#This Row],[awayPens]])))</f>
        <v>0</v>
      </c>
      <c r="AG307" s="58" t="str">
        <f>IF(Fixtures[[#This Row],[penalties]], IF(Fixtures[[#This Row],[userSide]]="H", Fixtures[[#This Row],[homePens]], Fixtures[[#This Row],[awayPens]]), "N/A")</f>
        <v>N/A</v>
      </c>
      <c r="AH307" s="58" t="str">
        <f>IF(Fixtures[[#This Row],[penalties]], IF(Fixtures[[#This Row],[userPens]]=Fixtures[[#This Row],[homePens]],Fixtures[[#This Row],[awayPens]],Fixtures[[#This Row],[homePens]]), "N/A")</f>
        <v>N/A</v>
      </c>
      <c r="AI307" s="58" t="b">
        <f>COUNTBLANK(Fixtures[[#This Row],[G]:[MOTM]]) = 0</f>
        <v>0</v>
      </c>
      <c r="AJ307" s="58" t="str">
        <f>IF(Fixtures[[#This Row],[APP]], Fixtures[[#This Row],[G]]+Fixtures[[#This Row],[A]], "N/A")</f>
        <v>N/A</v>
      </c>
      <c r="AK3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8" spans="1:39" ht="13">
      <c r="A308" s="55"/>
      <c r="B308" s="61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7"/>
      <c r="R308" s="56"/>
      <c r="S308" s="58" t="str" cm="1">
        <f t="array" ref="S308">_xlfn._xlws.FILTER(Competitions[compType], (Fixtures[[#This Row],[competition]] = Competitions[name]), "N/A")</f>
        <v>N/A</v>
      </c>
      <c r="T308" s="58" t="str" cm="1">
        <f t="array" ref="T308">_xlfn._xlws.FILTER(Competitions[exhibition], (Fixtures[[#This Row],[competition]] = Competitions[name]), "N/A")</f>
        <v>N/A</v>
      </c>
      <c r="U308" s="58" t="str" cm="1">
        <f t="array" ref="U308">_xlfn._xlws.FILTER(Competitions[compID], (Fixtures[[#This Row],[competition]] = Competitions[name]), "N/A")</f>
        <v>N/A</v>
      </c>
      <c r="V3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8" s="58" t="str" cm="1">
        <f t="array" ref="W3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8" s="58" t="str" cm="1">
        <f t="array" ref="X308">_xlfn._xlws.FILTER(Teams[name], (Fixtures[[#This Row],[userTeamID]] = Teams[teamID]), "N/A")</f>
        <v>N/A</v>
      </c>
      <c r="Y308" s="58" t="str" cm="1">
        <f t="array" ref="Y308">_xlfn._xlws.FILTER(Teams[teamType], (Fixtures[[#This Row],[userTeamID]] = Teams[teamID]), "N/A")</f>
        <v>N/A</v>
      </c>
      <c r="Z308" s="58" t="str" cm="1">
        <f t="array" ref="Z3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8" s="58" t="str">
        <f>IF(Fixtures[[#This Row],[userSide]] = "N/A", "N/A", IF(Fixtures[[#This Row],[userSide]] = "H", Fixtures[[#This Row],[awayTeam]], Fixtures[[#This Row],[homeTeam]]))</f>
        <v>N/A</v>
      </c>
      <c r="AB308" s="58" t="str" cm="1">
        <f t="array" ref="AB308">_xlfn._xlws.FILTER(Teams[teamID], Fixtures[[#This Row],[oppTeam]] = Teams[name], "N/A")</f>
        <v>N/A</v>
      </c>
      <c r="AC308" s="58" t="str" cm="1">
        <f t="array" ref="AC308">_xlfn._xlws.FILTER(Teams[teamType], Fixtures[[#This Row],[oppTeam]] = Teams[name], "N/A")</f>
        <v>N/A</v>
      </c>
      <c r="AD308" s="58" t="str">
        <f>IF(ISBLANK(Fixtures[[#This Row],[date]]), "N/A", IF(Fixtures[[#This Row],[userSide]]="H", Fixtures[[#This Row],[homeScore]], Fixtures[[#This Row],[awayScore]]))</f>
        <v>N/A</v>
      </c>
      <c r="AE308" s="58" t="str">
        <f>IF(ISBLANK(Fixtures[[#This Row],[date]]), "N/A", IF(Fixtures[[#This Row],[userScore]] = Fixtures[[#This Row],[homeScore]], Fixtures[[#This Row],[awayScore]], Fixtures[[#This Row],[homeScore]]))</f>
        <v>N/A</v>
      </c>
      <c r="AF308" s="58" t="b">
        <f>NOT(AND(ISBLANK(Fixtures[[#This Row],[homePens]]), ISBLANK(Fixtures[[#This Row],[awayPens]])))</f>
        <v>0</v>
      </c>
      <c r="AG308" s="58" t="str">
        <f>IF(Fixtures[[#This Row],[penalties]], IF(Fixtures[[#This Row],[userSide]]="H", Fixtures[[#This Row],[homePens]], Fixtures[[#This Row],[awayPens]]), "N/A")</f>
        <v>N/A</v>
      </c>
      <c r="AH308" s="58" t="str">
        <f>IF(Fixtures[[#This Row],[penalties]], IF(Fixtures[[#This Row],[userPens]]=Fixtures[[#This Row],[homePens]],Fixtures[[#This Row],[awayPens]],Fixtures[[#This Row],[homePens]]), "N/A")</f>
        <v>N/A</v>
      </c>
      <c r="AI308" s="58" t="b">
        <f>COUNTBLANK(Fixtures[[#This Row],[G]:[MOTM]]) = 0</f>
        <v>0</v>
      </c>
      <c r="AJ308" s="58" t="str">
        <f>IF(Fixtures[[#This Row],[APP]], Fixtures[[#This Row],[G]]+Fixtures[[#This Row],[A]], "N/A")</f>
        <v>N/A</v>
      </c>
      <c r="AK3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09" spans="1:39" ht="13">
      <c r="A309" s="55"/>
      <c r="B309" s="61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7"/>
      <c r="R309" s="56"/>
      <c r="S309" s="58" t="str" cm="1">
        <f t="array" ref="S309">_xlfn._xlws.FILTER(Competitions[compType], (Fixtures[[#This Row],[competition]] = Competitions[name]), "N/A")</f>
        <v>N/A</v>
      </c>
      <c r="T309" s="58" t="str" cm="1">
        <f t="array" ref="T309">_xlfn._xlws.FILTER(Competitions[exhibition], (Fixtures[[#This Row],[competition]] = Competitions[name]), "N/A")</f>
        <v>N/A</v>
      </c>
      <c r="U309" s="58" t="str" cm="1">
        <f t="array" ref="U309">_xlfn._xlws.FILTER(Competitions[compID], (Fixtures[[#This Row],[competition]] = Competitions[name]), "N/A")</f>
        <v>N/A</v>
      </c>
      <c r="V3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09" s="58" t="str" cm="1">
        <f t="array" ref="W3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09" s="58" t="str" cm="1">
        <f t="array" ref="X309">_xlfn._xlws.FILTER(Teams[name], (Fixtures[[#This Row],[userTeamID]] = Teams[teamID]), "N/A")</f>
        <v>N/A</v>
      </c>
      <c r="Y309" s="58" t="str" cm="1">
        <f t="array" ref="Y309">_xlfn._xlws.FILTER(Teams[teamType], (Fixtures[[#This Row],[userTeamID]] = Teams[teamID]), "N/A")</f>
        <v>N/A</v>
      </c>
      <c r="Z309" s="58" t="str" cm="1">
        <f t="array" ref="Z3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09" s="58" t="str">
        <f>IF(Fixtures[[#This Row],[userSide]] = "N/A", "N/A", IF(Fixtures[[#This Row],[userSide]] = "H", Fixtures[[#This Row],[awayTeam]], Fixtures[[#This Row],[homeTeam]]))</f>
        <v>N/A</v>
      </c>
      <c r="AB309" s="58" t="str" cm="1">
        <f t="array" ref="AB309">_xlfn._xlws.FILTER(Teams[teamID], Fixtures[[#This Row],[oppTeam]] = Teams[name], "N/A")</f>
        <v>N/A</v>
      </c>
      <c r="AC309" s="58" t="str" cm="1">
        <f t="array" ref="AC309">_xlfn._xlws.FILTER(Teams[teamType], Fixtures[[#This Row],[oppTeam]] = Teams[name], "N/A")</f>
        <v>N/A</v>
      </c>
      <c r="AD309" s="58" t="str">
        <f>IF(ISBLANK(Fixtures[[#This Row],[date]]), "N/A", IF(Fixtures[[#This Row],[userSide]]="H", Fixtures[[#This Row],[homeScore]], Fixtures[[#This Row],[awayScore]]))</f>
        <v>N/A</v>
      </c>
      <c r="AE309" s="58" t="str">
        <f>IF(ISBLANK(Fixtures[[#This Row],[date]]), "N/A", IF(Fixtures[[#This Row],[userScore]] = Fixtures[[#This Row],[homeScore]], Fixtures[[#This Row],[awayScore]], Fixtures[[#This Row],[homeScore]]))</f>
        <v>N/A</v>
      </c>
      <c r="AF309" s="58" t="b">
        <f>NOT(AND(ISBLANK(Fixtures[[#This Row],[homePens]]), ISBLANK(Fixtures[[#This Row],[awayPens]])))</f>
        <v>0</v>
      </c>
      <c r="AG309" s="58" t="str">
        <f>IF(Fixtures[[#This Row],[penalties]], IF(Fixtures[[#This Row],[userSide]]="H", Fixtures[[#This Row],[homePens]], Fixtures[[#This Row],[awayPens]]), "N/A")</f>
        <v>N/A</v>
      </c>
      <c r="AH309" s="58" t="str">
        <f>IF(Fixtures[[#This Row],[penalties]], IF(Fixtures[[#This Row],[userPens]]=Fixtures[[#This Row],[homePens]],Fixtures[[#This Row],[awayPens]],Fixtures[[#This Row],[homePens]]), "N/A")</f>
        <v>N/A</v>
      </c>
      <c r="AI309" s="58" t="b">
        <f>COUNTBLANK(Fixtures[[#This Row],[G]:[MOTM]]) = 0</f>
        <v>0</v>
      </c>
      <c r="AJ309" s="58" t="str">
        <f>IF(Fixtures[[#This Row],[APP]], Fixtures[[#This Row],[G]]+Fixtures[[#This Row],[A]], "N/A")</f>
        <v>N/A</v>
      </c>
      <c r="AK3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0" spans="1:39" ht="13">
      <c r="A310" s="55"/>
      <c r="B310" s="61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7"/>
      <c r="R310" s="56"/>
      <c r="S310" s="58" t="str" cm="1">
        <f t="array" ref="S310">_xlfn._xlws.FILTER(Competitions[compType], (Fixtures[[#This Row],[competition]] = Competitions[name]), "N/A")</f>
        <v>N/A</v>
      </c>
      <c r="T310" s="58" t="str" cm="1">
        <f t="array" ref="T310">_xlfn._xlws.FILTER(Competitions[exhibition], (Fixtures[[#This Row],[competition]] = Competitions[name]), "N/A")</f>
        <v>N/A</v>
      </c>
      <c r="U310" s="58" t="str" cm="1">
        <f t="array" ref="U310">_xlfn._xlws.FILTER(Competitions[compID], (Fixtures[[#This Row],[competition]] = Competitions[name]), "N/A")</f>
        <v>N/A</v>
      </c>
      <c r="V3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0" s="58" t="str" cm="1">
        <f t="array" ref="W3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0" s="58" t="str" cm="1">
        <f t="array" ref="X310">_xlfn._xlws.FILTER(Teams[name], (Fixtures[[#This Row],[userTeamID]] = Teams[teamID]), "N/A")</f>
        <v>N/A</v>
      </c>
      <c r="Y310" s="58" t="str" cm="1">
        <f t="array" ref="Y310">_xlfn._xlws.FILTER(Teams[teamType], (Fixtures[[#This Row],[userTeamID]] = Teams[teamID]), "N/A")</f>
        <v>N/A</v>
      </c>
      <c r="Z310" s="58" t="str" cm="1">
        <f t="array" ref="Z3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0" s="58" t="str">
        <f>IF(Fixtures[[#This Row],[userSide]] = "N/A", "N/A", IF(Fixtures[[#This Row],[userSide]] = "H", Fixtures[[#This Row],[awayTeam]], Fixtures[[#This Row],[homeTeam]]))</f>
        <v>N/A</v>
      </c>
      <c r="AB310" s="58" t="str" cm="1">
        <f t="array" ref="AB310">_xlfn._xlws.FILTER(Teams[teamID], Fixtures[[#This Row],[oppTeam]] = Teams[name], "N/A")</f>
        <v>N/A</v>
      </c>
      <c r="AC310" s="58" t="str" cm="1">
        <f t="array" ref="AC310">_xlfn._xlws.FILTER(Teams[teamType], Fixtures[[#This Row],[oppTeam]] = Teams[name], "N/A")</f>
        <v>N/A</v>
      </c>
      <c r="AD310" s="58" t="str">
        <f>IF(ISBLANK(Fixtures[[#This Row],[date]]), "N/A", IF(Fixtures[[#This Row],[userSide]]="H", Fixtures[[#This Row],[homeScore]], Fixtures[[#This Row],[awayScore]]))</f>
        <v>N/A</v>
      </c>
      <c r="AE310" s="58" t="str">
        <f>IF(ISBLANK(Fixtures[[#This Row],[date]]), "N/A", IF(Fixtures[[#This Row],[userScore]] = Fixtures[[#This Row],[homeScore]], Fixtures[[#This Row],[awayScore]], Fixtures[[#This Row],[homeScore]]))</f>
        <v>N/A</v>
      </c>
      <c r="AF310" s="58" t="b">
        <f>NOT(AND(ISBLANK(Fixtures[[#This Row],[homePens]]), ISBLANK(Fixtures[[#This Row],[awayPens]])))</f>
        <v>0</v>
      </c>
      <c r="AG310" s="58" t="str">
        <f>IF(Fixtures[[#This Row],[penalties]], IF(Fixtures[[#This Row],[userSide]]="H", Fixtures[[#This Row],[homePens]], Fixtures[[#This Row],[awayPens]]), "N/A")</f>
        <v>N/A</v>
      </c>
      <c r="AH310" s="58" t="str">
        <f>IF(Fixtures[[#This Row],[penalties]], IF(Fixtures[[#This Row],[userPens]]=Fixtures[[#This Row],[homePens]],Fixtures[[#This Row],[awayPens]],Fixtures[[#This Row],[homePens]]), "N/A")</f>
        <v>N/A</v>
      </c>
      <c r="AI310" s="58" t="b">
        <f>COUNTBLANK(Fixtures[[#This Row],[G]:[MOTM]]) = 0</f>
        <v>0</v>
      </c>
      <c r="AJ310" s="58" t="str">
        <f>IF(Fixtures[[#This Row],[APP]], Fixtures[[#This Row],[G]]+Fixtures[[#This Row],[A]], "N/A")</f>
        <v>N/A</v>
      </c>
      <c r="AK3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1" spans="1:39" ht="13">
      <c r="A311" s="55"/>
      <c r="B311" s="61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7"/>
      <c r="R311" s="56"/>
      <c r="S311" s="58" t="str" cm="1">
        <f t="array" ref="S311">_xlfn._xlws.FILTER(Competitions[compType], (Fixtures[[#This Row],[competition]] = Competitions[name]), "N/A")</f>
        <v>N/A</v>
      </c>
      <c r="T311" s="58" t="str" cm="1">
        <f t="array" ref="T311">_xlfn._xlws.FILTER(Competitions[exhibition], (Fixtures[[#This Row],[competition]] = Competitions[name]), "N/A")</f>
        <v>N/A</v>
      </c>
      <c r="U311" s="58" t="str" cm="1">
        <f t="array" ref="U311">_xlfn._xlws.FILTER(Competitions[compID], (Fixtures[[#This Row],[competition]] = Competitions[name]), "N/A")</f>
        <v>N/A</v>
      </c>
      <c r="V3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1" s="58" t="str" cm="1">
        <f t="array" ref="W3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1" s="58" t="str" cm="1">
        <f t="array" ref="X311">_xlfn._xlws.FILTER(Teams[name], (Fixtures[[#This Row],[userTeamID]] = Teams[teamID]), "N/A")</f>
        <v>N/A</v>
      </c>
      <c r="Y311" s="58" t="str" cm="1">
        <f t="array" ref="Y311">_xlfn._xlws.FILTER(Teams[teamType], (Fixtures[[#This Row],[userTeamID]] = Teams[teamID]), "N/A")</f>
        <v>N/A</v>
      </c>
      <c r="Z311" s="58" t="str" cm="1">
        <f t="array" ref="Z3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1" s="58" t="str">
        <f>IF(Fixtures[[#This Row],[userSide]] = "N/A", "N/A", IF(Fixtures[[#This Row],[userSide]] = "H", Fixtures[[#This Row],[awayTeam]], Fixtures[[#This Row],[homeTeam]]))</f>
        <v>N/A</v>
      </c>
      <c r="AB311" s="58" t="str" cm="1">
        <f t="array" ref="AB311">_xlfn._xlws.FILTER(Teams[teamID], Fixtures[[#This Row],[oppTeam]] = Teams[name], "N/A")</f>
        <v>N/A</v>
      </c>
      <c r="AC311" s="58" t="str" cm="1">
        <f t="array" ref="AC311">_xlfn._xlws.FILTER(Teams[teamType], Fixtures[[#This Row],[oppTeam]] = Teams[name], "N/A")</f>
        <v>N/A</v>
      </c>
      <c r="AD311" s="58" t="str">
        <f>IF(ISBLANK(Fixtures[[#This Row],[date]]), "N/A", IF(Fixtures[[#This Row],[userSide]]="H", Fixtures[[#This Row],[homeScore]], Fixtures[[#This Row],[awayScore]]))</f>
        <v>N/A</v>
      </c>
      <c r="AE311" s="58" t="str">
        <f>IF(ISBLANK(Fixtures[[#This Row],[date]]), "N/A", IF(Fixtures[[#This Row],[userScore]] = Fixtures[[#This Row],[homeScore]], Fixtures[[#This Row],[awayScore]], Fixtures[[#This Row],[homeScore]]))</f>
        <v>N/A</v>
      </c>
      <c r="AF311" s="58" t="b">
        <f>NOT(AND(ISBLANK(Fixtures[[#This Row],[homePens]]), ISBLANK(Fixtures[[#This Row],[awayPens]])))</f>
        <v>0</v>
      </c>
      <c r="AG311" s="58" t="str">
        <f>IF(Fixtures[[#This Row],[penalties]], IF(Fixtures[[#This Row],[userSide]]="H", Fixtures[[#This Row],[homePens]], Fixtures[[#This Row],[awayPens]]), "N/A")</f>
        <v>N/A</v>
      </c>
      <c r="AH311" s="58" t="str">
        <f>IF(Fixtures[[#This Row],[penalties]], IF(Fixtures[[#This Row],[userPens]]=Fixtures[[#This Row],[homePens]],Fixtures[[#This Row],[awayPens]],Fixtures[[#This Row],[homePens]]), "N/A")</f>
        <v>N/A</v>
      </c>
      <c r="AI311" s="58" t="b">
        <f>COUNTBLANK(Fixtures[[#This Row],[G]:[MOTM]]) = 0</f>
        <v>0</v>
      </c>
      <c r="AJ311" s="58" t="str">
        <f>IF(Fixtures[[#This Row],[APP]], Fixtures[[#This Row],[G]]+Fixtures[[#This Row],[A]], "N/A")</f>
        <v>N/A</v>
      </c>
      <c r="AK3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2" spans="1:39" ht="13">
      <c r="A312" s="55"/>
      <c r="B312" s="61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7"/>
      <c r="R312" s="56"/>
      <c r="S312" s="58" t="str" cm="1">
        <f t="array" ref="S312">_xlfn._xlws.FILTER(Competitions[compType], (Fixtures[[#This Row],[competition]] = Competitions[name]), "N/A")</f>
        <v>N/A</v>
      </c>
      <c r="T312" s="58" t="str" cm="1">
        <f t="array" ref="T312">_xlfn._xlws.FILTER(Competitions[exhibition], (Fixtures[[#This Row],[competition]] = Competitions[name]), "N/A")</f>
        <v>N/A</v>
      </c>
      <c r="U312" s="58" t="str" cm="1">
        <f t="array" ref="U312">_xlfn._xlws.FILTER(Competitions[compID], (Fixtures[[#This Row],[competition]] = Competitions[name]), "N/A")</f>
        <v>N/A</v>
      </c>
      <c r="V3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2" s="58" t="str" cm="1">
        <f t="array" ref="W3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2" s="58" t="str" cm="1">
        <f t="array" ref="X312">_xlfn._xlws.FILTER(Teams[name], (Fixtures[[#This Row],[userTeamID]] = Teams[teamID]), "N/A")</f>
        <v>N/A</v>
      </c>
      <c r="Y312" s="58" t="str" cm="1">
        <f t="array" ref="Y312">_xlfn._xlws.FILTER(Teams[teamType], (Fixtures[[#This Row],[userTeamID]] = Teams[teamID]), "N/A")</f>
        <v>N/A</v>
      </c>
      <c r="Z312" s="58" t="str" cm="1">
        <f t="array" ref="Z3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2" s="58" t="str">
        <f>IF(Fixtures[[#This Row],[userSide]] = "N/A", "N/A", IF(Fixtures[[#This Row],[userSide]] = "H", Fixtures[[#This Row],[awayTeam]], Fixtures[[#This Row],[homeTeam]]))</f>
        <v>N/A</v>
      </c>
      <c r="AB312" s="58" t="str" cm="1">
        <f t="array" ref="AB312">_xlfn._xlws.FILTER(Teams[teamID], Fixtures[[#This Row],[oppTeam]] = Teams[name], "N/A")</f>
        <v>N/A</v>
      </c>
      <c r="AC312" s="58" t="str" cm="1">
        <f t="array" ref="AC312">_xlfn._xlws.FILTER(Teams[teamType], Fixtures[[#This Row],[oppTeam]] = Teams[name], "N/A")</f>
        <v>N/A</v>
      </c>
      <c r="AD312" s="58" t="str">
        <f>IF(ISBLANK(Fixtures[[#This Row],[date]]), "N/A", IF(Fixtures[[#This Row],[userSide]]="H", Fixtures[[#This Row],[homeScore]], Fixtures[[#This Row],[awayScore]]))</f>
        <v>N/A</v>
      </c>
      <c r="AE312" s="58" t="str">
        <f>IF(ISBLANK(Fixtures[[#This Row],[date]]), "N/A", IF(Fixtures[[#This Row],[userScore]] = Fixtures[[#This Row],[homeScore]], Fixtures[[#This Row],[awayScore]], Fixtures[[#This Row],[homeScore]]))</f>
        <v>N/A</v>
      </c>
      <c r="AF312" s="58" t="b">
        <f>NOT(AND(ISBLANK(Fixtures[[#This Row],[homePens]]), ISBLANK(Fixtures[[#This Row],[awayPens]])))</f>
        <v>0</v>
      </c>
      <c r="AG312" s="58" t="str">
        <f>IF(Fixtures[[#This Row],[penalties]], IF(Fixtures[[#This Row],[userSide]]="H", Fixtures[[#This Row],[homePens]], Fixtures[[#This Row],[awayPens]]), "N/A")</f>
        <v>N/A</v>
      </c>
      <c r="AH312" s="58" t="str">
        <f>IF(Fixtures[[#This Row],[penalties]], IF(Fixtures[[#This Row],[userPens]]=Fixtures[[#This Row],[homePens]],Fixtures[[#This Row],[awayPens]],Fixtures[[#This Row],[homePens]]), "N/A")</f>
        <v>N/A</v>
      </c>
      <c r="AI312" s="58" t="b">
        <f>COUNTBLANK(Fixtures[[#This Row],[G]:[MOTM]]) = 0</f>
        <v>0</v>
      </c>
      <c r="AJ312" s="58" t="str">
        <f>IF(Fixtures[[#This Row],[APP]], Fixtures[[#This Row],[G]]+Fixtures[[#This Row],[A]], "N/A")</f>
        <v>N/A</v>
      </c>
      <c r="AK3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3" spans="1:39" ht="13">
      <c r="A313" s="55"/>
      <c r="B313" s="61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7"/>
      <c r="R313" s="56"/>
      <c r="S313" s="58" t="str" cm="1">
        <f t="array" ref="S313">_xlfn._xlws.FILTER(Competitions[compType], (Fixtures[[#This Row],[competition]] = Competitions[name]), "N/A")</f>
        <v>N/A</v>
      </c>
      <c r="T313" s="58" t="str" cm="1">
        <f t="array" ref="T313">_xlfn._xlws.FILTER(Competitions[exhibition], (Fixtures[[#This Row],[competition]] = Competitions[name]), "N/A")</f>
        <v>N/A</v>
      </c>
      <c r="U313" s="58" t="str" cm="1">
        <f t="array" ref="U313">_xlfn._xlws.FILTER(Competitions[compID], (Fixtures[[#This Row],[competition]] = Competitions[name]), "N/A")</f>
        <v>N/A</v>
      </c>
      <c r="V3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3" s="58" t="str" cm="1">
        <f t="array" ref="W3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3" s="58" t="str" cm="1">
        <f t="array" ref="X313">_xlfn._xlws.FILTER(Teams[name], (Fixtures[[#This Row],[userTeamID]] = Teams[teamID]), "N/A")</f>
        <v>N/A</v>
      </c>
      <c r="Y313" s="58" t="str" cm="1">
        <f t="array" ref="Y313">_xlfn._xlws.FILTER(Teams[teamType], (Fixtures[[#This Row],[userTeamID]] = Teams[teamID]), "N/A")</f>
        <v>N/A</v>
      </c>
      <c r="Z313" s="58" t="str" cm="1">
        <f t="array" ref="Z3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3" s="58" t="str">
        <f>IF(Fixtures[[#This Row],[userSide]] = "N/A", "N/A", IF(Fixtures[[#This Row],[userSide]] = "H", Fixtures[[#This Row],[awayTeam]], Fixtures[[#This Row],[homeTeam]]))</f>
        <v>N/A</v>
      </c>
      <c r="AB313" s="58" t="str" cm="1">
        <f t="array" ref="AB313">_xlfn._xlws.FILTER(Teams[teamID], Fixtures[[#This Row],[oppTeam]] = Teams[name], "N/A")</f>
        <v>N/A</v>
      </c>
      <c r="AC313" s="58" t="str" cm="1">
        <f t="array" ref="AC313">_xlfn._xlws.FILTER(Teams[teamType], Fixtures[[#This Row],[oppTeam]] = Teams[name], "N/A")</f>
        <v>N/A</v>
      </c>
      <c r="AD313" s="58" t="str">
        <f>IF(ISBLANK(Fixtures[[#This Row],[date]]), "N/A", IF(Fixtures[[#This Row],[userSide]]="H", Fixtures[[#This Row],[homeScore]], Fixtures[[#This Row],[awayScore]]))</f>
        <v>N/A</v>
      </c>
      <c r="AE313" s="58" t="str">
        <f>IF(ISBLANK(Fixtures[[#This Row],[date]]), "N/A", IF(Fixtures[[#This Row],[userScore]] = Fixtures[[#This Row],[homeScore]], Fixtures[[#This Row],[awayScore]], Fixtures[[#This Row],[homeScore]]))</f>
        <v>N/A</v>
      </c>
      <c r="AF313" s="58" t="b">
        <f>NOT(AND(ISBLANK(Fixtures[[#This Row],[homePens]]), ISBLANK(Fixtures[[#This Row],[awayPens]])))</f>
        <v>0</v>
      </c>
      <c r="AG313" s="58" t="str">
        <f>IF(Fixtures[[#This Row],[penalties]], IF(Fixtures[[#This Row],[userSide]]="H", Fixtures[[#This Row],[homePens]], Fixtures[[#This Row],[awayPens]]), "N/A")</f>
        <v>N/A</v>
      </c>
      <c r="AH313" s="58" t="str">
        <f>IF(Fixtures[[#This Row],[penalties]], IF(Fixtures[[#This Row],[userPens]]=Fixtures[[#This Row],[homePens]],Fixtures[[#This Row],[awayPens]],Fixtures[[#This Row],[homePens]]), "N/A")</f>
        <v>N/A</v>
      </c>
      <c r="AI313" s="58" t="b">
        <f>COUNTBLANK(Fixtures[[#This Row],[G]:[MOTM]]) = 0</f>
        <v>0</v>
      </c>
      <c r="AJ313" s="58" t="str">
        <f>IF(Fixtures[[#This Row],[APP]], Fixtures[[#This Row],[G]]+Fixtures[[#This Row],[A]], "N/A")</f>
        <v>N/A</v>
      </c>
      <c r="AK3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4" spans="1:39" ht="13">
      <c r="A314" s="55"/>
      <c r="B314" s="61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7"/>
      <c r="R314" s="56"/>
      <c r="S314" s="58" t="str" cm="1">
        <f t="array" ref="S314">_xlfn._xlws.FILTER(Competitions[compType], (Fixtures[[#This Row],[competition]] = Competitions[name]), "N/A")</f>
        <v>N/A</v>
      </c>
      <c r="T314" s="58" t="str" cm="1">
        <f t="array" ref="T314">_xlfn._xlws.FILTER(Competitions[exhibition], (Fixtures[[#This Row],[competition]] = Competitions[name]), "N/A")</f>
        <v>N/A</v>
      </c>
      <c r="U314" s="58" t="str" cm="1">
        <f t="array" ref="U314">_xlfn._xlws.FILTER(Competitions[compID], (Fixtures[[#This Row],[competition]] = Competitions[name]), "N/A")</f>
        <v>N/A</v>
      </c>
      <c r="V3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4" s="58" t="str" cm="1">
        <f t="array" ref="W3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4" s="58" t="str" cm="1">
        <f t="array" ref="X314">_xlfn._xlws.FILTER(Teams[name], (Fixtures[[#This Row],[userTeamID]] = Teams[teamID]), "N/A")</f>
        <v>N/A</v>
      </c>
      <c r="Y314" s="58" t="str" cm="1">
        <f t="array" ref="Y314">_xlfn._xlws.FILTER(Teams[teamType], (Fixtures[[#This Row],[userTeamID]] = Teams[teamID]), "N/A")</f>
        <v>N/A</v>
      </c>
      <c r="Z314" s="58" t="str" cm="1">
        <f t="array" ref="Z3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4" s="58" t="str">
        <f>IF(Fixtures[[#This Row],[userSide]] = "N/A", "N/A", IF(Fixtures[[#This Row],[userSide]] = "H", Fixtures[[#This Row],[awayTeam]], Fixtures[[#This Row],[homeTeam]]))</f>
        <v>N/A</v>
      </c>
      <c r="AB314" s="58" t="str" cm="1">
        <f t="array" ref="AB314">_xlfn._xlws.FILTER(Teams[teamID], Fixtures[[#This Row],[oppTeam]] = Teams[name], "N/A")</f>
        <v>N/A</v>
      </c>
      <c r="AC314" s="58" t="str" cm="1">
        <f t="array" ref="AC314">_xlfn._xlws.FILTER(Teams[teamType], Fixtures[[#This Row],[oppTeam]] = Teams[name], "N/A")</f>
        <v>N/A</v>
      </c>
      <c r="AD314" s="58" t="str">
        <f>IF(ISBLANK(Fixtures[[#This Row],[date]]), "N/A", IF(Fixtures[[#This Row],[userSide]]="H", Fixtures[[#This Row],[homeScore]], Fixtures[[#This Row],[awayScore]]))</f>
        <v>N/A</v>
      </c>
      <c r="AE314" s="58" t="str">
        <f>IF(ISBLANK(Fixtures[[#This Row],[date]]), "N/A", IF(Fixtures[[#This Row],[userScore]] = Fixtures[[#This Row],[homeScore]], Fixtures[[#This Row],[awayScore]], Fixtures[[#This Row],[homeScore]]))</f>
        <v>N/A</v>
      </c>
      <c r="AF314" s="58" t="b">
        <f>NOT(AND(ISBLANK(Fixtures[[#This Row],[homePens]]), ISBLANK(Fixtures[[#This Row],[awayPens]])))</f>
        <v>0</v>
      </c>
      <c r="AG314" s="58" t="str">
        <f>IF(Fixtures[[#This Row],[penalties]], IF(Fixtures[[#This Row],[userSide]]="H", Fixtures[[#This Row],[homePens]], Fixtures[[#This Row],[awayPens]]), "N/A")</f>
        <v>N/A</v>
      </c>
      <c r="AH314" s="58" t="str">
        <f>IF(Fixtures[[#This Row],[penalties]], IF(Fixtures[[#This Row],[userPens]]=Fixtures[[#This Row],[homePens]],Fixtures[[#This Row],[awayPens]],Fixtures[[#This Row],[homePens]]), "N/A")</f>
        <v>N/A</v>
      </c>
      <c r="AI314" s="58" t="b">
        <f>COUNTBLANK(Fixtures[[#This Row],[G]:[MOTM]]) = 0</f>
        <v>0</v>
      </c>
      <c r="AJ314" s="58" t="str">
        <f>IF(Fixtures[[#This Row],[APP]], Fixtures[[#This Row],[G]]+Fixtures[[#This Row],[A]], "N/A")</f>
        <v>N/A</v>
      </c>
      <c r="AK3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5" spans="1:39" ht="13">
      <c r="A315" s="55"/>
      <c r="B315" s="61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7"/>
      <c r="R315" s="56"/>
      <c r="S315" s="58" t="str" cm="1">
        <f t="array" ref="S315">_xlfn._xlws.FILTER(Competitions[compType], (Fixtures[[#This Row],[competition]] = Competitions[name]), "N/A")</f>
        <v>N/A</v>
      </c>
      <c r="T315" s="58" t="str" cm="1">
        <f t="array" ref="T315">_xlfn._xlws.FILTER(Competitions[exhibition], (Fixtures[[#This Row],[competition]] = Competitions[name]), "N/A")</f>
        <v>N/A</v>
      </c>
      <c r="U315" s="58" t="str" cm="1">
        <f t="array" ref="U315">_xlfn._xlws.FILTER(Competitions[compID], (Fixtures[[#This Row],[competition]] = Competitions[name]), "N/A")</f>
        <v>N/A</v>
      </c>
      <c r="V3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5" s="58" t="str" cm="1">
        <f t="array" ref="W3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5" s="58" t="str" cm="1">
        <f t="array" ref="X315">_xlfn._xlws.FILTER(Teams[name], (Fixtures[[#This Row],[userTeamID]] = Teams[teamID]), "N/A")</f>
        <v>N/A</v>
      </c>
      <c r="Y315" s="58" t="str" cm="1">
        <f t="array" ref="Y315">_xlfn._xlws.FILTER(Teams[teamType], (Fixtures[[#This Row],[userTeamID]] = Teams[teamID]), "N/A")</f>
        <v>N/A</v>
      </c>
      <c r="Z315" s="58" t="str" cm="1">
        <f t="array" ref="Z3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5" s="58" t="str">
        <f>IF(Fixtures[[#This Row],[userSide]] = "N/A", "N/A", IF(Fixtures[[#This Row],[userSide]] = "H", Fixtures[[#This Row],[awayTeam]], Fixtures[[#This Row],[homeTeam]]))</f>
        <v>N/A</v>
      </c>
      <c r="AB315" s="58" t="str" cm="1">
        <f t="array" ref="AB315">_xlfn._xlws.FILTER(Teams[teamID], Fixtures[[#This Row],[oppTeam]] = Teams[name], "N/A")</f>
        <v>N/A</v>
      </c>
      <c r="AC315" s="58" t="str" cm="1">
        <f t="array" ref="AC315">_xlfn._xlws.FILTER(Teams[teamType], Fixtures[[#This Row],[oppTeam]] = Teams[name], "N/A")</f>
        <v>N/A</v>
      </c>
      <c r="AD315" s="58" t="str">
        <f>IF(ISBLANK(Fixtures[[#This Row],[date]]), "N/A", IF(Fixtures[[#This Row],[userSide]]="H", Fixtures[[#This Row],[homeScore]], Fixtures[[#This Row],[awayScore]]))</f>
        <v>N/A</v>
      </c>
      <c r="AE315" s="58" t="str">
        <f>IF(ISBLANK(Fixtures[[#This Row],[date]]), "N/A", IF(Fixtures[[#This Row],[userScore]] = Fixtures[[#This Row],[homeScore]], Fixtures[[#This Row],[awayScore]], Fixtures[[#This Row],[homeScore]]))</f>
        <v>N/A</v>
      </c>
      <c r="AF315" s="58" t="b">
        <f>NOT(AND(ISBLANK(Fixtures[[#This Row],[homePens]]), ISBLANK(Fixtures[[#This Row],[awayPens]])))</f>
        <v>0</v>
      </c>
      <c r="AG315" s="58" t="str">
        <f>IF(Fixtures[[#This Row],[penalties]], IF(Fixtures[[#This Row],[userSide]]="H", Fixtures[[#This Row],[homePens]], Fixtures[[#This Row],[awayPens]]), "N/A")</f>
        <v>N/A</v>
      </c>
      <c r="AH315" s="58" t="str">
        <f>IF(Fixtures[[#This Row],[penalties]], IF(Fixtures[[#This Row],[userPens]]=Fixtures[[#This Row],[homePens]],Fixtures[[#This Row],[awayPens]],Fixtures[[#This Row],[homePens]]), "N/A")</f>
        <v>N/A</v>
      </c>
      <c r="AI315" s="58" t="b">
        <f>COUNTBLANK(Fixtures[[#This Row],[G]:[MOTM]]) = 0</f>
        <v>0</v>
      </c>
      <c r="AJ315" s="58" t="str">
        <f>IF(Fixtures[[#This Row],[APP]], Fixtures[[#This Row],[G]]+Fixtures[[#This Row],[A]], "N/A")</f>
        <v>N/A</v>
      </c>
      <c r="AK3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6" spans="1:39" ht="13">
      <c r="A316" s="55"/>
      <c r="B316" s="61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7"/>
      <c r="R316" s="56"/>
      <c r="S316" s="58" t="str" cm="1">
        <f t="array" ref="S316">_xlfn._xlws.FILTER(Competitions[compType], (Fixtures[[#This Row],[competition]] = Competitions[name]), "N/A")</f>
        <v>N/A</v>
      </c>
      <c r="T316" s="58" t="str" cm="1">
        <f t="array" ref="T316">_xlfn._xlws.FILTER(Competitions[exhibition], (Fixtures[[#This Row],[competition]] = Competitions[name]), "N/A")</f>
        <v>N/A</v>
      </c>
      <c r="U316" s="58" t="str" cm="1">
        <f t="array" ref="U316">_xlfn._xlws.FILTER(Competitions[compID], (Fixtures[[#This Row],[competition]] = Competitions[name]), "N/A")</f>
        <v>N/A</v>
      </c>
      <c r="V3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6" s="58" t="str" cm="1">
        <f t="array" ref="W3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6" s="58" t="str" cm="1">
        <f t="array" ref="X316">_xlfn._xlws.FILTER(Teams[name], (Fixtures[[#This Row],[userTeamID]] = Teams[teamID]), "N/A")</f>
        <v>N/A</v>
      </c>
      <c r="Y316" s="58" t="str" cm="1">
        <f t="array" ref="Y316">_xlfn._xlws.FILTER(Teams[teamType], (Fixtures[[#This Row],[userTeamID]] = Teams[teamID]), "N/A")</f>
        <v>N/A</v>
      </c>
      <c r="Z316" s="58" t="str" cm="1">
        <f t="array" ref="Z3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6" s="58" t="str">
        <f>IF(Fixtures[[#This Row],[userSide]] = "N/A", "N/A", IF(Fixtures[[#This Row],[userSide]] = "H", Fixtures[[#This Row],[awayTeam]], Fixtures[[#This Row],[homeTeam]]))</f>
        <v>N/A</v>
      </c>
      <c r="AB316" s="58" t="str" cm="1">
        <f t="array" ref="AB316">_xlfn._xlws.FILTER(Teams[teamID], Fixtures[[#This Row],[oppTeam]] = Teams[name], "N/A")</f>
        <v>N/A</v>
      </c>
      <c r="AC316" s="58" t="str" cm="1">
        <f t="array" ref="AC316">_xlfn._xlws.FILTER(Teams[teamType], Fixtures[[#This Row],[oppTeam]] = Teams[name], "N/A")</f>
        <v>N/A</v>
      </c>
      <c r="AD316" s="58" t="str">
        <f>IF(ISBLANK(Fixtures[[#This Row],[date]]), "N/A", IF(Fixtures[[#This Row],[userSide]]="H", Fixtures[[#This Row],[homeScore]], Fixtures[[#This Row],[awayScore]]))</f>
        <v>N/A</v>
      </c>
      <c r="AE316" s="58" t="str">
        <f>IF(ISBLANK(Fixtures[[#This Row],[date]]), "N/A", IF(Fixtures[[#This Row],[userScore]] = Fixtures[[#This Row],[homeScore]], Fixtures[[#This Row],[awayScore]], Fixtures[[#This Row],[homeScore]]))</f>
        <v>N/A</v>
      </c>
      <c r="AF316" s="58" t="b">
        <f>NOT(AND(ISBLANK(Fixtures[[#This Row],[homePens]]), ISBLANK(Fixtures[[#This Row],[awayPens]])))</f>
        <v>0</v>
      </c>
      <c r="AG316" s="58" t="str">
        <f>IF(Fixtures[[#This Row],[penalties]], IF(Fixtures[[#This Row],[userSide]]="H", Fixtures[[#This Row],[homePens]], Fixtures[[#This Row],[awayPens]]), "N/A")</f>
        <v>N/A</v>
      </c>
      <c r="AH316" s="58" t="str">
        <f>IF(Fixtures[[#This Row],[penalties]], IF(Fixtures[[#This Row],[userPens]]=Fixtures[[#This Row],[homePens]],Fixtures[[#This Row],[awayPens]],Fixtures[[#This Row],[homePens]]), "N/A")</f>
        <v>N/A</v>
      </c>
      <c r="AI316" s="58" t="b">
        <f>COUNTBLANK(Fixtures[[#This Row],[G]:[MOTM]]) = 0</f>
        <v>0</v>
      </c>
      <c r="AJ316" s="58" t="str">
        <f>IF(Fixtures[[#This Row],[APP]], Fixtures[[#This Row],[G]]+Fixtures[[#This Row],[A]], "N/A")</f>
        <v>N/A</v>
      </c>
      <c r="AK3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7" spans="1:39" ht="13">
      <c r="A317" s="55"/>
      <c r="B317" s="61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7"/>
      <c r="R317" s="56"/>
      <c r="S317" s="58" t="str" cm="1">
        <f t="array" ref="S317">_xlfn._xlws.FILTER(Competitions[compType], (Fixtures[[#This Row],[competition]] = Competitions[name]), "N/A")</f>
        <v>N/A</v>
      </c>
      <c r="T317" s="58" t="str" cm="1">
        <f t="array" ref="T317">_xlfn._xlws.FILTER(Competitions[exhibition], (Fixtures[[#This Row],[competition]] = Competitions[name]), "N/A")</f>
        <v>N/A</v>
      </c>
      <c r="U317" s="58" t="str" cm="1">
        <f t="array" ref="U317">_xlfn._xlws.FILTER(Competitions[compID], (Fixtures[[#This Row],[competition]] = Competitions[name]), "N/A")</f>
        <v>N/A</v>
      </c>
      <c r="V3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7" s="58" t="str" cm="1">
        <f t="array" ref="W3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7" s="58" t="str" cm="1">
        <f t="array" ref="X317">_xlfn._xlws.FILTER(Teams[name], (Fixtures[[#This Row],[userTeamID]] = Teams[teamID]), "N/A")</f>
        <v>N/A</v>
      </c>
      <c r="Y317" s="58" t="str" cm="1">
        <f t="array" ref="Y317">_xlfn._xlws.FILTER(Teams[teamType], (Fixtures[[#This Row],[userTeamID]] = Teams[teamID]), "N/A")</f>
        <v>N/A</v>
      </c>
      <c r="Z317" s="58" t="str" cm="1">
        <f t="array" ref="Z3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7" s="58" t="str">
        <f>IF(Fixtures[[#This Row],[userSide]] = "N/A", "N/A", IF(Fixtures[[#This Row],[userSide]] = "H", Fixtures[[#This Row],[awayTeam]], Fixtures[[#This Row],[homeTeam]]))</f>
        <v>N/A</v>
      </c>
      <c r="AB317" s="58" t="str" cm="1">
        <f t="array" ref="AB317">_xlfn._xlws.FILTER(Teams[teamID], Fixtures[[#This Row],[oppTeam]] = Teams[name], "N/A")</f>
        <v>N/A</v>
      </c>
      <c r="AC317" s="58" t="str" cm="1">
        <f t="array" ref="AC317">_xlfn._xlws.FILTER(Teams[teamType], Fixtures[[#This Row],[oppTeam]] = Teams[name], "N/A")</f>
        <v>N/A</v>
      </c>
      <c r="AD317" s="58" t="str">
        <f>IF(ISBLANK(Fixtures[[#This Row],[date]]), "N/A", IF(Fixtures[[#This Row],[userSide]]="H", Fixtures[[#This Row],[homeScore]], Fixtures[[#This Row],[awayScore]]))</f>
        <v>N/A</v>
      </c>
      <c r="AE317" s="58" t="str">
        <f>IF(ISBLANK(Fixtures[[#This Row],[date]]), "N/A", IF(Fixtures[[#This Row],[userScore]] = Fixtures[[#This Row],[homeScore]], Fixtures[[#This Row],[awayScore]], Fixtures[[#This Row],[homeScore]]))</f>
        <v>N/A</v>
      </c>
      <c r="AF317" s="58" t="b">
        <f>NOT(AND(ISBLANK(Fixtures[[#This Row],[homePens]]), ISBLANK(Fixtures[[#This Row],[awayPens]])))</f>
        <v>0</v>
      </c>
      <c r="AG317" s="58" t="str">
        <f>IF(Fixtures[[#This Row],[penalties]], IF(Fixtures[[#This Row],[userSide]]="H", Fixtures[[#This Row],[homePens]], Fixtures[[#This Row],[awayPens]]), "N/A")</f>
        <v>N/A</v>
      </c>
      <c r="AH317" s="58" t="str">
        <f>IF(Fixtures[[#This Row],[penalties]], IF(Fixtures[[#This Row],[userPens]]=Fixtures[[#This Row],[homePens]],Fixtures[[#This Row],[awayPens]],Fixtures[[#This Row],[homePens]]), "N/A")</f>
        <v>N/A</v>
      </c>
      <c r="AI317" s="58" t="b">
        <f>COUNTBLANK(Fixtures[[#This Row],[G]:[MOTM]]) = 0</f>
        <v>0</v>
      </c>
      <c r="AJ317" s="58" t="str">
        <f>IF(Fixtures[[#This Row],[APP]], Fixtures[[#This Row],[G]]+Fixtures[[#This Row],[A]], "N/A")</f>
        <v>N/A</v>
      </c>
      <c r="AK3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8" spans="1:39" ht="13">
      <c r="A318" s="55"/>
      <c r="B318" s="61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7"/>
      <c r="R318" s="56"/>
      <c r="S318" s="58" t="str" cm="1">
        <f t="array" ref="S318">_xlfn._xlws.FILTER(Competitions[compType], (Fixtures[[#This Row],[competition]] = Competitions[name]), "N/A")</f>
        <v>N/A</v>
      </c>
      <c r="T318" s="58" t="str" cm="1">
        <f t="array" ref="T318">_xlfn._xlws.FILTER(Competitions[exhibition], (Fixtures[[#This Row],[competition]] = Competitions[name]), "N/A")</f>
        <v>N/A</v>
      </c>
      <c r="U318" s="58" t="str" cm="1">
        <f t="array" ref="U318">_xlfn._xlws.FILTER(Competitions[compID], (Fixtures[[#This Row],[competition]] = Competitions[name]), "N/A")</f>
        <v>N/A</v>
      </c>
      <c r="V3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8" s="58" t="str" cm="1">
        <f t="array" ref="W3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8" s="58" t="str" cm="1">
        <f t="array" ref="X318">_xlfn._xlws.FILTER(Teams[name], (Fixtures[[#This Row],[userTeamID]] = Teams[teamID]), "N/A")</f>
        <v>N/A</v>
      </c>
      <c r="Y318" s="58" t="str" cm="1">
        <f t="array" ref="Y318">_xlfn._xlws.FILTER(Teams[teamType], (Fixtures[[#This Row],[userTeamID]] = Teams[teamID]), "N/A")</f>
        <v>N/A</v>
      </c>
      <c r="Z318" s="58" t="str" cm="1">
        <f t="array" ref="Z3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8" s="58" t="str">
        <f>IF(Fixtures[[#This Row],[userSide]] = "N/A", "N/A", IF(Fixtures[[#This Row],[userSide]] = "H", Fixtures[[#This Row],[awayTeam]], Fixtures[[#This Row],[homeTeam]]))</f>
        <v>N/A</v>
      </c>
      <c r="AB318" s="58" t="str" cm="1">
        <f t="array" ref="AB318">_xlfn._xlws.FILTER(Teams[teamID], Fixtures[[#This Row],[oppTeam]] = Teams[name], "N/A")</f>
        <v>N/A</v>
      </c>
      <c r="AC318" s="58" t="str" cm="1">
        <f t="array" ref="AC318">_xlfn._xlws.FILTER(Teams[teamType], Fixtures[[#This Row],[oppTeam]] = Teams[name], "N/A")</f>
        <v>N/A</v>
      </c>
      <c r="AD318" s="58" t="str">
        <f>IF(ISBLANK(Fixtures[[#This Row],[date]]), "N/A", IF(Fixtures[[#This Row],[userSide]]="H", Fixtures[[#This Row],[homeScore]], Fixtures[[#This Row],[awayScore]]))</f>
        <v>N/A</v>
      </c>
      <c r="AE318" s="58" t="str">
        <f>IF(ISBLANK(Fixtures[[#This Row],[date]]), "N/A", IF(Fixtures[[#This Row],[userScore]] = Fixtures[[#This Row],[homeScore]], Fixtures[[#This Row],[awayScore]], Fixtures[[#This Row],[homeScore]]))</f>
        <v>N/A</v>
      </c>
      <c r="AF318" s="58" t="b">
        <f>NOT(AND(ISBLANK(Fixtures[[#This Row],[homePens]]), ISBLANK(Fixtures[[#This Row],[awayPens]])))</f>
        <v>0</v>
      </c>
      <c r="AG318" s="58" t="str">
        <f>IF(Fixtures[[#This Row],[penalties]], IF(Fixtures[[#This Row],[userSide]]="H", Fixtures[[#This Row],[homePens]], Fixtures[[#This Row],[awayPens]]), "N/A")</f>
        <v>N/A</v>
      </c>
      <c r="AH318" s="58" t="str">
        <f>IF(Fixtures[[#This Row],[penalties]], IF(Fixtures[[#This Row],[userPens]]=Fixtures[[#This Row],[homePens]],Fixtures[[#This Row],[awayPens]],Fixtures[[#This Row],[homePens]]), "N/A")</f>
        <v>N/A</v>
      </c>
      <c r="AI318" s="58" t="b">
        <f>COUNTBLANK(Fixtures[[#This Row],[G]:[MOTM]]) = 0</f>
        <v>0</v>
      </c>
      <c r="AJ318" s="58" t="str">
        <f>IF(Fixtures[[#This Row],[APP]], Fixtures[[#This Row],[G]]+Fixtures[[#This Row],[A]], "N/A")</f>
        <v>N/A</v>
      </c>
      <c r="AK3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19" spans="1:39" ht="13">
      <c r="A319" s="55"/>
      <c r="B319" s="61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7"/>
      <c r="R319" s="56"/>
      <c r="S319" s="58" t="str" cm="1">
        <f t="array" ref="S319">_xlfn._xlws.FILTER(Competitions[compType], (Fixtures[[#This Row],[competition]] = Competitions[name]), "N/A")</f>
        <v>N/A</v>
      </c>
      <c r="T319" s="58" t="str" cm="1">
        <f t="array" ref="T319">_xlfn._xlws.FILTER(Competitions[exhibition], (Fixtures[[#This Row],[competition]] = Competitions[name]), "N/A")</f>
        <v>N/A</v>
      </c>
      <c r="U319" s="58" t="str" cm="1">
        <f t="array" ref="U319">_xlfn._xlws.FILTER(Competitions[compID], (Fixtures[[#This Row],[competition]] = Competitions[name]), "N/A")</f>
        <v>N/A</v>
      </c>
      <c r="V3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19" s="58" t="str" cm="1">
        <f t="array" ref="W3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19" s="58" t="str" cm="1">
        <f t="array" ref="X319">_xlfn._xlws.FILTER(Teams[name], (Fixtures[[#This Row],[userTeamID]] = Teams[teamID]), "N/A")</f>
        <v>N/A</v>
      </c>
      <c r="Y319" s="58" t="str" cm="1">
        <f t="array" ref="Y319">_xlfn._xlws.FILTER(Teams[teamType], (Fixtures[[#This Row],[userTeamID]] = Teams[teamID]), "N/A")</f>
        <v>N/A</v>
      </c>
      <c r="Z319" s="58" t="str" cm="1">
        <f t="array" ref="Z3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19" s="58" t="str">
        <f>IF(Fixtures[[#This Row],[userSide]] = "N/A", "N/A", IF(Fixtures[[#This Row],[userSide]] = "H", Fixtures[[#This Row],[awayTeam]], Fixtures[[#This Row],[homeTeam]]))</f>
        <v>N/A</v>
      </c>
      <c r="AB319" s="58" t="str" cm="1">
        <f t="array" ref="AB319">_xlfn._xlws.FILTER(Teams[teamID], Fixtures[[#This Row],[oppTeam]] = Teams[name], "N/A")</f>
        <v>N/A</v>
      </c>
      <c r="AC319" s="58" t="str" cm="1">
        <f t="array" ref="AC319">_xlfn._xlws.FILTER(Teams[teamType], Fixtures[[#This Row],[oppTeam]] = Teams[name], "N/A")</f>
        <v>N/A</v>
      </c>
      <c r="AD319" s="58" t="str">
        <f>IF(ISBLANK(Fixtures[[#This Row],[date]]), "N/A", IF(Fixtures[[#This Row],[userSide]]="H", Fixtures[[#This Row],[homeScore]], Fixtures[[#This Row],[awayScore]]))</f>
        <v>N/A</v>
      </c>
      <c r="AE319" s="58" t="str">
        <f>IF(ISBLANK(Fixtures[[#This Row],[date]]), "N/A", IF(Fixtures[[#This Row],[userScore]] = Fixtures[[#This Row],[homeScore]], Fixtures[[#This Row],[awayScore]], Fixtures[[#This Row],[homeScore]]))</f>
        <v>N/A</v>
      </c>
      <c r="AF319" s="58" t="b">
        <f>NOT(AND(ISBLANK(Fixtures[[#This Row],[homePens]]), ISBLANK(Fixtures[[#This Row],[awayPens]])))</f>
        <v>0</v>
      </c>
      <c r="AG319" s="58" t="str">
        <f>IF(Fixtures[[#This Row],[penalties]], IF(Fixtures[[#This Row],[userSide]]="H", Fixtures[[#This Row],[homePens]], Fixtures[[#This Row],[awayPens]]), "N/A")</f>
        <v>N/A</v>
      </c>
      <c r="AH319" s="58" t="str">
        <f>IF(Fixtures[[#This Row],[penalties]], IF(Fixtures[[#This Row],[userPens]]=Fixtures[[#This Row],[homePens]],Fixtures[[#This Row],[awayPens]],Fixtures[[#This Row],[homePens]]), "N/A")</f>
        <v>N/A</v>
      </c>
      <c r="AI319" s="58" t="b">
        <f>COUNTBLANK(Fixtures[[#This Row],[G]:[MOTM]]) = 0</f>
        <v>0</v>
      </c>
      <c r="AJ319" s="58" t="str">
        <f>IF(Fixtures[[#This Row],[APP]], Fixtures[[#This Row],[G]]+Fixtures[[#This Row],[A]], "N/A")</f>
        <v>N/A</v>
      </c>
      <c r="AK3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0" spans="1:39" ht="13">
      <c r="A320" s="55"/>
      <c r="B320" s="61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7"/>
      <c r="R320" s="56"/>
      <c r="S320" s="58" t="str" cm="1">
        <f t="array" ref="S320">_xlfn._xlws.FILTER(Competitions[compType], (Fixtures[[#This Row],[competition]] = Competitions[name]), "N/A")</f>
        <v>N/A</v>
      </c>
      <c r="T320" s="58" t="str" cm="1">
        <f t="array" ref="T320">_xlfn._xlws.FILTER(Competitions[exhibition], (Fixtures[[#This Row],[competition]] = Competitions[name]), "N/A")</f>
        <v>N/A</v>
      </c>
      <c r="U320" s="58" t="str" cm="1">
        <f t="array" ref="U320">_xlfn._xlws.FILTER(Competitions[compID], (Fixtures[[#This Row],[competition]] = Competitions[name]), "N/A")</f>
        <v>N/A</v>
      </c>
      <c r="V3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0" s="58" t="str" cm="1">
        <f t="array" ref="W3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0" s="58" t="str" cm="1">
        <f t="array" ref="X320">_xlfn._xlws.FILTER(Teams[name], (Fixtures[[#This Row],[userTeamID]] = Teams[teamID]), "N/A")</f>
        <v>N/A</v>
      </c>
      <c r="Y320" s="58" t="str" cm="1">
        <f t="array" ref="Y320">_xlfn._xlws.FILTER(Teams[teamType], (Fixtures[[#This Row],[userTeamID]] = Teams[teamID]), "N/A")</f>
        <v>N/A</v>
      </c>
      <c r="Z320" s="58" t="str" cm="1">
        <f t="array" ref="Z3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0" s="58" t="str">
        <f>IF(Fixtures[[#This Row],[userSide]] = "N/A", "N/A", IF(Fixtures[[#This Row],[userSide]] = "H", Fixtures[[#This Row],[awayTeam]], Fixtures[[#This Row],[homeTeam]]))</f>
        <v>N/A</v>
      </c>
      <c r="AB320" s="58" t="str" cm="1">
        <f t="array" ref="AB320">_xlfn._xlws.FILTER(Teams[teamID], Fixtures[[#This Row],[oppTeam]] = Teams[name], "N/A")</f>
        <v>N/A</v>
      </c>
      <c r="AC320" s="58" t="str" cm="1">
        <f t="array" ref="AC320">_xlfn._xlws.FILTER(Teams[teamType], Fixtures[[#This Row],[oppTeam]] = Teams[name], "N/A")</f>
        <v>N/A</v>
      </c>
      <c r="AD320" s="58" t="str">
        <f>IF(ISBLANK(Fixtures[[#This Row],[date]]), "N/A", IF(Fixtures[[#This Row],[userSide]]="H", Fixtures[[#This Row],[homeScore]], Fixtures[[#This Row],[awayScore]]))</f>
        <v>N/A</v>
      </c>
      <c r="AE320" s="58" t="str">
        <f>IF(ISBLANK(Fixtures[[#This Row],[date]]), "N/A", IF(Fixtures[[#This Row],[userScore]] = Fixtures[[#This Row],[homeScore]], Fixtures[[#This Row],[awayScore]], Fixtures[[#This Row],[homeScore]]))</f>
        <v>N/A</v>
      </c>
      <c r="AF320" s="58" t="b">
        <f>NOT(AND(ISBLANK(Fixtures[[#This Row],[homePens]]), ISBLANK(Fixtures[[#This Row],[awayPens]])))</f>
        <v>0</v>
      </c>
      <c r="AG320" s="58" t="str">
        <f>IF(Fixtures[[#This Row],[penalties]], IF(Fixtures[[#This Row],[userSide]]="H", Fixtures[[#This Row],[homePens]], Fixtures[[#This Row],[awayPens]]), "N/A")</f>
        <v>N/A</v>
      </c>
      <c r="AH320" s="58" t="str">
        <f>IF(Fixtures[[#This Row],[penalties]], IF(Fixtures[[#This Row],[userPens]]=Fixtures[[#This Row],[homePens]],Fixtures[[#This Row],[awayPens]],Fixtures[[#This Row],[homePens]]), "N/A")</f>
        <v>N/A</v>
      </c>
      <c r="AI320" s="58" t="b">
        <f>COUNTBLANK(Fixtures[[#This Row],[G]:[MOTM]]) = 0</f>
        <v>0</v>
      </c>
      <c r="AJ320" s="58" t="str">
        <f>IF(Fixtures[[#This Row],[APP]], Fixtures[[#This Row],[G]]+Fixtures[[#This Row],[A]], "N/A")</f>
        <v>N/A</v>
      </c>
      <c r="AK3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1" spans="1:39" ht="13">
      <c r="A321" s="55"/>
      <c r="B321" s="61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7"/>
      <c r="R321" s="56"/>
      <c r="S321" s="58" t="str" cm="1">
        <f t="array" ref="S321">_xlfn._xlws.FILTER(Competitions[compType], (Fixtures[[#This Row],[competition]] = Competitions[name]), "N/A")</f>
        <v>N/A</v>
      </c>
      <c r="T321" s="58" t="str" cm="1">
        <f t="array" ref="T321">_xlfn._xlws.FILTER(Competitions[exhibition], (Fixtures[[#This Row],[competition]] = Competitions[name]), "N/A")</f>
        <v>N/A</v>
      </c>
      <c r="U321" s="58" t="str" cm="1">
        <f t="array" ref="U321">_xlfn._xlws.FILTER(Competitions[compID], (Fixtures[[#This Row],[competition]] = Competitions[name]), "N/A")</f>
        <v>N/A</v>
      </c>
      <c r="V3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1" s="58" t="str" cm="1">
        <f t="array" ref="W3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1" s="58" t="str" cm="1">
        <f t="array" ref="X321">_xlfn._xlws.FILTER(Teams[name], (Fixtures[[#This Row],[userTeamID]] = Teams[teamID]), "N/A")</f>
        <v>N/A</v>
      </c>
      <c r="Y321" s="58" t="str" cm="1">
        <f t="array" ref="Y321">_xlfn._xlws.FILTER(Teams[teamType], (Fixtures[[#This Row],[userTeamID]] = Teams[teamID]), "N/A")</f>
        <v>N/A</v>
      </c>
      <c r="Z321" s="58" t="str" cm="1">
        <f t="array" ref="Z3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1" s="58" t="str">
        <f>IF(Fixtures[[#This Row],[userSide]] = "N/A", "N/A", IF(Fixtures[[#This Row],[userSide]] = "H", Fixtures[[#This Row],[awayTeam]], Fixtures[[#This Row],[homeTeam]]))</f>
        <v>N/A</v>
      </c>
      <c r="AB321" s="58" t="str" cm="1">
        <f t="array" ref="AB321">_xlfn._xlws.FILTER(Teams[teamID], Fixtures[[#This Row],[oppTeam]] = Teams[name], "N/A")</f>
        <v>N/A</v>
      </c>
      <c r="AC321" s="58" t="str" cm="1">
        <f t="array" ref="AC321">_xlfn._xlws.FILTER(Teams[teamType], Fixtures[[#This Row],[oppTeam]] = Teams[name], "N/A")</f>
        <v>N/A</v>
      </c>
      <c r="AD321" s="58" t="str">
        <f>IF(ISBLANK(Fixtures[[#This Row],[date]]), "N/A", IF(Fixtures[[#This Row],[userSide]]="H", Fixtures[[#This Row],[homeScore]], Fixtures[[#This Row],[awayScore]]))</f>
        <v>N/A</v>
      </c>
      <c r="AE321" s="58" t="str">
        <f>IF(ISBLANK(Fixtures[[#This Row],[date]]), "N/A", IF(Fixtures[[#This Row],[userScore]] = Fixtures[[#This Row],[homeScore]], Fixtures[[#This Row],[awayScore]], Fixtures[[#This Row],[homeScore]]))</f>
        <v>N/A</v>
      </c>
      <c r="AF321" s="58" t="b">
        <f>NOT(AND(ISBLANK(Fixtures[[#This Row],[homePens]]), ISBLANK(Fixtures[[#This Row],[awayPens]])))</f>
        <v>0</v>
      </c>
      <c r="AG321" s="58" t="str">
        <f>IF(Fixtures[[#This Row],[penalties]], IF(Fixtures[[#This Row],[userSide]]="H", Fixtures[[#This Row],[homePens]], Fixtures[[#This Row],[awayPens]]), "N/A")</f>
        <v>N/A</v>
      </c>
      <c r="AH321" s="58" t="str">
        <f>IF(Fixtures[[#This Row],[penalties]], IF(Fixtures[[#This Row],[userPens]]=Fixtures[[#This Row],[homePens]],Fixtures[[#This Row],[awayPens]],Fixtures[[#This Row],[homePens]]), "N/A")</f>
        <v>N/A</v>
      </c>
      <c r="AI321" s="58" t="b">
        <f>COUNTBLANK(Fixtures[[#This Row],[G]:[MOTM]]) = 0</f>
        <v>0</v>
      </c>
      <c r="AJ321" s="58" t="str">
        <f>IF(Fixtures[[#This Row],[APP]], Fixtures[[#This Row],[G]]+Fixtures[[#This Row],[A]], "N/A")</f>
        <v>N/A</v>
      </c>
      <c r="AK3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2" spans="1:39" ht="13">
      <c r="A322" s="55"/>
      <c r="B322" s="61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7"/>
      <c r="R322" s="56"/>
      <c r="S322" s="58" t="str" cm="1">
        <f t="array" ref="S322">_xlfn._xlws.FILTER(Competitions[compType], (Fixtures[[#This Row],[competition]] = Competitions[name]), "N/A")</f>
        <v>N/A</v>
      </c>
      <c r="T322" s="58" t="str" cm="1">
        <f t="array" ref="T322">_xlfn._xlws.FILTER(Competitions[exhibition], (Fixtures[[#This Row],[competition]] = Competitions[name]), "N/A")</f>
        <v>N/A</v>
      </c>
      <c r="U322" s="58" t="str" cm="1">
        <f t="array" ref="U322">_xlfn._xlws.FILTER(Competitions[compID], (Fixtures[[#This Row],[competition]] = Competitions[name]), "N/A")</f>
        <v>N/A</v>
      </c>
      <c r="V3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2" s="58" t="str" cm="1">
        <f t="array" ref="W3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2" s="58" t="str" cm="1">
        <f t="array" ref="X322">_xlfn._xlws.FILTER(Teams[name], (Fixtures[[#This Row],[userTeamID]] = Teams[teamID]), "N/A")</f>
        <v>N/A</v>
      </c>
      <c r="Y322" s="58" t="str" cm="1">
        <f t="array" ref="Y322">_xlfn._xlws.FILTER(Teams[teamType], (Fixtures[[#This Row],[userTeamID]] = Teams[teamID]), "N/A")</f>
        <v>N/A</v>
      </c>
      <c r="Z322" s="58" t="str" cm="1">
        <f t="array" ref="Z3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2" s="58" t="str">
        <f>IF(Fixtures[[#This Row],[userSide]] = "N/A", "N/A", IF(Fixtures[[#This Row],[userSide]] = "H", Fixtures[[#This Row],[awayTeam]], Fixtures[[#This Row],[homeTeam]]))</f>
        <v>N/A</v>
      </c>
      <c r="AB322" s="58" t="str" cm="1">
        <f t="array" ref="AB322">_xlfn._xlws.FILTER(Teams[teamID], Fixtures[[#This Row],[oppTeam]] = Teams[name], "N/A")</f>
        <v>N/A</v>
      </c>
      <c r="AC322" s="58" t="str" cm="1">
        <f t="array" ref="AC322">_xlfn._xlws.FILTER(Teams[teamType], Fixtures[[#This Row],[oppTeam]] = Teams[name], "N/A")</f>
        <v>N/A</v>
      </c>
      <c r="AD322" s="58" t="str">
        <f>IF(ISBLANK(Fixtures[[#This Row],[date]]), "N/A", IF(Fixtures[[#This Row],[userSide]]="H", Fixtures[[#This Row],[homeScore]], Fixtures[[#This Row],[awayScore]]))</f>
        <v>N/A</v>
      </c>
      <c r="AE322" s="58" t="str">
        <f>IF(ISBLANK(Fixtures[[#This Row],[date]]), "N/A", IF(Fixtures[[#This Row],[userScore]] = Fixtures[[#This Row],[homeScore]], Fixtures[[#This Row],[awayScore]], Fixtures[[#This Row],[homeScore]]))</f>
        <v>N/A</v>
      </c>
      <c r="AF322" s="58" t="b">
        <f>NOT(AND(ISBLANK(Fixtures[[#This Row],[homePens]]), ISBLANK(Fixtures[[#This Row],[awayPens]])))</f>
        <v>0</v>
      </c>
      <c r="AG322" s="58" t="str">
        <f>IF(Fixtures[[#This Row],[penalties]], IF(Fixtures[[#This Row],[userSide]]="H", Fixtures[[#This Row],[homePens]], Fixtures[[#This Row],[awayPens]]), "N/A")</f>
        <v>N/A</v>
      </c>
      <c r="AH322" s="58" t="str">
        <f>IF(Fixtures[[#This Row],[penalties]], IF(Fixtures[[#This Row],[userPens]]=Fixtures[[#This Row],[homePens]],Fixtures[[#This Row],[awayPens]],Fixtures[[#This Row],[homePens]]), "N/A")</f>
        <v>N/A</v>
      </c>
      <c r="AI322" s="58" t="b">
        <f>COUNTBLANK(Fixtures[[#This Row],[G]:[MOTM]]) = 0</f>
        <v>0</v>
      </c>
      <c r="AJ322" s="58" t="str">
        <f>IF(Fixtures[[#This Row],[APP]], Fixtures[[#This Row],[G]]+Fixtures[[#This Row],[A]], "N/A")</f>
        <v>N/A</v>
      </c>
      <c r="AK3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3" spans="1:39" ht="13">
      <c r="A323" s="55"/>
      <c r="B323" s="61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7"/>
      <c r="R323" s="56"/>
      <c r="S323" s="58" t="str" cm="1">
        <f t="array" ref="S323">_xlfn._xlws.FILTER(Competitions[compType], (Fixtures[[#This Row],[competition]] = Competitions[name]), "N/A")</f>
        <v>N/A</v>
      </c>
      <c r="T323" s="58" t="str" cm="1">
        <f t="array" ref="T323">_xlfn._xlws.FILTER(Competitions[exhibition], (Fixtures[[#This Row],[competition]] = Competitions[name]), "N/A")</f>
        <v>N/A</v>
      </c>
      <c r="U323" s="58" t="str" cm="1">
        <f t="array" ref="U323">_xlfn._xlws.FILTER(Competitions[compID], (Fixtures[[#This Row],[competition]] = Competitions[name]), "N/A")</f>
        <v>N/A</v>
      </c>
      <c r="V3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3" s="58" t="str" cm="1">
        <f t="array" ref="W3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3" s="58" t="str" cm="1">
        <f t="array" ref="X323">_xlfn._xlws.FILTER(Teams[name], (Fixtures[[#This Row],[userTeamID]] = Teams[teamID]), "N/A")</f>
        <v>N/A</v>
      </c>
      <c r="Y323" s="58" t="str" cm="1">
        <f t="array" ref="Y323">_xlfn._xlws.FILTER(Teams[teamType], (Fixtures[[#This Row],[userTeamID]] = Teams[teamID]), "N/A")</f>
        <v>N/A</v>
      </c>
      <c r="Z323" s="58" t="str" cm="1">
        <f t="array" ref="Z3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3" s="58" t="str">
        <f>IF(Fixtures[[#This Row],[userSide]] = "N/A", "N/A", IF(Fixtures[[#This Row],[userSide]] = "H", Fixtures[[#This Row],[awayTeam]], Fixtures[[#This Row],[homeTeam]]))</f>
        <v>N/A</v>
      </c>
      <c r="AB323" s="58" t="str" cm="1">
        <f t="array" ref="AB323">_xlfn._xlws.FILTER(Teams[teamID], Fixtures[[#This Row],[oppTeam]] = Teams[name], "N/A")</f>
        <v>N/A</v>
      </c>
      <c r="AC323" s="58" t="str" cm="1">
        <f t="array" ref="AC323">_xlfn._xlws.FILTER(Teams[teamType], Fixtures[[#This Row],[oppTeam]] = Teams[name], "N/A")</f>
        <v>N/A</v>
      </c>
      <c r="AD323" s="58" t="str">
        <f>IF(ISBLANK(Fixtures[[#This Row],[date]]), "N/A", IF(Fixtures[[#This Row],[userSide]]="H", Fixtures[[#This Row],[homeScore]], Fixtures[[#This Row],[awayScore]]))</f>
        <v>N/A</v>
      </c>
      <c r="AE323" s="58" t="str">
        <f>IF(ISBLANK(Fixtures[[#This Row],[date]]), "N/A", IF(Fixtures[[#This Row],[userScore]] = Fixtures[[#This Row],[homeScore]], Fixtures[[#This Row],[awayScore]], Fixtures[[#This Row],[homeScore]]))</f>
        <v>N/A</v>
      </c>
      <c r="AF323" s="58" t="b">
        <f>NOT(AND(ISBLANK(Fixtures[[#This Row],[homePens]]), ISBLANK(Fixtures[[#This Row],[awayPens]])))</f>
        <v>0</v>
      </c>
      <c r="AG323" s="58" t="str">
        <f>IF(Fixtures[[#This Row],[penalties]], IF(Fixtures[[#This Row],[userSide]]="H", Fixtures[[#This Row],[homePens]], Fixtures[[#This Row],[awayPens]]), "N/A")</f>
        <v>N/A</v>
      </c>
      <c r="AH323" s="58" t="str">
        <f>IF(Fixtures[[#This Row],[penalties]], IF(Fixtures[[#This Row],[userPens]]=Fixtures[[#This Row],[homePens]],Fixtures[[#This Row],[awayPens]],Fixtures[[#This Row],[homePens]]), "N/A")</f>
        <v>N/A</v>
      </c>
      <c r="AI323" s="58" t="b">
        <f>COUNTBLANK(Fixtures[[#This Row],[G]:[MOTM]]) = 0</f>
        <v>0</v>
      </c>
      <c r="AJ323" s="58" t="str">
        <f>IF(Fixtures[[#This Row],[APP]], Fixtures[[#This Row],[G]]+Fixtures[[#This Row],[A]], "N/A")</f>
        <v>N/A</v>
      </c>
      <c r="AK3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4" spans="1:39" ht="13">
      <c r="A324" s="55"/>
      <c r="B324" s="61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7"/>
      <c r="R324" s="56"/>
      <c r="S324" s="58" t="str" cm="1">
        <f t="array" ref="S324">_xlfn._xlws.FILTER(Competitions[compType], (Fixtures[[#This Row],[competition]] = Competitions[name]), "N/A")</f>
        <v>N/A</v>
      </c>
      <c r="T324" s="58" t="str" cm="1">
        <f t="array" ref="T324">_xlfn._xlws.FILTER(Competitions[exhibition], (Fixtures[[#This Row],[competition]] = Competitions[name]), "N/A")</f>
        <v>N/A</v>
      </c>
      <c r="U324" s="58" t="str" cm="1">
        <f t="array" ref="U324">_xlfn._xlws.FILTER(Competitions[compID], (Fixtures[[#This Row],[competition]] = Competitions[name]), "N/A")</f>
        <v>N/A</v>
      </c>
      <c r="V3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4" s="58" t="str" cm="1">
        <f t="array" ref="W3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4" s="58" t="str" cm="1">
        <f t="array" ref="X324">_xlfn._xlws.FILTER(Teams[name], (Fixtures[[#This Row],[userTeamID]] = Teams[teamID]), "N/A")</f>
        <v>N/A</v>
      </c>
      <c r="Y324" s="58" t="str" cm="1">
        <f t="array" ref="Y324">_xlfn._xlws.FILTER(Teams[teamType], (Fixtures[[#This Row],[userTeamID]] = Teams[teamID]), "N/A")</f>
        <v>N/A</v>
      </c>
      <c r="Z324" s="58" t="str" cm="1">
        <f t="array" ref="Z3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4" s="58" t="str">
        <f>IF(Fixtures[[#This Row],[userSide]] = "N/A", "N/A", IF(Fixtures[[#This Row],[userSide]] = "H", Fixtures[[#This Row],[awayTeam]], Fixtures[[#This Row],[homeTeam]]))</f>
        <v>N/A</v>
      </c>
      <c r="AB324" s="58" t="str" cm="1">
        <f t="array" ref="AB324">_xlfn._xlws.FILTER(Teams[teamID], Fixtures[[#This Row],[oppTeam]] = Teams[name], "N/A")</f>
        <v>N/A</v>
      </c>
      <c r="AC324" s="58" t="str" cm="1">
        <f t="array" ref="AC324">_xlfn._xlws.FILTER(Teams[teamType], Fixtures[[#This Row],[oppTeam]] = Teams[name], "N/A")</f>
        <v>N/A</v>
      </c>
      <c r="AD324" s="58" t="str">
        <f>IF(ISBLANK(Fixtures[[#This Row],[date]]), "N/A", IF(Fixtures[[#This Row],[userSide]]="H", Fixtures[[#This Row],[homeScore]], Fixtures[[#This Row],[awayScore]]))</f>
        <v>N/A</v>
      </c>
      <c r="AE324" s="58" t="str">
        <f>IF(ISBLANK(Fixtures[[#This Row],[date]]), "N/A", IF(Fixtures[[#This Row],[userScore]] = Fixtures[[#This Row],[homeScore]], Fixtures[[#This Row],[awayScore]], Fixtures[[#This Row],[homeScore]]))</f>
        <v>N/A</v>
      </c>
      <c r="AF324" s="58" t="b">
        <f>NOT(AND(ISBLANK(Fixtures[[#This Row],[homePens]]), ISBLANK(Fixtures[[#This Row],[awayPens]])))</f>
        <v>0</v>
      </c>
      <c r="AG324" s="58" t="str">
        <f>IF(Fixtures[[#This Row],[penalties]], IF(Fixtures[[#This Row],[userSide]]="H", Fixtures[[#This Row],[homePens]], Fixtures[[#This Row],[awayPens]]), "N/A")</f>
        <v>N/A</v>
      </c>
      <c r="AH324" s="58" t="str">
        <f>IF(Fixtures[[#This Row],[penalties]], IF(Fixtures[[#This Row],[userPens]]=Fixtures[[#This Row],[homePens]],Fixtures[[#This Row],[awayPens]],Fixtures[[#This Row],[homePens]]), "N/A")</f>
        <v>N/A</v>
      </c>
      <c r="AI324" s="58" t="b">
        <f>COUNTBLANK(Fixtures[[#This Row],[G]:[MOTM]]) = 0</f>
        <v>0</v>
      </c>
      <c r="AJ324" s="58" t="str">
        <f>IF(Fixtures[[#This Row],[APP]], Fixtures[[#This Row],[G]]+Fixtures[[#This Row],[A]], "N/A")</f>
        <v>N/A</v>
      </c>
      <c r="AK3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5" spans="1:39" ht="13">
      <c r="A325" s="55"/>
      <c r="B325" s="61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7"/>
      <c r="R325" s="56"/>
      <c r="S325" s="58" t="str" cm="1">
        <f t="array" ref="S325">_xlfn._xlws.FILTER(Competitions[compType], (Fixtures[[#This Row],[competition]] = Competitions[name]), "N/A")</f>
        <v>N/A</v>
      </c>
      <c r="T325" s="58" t="str" cm="1">
        <f t="array" ref="T325">_xlfn._xlws.FILTER(Competitions[exhibition], (Fixtures[[#This Row],[competition]] = Competitions[name]), "N/A")</f>
        <v>N/A</v>
      </c>
      <c r="U325" s="58" t="str" cm="1">
        <f t="array" ref="U325">_xlfn._xlws.FILTER(Competitions[compID], (Fixtures[[#This Row],[competition]] = Competitions[name]), "N/A")</f>
        <v>N/A</v>
      </c>
      <c r="V3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5" s="58" t="str" cm="1">
        <f t="array" ref="W3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5" s="58" t="str" cm="1">
        <f t="array" ref="X325">_xlfn._xlws.FILTER(Teams[name], (Fixtures[[#This Row],[userTeamID]] = Teams[teamID]), "N/A")</f>
        <v>N/A</v>
      </c>
      <c r="Y325" s="58" t="str" cm="1">
        <f t="array" ref="Y325">_xlfn._xlws.FILTER(Teams[teamType], (Fixtures[[#This Row],[userTeamID]] = Teams[teamID]), "N/A")</f>
        <v>N/A</v>
      </c>
      <c r="Z325" s="58" t="str" cm="1">
        <f t="array" ref="Z3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5" s="58" t="str">
        <f>IF(Fixtures[[#This Row],[userSide]] = "N/A", "N/A", IF(Fixtures[[#This Row],[userSide]] = "H", Fixtures[[#This Row],[awayTeam]], Fixtures[[#This Row],[homeTeam]]))</f>
        <v>N/A</v>
      </c>
      <c r="AB325" s="58" t="str" cm="1">
        <f t="array" ref="AB325">_xlfn._xlws.FILTER(Teams[teamID], Fixtures[[#This Row],[oppTeam]] = Teams[name], "N/A")</f>
        <v>N/A</v>
      </c>
      <c r="AC325" s="58" t="str" cm="1">
        <f t="array" ref="AC325">_xlfn._xlws.FILTER(Teams[teamType], Fixtures[[#This Row],[oppTeam]] = Teams[name], "N/A")</f>
        <v>N/A</v>
      </c>
      <c r="AD325" s="58" t="str">
        <f>IF(ISBLANK(Fixtures[[#This Row],[date]]), "N/A", IF(Fixtures[[#This Row],[userSide]]="H", Fixtures[[#This Row],[homeScore]], Fixtures[[#This Row],[awayScore]]))</f>
        <v>N/A</v>
      </c>
      <c r="AE325" s="58" t="str">
        <f>IF(ISBLANK(Fixtures[[#This Row],[date]]), "N/A", IF(Fixtures[[#This Row],[userScore]] = Fixtures[[#This Row],[homeScore]], Fixtures[[#This Row],[awayScore]], Fixtures[[#This Row],[homeScore]]))</f>
        <v>N/A</v>
      </c>
      <c r="AF325" s="58" t="b">
        <f>NOT(AND(ISBLANK(Fixtures[[#This Row],[homePens]]), ISBLANK(Fixtures[[#This Row],[awayPens]])))</f>
        <v>0</v>
      </c>
      <c r="AG325" s="58" t="str">
        <f>IF(Fixtures[[#This Row],[penalties]], IF(Fixtures[[#This Row],[userSide]]="H", Fixtures[[#This Row],[homePens]], Fixtures[[#This Row],[awayPens]]), "N/A")</f>
        <v>N/A</v>
      </c>
      <c r="AH325" s="58" t="str">
        <f>IF(Fixtures[[#This Row],[penalties]], IF(Fixtures[[#This Row],[userPens]]=Fixtures[[#This Row],[homePens]],Fixtures[[#This Row],[awayPens]],Fixtures[[#This Row],[homePens]]), "N/A")</f>
        <v>N/A</v>
      </c>
      <c r="AI325" s="58" t="b">
        <f>COUNTBLANK(Fixtures[[#This Row],[G]:[MOTM]]) = 0</f>
        <v>0</v>
      </c>
      <c r="AJ325" s="58" t="str">
        <f>IF(Fixtures[[#This Row],[APP]], Fixtures[[#This Row],[G]]+Fixtures[[#This Row],[A]], "N/A")</f>
        <v>N/A</v>
      </c>
      <c r="AK3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6" spans="1:39" ht="13">
      <c r="A326" s="55"/>
      <c r="B326" s="61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7"/>
      <c r="R326" s="56"/>
      <c r="S326" s="58" t="str" cm="1">
        <f t="array" ref="S326">_xlfn._xlws.FILTER(Competitions[compType], (Fixtures[[#This Row],[competition]] = Competitions[name]), "N/A")</f>
        <v>N/A</v>
      </c>
      <c r="T326" s="58" t="str" cm="1">
        <f t="array" ref="T326">_xlfn._xlws.FILTER(Competitions[exhibition], (Fixtures[[#This Row],[competition]] = Competitions[name]), "N/A")</f>
        <v>N/A</v>
      </c>
      <c r="U326" s="58" t="str" cm="1">
        <f t="array" ref="U326">_xlfn._xlws.FILTER(Competitions[compID], (Fixtures[[#This Row],[competition]] = Competitions[name]), "N/A")</f>
        <v>N/A</v>
      </c>
      <c r="V3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6" s="58" t="str" cm="1">
        <f t="array" ref="W3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6" s="58" t="str" cm="1">
        <f t="array" ref="X326">_xlfn._xlws.FILTER(Teams[name], (Fixtures[[#This Row],[userTeamID]] = Teams[teamID]), "N/A")</f>
        <v>N/A</v>
      </c>
      <c r="Y326" s="58" t="str" cm="1">
        <f t="array" ref="Y326">_xlfn._xlws.FILTER(Teams[teamType], (Fixtures[[#This Row],[userTeamID]] = Teams[teamID]), "N/A")</f>
        <v>N/A</v>
      </c>
      <c r="Z326" s="58" t="str" cm="1">
        <f t="array" ref="Z3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6" s="58" t="str">
        <f>IF(Fixtures[[#This Row],[userSide]] = "N/A", "N/A", IF(Fixtures[[#This Row],[userSide]] = "H", Fixtures[[#This Row],[awayTeam]], Fixtures[[#This Row],[homeTeam]]))</f>
        <v>N/A</v>
      </c>
      <c r="AB326" s="58" t="str" cm="1">
        <f t="array" ref="AB326">_xlfn._xlws.FILTER(Teams[teamID], Fixtures[[#This Row],[oppTeam]] = Teams[name], "N/A")</f>
        <v>N/A</v>
      </c>
      <c r="AC326" s="58" t="str" cm="1">
        <f t="array" ref="AC326">_xlfn._xlws.FILTER(Teams[teamType], Fixtures[[#This Row],[oppTeam]] = Teams[name], "N/A")</f>
        <v>N/A</v>
      </c>
      <c r="AD326" s="58" t="str">
        <f>IF(ISBLANK(Fixtures[[#This Row],[date]]), "N/A", IF(Fixtures[[#This Row],[userSide]]="H", Fixtures[[#This Row],[homeScore]], Fixtures[[#This Row],[awayScore]]))</f>
        <v>N/A</v>
      </c>
      <c r="AE326" s="58" t="str">
        <f>IF(ISBLANK(Fixtures[[#This Row],[date]]), "N/A", IF(Fixtures[[#This Row],[userScore]] = Fixtures[[#This Row],[homeScore]], Fixtures[[#This Row],[awayScore]], Fixtures[[#This Row],[homeScore]]))</f>
        <v>N/A</v>
      </c>
      <c r="AF326" s="58" t="b">
        <f>NOT(AND(ISBLANK(Fixtures[[#This Row],[homePens]]), ISBLANK(Fixtures[[#This Row],[awayPens]])))</f>
        <v>0</v>
      </c>
      <c r="AG326" s="58" t="str">
        <f>IF(Fixtures[[#This Row],[penalties]], IF(Fixtures[[#This Row],[userSide]]="H", Fixtures[[#This Row],[homePens]], Fixtures[[#This Row],[awayPens]]), "N/A")</f>
        <v>N/A</v>
      </c>
      <c r="AH326" s="58" t="str">
        <f>IF(Fixtures[[#This Row],[penalties]], IF(Fixtures[[#This Row],[userPens]]=Fixtures[[#This Row],[homePens]],Fixtures[[#This Row],[awayPens]],Fixtures[[#This Row],[homePens]]), "N/A")</f>
        <v>N/A</v>
      </c>
      <c r="AI326" s="58" t="b">
        <f>COUNTBLANK(Fixtures[[#This Row],[G]:[MOTM]]) = 0</f>
        <v>0</v>
      </c>
      <c r="AJ326" s="58" t="str">
        <f>IF(Fixtures[[#This Row],[APP]], Fixtures[[#This Row],[G]]+Fixtures[[#This Row],[A]], "N/A")</f>
        <v>N/A</v>
      </c>
      <c r="AK3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7" spans="1:39" ht="13">
      <c r="A327" s="55"/>
      <c r="B327" s="61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7"/>
      <c r="R327" s="56"/>
      <c r="S327" s="58" t="str" cm="1">
        <f t="array" ref="S327">_xlfn._xlws.FILTER(Competitions[compType], (Fixtures[[#This Row],[competition]] = Competitions[name]), "N/A")</f>
        <v>N/A</v>
      </c>
      <c r="T327" s="58" t="str" cm="1">
        <f t="array" ref="T327">_xlfn._xlws.FILTER(Competitions[exhibition], (Fixtures[[#This Row],[competition]] = Competitions[name]), "N/A")</f>
        <v>N/A</v>
      </c>
      <c r="U327" s="58" t="str" cm="1">
        <f t="array" ref="U327">_xlfn._xlws.FILTER(Competitions[compID], (Fixtures[[#This Row],[competition]] = Competitions[name]), "N/A")</f>
        <v>N/A</v>
      </c>
      <c r="V3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7" s="58" t="str" cm="1">
        <f t="array" ref="W3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7" s="58" t="str" cm="1">
        <f t="array" ref="X327">_xlfn._xlws.FILTER(Teams[name], (Fixtures[[#This Row],[userTeamID]] = Teams[teamID]), "N/A")</f>
        <v>N/A</v>
      </c>
      <c r="Y327" s="58" t="str" cm="1">
        <f t="array" ref="Y327">_xlfn._xlws.FILTER(Teams[teamType], (Fixtures[[#This Row],[userTeamID]] = Teams[teamID]), "N/A")</f>
        <v>N/A</v>
      </c>
      <c r="Z327" s="58" t="str" cm="1">
        <f t="array" ref="Z3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7" s="58" t="str">
        <f>IF(Fixtures[[#This Row],[userSide]] = "N/A", "N/A", IF(Fixtures[[#This Row],[userSide]] = "H", Fixtures[[#This Row],[awayTeam]], Fixtures[[#This Row],[homeTeam]]))</f>
        <v>N/A</v>
      </c>
      <c r="AB327" s="58" t="str" cm="1">
        <f t="array" ref="AB327">_xlfn._xlws.FILTER(Teams[teamID], Fixtures[[#This Row],[oppTeam]] = Teams[name], "N/A")</f>
        <v>N/A</v>
      </c>
      <c r="AC327" s="58" t="str" cm="1">
        <f t="array" ref="AC327">_xlfn._xlws.FILTER(Teams[teamType], Fixtures[[#This Row],[oppTeam]] = Teams[name], "N/A")</f>
        <v>N/A</v>
      </c>
      <c r="AD327" s="58" t="str">
        <f>IF(ISBLANK(Fixtures[[#This Row],[date]]), "N/A", IF(Fixtures[[#This Row],[userSide]]="H", Fixtures[[#This Row],[homeScore]], Fixtures[[#This Row],[awayScore]]))</f>
        <v>N/A</v>
      </c>
      <c r="AE327" s="58" t="str">
        <f>IF(ISBLANK(Fixtures[[#This Row],[date]]), "N/A", IF(Fixtures[[#This Row],[userScore]] = Fixtures[[#This Row],[homeScore]], Fixtures[[#This Row],[awayScore]], Fixtures[[#This Row],[homeScore]]))</f>
        <v>N/A</v>
      </c>
      <c r="AF327" s="58" t="b">
        <f>NOT(AND(ISBLANK(Fixtures[[#This Row],[homePens]]), ISBLANK(Fixtures[[#This Row],[awayPens]])))</f>
        <v>0</v>
      </c>
      <c r="AG327" s="58" t="str">
        <f>IF(Fixtures[[#This Row],[penalties]], IF(Fixtures[[#This Row],[userSide]]="H", Fixtures[[#This Row],[homePens]], Fixtures[[#This Row],[awayPens]]), "N/A")</f>
        <v>N/A</v>
      </c>
      <c r="AH327" s="58" t="str">
        <f>IF(Fixtures[[#This Row],[penalties]], IF(Fixtures[[#This Row],[userPens]]=Fixtures[[#This Row],[homePens]],Fixtures[[#This Row],[awayPens]],Fixtures[[#This Row],[homePens]]), "N/A")</f>
        <v>N/A</v>
      </c>
      <c r="AI327" s="58" t="b">
        <f>COUNTBLANK(Fixtures[[#This Row],[G]:[MOTM]]) = 0</f>
        <v>0</v>
      </c>
      <c r="AJ327" s="58" t="str">
        <f>IF(Fixtures[[#This Row],[APP]], Fixtures[[#This Row],[G]]+Fixtures[[#This Row],[A]], "N/A")</f>
        <v>N/A</v>
      </c>
      <c r="AK3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8" spans="1:39" ht="13">
      <c r="A328" s="55"/>
      <c r="B328" s="61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7"/>
      <c r="R328" s="56"/>
      <c r="S328" s="58" t="str" cm="1">
        <f t="array" ref="S328">_xlfn._xlws.FILTER(Competitions[compType], (Fixtures[[#This Row],[competition]] = Competitions[name]), "N/A")</f>
        <v>N/A</v>
      </c>
      <c r="T328" s="58" t="str" cm="1">
        <f t="array" ref="T328">_xlfn._xlws.FILTER(Competitions[exhibition], (Fixtures[[#This Row],[competition]] = Competitions[name]), "N/A")</f>
        <v>N/A</v>
      </c>
      <c r="U328" s="58" t="str" cm="1">
        <f t="array" ref="U328">_xlfn._xlws.FILTER(Competitions[compID], (Fixtures[[#This Row],[competition]] = Competitions[name]), "N/A")</f>
        <v>N/A</v>
      </c>
      <c r="V3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8" s="58" t="str" cm="1">
        <f t="array" ref="W3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8" s="58" t="str" cm="1">
        <f t="array" ref="X328">_xlfn._xlws.FILTER(Teams[name], (Fixtures[[#This Row],[userTeamID]] = Teams[teamID]), "N/A")</f>
        <v>N/A</v>
      </c>
      <c r="Y328" s="58" t="str" cm="1">
        <f t="array" ref="Y328">_xlfn._xlws.FILTER(Teams[teamType], (Fixtures[[#This Row],[userTeamID]] = Teams[teamID]), "N/A")</f>
        <v>N/A</v>
      </c>
      <c r="Z328" s="58" t="str" cm="1">
        <f t="array" ref="Z3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8" s="58" t="str">
        <f>IF(Fixtures[[#This Row],[userSide]] = "N/A", "N/A", IF(Fixtures[[#This Row],[userSide]] = "H", Fixtures[[#This Row],[awayTeam]], Fixtures[[#This Row],[homeTeam]]))</f>
        <v>N/A</v>
      </c>
      <c r="AB328" s="58" t="str" cm="1">
        <f t="array" ref="AB328">_xlfn._xlws.FILTER(Teams[teamID], Fixtures[[#This Row],[oppTeam]] = Teams[name], "N/A")</f>
        <v>N/A</v>
      </c>
      <c r="AC328" s="58" t="str" cm="1">
        <f t="array" ref="AC328">_xlfn._xlws.FILTER(Teams[teamType], Fixtures[[#This Row],[oppTeam]] = Teams[name], "N/A")</f>
        <v>N/A</v>
      </c>
      <c r="AD328" s="58" t="str">
        <f>IF(ISBLANK(Fixtures[[#This Row],[date]]), "N/A", IF(Fixtures[[#This Row],[userSide]]="H", Fixtures[[#This Row],[homeScore]], Fixtures[[#This Row],[awayScore]]))</f>
        <v>N/A</v>
      </c>
      <c r="AE328" s="58" t="str">
        <f>IF(ISBLANK(Fixtures[[#This Row],[date]]), "N/A", IF(Fixtures[[#This Row],[userScore]] = Fixtures[[#This Row],[homeScore]], Fixtures[[#This Row],[awayScore]], Fixtures[[#This Row],[homeScore]]))</f>
        <v>N/A</v>
      </c>
      <c r="AF328" s="58" t="b">
        <f>NOT(AND(ISBLANK(Fixtures[[#This Row],[homePens]]), ISBLANK(Fixtures[[#This Row],[awayPens]])))</f>
        <v>0</v>
      </c>
      <c r="AG328" s="58" t="str">
        <f>IF(Fixtures[[#This Row],[penalties]], IF(Fixtures[[#This Row],[userSide]]="H", Fixtures[[#This Row],[homePens]], Fixtures[[#This Row],[awayPens]]), "N/A")</f>
        <v>N/A</v>
      </c>
      <c r="AH328" s="58" t="str">
        <f>IF(Fixtures[[#This Row],[penalties]], IF(Fixtures[[#This Row],[userPens]]=Fixtures[[#This Row],[homePens]],Fixtures[[#This Row],[awayPens]],Fixtures[[#This Row],[homePens]]), "N/A")</f>
        <v>N/A</v>
      </c>
      <c r="AI328" s="58" t="b">
        <f>COUNTBLANK(Fixtures[[#This Row],[G]:[MOTM]]) = 0</f>
        <v>0</v>
      </c>
      <c r="AJ328" s="58" t="str">
        <f>IF(Fixtures[[#This Row],[APP]], Fixtures[[#This Row],[G]]+Fixtures[[#This Row],[A]], "N/A")</f>
        <v>N/A</v>
      </c>
      <c r="AK3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29" spans="1:39" ht="13">
      <c r="A329" s="55"/>
      <c r="B329" s="61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7"/>
      <c r="R329" s="56"/>
      <c r="S329" s="58" t="str" cm="1">
        <f t="array" ref="S329">_xlfn._xlws.FILTER(Competitions[compType], (Fixtures[[#This Row],[competition]] = Competitions[name]), "N/A")</f>
        <v>N/A</v>
      </c>
      <c r="T329" s="58" t="str" cm="1">
        <f t="array" ref="T329">_xlfn._xlws.FILTER(Competitions[exhibition], (Fixtures[[#This Row],[competition]] = Competitions[name]), "N/A")</f>
        <v>N/A</v>
      </c>
      <c r="U329" s="58" t="str" cm="1">
        <f t="array" ref="U329">_xlfn._xlws.FILTER(Competitions[compID], (Fixtures[[#This Row],[competition]] = Competitions[name]), "N/A")</f>
        <v>N/A</v>
      </c>
      <c r="V3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29" s="58" t="str" cm="1">
        <f t="array" ref="W3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29" s="58" t="str" cm="1">
        <f t="array" ref="X329">_xlfn._xlws.FILTER(Teams[name], (Fixtures[[#This Row],[userTeamID]] = Teams[teamID]), "N/A")</f>
        <v>N/A</v>
      </c>
      <c r="Y329" s="58" t="str" cm="1">
        <f t="array" ref="Y329">_xlfn._xlws.FILTER(Teams[teamType], (Fixtures[[#This Row],[userTeamID]] = Teams[teamID]), "N/A")</f>
        <v>N/A</v>
      </c>
      <c r="Z329" s="58" t="str" cm="1">
        <f t="array" ref="Z3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29" s="58" t="str">
        <f>IF(Fixtures[[#This Row],[userSide]] = "N/A", "N/A", IF(Fixtures[[#This Row],[userSide]] = "H", Fixtures[[#This Row],[awayTeam]], Fixtures[[#This Row],[homeTeam]]))</f>
        <v>N/A</v>
      </c>
      <c r="AB329" s="58" t="str" cm="1">
        <f t="array" ref="AB329">_xlfn._xlws.FILTER(Teams[teamID], Fixtures[[#This Row],[oppTeam]] = Teams[name], "N/A")</f>
        <v>N/A</v>
      </c>
      <c r="AC329" s="58" t="str" cm="1">
        <f t="array" ref="AC329">_xlfn._xlws.FILTER(Teams[teamType], Fixtures[[#This Row],[oppTeam]] = Teams[name], "N/A")</f>
        <v>N/A</v>
      </c>
      <c r="AD329" s="58" t="str">
        <f>IF(ISBLANK(Fixtures[[#This Row],[date]]), "N/A", IF(Fixtures[[#This Row],[userSide]]="H", Fixtures[[#This Row],[homeScore]], Fixtures[[#This Row],[awayScore]]))</f>
        <v>N/A</v>
      </c>
      <c r="AE329" s="58" t="str">
        <f>IF(ISBLANK(Fixtures[[#This Row],[date]]), "N/A", IF(Fixtures[[#This Row],[userScore]] = Fixtures[[#This Row],[homeScore]], Fixtures[[#This Row],[awayScore]], Fixtures[[#This Row],[homeScore]]))</f>
        <v>N/A</v>
      </c>
      <c r="AF329" s="58" t="b">
        <f>NOT(AND(ISBLANK(Fixtures[[#This Row],[homePens]]), ISBLANK(Fixtures[[#This Row],[awayPens]])))</f>
        <v>0</v>
      </c>
      <c r="AG329" s="58" t="str">
        <f>IF(Fixtures[[#This Row],[penalties]], IF(Fixtures[[#This Row],[userSide]]="H", Fixtures[[#This Row],[homePens]], Fixtures[[#This Row],[awayPens]]), "N/A")</f>
        <v>N/A</v>
      </c>
      <c r="AH329" s="58" t="str">
        <f>IF(Fixtures[[#This Row],[penalties]], IF(Fixtures[[#This Row],[userPens]]=Fixtures[[#This Row],[homePens]],Fixtures[[#This Row],[awayPens]],Fixtures[[#This Row],[homePens]]), "N/A")</f>
        <v>N/A</v>
      </c>
      <c r="AI329" s="58" t="b">
        <f>COUNTBLANK(Fixtures[[#This Row],[G]:[MOTM]]) = 0</f>
        <v>0</v>
      </c>
      <c r="AJ329" s="58" t="str">
        <f>IF(Fixtures[[#This Row],[APP]], Fixtures[[#This Row],[G]]+Fixtures[[#This Row],[A]], "N/A")</f>
        <v>N/A</v>
      </c>
      <c r="AK3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0" spans="1:39" ht="13">
      <c r="A330" s="55"/>
      <c r="B330" s="61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7"/>
      <c r="R330" s="56"/>
      <c r="S330" s="58" t="str" cm="1">
        <f t="array" ref="S330">_xlfn._xlws.FILTER(Competitions[compType], (Fixtures[[#This Row],[competition]] = Competitions[name]), "N/A")</f>
        <v>N/A</v>
      </c>
      <c r="T330" s="58" t="str" cm="1">
        <f t="array" ref="T330">_xlfn._xlws.FILTER(Competitions[exhibition], (Fixtures[[#This Row],[competition]] = Competitions[name]), "N/A")</f>
        <v>N/A</v>
      </c>
      <c r="U330" s="58" t="str" cm="1">
        <f t="array" ref="U330">_xlfn._xlws.FILTER(Competitions[compID], (Fixtures[[#This Row],[competition]] = Competitions[name]), "N/A")</f>
        <v>N/A</v>
      </c>
      <c r="V3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0" s="58" t="str" cm="1">
        <f t="array" ref="W3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0" s="58" t="str" cm="1">
        <f t="array" ref="X330">_xlfn._xlws.FILTER(Teams[name], (Fixtures[[#This Row],[userTeamID]] = Teams[teamID]), "N/A")</f>
        <v>N/A</v>
      </c>
      <c r="Y330" s="58" t="str" cm="1">
        <f t="array" ref="Y330">_xlfn._xlws.FILTER(Teams[teamType], (Fixtures[[#This Row],[userTeamID]] = Teams[teamID]), "N/A")</f>
        <v>N/A</v>
      </c>
      <c r="Z330" s="58" t="str" cm="1">
        <f t="array" ref="Z3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0" s="58" t="str">
        <f>IF(Fixtures[[#This Row],[userSide]] = "N/A", "N/A", IF(Fixtures[[#This Row],[userSide]] = "H", Fixtures[[#This Row],[awayTeam]], Fixtures[[#This Row],[homeTeam]]))</f>
        <v>N/A</v>
      </c>
      <c r="AB330" s="58" t="str" cm="1">
        <f t="array" ref="AB330">_xlfn._xlws.FILTER(Teams[teamID], Fixtures[[#This Row],[oppTeam]] = Teams[name], "N/A")</f>
        <v>N/A</v>
      </c>
      <c r="AC330" s="58" t="str" cm="1">
        <f t="array" ref="AC330">_xlfn._xlws.FILTER(Teams[teamType], Fixtures[[#This Row],[oppTeam]] = Teams[name], "N/A")</f>
        <v>N/A</v>
      </c>
      <c r="AD330" s="58" t="str">
        <f>IF(ISBLANK(Fixtures[[#This Row],[date]]), "N/A", IF(Fixtures[[#This Row],[userSide]]="H", Fixtures[[#This Row],[homeScore]], Fixtures[[#This Row],[awayScore]]))</f>
        <v>N/A</v>
      </c>
      <c r="AE330" s="58" t="str">
        <f>IF(ISBLANK(Fixtures[[#This Row],[date]]), "N/A", IF(Fixtures[[#This Row],[userScore]] = Fixtures[[#This Row],[homeScore]], Fixtures[[#This Row],[awayScore]], Fixtures[[#This Row],[homeScore]]))</f>
        <v>N/A</v>
      </c>
      <c r="AF330" s="58" t="b">
        <f>NOT(AND(ISBLANK(Fixtures[[#This Row],[homePens]]), ISBLANK(Fixtures[[#This Row],[awayPens]])))</f>
        <v>0</v>
      </c>
      <c r="AG330" s="58" t="str">
        <f>IF(Fixtures[[#This Row],[penalties]], IF(Fixtures[[#This Row],[userSide]]="H", Fixtures[[#This Row],[homePens]], Fixtures[[#This Row],[awayPens]]), "N/A")</f>
        <v>N/A</v>
      </c>
      <c r="AH330" s="58" t="str">
        <f>IF(Fixtures[[#This Row],[penalties]], IF(Fixtures[[#This Row],[userPens]]=Fixtures[[#This Row],[homePens]],Fixtures[[#This Row],[awayPens]],Fixtures[[#This Row],[homePens]]), "N/A")</f>
        <v>N/A</v>
      </c>
      <c r="AI330" s="58" t="b">
        <f>COUNTBLANK(Fixtures[[#This Row],[G]:[MOTM]]) = 0</f>
        <v>0</v>
      </c>
      <c r="AJ330" s="58" t="str">
        <f>IF(Fixtures[[#This Row],[APP]], Fixtures[[#This Row],[G]]+Fixtures[[#This Row],[A]], "N/A")</f>
        <v>N/A</v>
      </c>
      <c r="AK3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1" spans="1:39" ht="13">
      <c r="A331" s="55"/>
      <c r="B331" s="61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7"/>
      <c r="R331" s="56"/>
      <c r="S331" s="58" t="str" cm="1">
        <f t="array" ref="S331">_xlfn._xlws.FILTER(Competitions[compType], (Fixtures[[#This Row],[competition]] = Competitions[name]), "N/A")</f>
        <v>N/A</v>
      </c>
      <c r="T331" s="58" t="str" cm="1">
        <f t="array" ref="T331">_xlfn._xlws.FILTER(Competitions[exhibition], (Fixtures[[#This Row],[competition]] = Competitions[name]), "N/A")</f>
        <v>N/A</v>
      </c>
      <c r="U331" s="58" t="str" cm="1">
        <f t="array" ref="U331">_xlfn._xlws.FILTER(Competitions[compID], (Fixtures[[#This Row],[competition]] = Competitions[name]), "N/A")</f>
        <v>N/A</v>
      </c>
      <c r="V3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1" s="58" t="str" cm="1">
        <f t="array" ref="W3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1" s="58" t="str" cm="1">
        <f t="array" ref="X331">_xlfn._xlws.FILTER(Teams[name], (Fixtures[[#This Row],[userTeamID]] = Teams[teamID]), "N/A")</f>
        <v>N/A</v>
      </c>
      <c r="Y331" s="58" t="str" cm="1">
        <f t="array" ref="Y331">_xlfn._xlws.FILTER(Teams[teamType], (Fixtures[[#This Row],[userTeamID]] = Teams[teamID]), "N/A")</f>
        <v>N/A</v>
      </c>
      <c r="Z331" s="58" t="str" cm="1">
        <f t="array" ref="Z3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1" s="58" t="str">
        <f>IF(Fixtures[[#This Row],[userSide]] = "N/A", "N/A", IF(Fixtures[[#This Row],[userSide]] = "H", Fixtures[[#This Row],[awayTeam]], Fixtures[[#This Row],[homeTeam]]))</f>
        <v>N/A</v>
      </c>
      <c r="AB331" s="58" t="str" cm="1">
        <f t="array" ref="AB331">_xlfn._xlws.FILTER(Teams[teamID], Fixtures[[#This Row],[oppTeam]] = Teams[name], "N/A")</f>
        <v>N/A</v>
      </c>
      <c r="AC331" s="58" t="str" cm="1">
        <f t="array" ref="AC331">_xlfn._xlws.FILTER(Teams[teamType], Fixtures[[#This Row],[oppTeam]] = Teams[name], "N/A")</f>
        <v>N/A</v>
      </c>
      <c r="AD331" s="58" t="str">
        <f>IF(ISBLANK(Fixtures[[#This Row],[date]]), "N/A", IF(Fixtures[[#This Row],[userSide]]="H", Fixtures[[#This Row],[homeScore]], Fixtures[[#This Row],[awayScore]]))</f>
        <v>N/A</v>
      </c>
      <c r="AE331" s="58" t="str">
        <f>IF(ISBLANK(Fixtures[[#This Row],[date]]), "N/A", IF(Fixtures[[#This Row],[userScore]] = Fixtures[[#This Row],[homeScore]], Fixtures[[#This Row],[awayScore]], Fixtures[[#This Row],[homeScore]]))</f>
        <v>N/A</v>
      </c>
      <c r="AF331" s="58" t="b">
        <f>NOT(AND(ISBLANK(Fixtures[[#This Row],[homePens]]), ISBLANK(Fixtures[[#This Row],[awayPens]])))</f>
        <v>0</v>
      </c>
      <c r="AG331" s="58" t="str">
        <f>IF(Fixtures[[#This Row],[penalties]], IF(Fixtures[[#This Row],[userSide]]="H", Fixtures[[#This Row],[homePens]], Fixtures[[#This Row],[awayPens]]), "N/A")</f>
        <v>N/A</v>
      </c>
      <c r="AH331" s="58" t="str">
        <f>IF(Fixtures[[#This Row],[penalties]], IF(Fixtures[[#This Row],[userPens]]=Fixtures[[#This Row],[homePens]],Fixtures[[#This Row],[awayPens]],Fixtures[[#This Row],[homePens]]), "N/A")</f>
        <v>N/A</v>
      </c>
      <c r="AI331" s="58" t="b">
        <f>COUNTBLANK(Fixtures[[#This Row],[G]:[MOTM]]) = 0</f>
        <v>0</v>
      </c>
      <c r="AJ331" s="58" t="str">
        <f>IF(Fixtures[[#This Row],[APP]], Fixtures[[#This Row],[G]]+Fixtures[[#This Row],[A]], "N/A")</f>
        <v>N/A</v>
      </c>
      <c r="AK3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2" spans="1:39" ht="13">
      <c r="A332" s="55"/>
      <c r="B332" s="61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7"/>
      <c r="R332" s="56"/>
      <c r="S332" s="58" t="str" cm="1">
        <f t="array" ref="S332">_xlfn._xlws.FILTER(Competitions[compType], (Fixtures[[#This Row],[competition]] = Competitions[name]), "N/A")</f>
        <v>N/A</v>
      </c>
      <c r="T332" s="58" t="str" cm="1">
        <f t="array" ref="T332">_xlfn._xlws.FILTER(Competitions[exhibition], (Fixtures[[#This Row],[competition]] = Competitions[name]), "N/A")</f>
        <v>N/A</v>
      </c>
      <c r="U332" s="58" t="str" cm="1">
        <f t="array" ref="U332">_xlfn._xlws.FILTER(Competitions[compID], (Fixtures[[#This Row],[competition]] = Competitions[name]), "N/A")</f>
        <v>N/A</v>
      </c>
      <c r="V3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2" s="58" t="str" cm="1">
        <f t="array" ref="W3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2" s="58" t="str" cm="1">
        <f t="array" ref="X332">_xlfn._xlws.FILTER(Teams[name], (Fixtures[[#This Row],[userTeamID]] = Teams[teamID]), "N/A")</f>
        <v>N/A</v>
      </c>
      <c r="Y332" s="58" t="str" cm="1">
        <f t="array" ref="Y332">_xlfn._xlws.FILTER(Teams[teamType], (Fixtures[[#This Row],[userTeamID]] = Teams[teamID]), "N/A")</f>
        <v>N/A</v>
      </c>
      <c r="Z332" s="58" t="str" cm="1">
        <f t="array" ref="Z3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2" s="58" t="str">
        <f>IF(Fixtures[[#This Row],[userSide]] = "N/A", "N/A", IF(Fixtures[[#This Row],[userSide]] = "H", Fixtures[[#This Row],[awayTeam]], Fixtures[[#This Row],[homeTeam]]))</f>
        <v>N/A</v>
      </c>
      <c r="AB332" s="58" t="str" cm="1">
        <f t="array" ref="AB332">_xlfn._xlws.FILTER(Teams[teamID], Fixtures[[#This Row],[oppTeam]] = Teams[name], "N/A")</f>
        <v>N/A</v>
      </c>
      <c r="AC332" s="58" t="str" cm="1">
        <f t="array" ref="AC332">_xlfn._xlws.FILTER(Teams[teamType], Fixtures[[#This Row],[oppTeam]] = Teams[name], "N/A")</f>
        <v>N/A</v>
      </c>
      <c r="AD332" s="58" t="str">
        <f>IF(ISBLANK(Fixtures[[#This Row],[date]]), "N/A", IF(Fixtures[[#This Row],[userSide]]="H", Fixtures[[#This Row],[homeScore]], Fixtures[[#This Row],[awayScore]]))</f>
        <v>N/A</v>
      </c>
      <c r="AE332" s="58" t="str">
        <f>IF(ISBLANK(Fixtures[[#This Row],[date]]), "N/A", IF(Fixtures[[#This Row],[userScore]] = Fixtures[[#This Row],[homeScore]], Fixtures[[#This Row],[awayScore]], Fixtures[[#This Row],[homeScore]]))</f>
        <v>N/A</v>
      </c>
      <c r="AF332" s="58" t="b">
        <f>NOT(AND(ISBLANK(Fixtures[[#This Row],[homePens]]), ISBLANK(Fixtures[[#This Row],[awayPens]])))</f>
        <v>0</v>
      </c>
      <c r="AG332" s="58" t="str">
        <f>IF(Fixtures[[#This Row],[penalties]], IF(Fixtures[[#This Row],[userSide]]="H", Fixtures[[#This Row],[homePens]], Fixtures[[#This Row],[awayPens]]), "N/A")</f>
        <v>N/A</v>
      </c>
      <c r="AH332" s="58" t="str">
        <f>IF(Fixtures[[#This Row],[penalties]], IF(Fixtures[[#This Row],[userPens]]=Fixtures[[#This Row],[homePens]],Fixtures[[#This Row],[awayPens]],Fixtures[[#This Row],[homePens]]), "N/A")</f>
        <v>N/A</v>
      </c>
      <c r="AI332" s="58" t="b">
        <f>COUNTBLANK(Fixtures[[#This Row],[G]:[MOTM]]) = 0</f>
        <v>0</v>
      </c>
      <c r="AJ332" s="58" t="str">
        <f>IF(Fixtures[[#This Row],[APP]], Fixtures[[#This Row],[G]]+Fixtures[[#This Row],[A]], "N/A")</f>
        <v>N/A</v>
      </c>
      <c r="AK3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3" spans="1:39" ht="13">
      <c r="A333" s="55"/>
      <c r="B333" s="61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7"/>
      <c r="R333" s="56"/>
      <c r="S333" s="58" t="str" cm="1">
        <f t="array" ref="S333">_xlfn._xlws.FILTER(Competitions[compType], (Fixtures[[#This Row],[competition]] = Competitions[name]), "N/A")</f>
        <v>N/A</v>
      </c>
      <c r="T333" s="58" t="str" cm="1">
        <f t="array" ref="T333">_xlfn._xlws.FILTER(Competitions[exhibition], (Fixtures[[#This Row],[competition]] = Competitions[name]), "N/A")</f>
        <v>N/A</v>
      </c>
      <c r="U333" s="58" t="str" cm="1">
        <f t="array" ref="U333">_xlfn._xlws.FILTER(Competitions[compID], (Fixtures[[#This Row],[competition]] = Competitions[name]), "N/A")</f>
        <v>N/A</v>
      </c>
      <c r="V3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3" s="58" t="str" cm="1">
        <f t="array" ref="W3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3" s="58" t="str" cm="1">
        <f t="array" ref="X333">_xlfn._xlws.FILTER(Teams[name], (Fixtures[[#This Row],[userTeamID]] = Teams[teamID]), "N/A")</f>
        <v>N/A</v>
      </c>
      <c r="Y333" s="58" t="str" cm="1">
        <f t="array" ref="Y333">_xlfn._xlws.FILTER(Teams[teamType], (Fixtures[[#This Row],[userTeamID]] = Teams[teamID]), "N/A")</f>
        <v>N/A</v>
      </c>
      <c r="Z333" s="58" t="str" cm="1">
        <f t="array" ref="Z3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3" s="58" t="str">
        <f>IF(Fixtures[[#This Row],[userSide]] = "N/A", "N/A", IF(Fixtures[[#This Row],[userSide]] = "H", Fixtures[[#This Row],[awayTeam]], Fixtures[[#This Row],[homeTeam]]))</f>
        <v>N/A</v>
      </c>
      <c r="AB333" s="58" t="str" cm="1">
        <f t="array" ref="AB333">_xlfn._xlws.FILTER(Teams[teamID], Fixtures[[#This Row],[oppTeam]] = Teams[name], "N/A")</f>
        <v>N/A</v>
      </c>
      <c r="AC333" s="58" t="str" cm="1">
        <f t="array" ref="AC333">_xlfn._xlws.FILTER(Teams[teamType], Fixtures[[#This Row],[oppTeam]] = Teams[name], "N/A")</f>
        <v>N/A</v>
      </c>
      <c r="AD333" s="58" t="str">
        <f>IF(ISBLANK(Fixtures[[#This Row],[date]]), "N/A", IF(Fixtures[[#This Row],[userSide]]="H", Fixtures[[#This Row],[homeScore]], Fixtures[[#This Row],[awayScore]]))</f>
        <v>N/A</v>
      </c>
      <c r="AE333" s="58" t="str">
        <f>IF(ISBLANK(Fixtures[[#This Row],[date]]), "N/A", IF(Fixtures[[#This Row],[userScore]] = Fixtures[[#This Row],[homeScore]], Fixtures[[#This Row],[awayScore]], Fixtures[[#This Row],[homeScore]]))</f>
        <v>N/A</v>
      </c>
      <c r="AF333" s="58" t="b">
        <f>NOT(AND(ISBLANK(Fixtures[[#This Row],[homePens]]), ISBLANK(Fixtures[[#This Row],[awayPens]])))</f>
        <v>0</v>
      </c>
      <c r="AG333" s="58" t="str">
        <f>IF(Fixtures[[#This Row],[penalties]], IF(Fixtures[[#This Row],[userSide]]="H", Fixtures[[#This Row],[homePens]], Fixtures[[#This Row],[awayPens]]), "N/A")</f>
        <v>N/A</v>
      </c>
      <c r="AH333" s="58" t="str">
        <f>IF(Fixtures[[#This Row],[penalties]], IF(Fixtures[[#This Row],[userPens]]=Fixtures[[#This Row],[homePens]],Fixtures[[#This Row],[awayPens]],Fixtures[[#This Row],[homePens]]), "N/A")</f>
        <v>N/A</v>
      </c>
      <c r="AI333" s="58" t="b">
        <f>COUNTBLANK(Fixtures[[#This Row],[G]:[MOTM]]) = 0</f>
        <v>0</v>
      </c>
      <c r="AJ333" s="58" t="str">
        <f>IF(Fixtures[[#This Row],[APP]], Fixtures[[#This Row],[G]]+Fixtures[[#This Row],[A]], "N/A")</f>
        <v>N/A</v>
      </c>
      <c r="AK3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4" spans="1:39" ht="13">
      <c r="A334" s="55"/>
      <c r="B334" s="61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7"/>
      <c r="R334" s="56"/>
      <c r="S334" s="58" t="str" cm="1">
        <f t="array" ref="S334">_xlfn._xlws.FILTER(Competitions[compType], (Fixtures[[#This Row],[competition]] = Competitions[name]), "N/A")</f>
        <v>N/A</v>
      </c>
      <c r="T334" s="58" t="str" cm="1">
        <f t="array" ref="T334">_xlfn._xlws.FILTER(Competitions[exhibition], (Fixtures[[#This Row],[competition]] = Competitions[name]), "N/A")</f>
        <v>N/A</v>
      </c>
      <c r="U334" s="58" t="str" cm="1">
        <f t="array" ref="U334">_xlfn._xlws.FILTER(Competitions[compID], (Fixtures[[#This Row],[competition]] = Competitions[name]), "N/A")</f>
        <v>N/A</v>
      </c>
      <c r="V3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4" s="58" t="str" cm="1">
        <f t="array" ref="W3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4" s="58" t="str" cm="1">
        <f t="array" ref="X334">_xlfn._xlws.FILTER(Teams[name], (Fixtures[[#This Row],[userTeamID]] = Teams[teamID]), "N/A")</f>
        <v>N/A</v>
      </c>
      <c r="Y334" s="58" t="str" cm="1">
        <f t="array" ref="Y334">_xlfn._xlws.FILTER(Teams[teamType], (Fixtures[[#This Row],[userTeamID]] = Teams[teamID]), "N/A")</f>
        <v>N/A</v>
      </c>
      <c r="Z334" s="58" t="str" cm="1">
        <f t="array" ref="Z3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4" s="58" t="str">
        <f>IF(Fixtures[[#This Row],[userSide]] = "N/A", "N/A", IF(Fixtures[[#This Row],[userSide]] = "H", Fixtures[[#This Row],[awayTeam]], Fixtures[[#This Row],[homeTeam]]))</f>
        <v>N/A</v>
      </c>
      <c r="AB334" s="58" t="str" cm="1">
        <f t="array" ref="AB334">_xlfn._xlws.FILTER(Teams[teamID], Fixtures[[#This Row],[oppTeam]] = Teams[name], "N/A")</f>
        <v>N/A</v>
      </c>
      <c r="AC334" s="58" t="str" cm="1">
        <f t="array" ref="AC334">_xlfn._xlws.FILTER(Teams[teamType], Fixtures[[#This Row],[oppTeam]] = Teams[name], "N/A")</f>
        <v>N/A</v>
      </c>
      <c r="AD334" s="58" t="str">
        <f>IF(ISBLANK(Fixtures[[#This Row],[date]]), "N/A", IF(Fixtures[[#This Row],[userSide]]="H", Fixtures[[#This Row],[homeScore]], Fixtures[[#This Row],[awayScore]]))</f>
        <v>N/A</v>
      </c>
      <c r="AE334" s="58" t="str">
        <f>IF(ISBLANK(Fixtures[[#This Row],[date]]), "N/A", IF(Fixtures[[#This Row],[userScore]] = Fixtures[[#This Row],[homeScore]], Fixtures[[#This Row],[awayScore]], Fixtures[[#This Row],[homeScore]]))</f>
        <v>N/A</v>
      </c>
      <c r="AF334" s="58" t="b">
        <f>NOT(AND(ISBLANK(Fixtures[[#This Row],[homePens]]), ISBLANK(Fixtures[[#This Row],[awayPens]])))</f>
        <v>0</v>
      </c>
      <c r="AG334" s="58" t="str">
        <f>IF(Fixtures[[#This Row],[penalties]], IF(Fixtures[[#This Row],[userSide]]="H", Fixtures[[#This Row],[homePens]], Fixtures[[#This Row],[awayPens]]), "N/A")</f>
        <v>N/A</v>
      </c>
      <c r="AH334" s="58" t="str">
        <f>IF(Fixtures[[#This Row],[penalties]], IF(Fixtures[[#This Row],[userPens]]=Fixtures[[#This Row],[homePens]],Fixtures[[#This Row],[awayPens]],Fixtures[[#This Row],[homePens]]), "N/A")</f>
        <v>N/A</v>
      </c>
      <c r="AI334" s="58" t="b">
        <f>COUNTBLANK(Fixtures[[#This Row],[G]:[MOTM]]) = 0</f>
        <v>0</v>
      </c>
      <c r="AJ334" s="58" t="str">
        <f>IF(Fixtures[[#This Row],[APP]], Fixtures[[#This Row],[G]]+Fixtures[[#This Row],[A]], "N/A")</f>
        <v>N/A</v>
      </c>
      <c r="AK3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5" spans="1:39" ht="13">
      <c r="A335" s="55"/>
      <c r="B335" s="61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7"/>
      <c r="R335" s="56"/>
      <c r="S335" s="58" t="str" cm="1">
        <f t="array" ref="S335">_xlfn._xlws.FILTER(Competitions[compType], (Fixtures[[#This Row],[competition]] = Competitions[name]), "N/A")</f>
        <v>N/A</v>
      </c>
      <c r="T335" s="58" t="str" cm="1">
        <f t="array" ref="T335">_xlfn._xlws.FILTER(Competitions[exhibition], (Fixtures[[#This Row],[competition]] = Competitions[name]), "N/A")</f>
        <v>N/A</v>
      </c>
      <c r="U335" s="58" t="str" cm="1">
        <f t="array" ref="U335">_xlfn._xlws.FILTER(Competitions[compID], (Fixtures[[#This Row],[competition]] = Competitions[name]), "N/A")</f>
        <v>N/A</v>
      </c>
      <c r="V3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5" s="58" t="str" cm="1">
        <f t="array" ref="W3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5" s="58" t="str" cm="1">
        <f t="array" ref="X335">_xlfn._xlws.FILTER(Teams[name], (Fixtures[[#This Row],[userTeamID]] = Teams[teamID]), "N/A")</f>
        <v>N/A</v>
      </c>
      <c r="Y335" s="58" t="str" cm="1">
        <f t="array" ref="Y335">_xlfn._xlws.FILTER(Teams[teamType], (Fixtures[[#This Row],[userTeamID]] = Teams[teamID]), "N/A")</f>
        <v>N/A</v>
      </c>
      <c r="Z335" s="58" t="str" cm="1">
        <f t="array" ref="Z3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5" s="58" t="str">
        <f>IF(Fixtures[[#This Row],[userSide]] = "N/A", "N/A", IF(Fixtures[[#This Row],[userSide]] = "H", Fixtures[[#This Row],[awayTeam]], Fixtures[[#This Row],[homeTeam]]))</f>
        <v>N/A</v>
      </c>
      <c r="AB335" s="58" t="str" cm="1">
        <f t="array" ref="AB335">_xlfn._xlws.FILTER(Teams[teamID], Fixtures[[#This Row],[oppTeam]] = Teams[name], "N/A")</f>
        <v>N/A</v>
      </c>
      <c r="AC335" s="58" t="str" cm="1">
        <f t="array" ref="AC335">_xlfn._xlws.FILTER(Teams[teamType], Fixtures[[#This Row],[oppTeam]] = Teams[name], "N/A")</f>
        <v>N/A</v>
      </c>
      <c r="AD335" s="58" t="str">
        <f>IF(ISBLANK(Fixtures[[#This Row],[date]]), "N/A", IF(Fixtures[[#This Row],[userSide]]="H", Fixtures[[#This Row],[homeScore]], Fixtures[[#This Row],[awayScore]]))</f>
        <v>N/A</v>
      </c>
      <c r="AE335" s="58" t="str">
        <f>IF(ISBLANK(Fixtures[[#This Row],[date]]), "N/A", IF(Fixtures[[#This Row],[userScore]] = Fixtures[[#This Row],[homeScore]], Fixtures[[#This Row],[awayScore]], Fixtures[[#This Row],[homeScore]]))</f>
        <v>N/A</v>
      </c>
      <c r="AF335" s="58" t="b">
        <f>NOT(AND(ISBLANK(Fixtures[[#This Row],[homePens]]), ISBLANK(Fixtures[[#This Row],[awayPens]])))</f>
        <v>0</v>
      </c>
      <c r="AG335" s="58" t="str">
        <f>IF(Fixtures[[#This Row],[penalties]], IF(Fixtures[[#This Row],[userSide]]="H", Fixtures[[#This Row],[homePens]], Fixtures[[#This Row],[awayPens]]), "N/A")</f>
        <v>N/A</v>
      </c>
      <c r="AH335" s="58" t="str">
        <f>IF(Fixtures[[#This Row],[penalties]], IF(Fixtures[[#This Row],[userPens]]=Fixtures[[#This Row],[homePens]],Fixtures[[#This Row],[awayPens]],Fixtures[[#This Row],[homePens]]), "N/A")</f>
        <v>N/A</v>
      </c>
      <c r="AI335" s="58" t="b">
        <f>COUNTBLANK(Fixtures[[#This Row],[G]:[MOTM]]) = 0</f>
        <v>0</v>
      </c>
      <c r="AJ335" s="58" t="str">
        <f>IF(Fixtures[[#This Row],[APP]], Fixtures[[#This Row],[G]]+Fixtures[[#This Row],[A]], "N/A")</f>
        <v>N/A</v>
      </c>
      <c r="AK3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6" spans="1:39" ht="13">
      <c r="A336" s="55"/>
      <c r="B336" s="61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7"/>
      <c r="R336" s="56"/>
      <c r="S336" s="58" t="str" cm="1">
        <f t="array" ref="S336">_xlfn._xlws.FILTER(Competitions[compType], (Fixtures[[#This Row],[competition]] = Competitions[name]), "N/A")</f>
        <v>N/A</v>
      </c>
      <c r="T336" s="58" t="str" cm="1">
        <f t="array" ref="T336">_xlfn._xlws.FILTER(Competitions[exhibition], (Fixtures[[#This Row],[competition]] = Competitions[name]), "N/A")</f>
        <v>N/A</v>
      </c>
      <c r="U336" s="58" t="str" cm="1">
        <f t="array" ref="U336">_xlfn._xlws.FILTER(Competitions[compID], (Fixtures[[#This Row],[competition]] = Competitions[name]), "N/A")</f>
        <v>N/A</v>
      </c>
      <c r="V3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6" s="58" t="str" cm="1">
        <f t="array" ref="W3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6" s="58" t="str" cm="1">
        <f t="array" ref="X336">_xlfn._xlws.FILTER(Teams[name], (Fixtures[[#This Row],[userTeamID]] = Teams[teamID]), "N/A")</f>
        <v>N/A</v>
      </c>
      <c r="Y336" s="58" t="str" cm="1">
        <f t="array" ref="Y336">_xlfn._xlws.FILTER(Teams[teamType], (Fixtures[[#This Row],[userTeamID]] = Teams[teamID]), "N/A")</f>
        <v>N/A</v>
      </c>
      <c r="Z336" s="58" t="str" cm="1">
        <f t="array" ref="Z3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6" s="58" t="str">
        <f>IF(Fixtures[[#This Row],[userSide]] = "N/A", "N/A", IF(Fixtures[[#This Row],[userSide]] = "H", Fixtures[[#This Row],[awayTeam]], Fixtures[[#This Row],[homeTeam]]))</f>
        <v>N/A</v>
      </c>
      <c r="AB336" s="58" t="str" cm="1">
        <f t="array" ref="AB336">_xlfn._xlws.FILTER(Teams[teamID], Fixtures[[#This Row],[oppTeam]] = Teams[name], "N/A")</f>
        <v>N/A</v>
      </c>
      <c r="AC336" s="58" t="str" cm="1">
        <f t="array" ref="AC336">_xlfn._xlws.FILTER(Teams[teamType], Fixtures[[#This Row],[oppTeam]] = Teams[name], "N/A")</f>
        <v>N/A</v>
      </c>
      <c r="AD336" s="58" t="str">
        <f>IF(ISBLANK(Fixtures[[#This Row],[date]]), "N/A", IF(Fixtures[[#This Row],[userSide]]="H", Fixtures[[#This Row],[homeScore]], Fixtures[[#This Row],[awayScore]]))</f>
        <v>N/A</v>
      </c>
      <c r="AE336" s="58" t="str">
        <f>IF(ISBLANK(Fixtures[[#This Row],[date]]), "N/A", IF(Fixtures[[#This Row],[userScore]] = Fixtures[[#This Row],[homeScore]], Fixtures[[#This Row],[awayScore]], Fixtures[[#This Row],[homeScore]]))</f>
        <v>N/A</v>
      </c>
      <c r="AF336" s="58" t="b">
        <f>NOT(AND(ISBLANK(Fixtures[[#This Row],[homePens]]), ISBLANK(Fixtures[[#This Row],[awayPens]])))</f>
        <v>0</v>
      </c>
      <c r="AG336" s="58" t="str">
        <f>IF(Fixtures[[#This Row],[penalties]], IF(Fixtures[[#This Row],[userSide]]="H", Fixtures[[#This Row],[homePens]], Fixtures[[#This Row],[awayPens]]), "N/A")</f>
        <v>N/A</v>
      </c>
      <c r="AH336" s="58" t="str">
        <f>IF(Fixtures[[#This Row],[penalties]], IF(Fixtures[[#This Row],[userPens]]=Fixtures[[#This Row],[homePens]],Fixtures[[#This Row],[awayPens]],Fixtures[[#This Row],[homePens]]), "N/A")</f>
        <v>N/A</v>
      </c>
      <c r="AI336" s="58" t="b">
        <f>COUNTBLANK(Fixtures[[#This Row],[G]:[MOTM]]) = 0</f>
        <v>0</v>
      </c>
      <c r="AJ336" s="58" t="str">
        <f>IF(Fixtures[[#This Row],[APP]], Fixtures[[#This Row],[G]]+Fixtures[[#This Row],[A]], "N/A")</f>
        <v>N/A</v>
      </c>
      <c r="AK3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7" spans="1:39" ht="13">
      <c r="A337" s="55"/>
      <c r="B337" s="61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7"/>
      <c r="R337" s="56"/>
      <c r="S337" s="58" t="str" cm="1">
        <f t="array" ref="S337">_xlfn._xlws.FILTER(Competitions[compType], (Fixtures[[#This Row],[competition]] = Competitions[name]), "N/A")</f>
        <v>N/A</v>
      </c>
      <c r="T337" s="58" t="str" cm="1">
        <f t="array" ref="T337">_xlfn._xlws.FILTER(Competitions[exhibition], (Fixtures[[#This Row],[competition]] = Competitions[name]), "N/A")</f>
        <v>N/A</v>
      </c>
      <c r="U337" s="58" t="str" cm="1">
        <f t="array" ref="U337">_xlfn._xlws.FILTER(Competitions[compID], (Fixtures[[#This Row],[competition]] = Competitions[name]), "N/A")</f>
        <v>N/A</v>
      </c>
      <c r="V3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7" s="58" t="str" cm="1">
        <f t="array" ref="W3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7" s="58" t="str" cm="1">
        <f t="array" ref="X337">_xlfn._xlws.FILTER(Teams[name], (Fixtures[[#This Row],[userTeamID]] = Teams[teamID]), "N/A")</f>
        <v>N/A</v>
      </c>
      <c r="Y337" s="58" t="str" cm="1">
        <f t="array" ref="Y337">_xlfn._xlws.FILTER(Teams[teamType], (Fixtures[[#This Row],[userTeamID]] = Teams[teamID]), "N/A")</f>
        <v>N/A</v>
      </c>
      <c r="Z337" s="58" t="str" cm="1">
        <f t="array" ref="Z3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7" s="58" t="str">
        <f>IF(Fixtures[[#This Row],[userSide]] = "N/A", "N/A", IF(Fixtures[[#This Row],[userSide]] = "H", Fixtures[[#This Row],[awayTeam]], Fixtures[[#This Row],[homeTeam]]))</f>
        <v>N/A</v>
      </c>
      <c r="AB337" s="58" t="str" cm="1">
        <f t="array" ref="AB337">_xlfn._xlws.FILTER(Teams[teamID], Fixtures[[#This Row],[oppTeam]] = Teams[name], "N/A")</f>
        <v>N/A</v>
      </c>
      <c r="AC337" s="58" t="str" cm="1">
        <f t="array" ref="AC337">_xlfn._xlws.FILTER(Teams[teamType], Fixtures[[#This Row],[oppTeam]] = Teams[name], "N/A")</f>
        <v>N/A</v>
      </c>
      <c r="AD337" s="58" t="str">
        <f>IF(ISBLANK(Fixtures[[#This Row],[date]]), "N/A", IF(Fixtures[[#This Row],[userSide]]="H", Fixtures[[#This Row],[homeScore]], Fixtures[[#This Row],[awayScore]]))</f>
        <v>N/A</v>
      </c>
      <c r="AE337" s="58" t="str">
        <f>IF(ISBLANK(Fixtures[[#This Row],[date]]), "N/A", IF(Fixtures[[#This Row],[userScore]] = Fixtures[[#This Row],[homeScore]], Fixtures[[#This Row],[awayScore]], Fixtures[[#This Row],[homeScore]]))</f>
        <v>N/A</v>
      </c>
      <c r="AF337" s="58" t="b">
        <f>NOT(AND(ISBLANK(Fixtures[[#This Row],[homePens]]), ISBLANK(Fixtures[[#This Row],[awayPens]])))</f>
        <v>0</v>
      </c>
      <c r="AG337" s="58" t="str">
        <f>IF(Fixtures[[#This Row],[penalties]], IF(Fixtures[[#This Row],[userSide]]="H", Fixtures[[#This Row],[homePens]], Fixtures[[#This Row],[awayPens]]), "N/A")</f>
        <v>N/A</v>
      </c>
      <c r="AH337" s="58" t="str">
        <f>IF(Fixtures[[#This Row],[penalties]], IF(Fixtures[[#This Row],[userPens]]=Fixtures[[#This Row],[homePens]],Fixtures[[#This Row],[awayPens]],Fixtures[[#This Row],[homePens]]), "N/A")</f>
        <v>N/A</v>
      </c>
      <c r="AI337" s="58" t="b">
        <f>COUNTBLANK(Fixtures[[#This Row],[G]:[MOTM]]) = 0</f>
        <v>0</v>
      </c>
      <c r="AJ337" s="58" t="str">
        <f>IF(Fixtures[[#This Row],[APP]], Fixtures[[#This Row],[G]]+Fixtures[[#This Row],[A]], "N/A")</f>
        <v>N/A</v>
      </c>
      <c r="AK3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8" spans="1:39" ht="13">
      <c r="A338" s="55"/>
      <c r="B338" s="61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7"/>
      <c r="R338" s="56"/>
      <c r="S338" s="58" t="str" cm="1">
        <f t="array" ref="S338">_xlfn._xlws.FILTER(Competitions[compType], (Fixtures[[#This Row],[competition]] = Competitions[name]), "N/A")</f>
        <v>N/A</v>
      </c>
      <c r="T338" s="58" t="str" cm="1">
        <f t="array" ref="T338">_xlfn._xlws.FILTER(Competitions[exhibition], (Fixtures[[#This Row],[competition]] = Competitions[name]), "N/A")</f>
        <v>N/A</v>
      </c>
      <c r="U338" s="58" t="str" cm="1">
        <f t="array" ref="U338">_xlfn._xlws.FILTER(Competitions[compID], (Fixtures[[#This Row],[competition]] = Competitions[name]), "N/A")</f>
        <v>N/A</v>
      </c>
      <c r="V3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8" s="58" t="str" cm="1">
        <f t="array" ref="W3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8" s="58" t="str" cm="1">
        <f t="array" ref="X338">_xlfn._xlws.FILTER(Teams[name], (Fixtures[[#This Row],[userTeamID]] = Teams[teamID]), "N/A")</f>
        <v>N/A</v>
      </c>
      <c r="Y338" s="58" t="str" cm="1">
        <f t="array" ref="Y338">_xlfn._xlws.FILTER(Teams[teamType], (Fixtures[[#This Row],[userTeamID]] = Teams[teamID]), "N/A")</f>
        <v>N/A</v>
      </c>
      <c r="Z338" s="58" t="str" cm="1">
        <f t="array" ref="Z3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8" s="58" t="str">
        <f>IF(Fixtures[[#This Row],[userSide]] = "N/A", "N/A", IF(Fixtures[[#This Row],[userSide]] = "H", Fixtures[[#This Row],[awayTeam]], Fixtures[[#This Row],[homeTeam]]))</f>
        <v>N/A</v>
      </c>
      <c r="AB338" s="58" t="str" cm="1">
        <f t="array" ref="AB338">_xlfn._xlws.FILTER(Teams[teamID], Fixtures[[#This Row],[oppTeam]] = Teams[name], "N/A")</f>
        <v>N/A</v>
      </c>
      <c r="AC338" s="58" t="str" cm="1">
        <f t="array" ref="AC338">_xlfn._xlws.FILTER(Teams[teamType], Fixtures[[#This Row],[oppTeam]] = Teams[name], "N/A")</f>
        <v>N/A</v>
      </c>
      <c r="AD338" s="58" t="str">
        <f>IF(ISBLANK(Fixtures[[#This Row],[date]]), "N/A", IF(Fixtures[[#This Row],[userSide]]="H", Fixtures[[#This Row],[homeScore]], Fixtures[[#This Row],[awayScore]]))</f>
        <v>N/A</v>
      </c>
      <c r="AE338" s="58" t="str">
        <f>IF(ISBLANK(Fixtures[[#This Row],[date]]), "N/A", IF(Fixtures[[#This Row],[userScore]] = Fixtures[[#This Row],[homeScore]], Fixtures[[#This Row],[awayScore]], Fixtures[[#This Row],[homeScore]]))</f>
        <v>N/A</v>
      </c>
      <c r="AF338" s="58" t="b">
        <f>NOT(AND(ISBLANK(Fixtures[[#This Row],[homePens]]), ISBLANK(Fixtures[[#This Row],[awayPens]])))</f>
        <v>0</v>
      </c>
      <c r="AG338" s="58" t="str">
        <f>IF(Fixtures[[#This Row],[penalties]], IF(Fixtures[[#This Row],[userSide]]="H", Fixtures[[#This Row],[homePens]], Fixtures[[#This Row],[awayPens]]), "N/A")</f>
        <v>N/A</v>
      </c>
      <c r="AH338" s="58" t="str">
        <f>IF(Fixtures[[#This Row],[penalties]], IF(Fixtures[[#This Row],[userPens]]=Fixtures[[#This Row],[homePens]],Fixtures[[#This Row],[awayPens]],Fixtures[[#This Row],[homePens]]), "N/A")</f>
        <v>N/A</v>
      </c>
      <c r="AI338" s="58" t="b">
        <f>COUNTBLANK(Fixtures[[#This Row],[G]:[MOTM]]) = 0</f>
        <v>0</v>
      </c>
      <c r="AJ338" s="58" t="str">
        <f>IF(Fixtures[[#This Row],[APP]], Fixtures[[#This Row],[G]]+Fixtures[[#This Row],[A]], "N/A")</f>
        <v>N/A</v>
      </c>
      <c r="AK3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39" spans="1:39" ht="13">
      <c r="A339" s="55"/>
      <c r="B339" s="61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7"/>
      <c r="R339" s="56"/>
      <c r="S339" s="58" t="str" cm="1">
        <f t="array" ref="S339">_xlfn._xlws.FILTER(Competitions[compType], (Fixtures[[#This Row],[competition]] = Competitions[name]), "N/A")</f>
        <v>N/A</v>
      </c>
      <c r="T339" s="58" t="str" cm="1">
        <f t="array" ref="T339">_xlfn._xlws.FILTER(Competitions[exhibition], (Fixtures[[#This Row],[competition]] = Competitions[name]), "N/A")</f>
        <v>N/A</v>
      </c>
      <c r="U339" s="58" t="str" cm="1">
        <f t="array" ref="U339">_xlfn._xlws.FILTER(Competitions[compID], (Fixtures[[#This Row],[competition]] = Competitions[name]), "N/A")</f>
        <v>N/A</v>
      </c>
      <c r="V3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39" s="58" t="str" cm="1">
        <f t="array" ref="W3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39" s="58" t="str" cm="1">
        <f t="array" ref="X339">_xlfn._xlws.FILTER(Teams[name], (Fixtures[[#This Row],[userTeamID]] = Teams[teamID]), "N/A")</f>
        <v>N/A</v>
      </c>
      <c r="Y339" s="58" t="str" cm="1">
        <f t="array" ref="Y339">_xlfn._xlws.FILTER(Teams[teamType], (Fixtures[[#This Row],[userTeamID]] = Teams[teamID]), "N/A")</f>
        <v>N/A</v>
      </c>
      <c r="Z339" s="58" t="str" cm="1">
        <f t="array" ref="Z3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39" s="58" t="str">
        <f>IF(Fixtures[[#This Row],[userSide]] = "N/A", "N/A", IF(Fixtures[[#This Row],[userSide]] = "H", Fixtures[[#This Row],[awayTeam]], Fixtures[[#This Row],[homeTeam]]))</f>
        <v>N/A</v>
      </c>
      <c r="AB339" s="58" t="str" cm="1">
        <f t="array" ref="AB339">_xlfn._xlws.FILTER(Teams[teamID], Fixtures[[#This Row],[oppTeam]] = Teams[name], "N/A")</f>
        <v>N/A</v>
      </c>
      <c r="AC339" s="58" t="str" cm="1">
        <f t="array" ref="AC339">_xlfn._xlws.FILTER(Teams[teamType], Fixtures[[#This Row],[oppTeam]] = Teams[name], "N/A")</f>
        <v>N/A</v>
      </c>
      <c r="AD339" s="58" t="str">
        <f>IF(ISBLANK(Fixtures[[#This Row],[date]]), "N/A", IF(Fixtures[[#This Row],[userSide]]="H", Fixtures[[#This Row],[homeScore]], Fixtures[[#This Row],[awayScore]]))</f>
        <v>N/A</v>
      </c>
      <c r="AE339" s="58" t="str">
        <f>IF(ISBLANK(Fixtures[[#This Row],[date]]), "N/A", IF(Fixtures[[#This Row],[userScore]] = Fixtures[[#This Row],[homeScore]], Fixtures[[#This Row],[awayScore]], Fixtures[[#This Row],[homeScore]]))</f>
        <v>N/A</v>
      </c>
      <c r="AF339" s="58" t="b">
        <f>NOT(AND(ISBLANK(Fixtures[[#This Row],[homePens]]), ISBLANK(Fixtures[[#This Row],[awayPens]])))</f>
        <v>0</v>
      </c>
      <c r="AG339" s="58" t="str">
        <f>IF(Fixtures[[#This Row],[penalties]], IF(Fixtures[[#This Row],[userSide]]="H", Fixtures[[#This Row],[homePens]], Fixtures[[#This Row],[awayPens]]), "N/A")</f>
        <v>N/A</v>
      </c>
      <c r="AH339" s="58" t="str">
        <f>IF(Fixtures[[#This Row],[penalties]], IF(Fixtures[[#This Row],[userPens]]=Fixtures[[#This Row],[homePens]],Fixtures[[#This Row],[awayPens]],Fixtures[[#This Row],[homePens]]), "N/A")</f>
        <v>N/A</v>
      </c>
      <c r="AI339" s="58" t="b">
        <f>COUNTBLANK(Fixtures[[#This Row],[G]:[MOTM]]) = 0</f>
        <v>0</v>
      </c>
      <c r="AJ339" s="58" t="str">
        <f>IF(Fixtures[[#This Row],[APP]], Fixtures[[#This Row],[G]]+Fixtures[[#This Row],[A]], "N/A")</f>
        <v>N/A</v>
      </c>
      <c r="AK3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0" spans="1:39" ht="13">
      <c r="A340" s="55"/>
      <c r="B340" s="61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7"/>
      <c r="R340" s="56"/>
      <c r="S340" s="58" t="str" cm="1">
        <f t="array" ref="S340">_xlfn._xlws.FILTER(Competitions[compType], (Fixtures[[#This Row],[competition]] = Competitions[name]), "N/A")</f>
        <v>N/A</v>
      </c>
      <c r="T340" s="58" t="str" cm="1">
        <f t="array" ref="T340">_xlfn._xlws.FILTER(Competitions[exhibition], (Fixtures[[#This Row],[competition]] = Competitions[name]), "N/A")</f>
        <v>N/A</v>
      </c>
      <c r="U340" s="58" t="str" cm="1">
        <f t="array" ref="U340">_xlfn._xlws.FILTER(Competitions[compID], (Fixtures[[#This Row],[competition]] = Competitions[name]), "N/A")</f>
        <v>N/A</v>
      </c>
      <c r="V3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0" s="58" t="str" cm="1">
        <f t="array" ref="W3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0" s="58" t="str" cm="1">
        <f t="array" ref="X340">_xlfn._xlws.FILTER(Teams[name], (Fixtures[[#This Row],[userTeamID]] = Teams[teamID]), "N/A")</f>
        <v>N/A</v>
      </c>
      <c r="Y340" s="58" t="str" cm="1">
        <f t="array" ref="Y340">_xlfn._xlws.FILTER(Teams[teamType], (Fixtures[[#This Row],[userTeamID]] = Teams[teamID]), "N/A")</f>
        <v>N/A</v>
      </c>
      <c r="Z340" s="58" t="str" cm="1">
        <f t="array" ref="Z3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0" s="58" t="str">
        <f>IF(Fixtures[[#This Row],[userSide]] = "N/A", "N/A", IF(Fixtures[[#This Row],[userSide]] = "H", Fixtures[[#This Row],[awayTeam]], Fixtures[[#This Row],[homeTeam]]))</f>
        <v>N/A</v>
      </c>
      <c r="AB340" s="58" t="str" cm="1">
        <f t="array" ref="AB340">_xlfn._xlws.FILTER(Teams[teamID], Fixtures[[#This Row],[oppTeam]] = Teams[name], "N/A")</f>
        <v>N/A</v>
      </c>
      <c r="AC340" s="58" t="str" cm="1">
        <f t="array" ref="AC340">_xlfn._xlws.FILTER(Teams[teamType], Fixtures[[#This Row],[oppTeam]] = Teams[name], "N/A")</f>
        <v>N/A</v>
      </c>
      <c r="AD340" s="58" t="str">
        <f>IF(ISBLANK(Fixtures[[#This Row],[date]]), "N/A", IF(Fixtures[[#This Row],[userSide]]="H", Fixtures[[#This Row],[homeScore]], Fixtures[[#This Row],[awayScore]]))</f>
        <v>N/A</v>
      </c>
      <c r="AE340" s="58" t="str">
        <f>IF(ISBLANK(Fixtures[[#This Row],[date]]), "N/A", IF(Fixtures[[#This Row],[userScore]] = Fixtures[[#This Row],[homeScore]], Fixtures[[#This Row],[awayScore]], Fixtures[[#This Row],[homeScore]]))</f>
        <v>N/A</v>
      </c>
      <c r="AF340" s="58" t="b">
        <f>NOT(AND(ISBLANK(Fixtures[[#This Row],[homePens]]), ISBLANK(Fixtures[[#This Row],[awayPens]])))</f>
        <v>0</v>
      </c>
      <c r="AG340" s="58" t="str">
        <f>IF(Fixtures[[#This Row],[penalties]], IF(Fixtures[[#This Row],[userSide]]="H", Fixtures[[#This Row],[homePens]], Fixtures[[#This Row],[awayPens]]), "N/A")</f>
        <v>N/A</v>
      </c>
      <c r="AH340" s="58" t="str">
        <f>IF(Fixtures[[#This Row],[penalties]], IF(Fixtures[[#This Row],[userPens]]=Fixtures[[#This Row],[homePens]],Fixtures[[#This Row],[awayPens]],Fixtures[[#This Row],[homePens]]), "N/A")</f>
        <v>N/A</v>
      </c>
      <c r="AI340" s="58" t="b">
        <f>COUNTBLANK(Fixtures[[#This Row],[G]:[MOTM]]) = 0</f>
        <v>0</v>
      </c>
      <c r="AJ340" s="58" t="str">
        <f>IF(Fixtures[[#This Row],[APP]], Fixtures[[#This Row],[G]]+Fixtures[[#This Row],[A]], "N/A")</f>
        <v>N/A</v>
      </c>
      <c r="AK3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1" spans="1:39" ht="13">
      <c r="A341" s="55"/>
      <c r="B341" s="61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7"/>
      <c r="R341" s="56"/>
      <c r="S341" s="58" t="str" cm="1">
        <f t="array" ref="S341">_xlfn._xlws.FILTER(Competitions[compType], (Fixtures[[#This Row],[competition]] = Competitions[name]), "N/A")</f>
        <v>N/A</v>
      </c>
      <c r="T341" s="58" t="str" cm="1">
        <f t="array" ref="T341">_xlfn._xlws.FILTER(Competitions[exhibition], (Fixtures[[#This Row],[competition]] = Competitions[name]), "N/A")</f>
        <v>N/A</v>
      </c>
      <c r="U341" s="58" t="str" cm="1">
        <f t="array" ref="U341">_xlfn._xlws.FILTER(Competitions[compID], (Fixtures[[#This Row],[competition]] = Competitions[name]), "N/A")</f>
        <v>N/A</v>
      </c>
      <c r="V3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1" s="58" t="str" cm="1">
        <f t="array" ref="W3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1" s="58" t="str" cm="1">
        <f t="array" ref="X341">_xlfn._xlws.FILTER(Teams[name], (Fixtures[[#This Row],[userTeamID]] = Teams[teamID]), "N/A")</f>
        <v>N/A</v>
      </c>
      <c r="Y341" s="58" t="str" cm="1">
        <f t="array" ref="Y341">_xlfn._xlws.FILTER(Teams[teamType], (Fixtures[[#This Row],[userTeamID]] = Teams[teamID]), "N/A")</f>
        <v>N/A</v>
      </c>
      <c r="Z341" s="58" t="str" cm="1">
        <f t="array" ref="Z3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1" s="58" t="str">
        <f>IF(Fixtures[[#This Row],[userSide]] = "N/A", "N/A", IF(Fixtures[[#This Row],[userSide]] = "H", Fixtures[[#This Row],[awayTeam]], Fixtures[[#This Row],[homeTeam]]))</f>
        <v>N/A</v>
      </c>
      <c r="AB341" s="58" t="str" cm="1">
        <f t="array" ref="AB341">_xlfn._xlws.FILTER(Teams[teamID], Fixtures[[#This Row],[oppTeam]] = Teams[name], "N/A")</f>
        <v>N/A</v>
      </c>
      <c r="AC341" s="58" t="str" cm="1">
        <f t="array" ref="AC341">_xlfn._xlws.FILTER(Teams[teamType], Fixtures[[#This Row],[oppTeam]] = Teams[name], "N/A")</f>
        <v>N/A</v>
      </c>
      <c r="AD341" s="58" t="str">
        <f>IF(ISBLANK(Fixtures[[#This Row],[date]]), "N/A", IF(Fixtures[[#This Row],[userSide]]="H", Fixtures[[#This Row],[homeScore]], Fixtures[[#This Row],[awayScore]]))</f>
        <v>N/A</v>
      </c>
      <c r="AE341" s="58" t="str">
        <f>IF(ISBLANK(Fixtures[[#This Row],[date]]), "N/A", IF(Fixtures[[#This Row],[userScore]] = Fixtures[[#This Row],[homeScore]], Fixtures[[#This Row],[awayScore]], Fixtures[[#This Row],[homeScore]]))</f>
        <v>N/A</v>
      </c>
      <c r="AF341" s="58" t="b">
        <f>NOT(AND(ISBLANK(Fixtures[[#This Row],[homePens]]), ISBLANK(Fixtures[[#This Row],[awayPens]])))</f>
        <v>0</v>
      </c>
      <c r="AG341" s="58" t="str">
        <f>IF(Fixtures[[#This Row],[penalties]], IF(Fixtures[[#This Row],[userSide]]="H", Fixtures[[#This Row],[homePens]], Fixtures[[#This Row],[awayPens]]), "N/A")</f>
        <v>N/A</v>
      </c>
      <c r="AH341" s="58" t="str">
        <f>IF(Fixtures[[#This Row],[penalties]], IF(Fixtures[[#This Row],[userPens]]=Fixtures[[#This Row],[homePens]],Fixtures[[#This Row],[awayPens]],Fixtures[[#This Row],[homePens]]), "N/A")</f>
        <v>N/A</v>
      </c>
      <c r="AI341" s="58" t="b">
        <f>COUNTBLANK(Fixtures[[#This Row],[G]:[MOTM]]) = 0</f>
        <v>0</v>
      </c>
      <c r="AJ341" s="58" t="str">
        <f>IF(Fixtures[[#This Row],[APP]], Fixtures[[#This Row],[G]]+Fixtures[[#This Row],[A]], "N/A")</f>
        <v>N/A</v>
      </c>
      <c r="AK3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2" spans="1:39" ht="13">
      <c r="A342" s="55"/>
      <c r="B342" s="61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7"/>
      <c r="R342" s="56"/>
      <c r="S342" s="58" t="str" cm="1">
        <f t="array" ref="S342">_xlfn._xlws.FILTER(Competitions[compType], (Fixtures[[#This Row],[competition]] = Competitions[name]), "N/A")</f>
        <v>N/A</v>
      </c>
      <c r="T342" s="58" t="str" cm="1">
        <f t="array" ref="T342">_xlfn._xlws.FILTER(Competitions[exhibition], (Fixtures[[#This Row],[competition]] = Competitions[name]), "N/A")</f>
        <v>N/A</v>
      </c>
      <c r="U342" s="58" t="str" cm="1">
        <f t="array" ref="U342">_xlfn._xlws.FILTER(Competitions[compID], (Fixtures[[#This Row],[competition]] = Competitions[name]), "N/A")</f>
        <v>N/A</v>
      </c>
      <c r="V3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2" s="58" t="str" cm="1">
        <f t="array" ref="W3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2" s="58" t="str" cm="1">
        <f t="array" ref="X342">_xlfn._xlws.FILTER(Teams[name], (Fixtures[[#This Row],[userTeamID]] = Teams[teamID]), "N/A")</f>
        <v>N/A</v>
      </c>
      <c r="Y342" s="58" t="str" cm="1">
        <f t="array" ref="Y342">_xlfn._xlws.FILTER(Teams[teamType], (Fixtures[[#This Row],[userTeamID]] = Teams[teamID]), "N/A")</f>
        <v>N/A</v>
      </c>
      <c r="Z342" s="58" t="str" cm="1">
        <f t="array" ref="Z3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2" s="58" t="str">
        <f>IF(Fixtures[[#This Row],[userSide]] = "N/A", "N/A", IF(Fixtures[[#This Row],[userSide]] = "H", Fixtures[[#This Row],[awayTeam]], Fixtures[[#This Row],[homeTeam]]))</f>
        <v>N/A</v>
      </c>
      <c r="AB342" s="58" t="str" cm="1">
        <f t="array" ref="AB342">_xlfn._xlws.FILTER(Teams[teamID], Fixtures[[#This Row],[oppTeam]] = Teams[name], "N/A")</f>
        <v>N/A</v>
      </c>
      <c r="AC342" s="58" t="str" cm="1">
        <f t="array" ref="AC342">_xlfn._xlws.FILTER(Teams[teamType], Fixtures[[#This Row],[oppTeam]] = Teams[name], "N/A")</f>
        <v>N/A</v>
      </c>
      <c r="AD342" s="58" t="str">
        <f>IF(ISBLANK(Fixtures[[#This Row],[date]]), "N/A", IF(Fixtures[[#This Row],[userSide]]="H", Fixtures[[#This Row],[homeScore]], Fixtures[[#This Row],[awayScore]]))</f>
        <v>N/A</v>
      </c>
      <c r="AE342" s="58" t="str">
        <f>IF(ISBLANK(Fixtures[[#This Row],[date]]), "N/A", IF(Fixtures[[#This Row],[userScore]] = Fixtures[[#This Row],[homeScore]], Fixtures[[#This Row],[awayScore]], Fixtures[[#This Row],[homeScore]]))</f>
        <v>N/A</v>
      </c>
      <c r="AF342" s="58" t="b">
        <f>NOT(AND(ISBLANK(Fixtures[[#This Row],[homePens]]), ISBLANK(Fixtures[[#This Row],[awayPens]])))</f>
        <v>0</v>
      </c>
      <c r="AG342" s="58" t="str">
        <f>IF(Fixtures[[#This Row],[penalties]], IF(Fixtures[[#This Row],[userSide]]="H", Fixtures[[#This Row],[homePens]], Fixtures[[#This Row],[awayPens]]), "N/A")</f>
        <v>N/A</v>
      </c>
      <c r="AH342" s="58" t="str">
        <f>IF(Fixtures[[#This Row],[penalties]], IF(Fixtures[[#This Row],[userPens]]=Fixtures[[#This Row],[homePens]],Fixtures[[#This Row],[awayPens]],Fixtures[[#This Row],[homePens]]), "N/A")</f>
        <v>N/A</v>
      </c>
      <c r="AI342" s="58" t="b">
        <f>COUNTBLANK(Fixtures[[#This Row],[G]:[MOTM]]) = 0</f>
        <v>0</v>
      </c>
      <c r="AJ342" s="58" t="str">
        <f>IF(Fixtures[[#This Row],[APP]], Fixtures[[#This Row],[G]]+Fixtures[[#This Row],[A]], "N/A")</f>
        <v>N/A</v>
      </c>
      <c r="AK3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3" spans="1:39" ht="13">
      <c r="A343" s="55"/>
      <c r="B343" s="61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7"/>
      <c r="R343" s="56"/>
      <c r="S343" s="58" t="str" cm="1">
        <f t="array" ref="S343">_xlfn._xlws.FILTER(Competitions[compType], (Fixtures[[#This Row],[competition]] = Competitions[name]), "N/A")</f>
        <v>N/A</v>
      </c>
      <c r="T343" s="58" t="str" cm="1">
        <f t="array" ref="T343">_xlfn._xlws.FILTER(Competitions[exhibition], (Fixtures[[#This Row],[competition]] = Competitions[name]), "N/A")</f>
        <v>N/A</v>
      </c>
      <c r="U343" s="58" t="str" cm="1">
        <f t="array" ref="U343">_xlfn._xlws.FILTER(Competitions[compID], (Fixtures[[#This Row],[competition]] = Competitions[name]), "N/A")</f>
        <v>N/A</v>
      </c>
      <c r="V3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3" s="58" t="str" cm="1">
        <f t="array" ref="W3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3" s="58" t="str" cm="1">
        <f t="array" ref="X343">_xlfn._xlws.FILTER(Teams[name], (Fixtures[[#This Row],[userTeamID]] = Teams[teamID]), "N/A")</f>
        <v>N/A</v>
      </c>
      <c r="Y343" s="58" t="str" cm="1">
        <f t="array" ref="Y343">_xlfn._xlws.FILTER(Teams[teamType], (Fixtures[[#This Row],[userTeamID]] = Teams[teamID]), "N/A")</f>
        <v>N/A</v>
      </c>
      <c r="Z343" s="58" t="str" cm="1">
        <f t="array" ref="Z3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3" s="58" t="str">
        <f>IF(Fixtures[[#This Row],[userSide]] = "N/A", "N/A", IF(Fixtures[[#This Row],[userSide]] = "H", Fixtures[[#This Row],[awayTeam]], Fixtures[[#This Row],[homeTeam]]))</f>
        <v>N/A</v>
      </c>
      <c r="AB343" s="58" t="str" cm="1">
        <f t="array" ref="AB343">_xlfn._xlws.FILTER(Teams[teamID], Fixtures[[#This Row],[oppTeam]] = Teams[name], "N/A")</f>
        <v>N/A</v>
      </c>
      <c r="AC343" s="58" t="str" cm="1">
        <f t="array" ref="AC343">_xlfn._xlws.FILTER(Teams[teamType], Fixtures[[#This Row],[oppTeam]] = Teams[name], "N/A")</f>
        <v>N/A</v>
      </c>
      <c r="AD343" s="58" t="str">
        <f>IF(ISBLANK(Fixtures[[#This Row],[date]]), "N/A", IF(Fixtures[[#This Row],[userSide]]="H", Fixtures[[#This Row],[homeScore]], Fixtures[[#This Row],[awayScore]]))</f>
        <v>N/A</v>
      </c>
      <c r="AE343" s="58" t="str">
        <f>IF(ISBLANK(Fixtures[[#This Row],[date]]), "N/A", IF(Fixtures[[#This Row],[userScore]] = Fixtures[[#This Row],[homeScore]], Fixtures[[#This Row],[awayScore]], Fixtures[[#This Row],[homeScore]]))</f>
        <v>N/A</v>
      </c>
      <c r="AF343" s="58" t="b">
        <f>NOT(AND(ISBLANK(Fixtures[[#This Row],[homePens]]), ISBLANK(Fixtures[[#This Row],[awayPens]])))</f>
        <v>0</v>
      </c>
      <c r="AG343" s="58" t="str">
        <f>IF(Fixtures[[#This Row],[penalties]], IF(Fixtures[[#This Row],[userSide]]="H", Fixtures[[#This Row],[homePens]], Fixtures[[#This Row],[awayPens]]), "N/A")</f>
        <v>N/A</v>
      </c>
      <c r="AH343" s="58" t="str">
        <f>IF(Fixtures[[#This Row],[penalties]], IF(Fixtures[[#This Row],[userPens]]=Fixtures[[#This Row],[homePens]],Fixtures[[#This Row],[awayPens]],Fixtures[[#This Row],[homePens]]), "N/A")</f>
        <v>N/A</v>
      </c>
      <c r="AI343" s="58" t="b">
        <f>COUNTBLANK(Fixtures[[#This Row],[G]:[MOTM]]) = 0</f>
        <v>0</v>
      </c>
      <c r="AJ343" s="58" t="str">
        <f>IF(Fixtures[[#This Row],[APP]], Fixtures[[#This Row],[G]]+Fixtures[[#This Row],[A]], "N/A")</f>
        <v>N/A</v>
      </c>
      <c r="AK3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4" spans="1:39" ht="13">
      <c r="A344" s="55"/>
      <c r="B344" s="61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7"/>
      <c r="R344" s="56"/>
      <c r="S344" s="58" t="str" cm="1">
        <f t="array" ref="S344">_xlfn._xlws.FILTER(Competitions[compType], (Fixtures[[#This Row],[competition]] = Competitions[name]), "N/A")</f>
        <v>N/A</v>
      </c>
      <c r="T344" s="58" t="str" cm="1">
        <f t="array" ref="T344">_xlfn._xlws.FILTER(Competitions[exhibition], (Fixtures[[#This Row],[competition]] = Competitions[name]), "N/A")</f>
        <v>N/A</v>
      </c>
      <c r="U344" s="58" t="str" cm="1">
        <f t="array" ref="U344">_xlfn._xlws.FILTER(Competitions[compID], (Fixtures[[#This Row],[competition]] = Competitions[name]), "N/A")</f>
        <v>N/A</v>
      </c>
      <c r="V3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4" s="58" t="str" cm="1">
        <f t="array" ref="W3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4" s="58" t="str" cm="1">
        <f t="array" ref="X344">_xlfn._xlws.FILTER(Teams[name], (Fixtures[[#This Row],[userTeamID]] = Teams[teamID]), "N/A")</f>
        <v>N/A</v>
      </c>
      <c r="Y344" s="58" t="str" cm="1">
        <f t="array" ref="Y344">_xlfn._xlws.FILTER(Teams[teamType], (Fixtures[[#This Row],[userTeamID]] = Teams[teamID]), "N/A")</f>
        <v>N/A</v>
      </c>
      <c r="Z344" s="58" t="str" cm="1">
        <f t="array" ref="Z3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4" s="58" t="str">
        <f>IF(Fixtures[[#This Row],[userSide]] = "N/A", "N/A", IF(Fixtures[[#This Row],[userSide]] = "H", Fixtures[[#This Row],[awayTeam]], Fixtures[[#This Row],[homeTeam]]))</f>
        <v>N/A</v>
      </c>
      <c r="AB344" s="58" t="str" cm="1">
        <f t="array" ref="AB344">_xlfn._xlws.FILTER(Teams[teamID], Fixtures[[#This Row],[oppTeam]] = Teams[name], "N/A")</f>
        <v>N/A</v>
      </c>
      <c r="AC344" s="58" t="str" cm="1">
        <f t="array" ref="AC344">_xlfn._xlws.FILTER(Teams[teamType], Fixtures[[#This Row],[oppTeam]] = Teams[name], "N/A")</f>
        <v>N/A</v>
      </c>
      <c r="AD344" s="58" t="str">
        <f>IF(ISBLANK(Fixtures[[#This Row],[date]]), "N/A", IF(Fixtures[[#This Row],[userSide]]="H", Fixtures[[#This Row],[homeScore]], Fixtures[[#This Row],[awayScore]]))</f>
        <v>N/A</v>
      </c>
      <c r="AE344" s="58" t="str">
        <f>IF(ISBLANK(Fixtures[[#This Row],[date]]), "N/A", IF(Fixtures[[#This Row],[userScore]] = Fixtures[[#This Row],[homeScore]], Fixtures[[#This Row],[awayScore]], Fixtures[[#This Row],[homeScore]]))</f>
        <v>N/A</v>
      </c>
      <c r="AF344" s="58" t="b">
        <f>NOT(AND(ISBLANK(Fixtures[[#This Row],[homePens]]), ISBLANK(Fixtures[[#This Row],[awayPens]])))</f>
        <v>0</v>
      </c>
      <c r="AG344" s="58" t="str">
        <f>IF(Fixtures[[#This Row],[penalties]], IF(Fixtures[[#This Row],[userSide]]="H", Fixtures[[#This Row],[homePens]], Fixtures[[#This Row],[awayPens]]), "N/A")</f>
        <v>N/A</v>
      </c>
      <c r="AH344" s="58" t="str">
        <f>IF(Fixtures[[#This Row],[penalties]], IF(Fixtures[[#This Row],[userPens]]=Fixtures[[#This Row],[homePens]],Fixtures[[#This Row],[awayPens]],Fixtures[[#This Row],[homePens]]), "N/A")</f>
        <v>N/A</v>
      </c>
      <c r="AI344" s="58" t="b">
        <f>COUNTBLANK(Fixtures[[#This Row],[G]:[MOTM]]) = 0</f>
        <v>0</v>
      </c>
      <c r="AJ344" s="58" t="str">
        <f>IF(Fixtures[[#This Row],[APP]], Fixtures[[#This Row],[G]]+Fixtures[[#This Row],[A]], "N/A")</f>
        <v>N/A</v>
      </c>
      <c r="AK3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5" spans="1:39" ht="13">
      <c r="A345" s="55"/>
      <c r="B345" s="61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7"/>
      <c r="R345" s="56"/>
      <c r="S345" s="58" t="str" cm="1">
        <f t="array" ref="S345">_xlfn._xlws.FILTER(Competitions[compType], (Fixtures[[#This Row],[competition]] = Competitions[name]), "N/A")</f>
        <v>N/A</v>
      </c>
      <c r="T345" s="58" t="str" cm="1">
        <f t="array" ref="T345">_xlfn._xlws.FILTER(Competitions[exhibition], (Fixtures[[#This Row],[competition]] = Competitions[name]), "N/A")</f>
        <v>N/A</v>
      </c>
      <c r="U345" s="58" t="str" cm="1">
        <f t="array" ref="U345">_xlfn._xlws.FILTER(Competitions[compID], (Fixtures[[#This Row],[competition]] = Competitions[name]), "N/A")</f>
        <v>N/A</v>
      </c>
      <c r="V3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5" s="58" t="str" cm="1">
        <f t="array" ref="W3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5" s="58" t="str" cm="1">
        <f t="array" ref="X345">_xlfn._xlws.FILTER(Teams[name], (Fixtures[[#This Row],[userTeamID]] = Teams[teamID]), "N/A")</f>
        <v>N/A</v>
      </c>
      <c r="Y345" s="58" t="str" cm="1">
        <f t="array" ref="Y345">_xlfn._xlws.FILTER(Teams[teamType], (Fixtures[[#This Row],[userTeamID]] = Teams[teamID]), "N/A")</f>
        <v>N/A</v>
      </c>
      <c r="Z345" s="58" t="str" cm="1">
        <f t="array" ref="Z3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5" s="58" t="str">
        <f>IF(Fixtures[[#This Row],[userSide]] = "N/A", "N/A", IF(Fixtures[[#This Row],[userSide]] = "H", Fixtures[[#This Row],[awayTeam]], Fixtures[[#This Row],[homeTeam]]))</f>
        <v>N/A</v>
      </c>
      <c r="AB345" s="58" t="str" cm="1">
        <f t="array" ref="AB345">_xlfn._xlws.FILTER(Teams[teamID], Fixtures[[#This Row],[oppTeam]] = Teams[name], "N/A")</f>
        <v>N/A</v>
      </c>
      <c r="AC345" s="58" t="str" cm="1">
        <f t="array" ref="AC345">_xlfn._xlws.FILTER(Teams[teamType], Fixtures[[#This Row],[oppTeam]] = Teams[name], "N/A")</f>
        <v>N/A</v>
      </c>
      <c r="AD345" s="58" t="str">
        <f>IF(ISBLANK(Fixtures[[#This Row],[date]]), "N/A", IF(Fixtures[[#This Row],[userSide]]="H", Fixtures[[#This Row],[homeScore]], Fixtures[[#This Row],[awayScore]]))</f>
        <v>N/A</v>
      </c>
      <c r="AE345" s="58" t="str">
        <f>IF(ISBLANK(Fixtures[[#This Row],[date]]), "N/A", IF(Fixtures[[#This Row],[userScore]] = Fixtures[[#This Row],[homeScore]], Fixtures[[#This Row],[awayScore]], Fixtures[[#This Row],[homeScore]]))</f>
        <v>N/A</v>
      </c>
      <c r="AF345" s="58" t="b">
        <f>NOT(AND(ISBLANK(Fixtures[[#This Row],[homePens]]), ISBLANK(Fixtures[[#This Row],[awayPens]])))</f>
        <v>0</v>
      </c>
      <c r="AG345" s="58" t="str">
        <f>IF(Fixtures[[#This Row],[penalties]], IF(Fixtures[[#This Row],[userSide]]="H", Fixtures[[#This Row],[homePens]], Fixtures[[#This Row],[awayPens]]), "N/A")</f>
        <v>N/A</v>
      </c>
      <c r="AH345" s="58" t="str">
        <f>IF(Fixtures[[#This Row],[penalties]], IF(Fixtures[[#This Row],[userPens]]=Fixtures[[#This Row],[homePens]],Fixtures[[#This Row],[awayPens]],Fixtures[[#This Row],[homePens]]), "N/A")</f>
        <v>N/A</v>
      </c>
      <c r="AI345" s="58" t="b">
        <f>COUNTBLANK(Fixtures[[#This Row],[G]:[MOTM]]) = 0</f>
        <v>0</v>
      </c>
      <c r="AJ345" s="58" t="str">
        <f>IF(Fixtures[[#This Row],[APP]], Fixtures[[#This Row],[G]]+Fixtures[[#This Row],[A]], "N/A")</f>
        <v>N/A</v>
      </c>
      <c r="AK3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6" spans="1:39" ht="13">
      <c r="A346" s="55"/>
      <c r="B346" s="61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7"/>
      <c r="R346" s="56"/>
      <c r="S346" s="58" t="str" cm="1">
        <f t="array" ref="S346">_xlfn._xlws.FILTER(Competitions[compType], (Fixtures[[#This Row],[competition]] = Competitions[name]), "N/A")</f>
        <v>N/A</v>
      </c>
      <c r="T346" s="58" t="str" cm="1">
        <f t="array" ref="T346">_xlfn._xlws.FILTER(Competitions[exhibition], (Fixtures[[#This Row],[competition]] = Competitions[name]), "N/A")</f>
        <v>N/A</v>
      </c>
      <c r="U346" s="58" t="str" cm="1">
        <f t="array" ref="U346">_xlfn._xlws.FILTER(Competitions[compID], (Fixtures[[#This Row],[competition]] = Competitions[name]), "N/A")</f>
        <v>N/A</v>
      </c>
      <c r="V3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6" s="58" t="str" cm="1">
        <f t="array" ref="W3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6" s="58" t="str" cm="1">
        <f t="array" ref="X346">_xlfn._xlws.FILTER(Teams[name], (Fixtures[[#This Row],[userTeamID]] = Teams[teamID]), "N/A")</f>
        <v>N/A</v>
      </c>
      <c r="Y346" s="58" t="str" cm="1">
        <f t="array" ref="Y346">_xlfn._xlws.FILTER(Teams[teamType], (Fixtures[[#This Row],[userTeamID]] = Teams[teamID]), "N/A")</f>
        <v>N/A</v>
      </c>
      <c r="Z346" s="58" t="str" cm="1">
        <f t="array" ref="Z3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6" s="58" t="str">
        <f>IF(Fixtures[[#This Row],[userSide]] = "N/A", "N/A", IF(Fixtures[[#This Row],[userSide]] = "H", Fixtures[[#This Row],[awayTeam]], Fixtures[[#This Row],[homeTeam]]))</f>
        <v>N/A</v>
      </c>
      <c r="AB346" s="58" t="str" cm="1">
        <f t="array" ref="AB346">_xlfn._xlws.FILTER(Teams[teamID], Fixtures[[#This Row],[oppTeam]] = Teams[name], "N/A")</f>
        <v>N/A</v>
      </c>
      <c r="AC346" s="58" t="str" cm="1">
        <f t="array" ref="AC346">_xlfn._xlws.FILTER(Teams[teamType], Fixtures[[#This Row],[oppTeam]] = Teams[name], "N/A")</f>
        <v>N/A</v>
      </c>
      <c r="AD346" s="58" t="str">
        <f>IF(ISBLANK(Fixtures[[#This Row],[date]]), "N/A", IF(Fixtures[[#This Row],[userSide]]="H", Fixtures[[#This Row],[homeScore]], Fixtures[[#This Row],[awayScore]]))</f>
        <v>N/A</v>
      </c>
      <c r="AE346" s="58" t="str">
        <f>IF(ISBLANK(Fixtures[[#This Row],[date]]), "N/A", IF(Fixtures[[#This Row],[userScore]] = Fixtures[[#This Row],[homeScore]], Fixtures[[#This Row],[awayScore]], Fixtures[[#This Row],[homeScore]]))</f>
        <v>N/A</v>
      </c>
      <c r="AF346" s="58" t="b">
        <f>NOT(AND(ISBLANK(Fixtures[[#This Row],[homePens]]), ISBLANK(Fixtures[[#This Row],[awayPens]])))</f>
        <v>0</v>
      </c>
      <c r="AG346" s="58" t="str">
        <f>IF(Fixtures[[#This Row],[penalties]], IF(Fixtures[[#This Row],[userSide]]="H", Fixtures[[#This Row],[homePens]], Fixtures[[#This Row],[awayPens]]), "N/A")</f>
        <v>N/A</v>
      </c>
      <c r="AH346" s="58" t="str">
        <f>IF(Fixtures[[#This Row],[penalties]], IF(Fixtures[[#This Row],[userPens]]=Fixtures[[#This Row],[homePens]],Fixtures[[#This Row],[awayPens]],Fixtures[[#This Row],[homePens]]), "N/A")</f>
        <v>N/A</v>
      </c>
      <c r="AI346" s="58" t="b">
        <f>COUNTBLANK(Fixtures[[#This Row],[G]:[MOTM]]) = 0</f>
        <v>0</v>
      </c>
      <c r="AJ346" s="58" t="str">
        <f>IF(Fixtures[[#This Row],[APP]], Fixtures[[#This Row],[G]]+Fixtures[[#This Row],[A]], "N/A")</f>
        <v>N/A</v>
      </c>
      <c r="AK3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7" spans="1:39" ht="13">
      <c r="A347" s="55"/>
      <c r="B347" s="61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7"/>
      <c r="R347" s="56"/>
      <c r="S347" s="58" t="str" cm="1">
        <f t="array" ref="S347">_xlfn._xlws.FILTER(Competitions[compType], (Fixtures[[#This Row],[competition]] = Competitions[name]), "N/A")</f>
        <v>N/A</v>
      </c>
      <c r="T347" s="58" t="str" cm="1">
        <f t="array" ref="T347">_xlfn._xlws.FILTER(Competitions[exhibition], (Fixtures[[#This Row],[competition]] = Competitions[name]), "N/A")</f>
        <v>N/A</v>
      </c>
      <c r="U347" s="58" t="str" cm="1">
        <f t="array" ref="U347">_xlfn._xlws.FILTER(Competitions[compID], (Fixtures[[#This Row],[competition]] = Competitions[name]), "N/A")</f>
        <v>N/A</v>
      </c>
      <c r="V3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7" s="58" t="str" cm="1">
        <f t="array" ref="W3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7" s="58" t="str" cm="1">
        <f t="array" ref="X347">_xlfn._xlws.FILTER(Teams[name], (Fixtures[[#This Row],[userTeamID]] = Teams[teamID]), "N/A")</f>
        <v>N/A</v>
      </c>
      <c r="Y347" s="58" t="str" cm="1">
        <f t="array" ref="Y347">_xlfn._xlws.FILTER(Teams[teamType], (Fixtures[[#This Row],[userTeamID]] = Teams[teamID]), "N/A")</f>
        <v>N/A</v>
      </c>
      <c r="Z347" s="58" t="str" cm="1">
        <f t="array" ref="Z3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7" s="58" t="str">
        <f>IF(Fixtures[[#This Row],[userSide]] = "N/A", "N/A", IF(Fixtures[[#This Row],[userSide]] = "H", Fixtures[[#This Row],[awayTeam]], Fixtures[[#This Row],[homeTeam]]))</f>
        <v>N/A</v>
      </c>
      <c r="AB347" s="58" t="str" cm="1">
        <f t="array" ref="AB347">_xlfn._xlws.FILTER(Teams[teamID], Fixtures[[#This Row],[oppTeam]] = Teams[name], "N/A")</f>
        <v>N/A</v>
      </c>
      <c r="AC347" s="58" t="str" cm="1">
        <f t="array" ref="AC347">_xlfn._xlws.FILTER(Teams[teamType], Fixtures[[#This Row],[oppTeam]] = Teams[name], "N/A")</f>
        <v>N/A</v>
      </c>
      <c r="AD347" s="58" t="str">
        <f>IF(ISBLANK(Fixtures[[#This Row],[date]]), "N/A", IF(Fixtures[[#This Row],[userSide]]="H", Fixtures[[#This Row],[homeScore]], Fixtures[[#This Row],[awayScore]]))</f>
        <v>N/A</v>
      </c>
      <c r="AE347" s="58" t="str">
        <f>IF(ISBLANK(Fixtures[[#This Row],[date]]), "N/A", IF(Fixtures[[#This Row],[userScore]] = Fixtures[[#This Row],[homeScore]], Fixtures[[#This Row],[awayScore]], Fixtures[[#This Row],[homeScore]]))</f>
        <v>N/A</v>
      </c>
      <c r="AF347" s="58" t="b">
        <f>NOT(AND(ISBLANK(Fixtures[[#This Row],[homePens]]), ISBLANK(Fixtures[[#This Row],[awayPens]])))</f>
        <v>0</v>
      </c>
      <c r="AG347" s="58" t="str">
        <f>IF(Fixtures[[#This Row],[penalties]], IF(Fixtures[[#This Row],[userSide]]="H", Fixtures[[#This Row],[homePens]], Fixtures[[#This Row],[awayPens]]), "N/A")</f>
        <v>N/A</v>
      </c>
      <c r="AH347" s="58" t="str">
        <f>IF(Fixtures[[#This Row],[penalties]], IF(Fixtures[[#This Row],[userPens]]=Fixtures[[#This Row],[homePens]],Fixtures[[#This Row],[awayPens]],Fixtures[[#This Row],[homePens]]), "N/A")</f>
        <v>N/A</v>
      </c>
      <c r="AI347" s="58" t="b">
        <f>COUNTBLANK(Fixtures[[#This Row],[G]:[MOTM]]) = 0</f>
        <v>0</v>
      </c>
      <c r="AJ347" s="58" t="str">
        <f>IF(Fixtures[[#This Row],[APP]], Fixtures[[#This Row],[G]]+Fixtures[[#This Row],[A]], "N/A")</f>
        <v>N/A</v>
      </c>
      <c r="AK3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8" spans="1:39" ht="13">
      <c r="A348" s="55"/>
      <c r="B348" s="61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7"/>
      <c r="R348" s="56"/>
      <c r="S348" s="58" t="str" cm="1">
        <f t="array" ref="S348">_xlfn._xlws.FILTER(Competitions[compType], (Fixtures[[#This Row],[competition]] = Competitions[name]), "N/A")</f>
        <v>N/A</v>
      </c>
      <c r="T348" s="58" t="str" cm="1">
        <f t="array" ref="T348">_xlfn._xlws.FILTER(Competitions[exhibition], (Fixtures[[#This Row],[competition]] = Competitions[name]), "N/A")</f>
        <v>N/A</v>
      </c>
      <c r="U348" s="58" t="str" cm="1">
        <f t="array" ref="U348">_xlfn._xlws.FILTER(Competitions[compID], (Fixtures[[#This Row],[competition]] = Competitions[name]), "N/A")</f>
        <v>N/A</v>
      </c>
      <c r="V3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8" s="58" t="str" cm="1">
        <f t="array" ref="W3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8" s="58" t="str" cm="1">
        <f t="array" ref="X348">_xlfn._xlws.FILTER(Teams[name], (Fixtures[[#This Row],[userTeamID]] = Teams[teamID]), "N/A")</f>
        <v>N/A</v>
      </c>
      <c r="Y348" s="58" t="str" cm="1">
        <f t="array" ref="Y348">_xlfn._xlws.FILTER(Teams[teamType], (Fixtures[[#This Row],[userTeamID]] = Teams[teamID]), "N/A")</f>
        <v>N/A</v>
      </c>
      <c r="Z348" s="58" t="str" cm="1">
        <f t="array" ref="Z3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8" s="58" t="str">
        <f>IF(Fixtures[[#This Row],[userSide]] = "N/A", "N/A", IF(Fixtures[[#This Row],[userSide]] = "H", Fixtures[[#This Row],[awayTeam]], Fixtures[[#This Row],[homeTeam]]))</f>
        <v>N/A</v>
      </c>
      <c r="AB348" s="58" t="str" cm="1">
        <f t="array" ref="AB348">_xlfn._xlws.FILTER(Teams[teamID], Fixtures[[#This Row],[oppTeam]] = Teams[name], "N/A")</f>
        <v>N/A</v>
      </c>
      <c r="AC348" s="58" t="str" cm="1">
        <f t="array" ref="AC348">_xlfn._xlws.FILTER(Teams[teamType], Fixtures[[#This Row],[oppTeam]] = Teams[name], "N/A")</f>
        <v>N/A</v>
      </c>
      <c r="AD348" s="58" t="str">
        <f>IF(ISBLANK(Fixtures[[#This Row],[date]]), "N/A", IF(Fixtures[[#This Row],[userSide]]="H", Fixtures[[#This Row],[homeScore]], Fixtures[[#This Row],[awayScore]]))</f>
        <v>N/A</v>
      </c>
      <c r="AE348" s="58" t="str">
        <f>IF(ISBLANK(Fixtures[[#This Row],[date]]), "N/A", IF(Fixtures[[#This Row],[userScore]] = Fixtures[[#This Row],[homeScore]], Fixtures[[#This Row],[awayScore]], Fixtures[[#This Row],[homeScore]]))</f>
        <v>N/A</v>
      </c>
      <c r="AF348" s="58" t="b">
        <f>NOT(AND(ISBLANK(Fixtures[[#This Row],[homePens]]), ISBLANK(Fixtures[[#This Row],[awayPens]])))</f>
        <v>0</v>
      </c>
      <c r="AG348" s="58" t="str">
        <f>IF(Fixtures[[#This Row],[penalties]], IF(Fixtures[[#This Row],[userSide]]="H", Fixtures[[#This Row],[homePens]], Fixtures[[#This Row],[awayPens]]), "N/A")</f>
        <v>N/A</v>
      </c>
      <c r="AH348" s="58" t="str">
        <f>IF(Fixtures[[#This Row],[penalties]], IF(Fixtures[[#This Row],[userPens]]=Fixtures[[#This Row],[homePens]],Fixtures[[#This Row],[awayPens]],Fixtures[[#This Row],[homePens]]), "N/A")</f>
        <v>N/A</v>
      </c>
      <c r="AI348" s="58" t="b">
        <f>COUNTBLANK(Fixtures[[#This Row],[G]:[MOTM]]) = 0</f>
        <v>0</v>
      </c>
      <c r="AJ348" s="58" t="str">
        <f>IF(Fixtures[[#This Row],[APP]], Fixtures[[#This Row],[G]]+Fixtures[[#This Row],[A]], "N/A")</f>
        <v>N/A</v>
      </c>
      <c r="AK3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49" spans="1:39" ht="13">
      <c r="A349" s="55"/>
      <c r="B349" s="61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7"/>
      <c r="R349" s="56"/>
      <c r="S349" s="58" t="str" cm="1">
        <f t="array" ref="S349">_xlfn._xlws.FILTER(Competitions[compType], (Fixtures[[#This Row],[competition]] = Competitions[name]), "N/A")</f>
        <v>N/A</v>
      </c>
      <c r="T349" s="58" t="str" cm="1">
        <f t="array" ref="T349">_xlfn._xlws.FILTER(Competitions[exhibition], (Fixtures[[#This Row],[competition]] = Competitions[name]), "N/A")</f>
        <v>N/A</v>
      </c>
      <c r="U349" s="58" t="str" cm="1">
        <f t="array" ref="U349">_xlfn._xlws.FILTER(Competitions[compID], (Fixtures[[#This Row],[competition]] = Competitions[name]), "N/A")</f>
        <v>N/A</v>
      </c>
      <c r="V3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49" s="58" t="str" cm="1">
        <f t="array" ref="W3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49" s="58" t="str" cm="1">
        <f t="array" ref="X349">_xlfn._xlws.FILTER(Teams[name], (Fixtures[[#This Row],[userTeamID]] = Teams[teamID]), "N/A")</f>
        <v>N/A</v>
      </c>
      <c r="Y349" s="58" t="str" cm="1">
        <f t="array" ref="Y349">_xlfn._xlws.FILTER(Teams[teamType], (Fixtures[[#This Row],[userTeamID]] = Teams[teamID]), "N/A")</f>
        <v>N/A</v>
      </c>
      <c r="Z349" s="58" t="str" cm="1">
        <f t="array" ref="Z3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49" s="58" t="str">
        <f>IF(Fixtures[[#This Row],[userSide]] = "N/A", "N/A", IF(Fixtures[[#This Row],[userSide]] = "H", Fixtures[[#This Row],[awayTeam]], Fixtures[[#This Row],[homeTeam]]))</f>
        <v>N/A</v>
      </c>
      <c r="AB349" s="58" t="str" cm="1">
        <f t="array" ref="AB349">_xlfn._xlws.FILTER(Teams[teamID], Fixtures[[#This Row],[oppTeam]] = Teams[name], "N/A")</f>
        <v>N/A</v>
      </c>
      <c r="AC349" s="58" t="str" cm="1">
        <f t="array" ref="AC349">_xlfn._xlws.FILTER(Teams[teamType], Fixtures[[#This Row],[oppTeam]] = Teams[name], "N/A")</f>
        <v>N/A</v>
      </c>
      <c r="AD349" s="58" t="str">
        <f>IF(ISBLANK(Fixtures[[#This Row],[date]]), "N/A", IF(Fixtures[[#This Row],[userSide]]="H", Fixtures[[#This Row],[homeScore]], Fixtures[[#This Row],[awayScore]]))</f>
        <v>N/A</v>
      </c>
      <c r="AE349" s="58" t="str">
        <f>IF(ISBLANK(Fixtures[[#This Row],[date]]), "N/A", IF(Fixtures[[#This Row],[userScore]] = Fixtures[[#This Row],[homeScore]], Fixtures[[#This Row],[awayScore]], Fixtures[[#This Row],[homeScore]]))</f>
        <v>N/A</v>
      </c>
      <c r="AF349" s="58" t="b">
        <f>NOT(AND(ISBLANK(Fixtures[[#This Row],[homePens]]), ISBLANK(Fixtures[[#This Row],[awayPens]])))</f>
        <v>0</v>
      </c>
      <c r="AG349" s="58" t="str">
        <f>IF(Fixtures[[#This Row],[penalties]], IF(Fixtures[[#This Row],[userSide]]="H", Fixtures[[#This Row],[homePens]], Fixtures[[#This Row],[awayPens]]), "N/A")</f>
        <v>N/A</v>
      </c>
      <c r="AH349" s="58" t="str">
        <f>IF(Fixtures[[#This Row],[penalties]], IF(Fixtures[[#This Row],[userPens]]=Fixtures[[#This Row],[homePens]],Fixtures[[#This Row],[awayPens]],Fixtures[[#This Row],[homePens]]), "N/A")</f>
        <v>N/A</v>
      </c>
      <c r="AI349" s="58" t="b">
        <f>COUNTBLANK(Fixtures[[#This Row],[G]:[MOTM]]) = 0</f>
        <v>0</v>
      </c>
      <c r="AJ349" s="58" t="str">
        <f>IF(Fixtures[[#This Row],[APP]], Fixtures[[#This Row],[G]]+Fixtures[[#This Row],[A]], "N/A")</f>
        <v>N/A</v>
      </c>
      <c r="AK3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0" spans="1:39" ht="13">
      <c r="A350" s="55"/>
      <c r="B350" s="61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7"/>
      <c r="R350" s="56"/>
      <c r="S350" s="58" t="str" cm="1">
        <f t="array" ref="S350">_xlfn._xlws.FILTER(Competitions[compType], (Fixtures[[#This Row],[competition]] = Competitions[name]), "N/A")</f>
        <v>N/A</v>
      </c>
      <c r="T350" s="58" t="str" cm="1">
        <f t="array" ref="T350">_xlfn._xlws.FILTER(Competitions[exhibition], (Fixtures[[#This Row],[competition]] = Competitions[name]), "N/A")</f>
        <v>N/A</v>
      </c>
      <c r="U350" s="58" t="str" cm="1">
        <f t="array" ref="U350">_xlfn._xlws.FILTER(Competitions[compID], (Fixtures[[#This Row],[competition]] = Competitions[name]), "N/A")</f>
        <v>N/A</v>
      </c>
      <c r="V3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0" s="58" t="str" cm="1">
        <f t="array" ref="W3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0" s="58" t="str" cm="1">
        <f t="array" ref="X350">_xlfn._xlws.FILTER(Teams[name], (Fixtures[[#This Row],[userTeamID]] = Teams[teamID]), "N/A")</f>
        <v>N/A</v>
      </c>
      <c r="Y350" s="58" t="str" cm="1">
        <f t="array" ref="Y350">_xlfn._xlws.FILTER(Teams[teamType], (Fixtures[[#This Row],[userTeamID]] = Teams[teamID]), "N/A")</f>
        <v>N/A</v>
      </c>
      <c r="Z350" s="58" t="str" cm="1">
        <f t="array" ref="Z3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0" s="58" t="str">
        <f>IF(Fixtures[[#This Row],[userSide]] = "N/A", "N/A", IF(Fixtures[[#This Row],[userSide]] = "H", Fixtures[[#This Row],[awayTeam]], Fixtures[[#This Row],[homeTeam]]))</f>
        <v>N/A</v>
      </c>
      <c r="AB350" s="58" t="str" cm="1">
        <f t="array" ref="AB350">_xlfn._xlws.FILTER(Teams[teamID], Fixtures[[#This Row],[oppTeam]] = Teams[name], "N/A")</f>
        <v>N/A</v>
      </c>
      <c r="AC350" s="58" t="str" cm="1">
        <f t="array" ref="AC350">_xlfn._xlws.FILTER(Teams[teamType], Fixtures[[#This Row],[oppTeam]] = Teams[name], "N/A")</f>
        <v>N/A</v>
      </c>
      <c r="AD350" s="58" t="str">
        <f>IF(ISBLANK(Fixtures[[#This Row],[date]]), "N/A", IF(Fixtures[[#This Row],[userSide]]="H", Fixtures[[#This Row],[homeScore]], Fixtures[[#This Row],[awayScore]]))</f>
        <v>N/A</v>
      </c>
      <c r="AE350" s="58" t="str">
        <f>IF(ISBLANK(Fixtures[[#This Row],[date]]), "N/A", IF(Fixtures[[#This Row],[userScore]] = Fixtures[[#This Row],[homeScore]], Fixtures[[#This Row],[awayScore]], Fixtures[[#This Row],[homeScore]]))</f>
        <v>N/A</v>
      </c>
      <c r="AF350" s="58" t="b">
        <f>NOT(AND(ISBLANK(Fixtures[[#This Row],[homePens]]), ISBLANK(Fixtures[[#This Row],[awayPens]])))</f>
        <v>0</v>
      </c>
      <c r="AG350" s="58" t="str">
        <f>IF(Fixtures[[#This Row],[penalties]], IF(Fixtures[[#This Row],[userSide]]="H", Fixtures[[#This Row],[homePens]], Fixtures[[#This Row],[awayPens]]), "N/A")</f>
        <v>N/A</v>
      </c>
      <c r="AH350" s="58" t="str">
        <f>IF(Fixtures[[#This Row],[penalties]], IF(Fixtures[[#This Row],[userPens]]=Fixtures[[#This Row],[homePens]],Fixtures[[#This Row],[awayPens]],Fixtures[[#This Row],[homePens]]), "N/A")</f>
        <v>N/A</v>
      </c>
      <c r="AI350" s="58" t="b">
        <f>COUNTBLANK(Fixtures[[#This Row],[G]:[MOTM]]) = 0</f>
        <v>0</v>
      </c>
      <c r="AJ350" s="58" t="str">
        <f>IF(Fixtures[[#This Row],[APP]], Fixtures[[#This Row],[G]]+Fixtures[[#This Row],[A]], "N/A")</f>
        <v>N/A</v>
      </c>
      <c r="AK3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1" spans="1:39" ht="13">
      <c r="A351" s="55"/>
      <c r="B351" s="61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7"/>
      <c r="R351" s="56"/>
      <c r="S351" s="58" t="str" cm="1">
        <f t="array" ref="S351">_xlfn._xlws.FILTER(Competitions[compType], (Fixtures[[#This Row],[competition]] = Competitions[name]), "N/A")</f>
        <v>N/A</v>
      </c>
      <c r="T351" s="58" t="str" cm="1">
        <f t="array" ref="T351">_xlfn._xlws.FILTER(Competitions[exhibition], (Fixtures[[#This Row],[competition]] = Competitions[name]), "N/A")</f>
        <v>N/A</v>
      </c>
      <c r="U351" s="58" t="str" cm="1">
        <f t="array" ref="U351">_xlfn._xlws.FILTER(Competitions[compID], (Fixtures[[#This Row],[competition]] = Competitions[name]), "N/A")</f>
        <v>N/A</v>
      </c>
      <c r="V3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1" s="58" t="str" cm="1">
        <f t="array" ref="W3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1" s="58" t="str" cm="1">
        <f t="array" ref="X351">_xlfn._xlws.FILTER(Teams[name], (Fixtures[[#This Row],[userTeamID]] = Teams[teamID]), "N/A")</f>
        <v>N/A</v>
      </c>
      <c r="Y351" s="58" t="str" cm="1">
        <f t="array" ref="Y351">_xlfn._xlws.FILTER(Teams[teamType], (Fixtures[[#This Row],[userTeamID]] = Teams[teamID]), "N/A")</f>
        <v>N/A</v>
      </c>
      <c r="Z351" s="58" t="str" cm="1">
        <f t="array" ref="Z3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1" s="58" t="str">
        <f>IF(Fixtures[[#This Row],[userSide]] = "N/A", "N/A", IF(Fixtures[[#This Row],[userSide]] = "H", Fixtures[[#This Row],[awayTeam]], Fixtures[[#This Row],[homeTeam]]))</f>
        <v>N/A</v>
      </c>
      <c r="AB351" s="58" t="str" cm="1">
        <f t="array" ref="AB351">_xlfn._xlws.FILTER(Teams[teamID], Fixtures[[#This Row],[oppTeam]] = Teams[name], "N/A")</f>
        <v>N/A</v>
      </c>
      <c r="AC351" s="58" t="str" cm="1">
        <f t="array" ref="AC351">_xlfn._xlws.FILTER(Teams[teamType], Fixtures[[#This Row],[oppTeam]] = Teams[name], "N/A")</f>
        <v>N/A</v>
      </c>
      <c r="AD351" s="58" t="str">
        <f>IF(ISBLANK(Fixtures[[#This Row],[date]]), "N/A", IF(Fixtures[[#This Row],[userSide]]="H", Fixtures[[#This Row],[homeScore]], Fixtures[[#This Row],[awayScore]]))</f>
        <v>N/A</v>
      </c>
      <c r="AE351" s="58" t="str">
        <f>IF(ISBLANK(Fixtures[[#This Row],[date]]), "N/A", IF(Fixtures[[#This Row],[userScore]] = Fixtures[[#This Row],[homeScore]], Fixtures[[#This Row],[awayScore]], Fixtures[[#This Row],[homeScore]]))</f>
        <v>N/A</v>
      </c>
      <c r="AF351" s="58" t="b">
        <f>NOT(AND(ISBLANK(Fixtures[[#This Row],[homePens]]), ISBLANK(Fixtures[[#This Row],[awayPens]])))</f>
        <v>0</v>
      </c>
      <c r="AG351" s="58" t="str">
        <f>IF(Fixtures[[#This Row],[penalties]], IF(Fixtures[[#This Row],[userSide]]="H", Fixtures[[#This Row],[homePens]], Fixtures[[#This Row],[awayPens]]), "N/A")</f>
        <v>N/A</v>
      </c>
      <c r="AH351" s="58" t="str">
        <f>IF(Fixtures[[#This Row],[penalties]], IF(Fixtures[[#This Row],[userPens]]=Fixtures[[#This Row],[homePens]],Fixtures[[#This Row],[awayPens]],Fixtures[[#This Row],[homePens]]), "N/A")</f>
        <v>N/A</v>
      </c>
      <c r="AI351" s="58" t="b">
        <f>COUNTBLANK(Fixtures[[#This Row],[G]:[MOTM]]) = 0</f>
        <v>0</v>
      </c>
      <c r="AJ351" s="58" t="str">
        <f>IF(Fixtures[[#This Row],[APP]], Fixtures[[#This Row],[G]]+Fixtures[[#This Row],[A]], "N/A")</f>
        <v>N/A</v>
      </c>
      <c r="AK3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2" spans="1:39" ht="13">
      <c r="A352" s="55"/>
      <c r="B352" s="61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7"/>
      <c r="R352" s="56"/>
      <c r="S352" s="58" t="str" cm="1">
        <f t="array" ref="S352">_xlfn._xlws.FILTER(Competitions[compType], (Fixtures[[#This Row],[competition]] = Competitions[name]), "N/A")</f>
        <v>N/A</v>
      </c>
      <c r="T352" s="58" t="str" cm="1">
        <f t="array" ref="T352">_xlfn._xlws.FILTER(Competitions[exhibition], (Fixtures[[#This Row],[competition]] = Competitions[name]), "N/A")</f>
        <v>N/A</v>
      </c>
      <c r="U352" s="58" t="str" cm="1">
        <f t="array" ref="U352">_xlfn._xlws.FILTER(Competitions[compID], (Fixtures[[#This Row],[competition]] = Competitions[name]), "N/A")</f>
        <v>N/A</v>
      </c>
      <c r="V3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2" s="58" t="str" cm="1">
        <f t="array" ref="W3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2" s="58" t="str" cm="1">
        <f t="array" ref="X352">_xlfn._xlws.FILTER(Teams[name], (Fixtures[[#This Row],[userTeamID]] = Teams[teamID]), "N/A")</f>
        <v>N/A</v>
      </c>
      <c r="Y352" s="58" t="str" cm="1">
        <f t="array" ref="Y352">_xlfn._xlws.FILTER(Teams[teamType], (Fixtures[[#This Row],[userTeamID]] = Teams[teamID]), "N/A")</f>
        <v>N/A</v>
      </c>
      <c r="Z352" s="58" t="str" cm="1">
        <f t="array" ref="Z3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2" s="58" t="str">
        <f>IF(Fixtures[[#This Row],[userSide]] = "N/A", "N/A", IF(Fixtures[[#This Row],[userSide]] = "H", Fixtures[[#This Row],[awayTeam]], Fixtures[[#This Row],[homeTeam]]))</f>
        <v>N/A</v>
      </c>
      <c r="AB352" s="58" t="str" cm="1">
        <f t="array" ref="AB352">_xlfn._xlws.FILTER(Teams[teamID], Fixtures[[#This Row],[oppTeam]] = Teams[name], "N/A")</f>
        <v>N/A</v>
      </c>
      <c r="AC352" s="58" t="str" cm="1">
        <f t="array" ref="AC352">_xlfn._xlws.FILTER(Teams[teamType], Fixtures[[#This Row],[oppTeam]] = Teams[name], "N/A")</f>
        <v>N/A</v>
      </c>
      <c r="AD352" s="58" t="str">
        <f>IF(ISBLANK(Fixtures[[#This Row],[date]]), "N/A", IF(Fixtures[[#This Row],[userSide]]="H", Fixtures[[#This Row],[homeScore]], Fixtures[[#This Row],[awayScore]]))</f>
        <v>N/A</v>
      </c>
      <c r="AE352" s="58" t="str">
        <f>IF(ISBLANK(Fixtures[[#This Row],[date]]), "N/A", IF(Fixtures[[#This Row],[userScore]] = Fixtures[[#This Row],[homeScore]], Fixtures[[#This Row],[awayScore]], Fixtures[[#This Row],[homeScore]]))</f>
        <v>N/A</v>
      </c>
      <c r="AF352" s="58" t="b">
        <f>NOT(AND(ISBLANK(Fixtures[[#This Row],[homePens]]), ISBLANK(Fixtures[[#This Row],[awayPens]])))</f>
        <v>0</v>
      </c>
      <c r="AG352" s="58" t="str">
        <f>IF(Fixtures[[#This Row],[penalties]], IF(Fixtures[[#This Row],[userSide]]="H", Fixtures[[#This Row],[homePens]], Fixtures[[#This Row],[awayPens]]), "N/A")</f>
        <v>N/A</v>
      </c>
      <c r="AH352" s="58" t="str">
        <f>IF(Fixtures[[#This Row],[penalties]], IF(Fixtures[[#This Row],[userPens]]=Fixtures[[#This Row],[homePens]],Fixtures[[#This Row],[awayPens]],Fixtures[[#This Row],[homePens]]), "N/A")</f>
        <v>N/A</v>
      </c>
      <c r="AI352" s="58" t="b">
        <f>COUNTBLANK(Fixtures[[#This Row],[G]:[MOTM]]) = 0</f>
        <v>0</v>
      </c>
      <c r="AJ352" s="58" t="str">
        <f>IF(Fixtures[[#This Row],[APP]], Fixtures[[#This Row],[G]]+Fixtures[[#This Row],[A]], "N/A")</f>
        <v>N/A</v>
      </c>
      <c r="AK3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3" spans="1:39" ht="13">
      <c r="A353" s="55"/>
      <c r="B353" s="61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7"/>
      <c r="R353" s="56"/>
      <c r="S353" s="58" t="str" cm="1">
        <f t="array" ref="S353">_xlfn._xlws.FILTER(Competitions[compType], (Fixtures[[#This Row],[competition]] = Competitions[name]), "N/A")</f>
        <v>N/A</v>
      </c>
      <c r="T353" s="58" t="str" cm="1">
        <f t="array" ref="T353">_xlfn._xlws.FILTER(Competitions[exhibition], (Fixtures[[#This Row],[competition]] = Competitions[name]), "N/A")</f>
        <v>N/A</v>
      </c>
      <c r="U353" s="58" t="str" cm="1">
        <f t="array" ref="U353">_xlfn._xlws.FILTER(Competitions[compID], (Fixtures[[#This Row],[competition]] = Competitions[name]), "N/A")</f>
        <v>N/A</v>
      </c>
      <c r="V3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3" s="58" t="str" cm="1">
        <f t="array" ref="W3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3" s="58" t="str" cm="1">
        <f t="array" ref="X353">_xlfn._xlws.FILTER(Teams[name], (Fixtures[[#This Row],[userTeamID]] = Teams[teamID]), "N/A")</f>
        <v>N/A</v>
      </c>
      <c r="Y353" s="58" t="str" cm="1">
        <f t="array" ref="Y353">_xlfn._xlws.FILTER(Teams[teamType], (Fixtures[[#This Row],[userTeamID]] = Teams[teamID]), "N/A")</f>
        <v>N/A</v>
      </c>
      <c r="Z353" s="58" t="str" cm="1">
        <f t="array" ref="Z3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3" s="58" t="str">
        <f>IF(Fixtures[[#This Row],[userSide]] = "N/A", "N/A", IF(Fixtures[[#This Row],[userSide]] = "H", Fixtures[[#This Row],[awayTeam]], Fixtures[[#This Row],[homeTeam]]))</f>
        <v>N/A</v>
      </c>
      <c r="AB353" s="58" t="str" cm="1">
        <f t="array" ref="AB353">_xlfn._xlws.FILTER(Teams[teamID], Fixtures[[#This Row],[oppTeam]] = Teams[name], "N/A")</f>
        <v>N/A</v>
      </c>
      <c r="AC353" s="58" t="str" cm="1">
        <f t="array" ref="AC353">_xlfn._xlws.FILTER(Teams[teamType], Fixtures[[#This Row],[oppTeam]] = Teams[name], "N/A")</f>
        <v>N/A</v>
      </c>
      <c r="AD353" s="58" t="str">
        <f>IF(ISBLANK(Fixtures[[#This Row],[date]]), "N/A", IF(Fixtures[[#This Row],[userSide]]="H", Fixtures[[#This Row],[homeScore]], Fixtures[[#This Row],[awayScore]]))</f>
        <v>N/A</v>
      </c>
      <c r="AE353" s="58" t="str">
        <f>IF(ISBLANK(Fixtures[[#This Row],[date]]), "N/A", IF(Fixtures[[#This Row],[userScore]] = Fixtures[[#This Row],[homeScore]], Fixtures[[#This Row],[awayScore]], Fixtures[[#This Row],[homeScore]]))</f>
        <v>N/A</v>
      </c>
      <c r="AF353" s="58" t="b">
        <f>NOT(AND(ISBLANK(Fixtures[[#This Row],[homePens]]), ISBLANK(Fixtures[[#This Row],[awayPens]])))</f>
        <v>0</v>
      </c>
      <c r="AG353" s="58" t="str">
        <f>IF(Fixtures[[#This Row],[penalties]], IF(Fixtures[[#This Row],[userSide]]="H", Fixtures[[#This Row],[homePens]], Fixtures[[#This Row],[awayPens]]), "N/A")</f>
        <v>N/A</v>
      </c>
      <c r="AH353" s="58" t="str">
        <f>IF(Fixtures[[#This Row],[penalties]], IF(Fixtures[[#This Row],[userPens]]=Fixtures[[#This Row],[homePens]],Fixtures[[#This Row],[awayPens]],Fixtures[[#This Row],[homePens]]), "N/A")</f>
        <v>N/A</v>
      </c>
      <c r="AI353" s="58" t="b">
        <f>COUNTBLANK(Fixtures[[#This Row],[G]:[MOTM]]) = 0</f>
        <v>0</v>
      </c>
      <c r="AJ353" s="58" t="str">
        <f>IF(Fixtures[[#This Row],[APP]], Fixtures[[#This Row],[G]]+Fixtures[[#This Row],[A]], "N/A")</f>
        <v>N/A</v>
      </c>
      <c r="AK3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4" spans="1:39" ht="13">
      <c r="A354" s="55"/>
      <c r="B354" s="61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7"/>
      <c r="R354" s="56"/>
      <c r="S354" s="58" t="str" cm="1">
        <f t="array" ref="S354">_xlfn._xlws.FILTER(Competitions[compType], (Fixtures[[#This Row],[competition]] = Competitions[name]), "N/A")</f>
        <v>N/A</v>
      </c>
      <c r="T354" s="58" t="str" cm="1">
        <f t="array" ref="T354">_xlfn._xlws.FILTER(Competitions[exhibition], (Fixtures[[#This Row],[competition]] = Competitions[name]), "N/A")</f>
        <v>N/A</v>
      </c>
      <c r="U354" s="58" t="str" cm="1">
        <f t="array" ref="U354">_xlfn._xlws.FILTER(Competitions[compID], (Fixtures[[#This Row],[competition]] = Competitions[name]), "N/A")</f>
        <v>N/A</v>
      </c>
      <c r="V3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4" s="58" t="str" cm="1">
        <f t="array" ref="W3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4" s="58" t="str" cm="1">
        <f t="array" ref="X354">_xlfn._xlws.FILTER(Teams[name], (Fixtures[[#This Row],[userTeamID]] = Teams[teamID]), "N/A")</f>
        <v>N/A</v>
      </c>
      <c r="Y354" s="58" t="str" cm="1">
        <f t="array" ref="Y354">_xlfn._xlws.FILTER(Teams[teamType], (Fixtures[[#This Row],[userTeamID]] = Teams[teamID]), "N/A")</f>
        <v>N/A</v>
      </c>
      <c r="Z354" s="58" t="str" cm="1">
        <f t="array" ref="Z3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4" s="58" t="str">
        <f>IF(Fixtures[[#This Row],[userSide]] = "N/A", "N/A", IF(Fixtures[[#This Row],[userSide]] = "H", Fixtures[[#This Row],[awayTeam]], Fixtures[[#This Row],[homeTeam]]))</f>
        <v>N/A</v>
      </c>
      <c r="AB354" s="58" t="str" cm="1">
        <f t="array" ref="AB354">_xlfn._xlws.FILTER(Teams[teamID], Fixtures[[#This Row],[oppTeam]] = Teams[name], "N/A")</f>
        <v>N/A</v>
      </c>
      <c r="AC354" s="58" t="str" cm="1">
        <f t="array" ref="AC354">_xlfn._xlws.FILTER(Teams[teamType], Fixtures[[#This Row],[oppTeam]] = Teams[name], "N/A")</f>
        <v>N/A</v>
      </c>
      <c r="AD354" s="58" t="str">
        <f>IF(ISBLANK(Fixtures[[#This Row],[date]]), "N/A", IF(Fixtures[[#This Row],[userSide]]="H", Fixtures[[#This Row],[homeScore]], Fixtures[[#This Row],[awayScore]]))</f>
        <v>N/A</v>
      </c>
      <c r="AE354" s="58" t="str">
        <f>IF(ISBLANK(Fixtures[[#This Row],[date]]), "N/A", IF(Fixtures[[#This Row],[userScore]] = Fixtures[[#This Row],[homeScore]], Fixtures[[#This Row],[awayScore]], Fixtures[[#This Row],[homeScore]]))</f>
        <v>N/A</v>
      </c>
      <c r="AF354" s="58" t="b">
        <f>NOT(AND(ISBLANK(Fixtures[[#This Row],[homePens]]), ISBLANK(Fixtures[[#This Row],[awayPens]])))</f>
        <v>0</v>
      </c>
      <c r="AG354" s="58" t="str">
        <f>IF(Fixtures[[#This Row],[penalties]], IF(Fixtures[[#This Row],[userSide]]="H", Fixtures[[#This Row],[homePens]], Fixtures[[#This Row],[awayPens]]), "N/A")</f>
        <v>N/A</v>
      </c>
      <c r="AH354" s="58" t="str">
        <f>IF(Fixtures[[#This Row],[penalties]], IF(Fixtures[[#This Row],[userPens]]=Fixtures[[#This Row],[homePens]],Fixtures[[#This Row],[awayPens]],Fixtures[[#This Row],[homePens]]), "N/A")</f>
        <v>N/A</v>
      </c>
      <c r="AI354" s="58" t="b">
        <f>COUNTBLANK(Fixtures[[#This Row],[G]:[MOTM]]) = 0</f>
        <v>0</v>
      </c>
      <c r="AJ354" s="58" t="str">
        <f>IF(Fixtures[[#This Row],[APP]], Fixtures[[#This Row],[G]]+Fixtures[[#This Row],[A]], "N/A")</f>
        <v>N/A</v>
      </c>
      <c r="AK3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5" spans="1:39" ht="13">
      <c r="A355" s="55"/>
      <c r="B355" s="61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7"/>
      <c r="R355" s="56"/>
      <c r="S355" s="58" t="str" cm="1">
        <f t="array" ref="S355">_xlfn._xlws.FILTER(Competitions[compType], (Fixtures[[#This Row],[competition]] = Competitions[name]), "N/A")</f>
        <v>N/A</v>
      </c>
      <c r="T355" s="58" t="str" cm="1">
        <f t="array" ref="T355">_xlfn._xlws.FILTER(Competitions[exhibition], (Fixtures[[#This Row],[competition]] = Competitions[name]), "N/A")</f>
        <v>N/A</v>
      </c>
      <c r="U355" s="58" t="str" cm="1">
        <f t="array" ref="U355">_xlfn._xlws.FILTER(Competitions[compID], (Fixtures[[#This Row],[competition]] = Competitions[name]), "N/A")</f>
        <v>N/A</v>
      </c>
      <c r="V3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5" s="58" t="str" cm="1">
        <f t="array" ref="W3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5" s="58" t="str" cm="1">
        <f t="array" ref="X355">_xlfn._xlws.FILTER(Teams[name], (Fixtures[[#This Row],[userTeamID]] = Teams[teamID]), "N/A")</f>
        <v>N/A</v>
      </c>
      <c r="Y355" s="58" t="str" cm="1">
        <f t="array" ref="Y355">_xlfn._xlws.FILTER(Teams[teamType], (Fixtures[[#This Row],[userTeamID]] = Teams[teamID]), "N/A")</f>
        <v>N/A</v>
      </c>
      <c r="Z355" s="58" t="str" cm="1">
        <f t="array" ref="Z3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5" s="58" t="str">
        <f>IF(Fixtures[[#This Row],[userSide]] = "N/A", "N/A", IF(Fixtures[[#This Row],[userSide]] = "H", Fixtures[[#This Row],[awayTeam]], Fixtures[[#This Row],[homeTeam]]))</f>
        <v>N/A</v>
      </c>
      <c r="AB355" s="58" t="str" cm="1">
        <f t="array" ref="AB355">_xlfn._xlws.FILTER(Teams[teamID], Fixtures[[#This Row],[oppTeam]] = Teams[name], "N/A")</f>
        <v>N/A</v>
      </c>
      <c r="AC355" s="58" t="str" cm="1">
        <f t="array" ref="AC355">_xlfn._xlws.FILTER(Teams[teamType], Fixtures[[#This Row],[oppTeam]] = Teams[name], "N/A")</f>
        <v>N/A</v>
      </c>
      <c r="AD355" s="58" t="str">
        <f>IF(ISBLANK(Fixtures[[#This Row],[date]]), "N/A", IF(Fixtures[[#This Row],[userSide]]="H", Fixtures[[#This Row],[homeScore]], Fixtures[[#This Row],[awayScore]]))</f>
        <v>N/A</v>
      </c>
      <c r="AE355" s="58" t="str">
        <f>IF(ISBLANK(Fixtures[[#This Row],[date]]), "N/A", IF(Fixtures[[#This Row],[userScore]] = Fixtures[[#This Row],[homeScore]], Fixtures[[#This Row],[awayScore]], Fixtures[[#This Row],[homeScore]]))</f>
        <v>N/A</v>
      </c>
      <c r="AF355" s="58" t="b">
        <f>NOT(AND(ISBLANK(Fixtures[[#This Row],[homePens]]), ISBLANK(Fixtures[[#This Row],[awayPens]])))</f>
        <v>0</v>
      </c>
      <c r="AG355" s="58" t="str">
        <f>IF(Fixtures[[#This Row],[penalties]], IF(Fixtures[[#This Row],[userSide]]="H", Fixtures[[#This Row],[homePens]], Fixtures[[#This Row],[awayPens]]), "N/A")</f>
        <v>N/A</v>
      </c>
      <c r="AH355" s="58" t="str">
        <f>IF(Fixtures[[#This Row],[penalties]], IF(Fixtures[[#This Row],[userPens]]=Fixtures[[#This Row],[homePens]],Fixtures[[#This Row],[awayPens]],Fixtures[[#This Row],[homePens]]), "N/A")</f>
        <v>N/A</v>
      </c>
      <c r="AI355" s="58" t="b">
        <f>COUNTBLANK(Fixtures[[#This Row],[G]:[MOTM]]) = 0</f>
        <v>0</v>
      </c>
      <c r="AJ355" s="58" t="str">
        <f>IF(Fixtures[[#This Row],[APP]], Fixtures[[#This Row],[G]]+Fixtures[[#This Row],[A]], "N/A")</f>
        <v>N/A</v>
      </c>
      <c r="AK3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6" spans="1:39" ht="13">
      <c r="A356" s="55"/>
      <c r="B356" s="61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7"/>
      <c r="R356" s="56"/>
      <c r="S356" s="58" t="str" cm="1">
        <f t="array" ref="S356">_xlfn._xlws.FILTER(Competitions[compType], (Fixtures[[#This Row],[competition]] = Competitions[name]), "N/A")</f>
        <v>N/A</v>
      </c>
      <c r="T356" s="58" t="str" cm="1">
        <f t="array" ref="T356">_xlfn._xlws.FILTER(Competitions[exhibition], (Fixtures[[#This Row],[competition]] = Competitions[name]), "N/A")</f>
        <v>N/A</v>
      </c>
      <c r="U356" s="58" t="str" cm="1">
        <f t="array" ref="U356">_xlfn._xlws.FILTER(Competitions[compID], (Fixtures[[#This Row],[competition]] = Competitions[name]), "N/A")</f>
        <v>N/A</v>
      </c>
      <c r="V3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6" s="58" t="str" cm="1">
        <f t="array" ref="W3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6" s="58" t="str" cm="1">
        <f t="array" ref="X356">_xlfn._xlws.FILTER(Teams[name], (Fixtures[[#This Row],[userTeamID]] = Teams[teamID]), "N/A")</f>
        <v>N/A</v>
      </c>
      <c r="Y356" s="58" t="str" cm="1">
        <f t="array" ref="Y356">_xlfn._xlws.FILTER(Teams[teamType], (Fixtures[[#This Row],[userTeamID]] = Teams[teamID]), "N/A")</f>
        <v>N/A</v>
      </c>
      <c r="Z356" s="58" t="str" cm="1">
        <f t="array" ref="Z3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6" s="58" t="str">
        <f>IF(Fixtures[[#This Row],[userSide]] = "N/A", "N/A", IF(Fixtures[[#This Row],[userSide]] = "H", Fixtures[[#This Row],[awayTeam]], Fixtures[[#This Row],[homeTeam]]))</f>
        <v>N/A</v>
      </c>
      <c r="AB356" s="58" t="str" cm="1">
        <f t="array" ref="AB356">_xlfn._xlws.FILTER(Teams[teamID], Fixtures[[#This Row],[oppTeam]] = Teams[name], "N/A")</f>
        <v>N/A</v>
      </c>
      <c r="AC356" s="58" t="str" cm="1">
        <f t="array" ref="AC356">_xlfn._xlws.FILTER(Teams[teamType], Fixtures[[#This Row],[oppTeam]] = Teams[name], "N/A")</f>
        <v>N/A</v>
      </c>
      <c r="AD356" s="58" t="str">
        <f>IF(ISBLANK(Fixtures[[#This Row],[date]]), "N/A", IF(Fixtures[[#This Row],[userSide]]="H", Fixtures[[#This Row],[homeScore]], Fixtures[[#This Row],[awayScore]]))</f>
        <v>N/A</v>
      </c>
      <c r="AE356" s="58" t="str">
        <f>IF(ISBLANK(Fixtures[[#This Row],[date]]), "N/A", IF(Fixtures[[#This Row],[userScore]] = Fixtures[[#This Row],[homeScore]], Fixtures[[#This Row],[awayScore]], Fixtures[[#This Row],[homeScore]]))</f>
        <v>N/A</v>
      </c>
      <c r="AF356" s="58" t="b">
        <f>NOT(AND(ISBLANK(Fixtures[[#This Row],[homePens]]), ISBLANK(Fixtures[[#This Row],[awayPens]])))</f>
        <v>0</v>
      </c>
      <c r="AG356" s="58" t="str">
        <f>IF(Fixtures[[#This Row],[penalties]], IF(Fixtures[[#This Row],[userSide]]="H", Fixtures[[#This Row],[homePens]], Fixtures[[#This Row],[awayPens]]), "N/A")</f>
        <v>N/A</v>
      </c>
      <c r="AH356" s="58" t="str">
        <f>IF(Fixtures[[#This Row],[penalties]], IF(Fixtures[[#This Row],[userPens]]=Fixtures[[#This Row],[homePens]],Fixtures[[#This Row],[awayPens]],Fixtures[[#This Row],[homePens]]), "N/A")</f>
        <v>N/A</v>
      </c>
      <c r="AI356" s="58" t="b">
        <f>COUNTBLANK(Fixtures[[#This Row],[G]:[MOTM]]) = 0</f>
        <v>0</v>
      </c>
      <c r="AJ356" s="58" t="str">
        <f>IF(Fixtures[[#This Row],[APP]], Fixtures[[#This Row],[G]]+Fixtures[[#This Row],[A]], "N/A")</f>
        <v>N/A</v>
      </c>
      <c r="AK3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7" spans="1:39" ht="13">
      <c r="A357" s="55"/>
      <c r="B357" s="61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7"/>
      <c r="R357" s="56"/>
      <c r="S357" s="58" t="str" cm="1">
        <f t="array" ref="S357">_xlfn._xlws.FILTER(Competitions[compType], (Fixtures[[#This Row],[competition]] = Competitions[name]), "N/A")</f>
        <v>N/A</v>
      </c>
      <c r="T357" s="58" t="str" cm="1">
        <f t="array" ref="T357">_xlfn._xlws.FILTER(Competitions[exhibition], (Fixtures[[#This Row],[competition]] = Competitions[name]), "N/A")</f>
        <v>N/A</v>
      </c>
      <c r="U357" s="58" t="str" cm="1">
        <f t="array" ref="U357">_xlfn._xlws.FILTER(Competitions[compID], (Fixtures[[#This Row],[competition]] = Competitions[name]), "N/A")</f>
        <v>N/A</v>
      </c>
      <c r="V3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7" s="58" t="str" cm="1">
        <f t="array" ref="W3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7" s="58" t="str" cm="1">
        <f t="array" ref="X357">_xlfn._xlws.FILTER(Teams[name], (Fixtures[[#This Row],[userTeamID]] = Teams[teamID]), "N/A")</f>
        <v>N/A</v>
      </c>
      <c r="Y357" s="58" t="str" cm="1">
        <f t="array" ref="Y357">_xlfn._xlws.FILTER(Teams[teamType], (Fixtures[[#This Row],[userTeamID]] = Teams[teamID]), "N/A")</f>
        <v>N/A</v>
      </c>
      <c r="Z357" s="58" t="str" cm="1">
        <f t="array" ref="Z3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7" s="58" t="str">
        <f>IF(Fixtures[[#This Row],[userSide]] = "N/A", "N/A", IF(Fixtures[[#This Row],[userSide]] = "H", Fixtures[[#This Row],[awayTeam]], Fixtures[[#This Row],[homeTeam]]))</f>
        <v>N/A</v>
      </c>
      <c r="AB357" s="58" t="str" cm="1">
        <f t="array" ref="AB357">_xlfn._xlws.FILTER(Teams[teamID], Fixtures[[#This Row],[oppTeam]] = Teams[name], "N/A")</f>
        <v>N/A</v>
      </c>
      <c r="AC357" s="58" t="str" cm="1">
        <f t="array" ref="AC357">_xlfn._xlws.FILTER(Teams[teamType], Fixtures[[#This Row],[oppTeam]] = Teams[name], "N/A")</f>
        <v>N/A</v>
      </c>
      <c r="AD357" s="58" t="str">
        <f>IF(ISBLANK(Fixtures[[#This Row],[date]]), "N/A", IF(Fixtures[[#This Row],[userSide]]="H", Fixtures[[#This Row],[homeScore]], Fixtures[[#This Row],[awayScore]]))</f>
        <v>N/A</v>
      </c>
      <c r="AE357" s="58" t="str">
        <f>IF(ISBLANK(Fixtures[[#This Row],[date]]), "N/A", IF(Fixtures[[#This Row],[userScore]] = Fixtures[[#This Row],[homeScore]], Fixtures[[#This Row],[awayScore]], Fixtures[[#This Row],[homeScore]]))</f>
        <v>N/A</v>
      </c>
      <c r="AF357" s="58" t="b">
        <f>NOT(AND(ISBLANK(Fixtures[[#This Row],[homePens]]), ISBLANK(Fixtures[[#This Row],[awayPens]])))</f>
        <v>0</v>
      </c>
      <c r="AG357" s="58" t="str">
        <f>IF(Fixtures[[#This Row],[penalties]], IF(Fixtures[[#This Row],[userSide]]="H", Fixtures[[#This Row],[homePens]], Fixtures[[#This Row],[awayPens]]), "N/A")</f>
        <v>N/A</v>
      </c>
      <c r="AH357" s="58" t="str">
        <f>IF(Fixtures[[#This Row],[penalties]], IF(Fixtures[[#This Row],[userPens]]=Fixtures[[#This Row],[homePens]],Fixtures[[#This Row],[awayPens]],Fixtures[[#This Row],[homePens]]), "N/A")</f>
        <v>N/A</v>
      </c>
      <c r="AI357" s="58" t="b">
        <f>COUNTBLANK(Fixtures[[#This Row],[G]:[MOTM]]) = 0</f>
        <v>0</v>
      </c>
      <c r="AJ357" s="58" t="str">
        <f>IF(Fixtures[[#This Row],[APP]], Fixtures[[#This Row],[G]]+Fixtures[[#This Row],[A]], "N/A")</f>
        <v>N/A</v>
      </c>
      <c r="AK3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8" spans="1:39" ht="13">
      <c r="A358" s="55"/>
      <c r="B358" s="61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7"/>
      <c r="R358" s="56"/>
      <c r="S358" s="58" t="str" cm="1">
        <f t="array" ref="S358">_xlfn._xlws.FILTER(Competitions[compType], (Fixtures[[#This Row],[competition]] = Competitions[name]), "N/A")</f>
        <v>N/A</v>
      </c>
      <c r="T358" s="58" t="str" cm="1">
        <f t="array" ref="T358">_xlfn._xlws.FILTER(Competitions[exhibition], (Fixtures[[#This Row],[competition]] = Competitions[name]), "N/A")</f>
        <v>N/A</v>
      </c>
      <c r="U358" s="58" t="str" cm="1">
        <f t="array" ref="U358">_xlfn._xlws.FILTER(Competitions[compID], (Fixtures[[#This Row],[competition]] = Competitions[name]), "N/A")</f>
        <v>N/A</v>
      </c>
      <c r="V3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8" s="58" t="str" cm="1">
        <f t="array" ref="W3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8" s="58" t="str" cm="1">
        <f t="array" ref="X358">_xlfn._xlws.FILTER(Teams[name], (Fixtures[[#This Row],[userTeamID]] = Teams[teamID]), "N/A")</f>
        <v>N/A</v>
      </c>
      <c r="Y358" s="58" t="str" cm="1">
        <f t="array" ref="Y358">_xlfn._xlws.FILTER(Teams[teamType], (Fixtures[[#This Row],[userTeamID]] = Teams[teamID]), "N/A")</f>
        <v>N/A</v>
      </c>
      <c r="Z358" s="58" t="str" cm="1">
        <f t="array" ref="Z3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8" s="58" t="str">
        <f>IF(Fixtures[[#This Row],[userSide]] = "N/A", "N/A", IF(Fixtures[[#This Row],[userSide]] = "H", Fixtures[[#This Row],[awayTeam]], Fixtures[[#This Row],[homeTeam]]))</f>
        <v>N/A</v>
      </c>
      <c r="AB358" s="58" t="str" cm="1">
        <f t="array" ref="AB358">_xlfn._xlws.FILTER(Teams[teamID], Fixtures[[#This Row],[oppTeam]] = Teams[name], "N/A")</f>
        <v>N/A</v>
      </c>
      <c r="AC358" s="58" t="str" cm="1">
        <f t="array" ref="AC358">_xlfn._xlws.FILTER(Teams[teamType], Fixtures[[#This Row],[oppTeam]] = Teams[name], "N/A")</f>
        <v>N/A</v>
      </c>
      <c r="AD358" s="58" t="str">
        <f>IF(ISBLANK(Fixtures[[#This Row],[date]]), "N/A", IF(Fixtures[[#This Row],[userSide]]="H", Fixtures[[#This Row],[homeScore]], Fixtures[[#This Row],[awayScore]]))</f>
        <v>N/A</v>
      </c>
      <c r="AE358" s="58" t="str">
        <f>IF(ISBLANK(Fixtures[[#This Row],[date]]), "N/A", IF(Fixtures[[#This Row],[userScore]] = Fixtures[[#This Row],[homeScore]], Fixtures[[#This Row],[awayScore]], Fixtures[[#This Row],[homeScore]]))</f>
        <v>N/A</v>
      </c>
      <c r="AF358" s="58" t="b">
        <f>NOT(AND(ISBLANK(Fixtures[[#This Row],[homePens]]), ISBLANK(Fixtures[[#This Row],[awayPens]])))</f>
        <v>0</v>
      </c>
      <c r="AG358" s="58" t="str">
        <f>IF(Fixtures[[#This Row],[penalties]], IF(Fixtures[[#This Row],[userSide]]="H", Fixtures[[#This Row],[homePens]], Fixtures[[#This Row],[awayPens]]), "N/A")</f>
        <v>N/A</v>
      </c>
      <c r="AH358" s="58" t="str">
        <f>IF(Fixtures[[#This Row],[penalties]], IF(Fixtures[[#This Row],[userPens]]=Fixtures[[#This Row],[homePens]],Fixtures[[#This Row],[awayPens]],Fixtures[[#This Row],[homePens]]), "N/A")</f>
        <v>N/A</v>
      </c>
      <c r="AI358" s="58" t="b">
        <f>COUNTBLANK(Fixtures[[#This Row],[G]:[MOTM]]) = 0</f>
        <v>0</v>
      </c>
      <c r="AJ358" s="58" t="str">
        <f>IF(Fixtures[[#This Row],[APP]], Fixtures[[#This Row],[G]]+Fixtures[[#This Row],[A]], "N/A")</f>
        <v>N/A</v>
      </c>
      <c r="AK3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59" spans="1:39" ht="13">
      <c r="A359" s="55"/>
      <c r="B359" s="61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7"/>
      <c r="R359" s="56"/>
      <c r="S359" s="58" t="str" cm="1">
        <f t="array" ref="S359">_xlfn._xlws.FILTER(Competitions[compType], (Fixtures[[#This Row],[competition]] = Competitions[name]), "N/A")</f>
        <v>N/A</v>
      </c>
      <c r="T359" s="58" t="str" cm="1">
        <f t="array" ref="T359">_xlfn._xlws.FILTER(Competitions[exhibition], (Fixtures[[#This Row],[competition]] = Competitions[name]), "N/A")</f>
        <v>N/A</v>
      </c>
      <c r="U359" s="58" t="str" cm="1">
        <f t="array" ref="U359">_xlfn._xlws.FILTER(Competitions[compID], (Fixtures[[#This Row],[competition]] = Competitions[name]), "N/A")</f>
        <v>N/A</v>
      </c>
      <c r="V3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59" s="58" t="str" cm="1">
        <f t="array" ref="W3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59" s="58" t="str" cm="1">
        <f t="array" ref="X359">_xlfn._xlws.FILTER(Teams[name], (Fixtures[[#This Row],[userTeamID]] = Teams[teamID]), "N/A")</f>
        <v>N/A</v>
      </c>
      <c r="Y359" s="58" t="str" cm="1">
        <f t="array" ref="Y359">_xlfn._xlws.FILTER(Teams[teamType], (Fixtures[[#This Row],[userTeamID]] = Teams[teamID]), "N/A")</f>
        <v>N/A</v>
      </c>
      <c r="Z359" s="58" t="str" cm="1">
        <f t="array" ref="Z3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59" s="58" t="str">
        <f>IF(Fixtures[[#This Row],[userSide]] = "N/A", "N/A", IF(Fixtures[[#This Row],[userSide]] = "H", Fixtures[[#This Row],[awayTeam]], Fixtures[[#This Row],[homeTeam]]))</f>
        <v>N/A</v>
      </c>
      <c r="AB359" s="58" t="str" cm="1">
        <f t="array" ref="AB359">_xlfn._xlws.FILTER(Teams[teamID], Fixtures[[#This Row],[oppTeam]] = Teams[name], "N/A")</f>
        <v>N/A</v>
      </c>
      <c r="AC359" s="58" t="str" cm="1">
        <f t="array" ref="AC359">_xlfn._xlws.FILTER(Teams[teamType], Fixtures[[#This Row],[oppTeam]] = Teams[name], "N/A")</f>
        <v>N/A</v>
      </c>
      <c r="AD359" s="58" t="str">
        <f>IF(ISBLANK(Fixtures[[#This Row],[date]]), "N/A", IF(Fixtures[[#This Row],[userSide]]="H", Fixtures[[#This Row],[homeScore]], Fixtures[[#This Row],[awayScore]]))</f>
        <v>N/A</v>
      </c>
      <c r="AE359" s="58" t="str">
        <f>IF(ISBLANK(Fixtures[[#This Row],[date]]), "N/A", IF(Fixtures[[#This Row],[userScore]] = Fixtures[[#This Row],[homeScore]], Fixtures[[#This Row],[awayScore]], Fixtures[[#This Row],[homeScore]]))</f>
        <v>N/A</v>
      </c>
      <c r="AF359" s="58" t="b">
        <f>NOT(AND(ISBLANK(Fixtures[[#This Row],[homePens]]), ISBLANK(Fixtures[[#This Row],[awayPens]])))</f>
        <v>0</v>
      </c>
      <c r="AG359" s="58" t="str">
        <f>IF(Fixtures[[#This Row],[penalties]], IF(Fixtures[[#This Row],[userSide]]="H", Fixtures[[#This Row],[homePens]], Fixtures[[#This Row],[awayPens]]), "N/A")</f>
        <v>N/A</v>
      </c>
      <c r="AH359" s="58" t="str">
        <f>IF(Fixtures[[#This Row],[penalties]], IF(Fixtures[[#This Row],[userPens]]=Fixtures[[#This Row],[homePens]],Fixtures[[#This Row],[awayPens]],Fixtures[[#This Row],[homePens]]), "N/A")</f>
        <v>N/A</v>
      </c>
      <c r="AI359" s="58" t="b">
        <f>COUNTBLANK(Fixtures[[#This Row],[G]:[MOTM]]) = 0</f>
        <v>0</v>
      </c>
      <c r="AJ359" s="58" t="str">
        <f>IF(Fixtures[[#This Row],[APP]], Fixtures[[#This Row],[G]]+Fixtures[[#This Row],[A]], "N/A")</f>
        <v>N/A</v>
      </c>
      <c r="AK3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0" spans="1:39" ht="13">
      <c r="A360" s="55"/>
      <c r="B360" s="61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7"/>
      <c r="R360" s="56"/>
      <c r="S360" s="58" t="str" cm="1">
        <f t="array" ref="S360">_xlfn._xlws.FILTER(Competitions[compType], (Fixtures[[#This Row],[competition]] = Competitions[name]), "N/A")</f>
        <v>N/A</v>
      </c>
      <c r="T360" s="58" t="str" cm="1">
        <f t="array" ref="T360">_xlfn._xlws.FILTER(Competitions[exhibition], (Fixtures[[#This Row],[competition]] = Competitions[name]), "N/A")</f>
        <v>N/A</v>
      </c>
      <c r="U360" s="58" t="str" cm="1">
        <f t="array" ref="U360">_xlfn._xlws.FILTER(Competitions[compID], (Fixtures[[#This Row],[competition]] = Competitions[name]), "N/A")</f>
        <v>N/A</v>
      </c>
      <c r="V3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0" s="58" t="str" cm="1">
        <f t="array" ref="W3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0" s="58" t="str" cm="1">
        <f t="array" ref="X360">_xlfn._xlws.FILTER(Teams[name], (Fixtures[[#This Row],[userTeamID]] = Teams[teamID]), "N/A")</f>
        <v>N/A</v>
      </c>
      <c r="Y360" s="58" t="str" cm="1">
        <f t="array" ref="Y360">_xlfn._xlws.FILTER(Teams[teamType], (Fixtures[[#This Row],[userTeamID]] = Teams[teamID]), "N/A")</f>
        <v>N/A</v>
      </c>
      <c r="Z360" s="58" t="str" cm="1">
        <f t="array" ref="Z3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0" s="58" t="str">
        <f>IF(Fixtures[[#This Row],[userSide]] = "N/A", "N/A", IF(Fixtures[[#This Row],[userSide]] = "H", Fixtures[[#This Row],[awayTeam]], Fixtures[[#This Row],[homeTeam]]))</f>
        <v>N/A</v>
      </c>
      <c r="AB360" s="58" t="str" cm="1">
        <f t="array" ref="AB360">_xlfn._xlws.FILTER(Teams[teamID], Fixtures[[#This Row],[oppTeam]] = Teams[name], "N/A")</f>
        <v>N/A</v>
      </c>
      <c r="AC360" s="58" t="str" cm="1">
        <f t="array" ref="AC360">_xlfn._xlws.FILTER(Teams[teamType], Fixtures[[#This Row],[oppTeam]] = Teams[name], "N/A")</f>
        <v>N/A</v>
      </c>
      <c r="AD360" s="58" t="str">
        <f>IF(ISBLANK(Fixtures[[#This Row],[date]]), "N/A", IF(Fixtures[[#This Row],[userSide]]="H", Fixtures[[#This Row],[homeScore]], Fixtures[[#This Row],[awayScore]]))</f>
        <v>N/A</v>
      </c>
      <c r="AE360" s="58" t="str">
        <f>IF(ISBLANK(Fixtures[[#This Row],[date]]), "N/A", IF(Fixtures[[#This Row],[userScore]] = Fixtures[[#This Row],[homeScore]], Fixtures[[#This Row],[awayScore]], Fixtures[[#This Row],[homeScore]]))</f>
        <v>N/A</v>
      </c>
      <c r="AF360" s="58" t="b">
        <f>NOT(AND(ISBLANK(Fixtures[[#This Row],[homePens]]), ISBLANK(Fixtures[[#This Row],[awayPens]])))</f>
        <v>0</v>
      </c>
      <c r="AG360" s="58" t="str">
        <f>IF(Fixtures[[#This Row],[penalties]], IF(Fixtures[[#This Row],[userSide]]="H", Fixtures[[#This Row],[homePens]], Fixtures[[#This Row],[awayPens]]), "N/A")</f>
        <v>N/A</v>
      </c>
      <c r="AH360" s="58" t="str">
        <f>IF(Fixtures[[#This Row],[penalties]], IF(Fixtures[[#This Row],[userPens]]=Fixtures[[#This Row],[homePens]],Fixtures[[#This Row],[awayPens]],Fixtures[[#This Row],[homePens]]), "N/A")</f>
        <v>N/A</v>
      </c>
      <c r="AI360" s="58" t="b">
        <f>COUNTBLANK(Fixtures[[#This Row],[G]:[MOTM]]) = 0</f>
        <v>0</v>
      </c>
      <c r="AJ360" s="58" t="str">
        <f>IF(Fixtures[[#This Row],[APP]], Fixtures[[#This Row],[G]]+Fixtures[[#This Row],[A]], "N/A")</f>
        <v>N/A</v>
      </c>
      <c r="AK3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1" spans="1:39" ht="13">
      <c r="A361" s="55"/>
      <c r="B361" s="61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7"/>
      <c r="R361" s="56"/>
      <c r="S361" s="58" t="str" cm="1">
        <f t="array" ref="S361">_xlfn._xlws.FILTER(Competitions[compType], (Fixtures[[#This Row],[competition]] = Competitions[name]), "N/A")</f>
        <v>N/A</v>
      </c>
      <c r="T361" s="58" t="str" cm="1">
        <f t="array" ref="T361">_xlfn._xlws.FILTER(Competitions[exhibition], (Fixtures[[#This Row],[competition]] = Competitions[name]), "N/A")</f>
        <v>N/A</v>
      </c>
      <c r="U361" s="58" t="str" cm="1">
        <f t="array" ref="U361">_xlfn._xlws.FILTER(Competitions[compID], (Fixtures[[#This Row],[competition]] = Competitions[name]), "N/A")</f>
        <v>N/A</v>
      </c>
      <c r="V3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1" s="58" t="str" cm="1">
        <f t="array" ref="W3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1" s="58" t="str" cm="1">
        <f t="array" ref="X361">_xlfn._xlws.FILTER(Teams[name], (Fixtures[[#This Row],[userTeamID]] = Teams[teamID]), "N/A")</f>
        <v>N/A</v>
      </c>
      <c r="Y361" s="58" t="str" cm="1">
        <f t="array" ref="Y361">_xlfn._xlws.FILTER(Teams[teamType], (Fixtures[[#This Row],[userTeamID]] = Teams[teamID]), "N/A")</f>
        <v>N/A</v>
      </c>
      <c r="Z361" s="58" t="str" cm="1">
        <f t="array" ref="Z3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1" s="58" t="str">
        <f>IF(Fixtures[[#This Row],[userSide]] = "N/A", "N/A", IF(Fixtures[[#This Row],[userSide]] = "H", Fixtures[[#This Row],[awayTeam]], Fixtures[[#This Row],[homeTeam]]))</f>
        <v>N/A</v>
      </c>
      <c r="AB361" s="58" t="str" cm="1">
        <f t="array" ref="AB361">_xlfn._xlws.FILTER(Teams[teamID], Fixtures[[#This Row],[oppTeam]] = Teams[name], "N/A")</f>
        <v>N/A</v>
      </c>
      <c r="AC361" s="58" t="str" cm="1">
        <f t="array" ref="AC361">_xlfn._xlws.FILTER(Teams[teamType], Fixtures[[#This Row],[oppTeam]] = Teams[name], "N/A")</f>
        <v>N/A</v>
      </c>
      <c r="AD361" s="58" t="str">
        <f>IF(ISBLANK(Fixtures[[#This Row],[date]]), "N/A", IF(Fixtures[[#This Row],[userSide]]="H", Fixtures[[#This Row],[homeScore]], Fixtures[[#This Row],[awayScore]]))</f>
        <v>N/A</v>
      </c>
      <c r="AE361" s="58" t="str">
        <f>IF(ISBLANK(Fixtures[[#This Row],[date]]), "N/A", IF(Fixtures[[#This Row],[userScore]] = Fixtures[[#This Row],[homeScore]], Fixtures[[#This Row],[awayScore]], Fixtures[[#This Row],[homeScore]]))</f>
        <v>N/A</v>
      </c>
      <c r="AF361" s="58" t="b">
        <f>NOT(AND(ISBLANK(Fixtures[[#This Row],[homePens]]), ISBLANK(Fixtures[[#This Row],[awayPens]])))</f>
        <v>0</v>
      </c>
      <c r="AG361" s="58" t="str">
        <f>IF(Fixtures[[#This Row],[penalties]], IF(Fixtures[[#This Row],[userSide]]="H", Fixtures[[#This Row],[homePens]], Fixtures[[#This Row],[awayPens]]), "N/A")</f>
        <v>N/A</v>
      </c>
      <c r="AH361" s="58" t="str">
        <f>IF(Fixtures[[#This Row],[penalties]], IF(Fixtures[[#This Row],[userPens]]=Fixtures[[#This Row],[homePens]],Fixtures[[#This Row],[awayPens]],Fixtures[[#This Row],[homePens]]), "N/A")</f>
        <v>N/A</v>
      </c>
      <c r="AI361" s="58" t="b">
        <f>COUNTBLANK(Fixtures[[#This Row],[G]:[MOTM]]) = 0</f>
        <v>0</v>
      </c>
      <c r="AJ361" s="58" t="str">
        <f>IF(Fixtures[[#This Row],[APP]], Fixtures[[#This Row],[G]]+Fixtures[[#This Row],[A]], "N/A")</f>
        <v>N/A</v>
      </c>
      <c r="AK3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2" spans="1:39" ht="13">
      <c r="A362" s="55"/>
      <c r="B362" s="61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7"/>
      <c r="R362" s="56"/>
      <c r="S362" s="58" t="str" cm="1">
        <f t="array" ref="S362">_xlfn._xlws.FILTER(Competitions[compType], (Fixtures[[#This Row],[competition]] = Competitions[name]), "N/A")</f>
        <v>N/A</v>
      </c>
      <c r="T362" s="58" t="str" cm="1">
        <f t="array" ref="T362">_xlfn._xlws.FILTER(Competitions[exhibition], (Fixtures[[#This Row],[competition]] = Competitions[name]), "N/A")</f>
        <v>N/A</v>
      </c>
      <c r="U362" s="58" t="str" cm="1">
        <f t="array" ref="U362">_xlfn._xlws.FILTER(Competitions[compID], (Fixtures[[#This Row],[competition]] = Competitions[name]), "N/A")</f>
        <v>N/A</v>
      </c>
      <c r="V3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2" s="58" t="str" cm="1">
        <f t="array" ref="W3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2" s="58" t="str" cm="1">
        <f t="array" ref="X362">_xlfn._xlws.FILTER(Teams[name], (Fixtures[[#This Row],[userTeamID]] = Teams[teamID]), "N/A")</f>
        <v>N/A</v>
      </c>
      <c r="Y362" s="58" t="str" cm="1">
        <f t="array" ref="Y362">_xlfn._xlws.FILTER(Teams[teamType], (Fixtures[[#This Row],[userTeamID]] = Teams[teamID]), "N/A")</f>
        <v>N/A</v>
      </c>
      <c r="Z362" s="58" t="str" cm="1">
        <f t="array" ref="Z3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2" s="58" t="str">
        <f>IF(Fixtures[[#This Row],[userSide]] = "N/A", "N/A", IF(Fixtures[[#This Row],[userSide]] = "H", Fixtures[[#This Row],[awayTeam]], Fixtures[[#This Row],[homeTeam]]))</f>
        <v>N/A</v>
      </c>
      <c r="AB362" s="58" t="str" cm="1">
        <f t="array" ref="AB362">_xlfn._xlws.FILTER(Teams[teamID], Fixtures[[#This Row],[oppTeam]] = Teams[name], "N/A")</f>
        <v>N/A</v>
      </c>
      <c r="AC362" s="58" t="str" cm="1">
        <f t="array" ref="AC362">_xlfn._xlws.FILTER(Teams[teamType], Fixtures[[#This Row],[oppTeam]] = Teams[name], "N/A")</f>
        <v>N/A</v>
      </c>
      <c r="AD362" s="58" t="str">
        <f>IF(ISBLANK(Fixtures[[#This Row],[date]]), "N/A", IF(Fixtures[[#This Row],[userSide]]="H", Fixtures[[#This Row],[homeScore]], Fixtures[[#This Row],[awayScore]]))</f>
        <v>N/A</v>
      </c>
      <c r="AE362" s="58" t="str">
        <f>IF(ISBLANK(Fixtures[[#This Row],[date]]), "N/A", IF(Fixtures[[#This Row],[userScore]] = Fixtures[[#This Row],[homeScore]], Fixtures[[#This Row],[awayScore]], Fixtures[[#This Row],[homeScore]]))</f>
        <v>N/A</v>
      </c>
      <c r="AF362" s="58" t="b">
        <f>NOT(AND(ISBLANK(Fixtures[[#This Row],[homePens]]), ISBLANK(Fixtures[[#This Row],[awayPens]])))</f>
        <v>0</v>
      </c>
      <c r="AG362" s="58" t="str">
        <f>IF(Fixtures[[#This Row],[penalties]], IF(Fixtures[[#This Row],[userSide]]="H", Fixtures[[#This Row],[homePens]], Fixtures[[#This Row],[awayPens]]), "N/A")</f>
        <v>N/A</v>
      </c>
      <c r="AH362" s="58" t="str">
        <f>IF(Fixtures[[#This Row],[penalties]], IF(Fixtures[[#This Row],[userPens]]=Fixtures[[#This Row],[homePens]],Fixtures[[#This Row],[awayPens]],Fixtures[[#This Row],[homePens]]), "N/A")</f>
        <v>N/A</v>
      </c>
      <c r="AI362" s="58" t="b">
        <f>COUNTBLANK(Fixtures[[#This Row],[G]:[MOTM]]) = 0</f>
        <v>0</v>
      </c>
      <c r="AJ362" s="58" t="str">
        <f>IF(Fixtures[[#This Row],[APP]], Fixtures[[#This Row],[G]]+Fixtures[[#This Row],[A]], "N/A")</f>
        <v>N/A</v>
      </c>
      <c r="AK3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3" spans="1:39" ht="13">
      <c r="A363" s="55"/>
      <c r="B363" s="61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7"/>
      <c r="R363" s="56"/>
      <c r="S363" s="58" t="str" cm="1">
        <f t="array" ref="S363">_xlfn._xlws.FILTER(Competitions[compType], (Fixtures[[#This Row],[competition]] = Competitions[name]), "N/A")</f>
        <v>N/A</v>
      </c>
      <c r="T363" s="58" t="str" cm="1">
        <f t="array" ref="T363">_xlfn._xlws.FILTER(Competitions[exhibition], (Fixtures[[#This Row],[competition]] = Competitions[name]), "N/A")</f>
        <v>N/A</v>
      </c>
      <c r="U363" s="58" t="str" cm="1">
        <f t="array" ref="U363">_xlfn._xlws.FILTER(Competitions[compID], (Fixtures[[#This Row],[competition]] = Competitions[name]), "N/A")</f>
        <v>N/A</v>
      </c>
      <c r="V3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3" s="58" t="str" cm="1">
        <f t="array" ref="W3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3" s="58" t="str" cm="1">
        <f t="array" ref="X363">_xlfn._xlws.FILTER(Teams[name], (Fixtures[[#This Row],[userTeamID]] = Teams[teamID]), "N/A")</f>
        <v>N/A</v>
      </c>
      <c r="Y363" s="58" t="str" cm="1">
        <f t="array" ref="Y363">_xlfn._xlws.FILTER(Teams[teamType], (Fixtures[[#This Row],[userTeamID]] = Teams[teamID]), "N/A")</f>
        <v>N/A</v>
      </c>
      <c r="Z363" s="58" t="str" cm="1">
        <f t="array" ref="Z3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3" s="58" t="str">
        <f>IF(Fixtures[[#This Row],[userSide]] = "N/A", "N/A", IF(Fixtures[[#This Row],[userSide]] = "H", Fixtures[[#This Row],[awayTeam]], Fixtures[[#This Row],[homeTeam]]))</f>
        <v>N/A</v>
      </c>
      <c r="AB363" s="58" t="str" cm="1">
        <f t="array" ref="AB363">_xlfn._xlws.FILTER(Teams[teamID], Fixtures[[#This Row],[oppTeam]] = Teams[name], "N/A")</f>
        <v>N/A</v>
      </c>
      <c r="AC363" s="58" t="str" cm="1">
        <f t="array" ref="AC363">_xlfn._xlws.FILTER(Teams[teamType], Fixtures[[#This Row],[oppTeam]] = Teams[name], "N/A")</f>
        <v>N/A</v>
      </c>
      <c r="AD363" s="58" t="str">
        <f>IF(ISBLANK(Fixtures[[#This Row],[date]]), "N/A", IF(Fixtures[[#This Row],[userSide]]="H", Fixtures[[#This Row],[homeScore]], Fixtures[[#This Row],[awayScore]]))</f>
        <v>N/A</v>
      </c>
      <c r="AE363" s="58" t="str">
        <f>IF(ISBLANK(Fixtures[[#This Row],[date]]), "N/A", IF(Fixtures[[#This Row],[userScore]] = Fixtures[[#This Row],[homeScore]], Fixtures[[#This Row],[awayScore]], Fixtures[[#This Row],[homeScore]]))</f>
        <v>N/A</v>
      </c>
      <c r="AF363" s="58" t="b">
        <f>NOT(AND(ISBLANK(Fixtures[[#This Row],[homePens]]), ISBLANK(Fixtures[[#This Row],[awayPens]])))</f>
        <v>0</v>
      </c>
      <c r="AG363" s="58" t="str">
        <f>IF(Fixtures[[#This Row],[penalties]], IF(Fixtures[[#This Row],[userSide]]="H", Fixtures[[#This Row],[homePens]], Fixtures[[#This Row],[awayPens]]), "N/A")</f>
        <v>N/A</v>
      </c>
      <c r="AH363" s="58" t="str">
        <f>IF(Fixtures[[#This Row],[penalties]], IF(Fixtures[[#This Row],[userPens]]=Fixtures[[#This Row],[homePens]],Fixtures[[#This Row],[awayPens]],Fixtures[[#This Row],[homePens]]), "N/A")</f>
        <v>N/A</v>
      </c>
      <c r="AI363" s="58" t="b">
        <f>COUNTBLANK(Fixtures[[#This Row],[G]:[MOTM]]) = 0</f>
        <v>0</v>
      </c>
      <c r="AJ363" s="58" t="str">
        <f>IF(Fixtures[[#This Row],[APP]], Fixtures[[#This Row],[G]]+Fixtures[[#This Row],[A]], "N/A")</f>
        <v>N/A</v>
      </c>
      <c r="AK3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4" spans="1:39" ht="13">
      <c r="A364" s="55"/>
      <c r="B364" s="61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7"/>
      <c r="R364" s="56"/>
      <c r="S364" s="58" t="str" cm="1">
        <f t="array" ref="S364">_xlfn._xlws.FILTER(Competitions[compType], (Fixtures[[#This Row],[competition]] = Competitions[name]), "N/A")</f>
        <v>N/A</v>
      </c>
      <c r="T364" s="58" t="str" cm="1">
        <f t="array" ref="T364">_xlfn._xlws.FILTER(Competitions[exhibition], (Fixtures[[#This Row],[competition]] = Competitions[name]), "N/A")</f>
        <v>N/A</v>
      </c>
      <c r="U364" s="58" t="str" cm="1">
        <f t="array" ref="U364">_xlfn._xlws.FILTER(Competitions[compID], (Fixtures[[#This Row],[competition]] = Competitions[name]), "N/A")</f>
        <v>N/A</v>
      </c>
      <c r="V3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4" s="58" t="str" cm="1">
        <f t="array" ref="W3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4" s="58" t="str" cm="1">
        <f t="array" ref="X364">_xlfn._xlws.FILTER(Teams[name], (Fixtures[[#This Row],[userTeamID]] = Teams[teamID]), "N/A")</f>
        <v>N/A</v>
      </c>
      <c r="Y364" s="58" t="str" cm="1">
        <f t="array" ref="Y364">_xlfn._xlws.FILTER(Teams[teamType], (Fixtures[[#This Row],[userTeamID]] = Teams[teamID]), "N/A")</f>
        <v>N/A</v>
      </c>
      <c r="Z364" s="58" t="str" cm="1">
        <f t="array" ref="Z3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4" s="58" t="str">
        <f>IF(Fixtures[[#This Row],[userSide]] = "N/A", "N/A", IF(Fixtures[[#This Row],[userSide]] = "H", Fixtures[[#This Row],[awayTeam]], Fixtures[[#This Row],[homeTeam]]))</f>
        <v>N/A</v>
      </c>
      <c r="AB364" s="58" t="str" cm="1">
        <f t="array" ref="AB364">_xlfn._xlws.FILTER(Teams[teamID], Fixtures[[#This Row],[oppTeam]] = Teams[name], "N/A")</f>
        <v>N/A</v>
      </c>
      <c r="AC364" s="58" t="str" cm="1">
        <f t="array" ref="AC364">_xlfn._xlws.FILTER(Teams[teamType], Fixtures[[#This Row],[oppTeam]] = Teams[name], "N/A")</f>
        <v>N/A</v>
      </c>
      <c r="AD364" s="58" t="str">
        <f>IF(ISBLANK(Fixtures[[#This Row],[date]]), "N/A", IF(Fixtures[[#This Row],[userSide]]="H", Fixtures[[#This Row],[homeScore]], Fixtures[[#This Row],[awayScore]]))</f>
        <v>N/A</v>
      </c>
      <c r="AE364" s="58" t="str">
        <f>IF(ISBLANK(Fixtures[[#This Row],[date]]), "N/A", IF(Fixtures[[#This Row],[userScore]] = Fixtures[[#This Row],[homeScore]], Fixtures[[#This Row],[awayScore]], Fixtures[[#This Row],[homeScore]]))</f>
        <v>N/A</v>
      </c>
      <c r="AF364" s="58" t="b">
        <f>NOT(AND(ISBLANK(Fixtures[[#This Row],[homePens]]), ISBLANK(Fixtures[[#This Row],[awayPens]])))</f>
        <v>0</v>
      </c>
      <c r="AG364" s="58" t="str">
        <f>IF(Fixtures[[#This Row],[penalties]], IF(Fixtures[[#This Row],[userSide]]="H", Fixtures[[#This Row],[homePens]], Fixtures[[#This Row],[awayPens]]), "N/A")</f>
        <v>N/A</v>
      </c>
      <c r="AH364" s="58" t="str">
        <f>IF(Fixtures[[#This Row],[penalties]], IF(Fixtures[[#This Row],[userPens]]=Fixtures[[#This Row],[homePens]],Fixtures[[#This Row],[awayPens]],Fixtures[[#This Row],[homePens]]), "N/A")</f>
        <v>N/A</v>
      </c>
      <c r="AI364" s="58" t="b">
        <f>COUNTBLANK(Fixtures[[#This Row],[G]:[MOTM]]) = 0</f>
        <v>0</v>
      </c>
      <c r="AJ364" s="58" t="str">
        <f>IF(Fixtures[[#This Row],[APP]], Fixtures[[#This Row],[G]]+Fixtures[[#This Row],[A]], "N/A")</f>
        <v>N/A</v>
      </c>
      <c r="AK3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5" spans="1:39" ht="13">
      <c r="A365" s="55"/>
      <c r="B365" s="61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7"/>
      <c r="R365" s="56"/>
      <c r="S365" s="58" t="str" cm="1">
        <f t="array" ref="S365">_xlfn._xlws.FILTER(Competitions[compType], (Fixtures[[#This Row],[competition]] = Competitions[name]), "N/A")</f>
        <v>N/A</v>
      </c>
      <c r="T365" s="58" t="str" cm="1">
        <f t="array" ref="T365">_xlfn._xlws.FILTER(Competitions[exhibition], (Fixtures[[#This Row],[competition]] = Competitions[name]), "N/A")</f>
        <v>N/A</v>
      </c>
      <c r="U365" s="58" t="str" cm="1">
        <f t="array" ref="U365">_xlfn._xlws.FILTER(Competitions[compID], (Fixtures[[#This Row],[competition]] = Competitions[name]), "N/A")</f>
        <v>N/A</v>
      </c>
      <c r="V3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5" s="58" t="str" cm="1">
        <f t="array" ref="W3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5" s="58" t="str" cm="1">
        <f t="array" ref="X365">_xlfn._xlws.FILTER(Teams[name], (Fixtures[[#This Row],[userTeamID]] = Teams[teamID]), "N/A")</f>
        <v>N/A</v>
      </c>
      <c r="Y365" s="58" t="str" cm="1">
        <f t="array" ref="Y365">_xlfn._xlws.FILTER(Teams[teamType], (Fixtures[[#This Row],[userTeamID]] = Teams[teamID]), "N/A")</f>
        <v>N/A</v>
      </c>
      <c r="Z365" s="58" t="str" cm="1">
        <f t="array" ref="Z3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5" s="58" t="str">
        <f>IF(Fixtures[[#This Row],[userSide]] = "N/A", "N/A", IF(Fixtures[[#This Row],[userSide]] = "H", Fixtures[[#This Row],[awayTeam]], Fixtures[[#This Row],[homeTeam]]))</f>
        <v>N/A</v>
      </c>
      <c r="AB365" s="58" t="str" cm="1">
        <f t="array" ref="AB365">_xlfn._xlws.FILTER(Teams[teamID], Fixtures[[#This Row],[oppTeam]] = Teams[name], "N/A")</f>
        <v>N/A</v>
      </c>
      <c r="AC365" s="58" t="str" cm="1">
        <f t="array" ref="AC365">_xlfn._xlws.FILTER(Teams[teamType], Fixtures[[#This Row],[oppTeam]] = Teams[name], "N/A")</f>
        <v>N/A</v>
      </c>
      <c r="AD365" s="58" t="str">
        <f>IF(ISBLANK(Fixtures[[#This Row],[date]]), "N/A", IF(Fixtures[[#This Row],[userSide]]="H", Fixtures[[#This Row],[homeScore]], Fixtures[[#This Row],[awayScore]]))</f>
        <v>N/A</v>
      </c>
      <c r="AE365" s="58" t="str">
        <f>IF(ISBLANK(Fixtures[[#This Row],[date]]), "N/A", IF(Fixtures[[#This Row],[userScore]] = Fixtures[[#This Row],[homeScore]], Fixtures[[#This Row],[awayScore]], Fixtures[[#This Row],[homeScore]]))</f>
        <v>N/A</v>
      </c>
      <c r="AF365" s="58" t="b">
        <f>NOT(AND(ISBLANK(Fixtures[[#This Row],[homePens]]), ISBLANK(Fixtures[[#This Row],[awayPens]])))</f>
        <v>0</v>
      </c>
      <c r="AG365" s="58" t="str">
        <f>IF(Fixtures[[#This Row],[penalties]], IF(Fixtures[[#This Row],[userSide]]="H", Fixtures[[#This Row],[homePens]], Fixtures[[#This Row],[awayPens]]), "N/A")</f>
        <v>N/A</v>
      </c>
      <c r="AH365" s="58" t="str">
        <f>IF(Fixtures[[#This Row],[penalties]], IF(Fixtures[[#This Row],[userPens]]=Fixtures[[#This Row],[homePens]],Fixtures[[#This Row],[awayPens]],Fixtures[[#This Row],[homePens]]), "N/A")</f>
        <v>N/A</v>
      </c>
      <c r="AI365" s="58" t="b">
        <f>COUNTBLANK(Fixtures[[#This Row],[G]:[MOTM]]) = 0</f>
        <v>0</v>
      </c>
      <c r="AJ365" s="58" t="str">
        <f>IF(Fixtures[[#This Row],[APP]], Fixtures[[#This Row],[G]]+Fixtures[[#This Row],[A]], "N/A")</f>
        <v>N/A</v>
      </c>
      <c r="AK3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6" spans="1:39" ht="13">
      <c r="A366" s="55"/>
      <c r="B366" s="61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7"/>
      <c r="R366" s="56"/>
      <c r="S366" s="58" t="str" cm="1">
        <f t="array" ref="S366">_xlfn._xlws.FILTER(Competitions[compType], (Fixtures[[#This Row],[competition]] = Competitions[name]), "N/A")</f>
        <v>N/A</v>
      </c>
      <c r="T366" s="58" t="str" cm="1">
        <f t="array" ref="T366">_xlfn._xlws.FILTER(Competitions[exhibition], (Fixtures[[#This Row],[competition]] = Competitions[name]), "N/A")</f>
        <v>N/A</v>
      </c>
      <c r="U366" s="58" t="str" cm="1">
        <f t="array" ref="U366">_xlfn._xlws.FILTER(Competitions[compID], (Fixtures[[#This Row],[competition]] = Competitions[name]), "N/A")</f>
        <v>N/A</v>
      </c>
      <c r="V3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6" s="58" t="str" cm="1">
        <f t="array" ref="W3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6" s="58" t="str" cm="1">
        <f t="array" ref="X366">_xlfn._xlws.FILTER(Teams[name], (Fixtures[[#This Row],[userTeamID]] = Teams[teamID]), "N/A")</f>
        <v>N/A</v>
      </c>
      <c r="Y366" s="58" t="str" cm="1">
        <f t="array" ref="Y366">_xlfn._xlws.FILTER(Teams[teamType], (Fixtures[[#This Row],[userTeamID]] = Teams[teamID]), "N/A")</f>
        <v>N/A</v>
      </c>
      <c r="Z366" s="58" t="str" cm="1">
        <f t="array" ref="Z3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6" s="58" t="str">
        <f>IF(Fixtures[[#This Row],[userSide]] = "N/A", "N/A", IF(Fixtures[[#This Row],[userSide]] = "H", Fixtures[[#This Row],[awayTeam]], Fixtures[[#This Row],[homeTeam]]))</f>
        <v>N/A</v>
      </c>
      <c r="AB366" s="58" t="str" cm="1">
        <f t="array" ref="AB366">_xlfn._xlws.FILTER(Teams[teamID], Fixtures[[#This Row],[oppTeam]] = Teams[name], "N/A")</f>
        <v>N/A</v>
      </c>
      <c r="AC366" s="58" t="str" cm="1">
        <f t="array" ref="AC366">_xlfn._xlws.FILTER(Teams[teamType], Fixtures[[#This Row],[oppTeam]] = Teams[name], "N/A")</f>
        <v>N/A</v>
      </c>
      <c r="AD366" s="58" t="str">
        <f>IF(ISBLANK(Fixtures[[#This Row],[date]]), "N/A", IF(Fixtures[[#This Row],[userSide]]="H", Fixtures[[#This Row],[homeScore]], Fixtures[[#This Row],[awayScore]]))</f>
        <v>N/A</v>
      </c>
      <c r="AE366" s="58" t="str">
        <f>IF(ISBLANK(Fixtures[[#This Row],[date]]), "N/A", IF(Fixtures[[#This Row],[userScore]] = Fixtures[[#This Row],[homeScore]], Fixtures[[#This Row],[awayScore]], Fixtures[[#This Row],[homeScore]]))</f>
        <v>N/A</v>
      </c>
      <c r="AF366" s="58" t="b">
        <f>NOT(AND(ISBLANK(Fixtures[[#This Row],[homePens]]), ISBLANK(Fixtures[[#This Row],[awayPens]])))</f>
        <v>0</v>
      </c>
      <c r="AG366" s="58" t="str">
        <f>IF(Fixtures[[#This Row],[penalties]], IF(Fixtures[[#This Row],[userSide]]="H", Fixtures[[#This Row],[homePens]], Fixtures[[#This Row],[awayPens]]), "N/A")</f>
        <v>N/A</v>
      </c>
      <c r="AH366" s="58" t="str">
        <f>IF(Fixtures[[#This Row],[penalties]], IF(Fixtures[[#This Row],[userPens]]=Fixtures[[#This Row],[homePens]],Fixtures[[#This Row],[awayPens]],Fixtures[[#This Row],[homePens]]), "N/A")</f>
        <v>N/A</v>
      </c>
      <c r="AI366" s="58" t="b">
        <f>COUNTBLANK(Fixtures[[#This Row],[G]:[MOTM]]) = 0</f>
        <v>0</v>
      </c>
      <c r="AJ366" s="58" t="str">
        <f>IF(Fixtures[[#This Row],[APP]], Fixtures[[#This Row],[G]]+Fixtures[[#This Row],[A]], "N/A")</f>
        <v>N/A</v>
      </c>
      <c r="AK3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7" spans="1:39" ht="13">
      <c r="A367" s="55"/>
      <c r="B367" s="61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7"/>
      <c r="R367" s="56"/>
      <c r="S367" s="58" t="str" cm="1">
        <f t="array" ref="S367">_xlfn._xlws.FILTER(Competitions[compType], (Fixtures[[#This Row],[competition]] = Competitions[name]), "N/A")</f>
        <v>N/A</v>
      </c>
      <c r="T367" s="58" t="str" cm="1">
        <f t="array" ref="T367">_xlfn._xlws.FILTER(Competitions[exhibition], (Fixtures[[#This Row],[competition]] = Competitions[name]), "N/A")</f>
        <v>N/A</v>
      </c>
      <c r="U367" s="58" t="str" cm="1">
        <f t="array" ref="U367">_xlfn._xlws.FILTER(Competitions[compID], (Fixtures[[#This Row],[competition]] = Competitions[name]), "N/A")</f>
        <v>N/A</v>
      </c>
      <c r="V3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7" s="58" t="str" cm="1">
        <f t="array" ref="W3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7" s="58" t="str" cm="1">
        <f t="array" ref="X367">_xlfn._xlws.FILTER(Teams[name], (Fixtures[[#This Row],[userTeamID]] = Teams[teamID]), "N/A")</f>
        <v>N/A</v>
      </c>
      <c r="Y367" s="58" t="str" cm="1">
        <f t="array" ref="Y367">_xlfn._xlws.FILTER(Teams[teamType], (Fixtures[[#This Row],[userTeamID]] = Teams[teamID]), "N/A")</f>
        <v>N/A</v>
      </c>
      <c r="Z367" s="58" t="str" cm="1">
        <f t="array" ref="Z3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7" s="58" t="str">
        <f>IF(Fixtures[[#This Row],[userSide]] = "N/A", "N/A", IF(Fixtures[[#This Row],[userSide]] = "H", Fixtures[[#This Row],[awayTeam]], Fixtures[[#This Row],[homeTeam]]))</f>
        <v>N/A</v>
      </c>
      <c r="AB367" s="58" t="str" cm="1">
        <f t="array" ref="AB367">_xlfn._xlws.FILTER(Teams[teamID], Fixtures[[#This Row],[oppTeam]] = Teams[name], "N/A")</f>
        <v>N/A</v>
      </c>
      <c r="AC367" s="58" t="str" cm="1">
        <f t="array" ref="AC367">_xlfn._xlws.FILTER(Teams[teamType], Fixtures[[#This Row],[oppTeam]] = Teams[name], "N/A")</f>
        <v>N/A</v>
      </c>
      <c r="AD367" s="58" t="str">
        <f>IF(ISBLANK(Fixtures[[#This Row],[date]]), "N/A", IF(Fixtures[[#This Row],[userSide]]="H", Fixtures[[#This Row],[homeScore]], Fixtures[[#This Row],[awayScore]]))</f>
        <v>N/A</v>
      </c>
      <c r="AE367" s="58" t="str">
        <f>IF(ISBLANK(Fixtures[[#This Row],[date]]), "N/A", IF(Fixtures[[#This Row],[userScore]] = Fixtures[[#This Row],[homeScore]], Fixtures[[#This Row],[awayScore]], Fixtures[[#This Row],[homeScore]]))</f>
        <v>N/A</v>
      </c>
      <c r="AF367" s="58" t="b">
        <f>NOT(AND(ISBLANK(Fixtures[[#This Row],[homePens]]), ISBLANK(Fixtures[[#This Row],[awayPens]])))</f>
        <v>0</v>
      </c>
      <c r="AG367" s="58" t="str">
        <f>IF(Fixtures[[#This Row],[penalties]], IF(Fixtures[[#This Row],[userSide]]="H", Fixtures[[#This Row],[homePens]], Fixtures[[#This Row],[awayPens]]), "N/A")</f>
        <v>N/A</v>
      </c>
      <c r="AH367" s="58" t="str">
        <f>IF(Fixtures[[#This Row],[penalties]], IF(Fixtures[[#This Row],[userPens]]=Fixtures[[#This Row],[homePens]],Fixtures[[#This Row],[awayPens]],Fixtures[[#This Row],[homePens]]), "N/A")</f>
        <v>N/A</v>
      </c>
      <c r="AI367" s="58" t="b">
        <f>COUNTBLANK(Fixtures[[#This Row],[G]:[MOTM]]) = 0</f>
        <v>0</v>
      </c>
      <c r="AJ367" s="58" t="str">
        <f>IF(Fixtures[[#This Row],[APP]], Fixtures[[#This Row],[G]]+Fixtures[[#This Row],[A]], "N/A")</f>
        <v>N/A</v>
      </c>
      <c r="AK3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8" spans="1:39" ht="13">
      <c r="A368" s="55"/>
      <c r="B368" s="61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7"/>
      <c r="R368" s="56"/>
      <c r="S368" s="58" t="str" cm="1">
        <f t="array" ref="S368">_xlfn._xlws.FILTER(Competitions[compType], (Fixtures[[#This Row],[competition]] = Competitions[name]), "N/A")</f>
        <v>N/A</v>
      </c>
      <c r="T368" s="58" t="str" cm="1">
        <f t="array" ref="T368">_xlfn._xlws.FILTER(Competitions[exhibition], (Fixtures[[#This Row],[competition]] = Competitions[name]), "N/A")</f>
        <v>N/A</v>
      </c>
      <c r="U368" s="58" t="str" cm="1">
        <f t="array" ref="U368">_xlfn._xlws.FILTER(Competitions[compID], (Fixtures[[#This Row],[competition]] = Competitions[name]), "N/A")</f>
        <v>N/A</v>
      </c>
      <c r="V3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8" s="58" t="str" cm="1">
        <f t="array" ref="W3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8" s="58" t="str" cm="1">
        <f t="array" ref="X368">_xlfn._xlws.FILTER(Teams[name], (Fixtures[[#This Row],[userTeamID]] = Teams[teamID]), "N/A")</f>
        <v>N/A</v>
      </c>
      <c r="Y368" s="58" t="str" cm="1">
        <f t="array" ref="Y368">_xlfn._xlws.FILTER(Teams[teamType], (Fixtures[[#This Row],[userTeamID]] = Teams[teamID]), "N/A")</f>
        <v>N/A</v>
      </c>
      <c r="Z368" s="58" t="str" cm="1">
        <f t="array" ref="Z3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8" s="58" t="str">
        <f>IF(Fixtures[[#This Row],[userSide]] = "N/A", "N/A", IF(Fixtures[[#This Row],[userSide]] = "H", Fixtures[[#This Row],[awayTeam]], Fixtures[[#This Row],[homeTeam]]))</f>
        <v>N/A</v>
      </c>
      <c r="AB368" s="58" t="str" cm="1">
        <f t="array" ref="AB368">_xlfn._xlws.FILTER(Teams[teamID], Fixtures[[#This Row],[oppTeam]] = Teams[name], "N/A")</f>
        <v>N/A</v>
      </c>
      <c r="AC368" s="58" t="str" cm="1">
        <f t="array" ref="AC368">_xlfn._xlws.FILTER(Teams[teamType], Fixtures[[#This Row],[oppTeam]] = Teams[name], "N/A")</f>
        <v>N/A</v>
      </c>
      <c r="AD368" s="58" t="str">
        <f>IF(ISBLANK(Fixtures[[#This Row],[date]]), "N/A", IF(Fixtures[[#This Row],[userSide]]="H", Fixtures[[#This Row],[homeScore]], Fixtures[[#This Row],[awayScore]]))</f>
        <v>N/A</v>
      </c>
      <c r="AE368" s="58" t="str">
        <f>IF(ISBLANK(Fixtures[[#This Row],[date]]), "N/A", IF(Fixtures[[#This Row],[userScore]] = Fixtures[[#This Row],[homeScore]], Fixtures[[#This Row],[awayScore]], Fixtures[[#This Row],[homeScore]]))</f>
        <v>N/A</v>
      </c>
      <c r="AF368" s="58" t="b">
        <f>NOT(AND(ISBLANK(Fixtures[[#This Row],[homePens]]), ISBLANK(Fixtures[[#This Row],[awayPens]])))</f>
        <v>0</v>
      </c>
      <c r="AG368" s="58" t="str">
        <f>IF(Fixtures[[#This Row],[penalties]], IF(Fixtures[[#This Row],[userSide]]="H", Fixtures[[#This Row],[homePens]], Fixtures[[#This Row],[awayPens]]), "N/A")</f>
        <v>N/A</v>
      </c>
      <c r="AH368" s="58" t="str">
        <f>IF(Fixtures[[#This Row],[penalties]], IF(Fixtures[[#This Row],[userPens]]=Fixtures[[#This Row],[homePens]],Fixtures[[#This Row],[awayPens]],Fixtures[[#This Row],[homePens]]), "N/A")</f>
        <v>N/A</v>
      </c>
      <c r="AI368" s="58" t="b">
        <f>COUNTBLANK(Fixtures[[#This Row],[G]:[MOTM]]) = 0</f>
        <v>0</v>
      </c>
      <c r="AJ368" s="58" t="str">
        <f>IF(Fixtures[[#This Row],[APP]], Fixtures[[#This Row],[G]]+Fixtures[[#This Row],[A]], "N/A")</f>
        <v>N/A</v>
      </c>
      <c r="AK3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69" spans="1:39" ht="13">
      <c r="A369" s="55"/>
      <c r="B369" s="61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7"/>
      <c r="R369" s="56"/>
      <c r="S369" s="58" t="str" cm="1">
        <f t="array" ref="S369">_xlfn._xlws.FILTER(Competitions[compType], (Fixtures[[#This Row],[competition]] = Competitions[name]), "N/A")</f>
        <v>N/A</v>
      </c>
      <c r="T369" s="58" t="str" cm="1">
        <f t="array" ref="T369">_xlfn._xlws.FILTER(Competitions[exhibition], (Fixtures[[#This Row],[competition]] = Competitions[name]), "N/A")</f>
        <v>N/A</v>
      </c>
      <c r="U369" s="58" t="str" cm="1">
        <f t="array" ref="U369">_xlfn._xlws.FILTER(Competitions[compID], (Fixtures[[#This Row],[competition]] = Competitions[name]), "N/A")</f>
        <v>N/A</v>
      </c>
      <c r="V3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69" s="58" t="str" cm="1">
        <f t="array" ref="W3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69" s="58" t="str" cm="1">
        <f t="array" ref="X369">_xlfn._xlws.FILTER(Teams[name], (Fixtures[[#This Row],[userTeamID]] = Teams[teamID]), "N/A")</f>
        <v>N/A</v>
      </c>
      <c r="Y369" s="58" t="str" cm="1">
        <f t="array" ref="Y369">_xlfn._xlws.FILTER(Teams[teamType], (Fixtures[[#This Row],[userTeamID]] = Teams[teamID]), "N/A")</f>
        <v>N/A</v>
      </c>
      <c r="Z369" s="58" t="str" cm="1">
        <f t="array" ref="Z3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69" s="58" t="str">
        <f>IF(Fixtures[[#This Row],[userSide]] = "N/A", "N/A", IF(Fixtures[[#This Row],[userSide]] = "H", Fixtures[[#This Row],[awayTeam]], Fixtures[[#This Row],[homeTeam]]))</f>
        <v>N/A</v>
      </c>
      <c r="AB369" s="58" t="str" cm="1">
        <f t="array" ref="AB369">_xlfn._xlws.FILTER(Teams[teamID], Fixtures[[#This Row],[oppTeam]] = Teams[name], "N/A")</f>
        <v>N/A</v>
      </c>
      <c r="AC369" s="58" t="str" cm="1">
        <f t="array" ref="AC369">_xlfn._xlws.FILTER(Teams[teamType], Fixtures[[#This Row],[oppTeam]] = Teams[name], "N/A")</f>
        <v>N/A</v>
      </c>
      <c r="AD369" s="58" t="str">
        <f>IF(ISBLANK(Fixtures[[#This Row],[date]]), "N/A", IF(Fixtures[[#This Row],[userSide]]="H", Fixtures[[#This Row],[homeScore]], Fixtures[[#This Row],[awayScore]]))</f>
        <v>N/A</v>
      </c>
      <c r="AE369" s="58" t="str">
        <f>IF(ISBLANK(Fixtures[[#This Row],[date]]), "N/A", IF(Fixtures[[#This Row],[userScore]] = Fixtures[[#This Row],[homeScore]], Fixtures[[#This Row],[awayScore]], Fixtures[[#This Row],[homeScore]]))</f>
        <v>N/A</v>
      </c>
      <c r="AF369" s="58" t="b">
        <f>NOT(AND(ISBLANK(Fixtures[[#This Row],[homePens]]), ISBLANK(Fixtures[[#This Row],[awayPens]])))</f>
        <v>0</v>
      </c>
      <c r="AG369" s="58" t="str">
        <f>IF(Fixtures[[#This Row],[penalties]], IF(Fixtures[[#This Row],[userSide]]="H", Fixtures[[#This Row],[homePens]], Fixtures[[#This Row],[awayPens]]), "N/A")</f>
        <v>N/A</v>
      </c>
      <c r="AH369" s="58" t="str">
        <f>IF(Fixtures[[#This Row],[penalties]], IF(Fixtures[[#This Row],[userPens]]=Fixtures[[#This Row],[homePens]],Fixtures[[#This Row],[awayPens]],Fixtures[[#This Row],[homePens]]), "N/A")</f>
        <v>N/A</v>
      </c>
      <c r="AI369" s="58" t="b">
        <f>COUNTBLANK(Fixtures[[#This Row],[G]:[MOTM]]) = 0</f>
        <v>0</v>
      </c>
      <c r="AJ369" s="58" t="str">
        <f>IF(Fixtures[[#This Row],[APP]], Fixtures[[#This Row],[G]]+Fixtures[[#This Row],[A]], "N/A")</f>
        <v>N/A</v>
      </c>
      <c r="AK3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0" spans="1:39" ht="13">
      <c r="A370" s="55"/>
      <c r="B370" s="61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7"/>
      <c r="R370" s="56"/>
      <c r="S370" s="58" t="str" cm="1">
        <f t="array" ref="S370">_xlfn._xlws.FILTER(Competitions[compType], (Fixtures[[#This Row],[competition]] = Competitions[name]), "N/A")</f>
        <v>N/A</v>
      </c>
      <c r="T370" s="58" t="str" cm="1">
        <f t="array" ref="T370">_xlfn._xlws.FILTER(Competitions[exhibition], (Fixtures[[#This Row],[competition]] = Competitions[name]), "N/A")</f>
        <v>N/A</v>
      </c>
      <c r="U370" s="58" t="str" cm="1">
        <f t="array" ref="U370">_xlfn._xlws.FILTER(Competitions[compID], (Fixtures[[#This Row],[competition]] = Competitions[name]), "N/A")</f>
        <v>N/A</v>
      </c>
      <c r="V3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0" s="58" t="str" cm="1">
        <f t="array" ref="W3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0" s="58" t="str" cm="1">
        <f t="array" ref="X370">_xlfn._xlws.FILTER(Teams[name], (Fixtures[[#This Row],[userTeamID]] = Teams[teamID]), "N/A")</f>
        <v>N/A</v>
      </c>
      <c r="Y370" s="58" t="str" cm="1">
        <f t="array" ref="Y370">_xlfn._xlws.FILTER(Teams[teamType], (Fixtures[[#This Row],[userTeamID]] = Teams[teamID]), "N/A")</f>
        <v>N/A</v>
      </c>
      <c r="Z370" s="58" t="str" cm="1">
        <f t="array" ref="Z3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0" s="58" t="str">
        <f>IF(Fixtures[[#This Row],[userSide]] = "N/A", "N/A", IF(Fixtures[[#This Row],[userSide]] = "H", Fixtures[[#This Row],[awayTeam]], Fixtures[[#This Row],[homeTeam]]))</f>
        <v>N/A</v>
      </c>
      <c r="AB370" s="58" t="str" cm="1">
        <f t="array" ref="AB370">_xlfn._xlws.FILTER(Teams[teamID], Fixtures[[#This Row],[oppTeam]] = Teams[name], "N/A")</f>
        <v>N/A</v>
      </c>
      <c r="AC370" s="58" t="str" cm="1">
        <f t="array" ref="AC370">_xlfn._xlws.FILTER(Teams[teamType], Fixtures[[#This Row],[oppTeam]] = Teams[name], "N/A")</f>
        <v>N/A</v>
      </c>
      <c r="AD370" s="58" t="str">
        <f>IF(ISBLANK(Fixtures[[#This Row],[date]]), "N/A", IF(Fixtures[[#This Row],[userSide]]="H", Fixtures[[#This Row],[homeScore]], Fixtures[[#This Row],[awayScore]]))</f>
        <v>N/A</v>
      </c>
      <c r="AE370" s="58" t="str">
        <f>IF(ISBLANK(Fixtures[[#This Row],[date]]), "N/A", IF(Fixtures[[#This Row],[userScore]] = Fixtures[[#This Row],[homeScore]], Fixtures[[#This Row],[awayScore]], Fixtures[[#This Row],[homeScore]]))</f>
        <v>N/A</v>
      </c>
      <c r="AF370" s="58" t="b">
        <f>NOT(AND(ISBLANK(Fixtures[[#This Row],[homePens]]), ISBLANK(Fixtures[[#This Row],[awayPens]])))</f>
        <v>0</v>
      </c>
      <c r="AG370" s="58" t="str">
        <f>IF(Fixtures[[#This Row],[penalties]], IF(Fixtures[[#This Row],[userSide]]="H", Fixtures[[#This Row],[homePens]], Fixtures[[#This Row],[awayPens]]), "N/A")</f>
        <v>N/A</v>
      </c>
      <c r="AH370" s="58" t="str">
        <f>IF(Fixtures[[#This Row],[penalties]], IF(Fixtures[[#This Row],[userPens]]=Fixtures[[#This Row],[homePens]],Fixtures[[#This Row],[awayPens]],Fixtures[[#This Row],[homePens]]), "N/A")</f>
        <v>N/A</v>
      </c>
      <c r="AI370" s="58" t="b">
        <f>COUNTBLANK(Fixtures[[#This Row],[G]:[MOTM]]) = 0</f>
        <v>0</v>
      </c>
      <c r="AJ370" s="58" t="str">
        <f>IF(Fixtures[[#This Row],[APP]], Fixtures[[#This Row],[G]]+Fixtures[[#This Row],[A]], "N/A")</f>
        <v>N/A</v>
      </c>
      <c r="AK3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1" spans="1:39" ht="13">
      <c r="A371" s="55"/>
      <c r="B371" s="61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7"/>
      <c r="R371" s="56"/>
      <c r="S371" s="58" t="str" cm="1">
        <f t="array" ref="S371">_xlfn._xlws.FILTER(Competitions[compType], (Fixtures[[#This Row],[competition]] = Competitions[name]), "N/A")</f>
        <v>N/A</v>
      </c>
      <c r="T371" s="58" t="str" cm="1">
        <f t="array" ref="T371">_xlfn._xlws.FILTER(Competitions[exhibition], (Fixtures[[#This Row],[competition]] = Competitions[name]), "N/A")</f>
        <v>N/A</v>
      </c>
      <c r="U371" s="58" t="str" cm="1">
        <f t="array" ref="U371">_xlfn._xlws.FILTER(Competitions[compID], (Fixtures[[#This Row],[competition]] = Competitions[name]), "N/A")</f>
        <v>N/A</v>
      </c>
      <c r="V3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1" s="58" t="str" cm="1">
        <f t="array" ref="W3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1" s="58" t="str" cm="1">
        <f t="array" ref="X371">_xlfn._xlws.FILTER(Teams[name], (Fixtures[[#This Row],[userTeamID]] = Teams[teamID]), "N/A")</f>
        <v>N/A</v>
      </c>
      <c r="Y371" s="58" t="str" cm="1">
        <f t="array" ref="Y371">_xlfn._xlws.FILTER(Teams[teamType], (Fixtures[[#This Row],[userTeamID]] = Teams[teamID]), "N/A")</f>
        <v>N/A</v>
      </c>
      <c r="Z371" s="58" t="str" cm="1">
        <f t="array" ref="Z3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1" s="58" t="str">
        <f>IF(Fixtures[[#This Row],[userSide]] = "N/A", "N/A", IF(Fixtures[[#This Row],[userSide]] = "H", Fixtures[[#This Row],[awayTeam]], Fixtures[[#This Row],[homeTeam]]))</f>
        <v>N/A</v>
      </c>
      <c r="AB371" s="58" t="str" cm="1">
        <f t="array" ref="AB371">_xlfn._xlws.FILTER(Teams[teamID], Fixtures[[#This Row],[oppTeam]] = Teams[name], "N/A")</f>
        <v>N/A</v>
      </c>
      <c r="AC371" s="58" t="str" cm="1">
        <f t="array" ref="AC371">_xlfn._xlws.FILTER(Teams[teamType], Fixtures[[#This Row],[oppTeam]] = Teams[name], "N/A")</f>
        <v>N/A</v>
      </c>
      <c r="AD371" s="58" t="str">
        <f>IF(ISBLANK(Fixtures[[#This Row],[date]]), "N/A", IF(Fixtures[[#This Row],[userSide]]="H", Fixtures[[#This Row],[homeScore]], Fixtures[[#This Row],[awayScore]]))</f>
        <v>N/A</v>
      </c>
      <c r="AE371" s="58" t="str">
        <f>IF(ISBLANK(Fixtures[[#This Row],[date]]), "N/A", IF(Fixtures[[#This Row],[userScore]] = Fixtures[[#This Row],[homeScore]], Fixtures[[#This Row],[awayScore]], Fixtures[[#This Row],[homeScore]]))</f>
        <v>N/A</v>
      </c>
      <c r="AF371" s="58" t="b">
        <f>NOT(AND(ISBLANK(Fixtures[[#This Row],[homePens]]), ISBLANK(Fixtures[[#This Row],[awayPens]])))</f>
        <v>0</v>
      </c>
      <c r="AG371" s="58" t="str">
        <f>IF(Fixtures[[#This Row],[penalties]], IF(Fixtures[[#This Row],[userSide]]="H", Fixtures[[#This Row],[homePens]], Fixtures[[#This Row],[awayPens]]), "N/A")</f>
        <v>N/A</v>
      </c>
      <c r="AH371" s="58" t="str">
        <f>IF(Fixtures[[#This Row],[penalties]], IF(Fixtures[[#This Row],[userPens]]=Fixtures[[#This Row],[homePens]],Fixtures[[#This Row],[awayPens]],Fixtures[[#This Row],[homePens]]), "N/A")</f>
        <v>N/A</v>
      </c>
      <c r="AI371" s="58" t="b">
        <f>COUNTBLANK(Fixtures[[#This Row],[G]:[MOTM]]) = 0</f>
        <v>0</v>
      </c>
      <c r="AJ371" s="58" t="str">
        <f>IF(Fixtures[[#This Row],[APP]], Fixtures[[#This Row],[G]]+Fixtures[[#This Row],[A]], "N/A")</f>
        <v>N/A</v>
      </c>
      <c r="AK3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2" spans="1:39" ht="13">
      <c r="A372" s="55"/>
      <c r="B372" s="61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7"/>
      <c r="R372" s="56"/>
      <c r="S372" s="58" t="str" cm="1">
        <f t="array" ref="S372">_xlfn._xlws.FILTER(Competitions[compType], (Fixtures[[#This Row],[competition]] = Competitions[name]), "N/A")</f>
        <v>N/A</v>
      </c>
      <c r="T372" s="58" t="str" cm="1">
        <f t="array" ref="T372">_xlfn._xlws.FILTER(Competitions[exhibition], (Fixtures[[#This Row],[competition]] = Competitions[name]), "N/A")</f>
        <v>N/A</v>
      </c>
      <c r="U372" s="58" t="str" cm="1">
        <f t="array" ref="U372">_xlfn._xlws.FILTER(Competitions[compID], (Fixtures[[#This Row],[competition]] = Competitions[name]), "N/A")</f>
        <v>N/A</v>
      </c>
      <c r="V3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2" s="58" t="str" cm="1">
        <f t="array" ref="W3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2" s="58" t="str" cm="1">
        <f t="array" ref="X372">_xlfn._xlws.FILTER(Teams[name], (Fixtures[[#This Row],[userTeamID]] = Teams[teamID]), "N/A")</f>
        <v>N/A</v>
      </c>
      <c r="Y372" s="58" t="str" cm="1">
        <f t="array" ref="Y372">_xlfn._xlws.FILTER(Teams[teamType], (Fixtures[[#This Row],[userTeamID]] = Teams[teamID]), "N/A")</f>
        <v>N/A</v>
      </c>
      <c r="Z372" s="58" t="str" cm="1">
        <f t="array" ref="Z3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2" s="58" t="str">
        <f>IF(Fixtures[[#This Row],[userSide]] = "N/A", "N/A", IF(Fixtures[[#This Row],[userSide]] = "H", Fixtures[[#This Row],[awayTeam]], Fixtures[[#This Row],[homeTeam]]))</f>
        <v>N/A</v>
      </c>
      <c r="AB372" s="58" t="str" cm="1">
        <f t="array" ref="AB372">_xlfn._xlws.FILTER(Teams[teamID], Fixtures[[#This Row],[oppTeam]] = Teams[name], "N/A")</f>
        <v>N/A</v>
      </c>
      <c r="AC372" s="58" t="str" cm="1">
        <f t="array" ref="AC372">_xlfn._xlws.FILTER(Teams[teamType], Fixtures[[#This Row],[oppTeam]] = Teams[name], "N/A")</f>
        <v>N/A</v>
      </c>
      <c r="AD372" s="58" t="str">
        <f>IF(ISBLANK(Fixtures[[#This Row],[date]]), "N/A", IF(Fixtures[[#This Row],[userSide]]="H", Fixtures[[#This Row],[homeScore]], Fixtures[[#This Row],[awayScore]]))</f>
        <v>N/A</v>
      </c>
      <c r="AE372" s="58" t="str">
        <f>IF(ISBLANK(Fixtures[[#This Row],[date]]), "N/A", IF(Fixtures[[#This Row],[userScore]] = Fixtures[[#This Row],[homeScore]], Fixtures[[#This Row],[awayScore]], Fixtures[[#This Row],[homeScore]]))</f>
        <v>N/A</v>
      </c>
      <c r="AF372" s="58" t="b">
        <f>NOT(AND(ISBLANK(Fixtures[[#This Row],[homePens]]), ISBLANK(Fixtures[[#This Row],[awayPens]])))</f>
        <v>0</v>
      </c>
      <c r="AG372" s="58" t="str">
        <f>IF(Fixtures[[#This Row],[penalties]], IF(Fixtures[[#This Row],[userSide]]="H", Fixtures[[#This Row],[homePens]], Fixtures[[#This Row],[awayPens]]), "N/A")</f>
        <v>N/A</v>
      </c>
      <c r="AH372" s="58" t="str">
        <f>IF(Fixtures[[#This Row],[penalties]], IF(Fixtures[[#This Row],[userPens]]=Fixtures[[#This Row],[homePens]],Fixtures[[#This Row],[awayPens]],Fixtures[[#This Row],[homePens]]), "N/A")</f>
        <v>N/A</v>
      </c>
      <c r="AI372" s="58" t="b">
        <f>COUNTBLANK(Fixtures[[#This Row],[G]:[MOTM]]) = 0</f>
        <v>0</v>
      </c>
      <c r="AJ372" s="58" t="str">
        <f>IF(Fixtures[[#This Row],[APP]], Fixtures[[#This Row],[G]]+Fixtures[[#This Row],[A]], "N/A")</f>
        <v>N/A</v>
      </c>
      <c r="AK3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3" spans="1:39" ht="13">
      <c r="A373" s="55"/>
      <c r="B373" s="61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7"/>
      <c r="R373" s="56"/>
      <c r="S373" s="58" t="str" cm="1">
        <f t="array" ref="S373">_xlfn._xlws.FILTER(Competitions[compType], (Fixtures[[#This Row],[competition]] = Competitions[name]), "N/A")</f>
        <v>N/A</v>
      </c>
      <c r="T373" s="58" t="str" cm="1">
        <f t="array" ref="T373">_xlfn._xlws.FILTER(Competitions[exhibition], (Fixtures[[#This Row],[competition]] = Competitions[name]), "N/A")</f>
        <v>N/A</v>
      </c>
      <c r="U373" s="58" t="str" cm="1">
        <f t="array" ref="U373">_xlfn._xlws.FILTER(Competitions[compID], (Fixtures[[#This Row],[competition]] = Competitions[name]), "N/A")</f>
        <v>N/A</v>
      </c>
      <c r="V3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3" s="58" t="str" cm="1">
        <f t="array" ref="W3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3" s="58" t="str" cm="1">
        <f t="array" ref="X373">_xlfn._xlws.FILTER(Teams[name], (Fixtures[[#This Row],[userTeamID]] = Teams[teamID]), "N/A")</f>
        <v>N/A</v>
      </c>
      <c r="Y373" s="58" t="str" cm="1">
        <f t="array" ref="Y373">_xlfn._xlws.FILTER(Teams[teamType], (Fixtures[[#This Row],[userTeamID]] = Teams[teamID]), "N/A")</f>
        <v>N/A</v>
      </c>
      <c r="Z373" s="58" t="str" cm="1">
        <f t="array" ref="Z3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3" s="58" t="str">
        <f>IF(Fixtures[[#This Row],[userSide]] = "N/A", "N/A", IF(Fixtures[[#This Row],[userSide]] = "H", Fixtures[[#This Row],[awayTeam]], Fixtures[[#This Row],[homeTeam]]))</f>
        <v>N/A</v>
      </c>
      <c r="AB373" s="58" t="str" cm="1">
        <f t="array" ref="AB373">_xlfn._xlws.FILTER(Teams[teamID], Fixtures[[#This Row],[oppTeam]] = Teams[name], "N/A")</f>
        <v>N/A</v>
      </c>
      <c r="AC373" s="58" t="str" cm="1">
        <f t="array" ref="AC373">_xlfn._xlws.FILTER(Teams[teamType], Fixtures[[#This Row],[oppTeam]] = Teams[name], "N/A")</f>
        <v>N/A</v>
      </c>
      <c r="AD373" s="58" t="str">
        <f>IF(ISBLANK(Fixtures[[#This Row],[date]]), "N/A", IF(Fixtures[[#This Row],[userSide]]="H", Fixtures[[#This Row],[homeScore]], Fixtures[[#This Row],[awayScore]]))</f>
        <v>N/A</v>
      </c>
      <c r="AE373" s="58" t="str">
        <f>IF(ISBLANK(Fixtures[[#This Row],[date]]), "N/A", IF(Fixtures[[#This Row],[userScore]] = Fixtures[[#This Row],[homeScore]], Fixtures[[#This Row],[awayScore]], Fixtures[[#This Row],[homeScore]]))</f>
        <v>N/A</v>
      </c>
      <c r="AF373" s="58" t="b">
        <f>NOT(AND(ISBLANK(Fixtures[[#This Row],[homePens]]), ISBLANK(Fixtures[[#This Row],[awayPens]])))</f>
        <v>0</v>
      </c>
      <c r="AG373" s="58" t="str">
        <f>IF(Fixtures[[#This Row],[penalties]], IF(Fixtures[[#This Row],[userSide]]="H", Fixtures[[#This Row],[homePens]], Fixtures[[#This Row],[awayPens]]), "N/A")</f>
        <v>N/A</v>
      </c>
      <c r="AH373" s="58" t="str">
        <f>IF(Fixtures[[#This Row],[penalties]], IF(Fixtures[[#This Row],[userPens]]=Fixtures[[#This Row],[homePens]],Fixtures[[#This Row],[awayPens]],Fixtures[[#This Row],[homePens]]), "N/A")</f>
        <v>N/A</v>
      </c>
      <c r="AI373" s="58" t="b">
        <f>COUNTBLANK(Fixtures[[#This Row],[G]:[MOTM]]) = 0</f>
        <v>0</v>
      </c>
      <c r="AJ373" s="58" t="str">
        <f>IF(Fixtures[[#This Row],[APP]], Fixtures[[#This Row],[G]]+Fixtures[[#This Row],[A]], "N/A")</f>
        <v>N/A</v>
      </c>
      <c r="AK3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4" spans="1:39" ht="13">
      <c r="A374" s="55"/>
      <c r="B374" s="61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7"/>
      <c r="R374" s="56"/>
      <c r="S374" s="58" t="str" cm="1">
        <f t="array" ref="S374">_xlfn._xlws.FILTER(Competitions[compType], (Fixtures[[#This Row],[competition]] = Competitions[name]), "N/A")</f>
        <v>N/A</v>
      </c>
      <c r="T374" s="58" t="str" cm="1">
        <f t="array" ref="T374">_xlfn._xlws.FILTER(Competitions[exhibition], (Fixtures[[#This Row],[competition]] = Competitions[name]), "N/A")</f>
        <v>N/A</v>
      </c>
      <c r="U374" s="58" t="str" cm="1">
        <f t="array" ref="U374">_xlfn._xlws.FILTER(Competitions[compID], (Fixtures[[#This Row],[competition]] = Competitions[name]), "N/A")</f>
        <v>N/A</v>
      </c>
      <c r="V3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4" s="58" t="str" cm="1">
        <f t="array" ref="W3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4" s="58" t="str" cm="1">
        <f t="array" ref="X374">_xlfn._xlws.FILTER(Teams[name], (Fixtures[[#This Row],[userTeamID]] = Teams[teamID]), "N/A")</f>
        <v>N/A</v>
      </c>
      <c r="Y374" s="58" t="str" cm="1">
        <f t="array" ref="Y374">_xlfn._xlws.FILTER(Teams[teamType], (Fixtures[[#This Row],[userTeamID]] = Teams[teamID]), "N/A")</f>
        <v>N/A</v>
      </c>
      <c r="Z374" s="58" t="str" cm="1">
        <f t="array" ref="Z3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4" s="58" t="str">
        <f>IF(Fixtures[[#This Row],[userSide]] = "N/A", "N/A", IF(Fixtures[[#This Row],[userSide]] = "H", Fixtures[[#This Row],[awayTeam]], Fixtures[[#This Row],[homeTeam]]))</f>
        <v>N/A</v>
      </c>
      <c r="AB374" s="58" t="str" cm="1">
        <f t="array" ref="AB374">_xlfn._xlws.FILTER(Teams[teamID], Fixtures[[#This Row],[oppTeam]] = Teams[name], "N/A")</f>
        <v>N/A</v>
      </c>
      <c r="AC374" s="58" t="str" cm="1">
        <f t="array" ref="AC374">_xlfn._xlws.FILTER(Teams[teamType], Fixtures[[#This Row],[oppTeam]] = Teams[name], "N/A")</f>
        <v>N/A</v>
      </c>
      <c r="AD374" s="58" t="str">
        <f>IF(ISBLANK(Fixtures[[#This Row],[date]]), "N/A", IF(Fixtures[[#This Row],[userSide]]="H", Fixtures[[#This Row],[homeScore]], Fixtures[[#This Row],[awayScore]]))</f>
        <v>N/A</v>
      </c>
      <c r="AE374" s="58" t="str">
        <f>IF(ISBLANK(Fixtures[[#This Row],[date]]), "N/A", IF(Fixtures[[#This Row],[userScore]] = Fixtures[[#This Row],[homeScore]], Fixtures[[#This Row],[awayScore]], Fixtures[[#This Row],[homeScore]]))</f>
        <v>N/A</v>
      </c>
      <c r="AF374" s="58" t="b">
        <f>NOT(AND(ISBLANK(Fixtures[[#This Row],[homePens]]), ISBLANK(Fixtures[[#This Row],[awayPens]])))</f>
        <v>0</v>
      </c>
      <c r="AG374" s="58" t="str">
        <f>IF(Fixtures[[#This Row],[penalties]], IF(Fixtures[[#This Row],[userSide]]="H", Fixtures[[#This Row],[homePens]], Fixtures[[#This Row],[awayPens]]), "N/A")</f>
        <v>N/A</v>
      </c>
      <c r="AH374" s="58" t="str">
        <f>IF(Fixtures[[#This Row],[penalties]], IF(Fixtures[[#This Row],[userPens]]=Fixtures[[#This Row],[homePens]],Fixtures[[#This Row],[awayPens]],Fixtures[[#This Row],[homePens]]), "N/A")</f>
        <v>N/A</v>
      </c>
      <c r="AI374" s="58" t="b">
        <f>COUNTBLANK(Fixtures[[#This Row],[G]:[MOTM]]) = 0</f>
        <v>0</v>
      </c>
      <c r="AJ374" s="58" t="str">
        <f>IF(Fixtures[[#This Row],[APP]], Fixtures[[#This Row],[G]]+Fixtures[[#This Row],[A]], "N/A")</f>
        <v>N/A</v>
      </c>
      <c r="AK3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5" spans="1:39" ht="13">
      <c r="A375" s="55"/>
      <c r="B375" s="61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7"/>
      <c r="R375" s="56"/>
      <c r="S375" s="58" t="str" cm="1">
        <f t="array" ref="S375">_xlfn._xlws.FILTER(Competitions[compType], (Fixtures[[#This Row],[competition]] = Competitions[name]), "N/A")</f>
        <v>N/A</v>
      </c>
      <c r="T375" s="58" t="str" cm="1">
        <f t="array" ref="T375">_xlfn._xlws.FILTER(Competitions[exhibition], (Fixtures[[#This Row],[competition]] = Competitions[name]), "N/A")</f>
        <v>N/A</v>
      </c>
      <c r="U375" s="58" t="str" cm="1">
        <f t="array" ref="U375">_xlfn._xlws.FILTER(Competitions[compID], (Fixtures[[#This Row],[competition]] = Competitions[name]), "N/A")</f>
        <v>N/A</v>
      </c>
      <c r="V3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5" s="58" t="str" cm="1">
        <f t="array" ref="W3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5" s="58" t="str" cm="1">
        <f t="array" ref="X375">_xlfn._xlws.FILTER(Teams[name], (Fixtures[[#This Row],[userTeamID]] = Teams[teamID]), "N/A")</f>
        <v>N/A</v>
      </c>
      <c r="Y375" s="58" t="str" cm="1">
        <f t="array" ref="Y375">_xlfn._xlws.FILTER(Teams[teamType], (Fixtures[[#This Row],[userTeamID]] = Teams[teamID]), "N/A")</f>
        <v>N/A</v>
      </c>
      <c r="Z375" s="58" t="str" cm="1">
        <f t="array" ref="Z3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5" s="58" t="str">
        <f>IF(Fixtures[[#This Row],[userSide]] = "N/A", "N/A", IF(Fixtures[[#This Row],[userSide]] = "H", Fixtures[[#This Row],[awayTeam]], Fixtures[[#This Row],[homeTeam]]))</f>
        <v>N/A</v>
      </c>
      <c r="AB375" s="58" t="str" cm="1">
        <f t="array" ref="AB375">_xlfn._xlws.FILTER(Teams[teamID], Fixtures[[#This Row],[oppTeam]] = Teams[name], "N/A")</f>
        <v>N/A</v>
      </c>
      <c r="AC375" s="58" t="str" cm="1">
        <f t="array" ref="AC375">_xlfn._xlws.FILTER(Teams[teamType], Fixtures[[#This Row],[oppTeam]] = Teams[name], "N/A")</f>
        <v>N/A</v>
      </c>
      <c r="AD375" s="58" t="str">
        <f>IF(ISBLANK(Fixtures[[#This Row],[date]]), "N/A", IF(Fixtures[[#This Row],[userSide]]="H", Fixtures[[#This Row],[homeScore]], Fixtures[[#This Row],[awayScore]]))</f>
        <v>N/A</v>
      </c>
      <c r="AE375" s="58" t="str">
        <f>IF(ISBLANK(Fixtures[[#This Row],[date]]), "N/A", IF(Fixtures[[#This Row],[userScore]] = Fixtures[[#This Row],[homeScore]], Fixtures[[#This Row],[awayScore]], Fixtures[[#This Row],[homeScore]]))</f>
        <v>N/A</v>
      </c>
      <c r="AF375" s="58" t="b">
        <f>NOT(AND(ISBLANK(Fixtures[[#This Row],[homePens]]), ISBLANK(Fixtures[[#This Row],[awayPens]])))</f>
        <v>0</v>
      </c>
      <c r="AG375" s="58" t="str">
        <f>IF(Fixtures[[#This Row],[penalties]], IF(Fixtures[[#This Row],[userSide]]="H", Fixtures[[#This Row],[homePens]], Fixtures[[#This Row],[awayPens]]), "N/A")</f>
        <v>N/A</v>
      </c>
      <c r="AH375" s="58" t="str">
        <f>IF(Fixtures[[#This Row],[penalties]], IF(Fixtures[[#This Row],[userPens]]=Fixtures[[#This Row],[homePens]],Fixtures[[#This Row],[awayPens]],Fixtures[[#This Row],[homePens]]), "N/A")</f>
        <v>N/A</v>
      </c>
      <c r="AI375" s="58" t="b">
        <f>COUNTBLANK(Fixtures[[#This Row],[G]:[MOTM]]) = 0</f>
        <v>0</v>
      </c>
      <c r="AJ375" s="58" t="str">
        <f>IF(Fixtures[[#This Row],[APP]], Fixtures[[#This Row],[G]]+Fixtures[[#This Row],[A]], "N/A")</f>
        <v>N/A</v>
      </c>
      <c r="AK3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6" spans="1:39" ht="13">
      <c r="A376" s="55"/>
      <c r="B376" s="61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7"/>
      <c r="R376" s="56"/>
      <c r="S376" s="58" t="str" cm="1">
        <f t="array" ref="S376">_xlfn._xlws.FILTER(Competitions[compType], (Fixtures[[#This Row],[competition]] = Competitions[name]), "N/A")</f>
        <v>N/A</v>
      </c>
      <c r="T376" s="58" t="str" cm="1">
        <f t="array" ref="T376">_xlfn._xlws.FILTER(Competitions[exhibition], (Fixtures[[#This Row],[competition]] = Competitions[name]), "N/A")</f>
        <v>N/A</v>
      </c>
      <c r="U376" s="58" t="str" cm="1">
        <f t="array" ref="U376">_xlfn._xlws.FILTER(Competitions[compID], (Fixtures[[#This Row],[competition]] = Competitions[name]), "N/A")</f>
        <v>N/A</v>
      </c>
      <c r="V3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6" s="58" t="str" cm="1">
        <f t="array" ref="W3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6" s="58" t="str" cm="1">
        <f t="array" ref="X376">_xlfn._xlws.FILTER(Teams[name], (Fixtures[[#This Row],[userTeamID]] = Teams[teamID]), "N/A")</f>
        <v>N/A</v>
      </c>
      <c r="Y376" s="58" t="str" cm="1">
        <f t="array" ref="Y376">_xlfn._xlws.FILTER(Teams[teamType], (Fixtures[[#This Row],[userTeamID]] = Teams[teamID]), "N/A")</f>
        <v>N/A</v>
      </c>
      <c r="Z376" s="58" t="str" cm="1">
        <f t="array" ref="Z3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6" s="58" t="str">
        <f>IF(Fixtures[[#This Row],[userSide]] = "N/A", "N/A", IF(Fixtures[[#This Row],[userSide]] = "H", Fixtures[[#This Row],[awayTeam]], Fixtures[[#This Row],[homeTeam]]))</f>
        <v>N/A</v>
      </c>
      <c r="AB376" s="58" t="str" cm="1">
        <f t="array" ref="AB376">_xlfn._xlws.FILTER(Teams[teamID], Fixtures[[#This Row],[oppTeam]] = Teams[name], "N/A")</f>
        <v>N/A</v>
      </c>
      <c r="AC376" s="58" t="str" cm="1">
        <f t="array" ref="AC376">_xlfn._xlws.FILTER(Teams[teamType], Fixtures[[#This Row],[oppTeam]] = Teams[name], "N/A")</f>
        <v>N/A</v>
      </c>
      <c r="AD376" s="58" t="str">
        <f>IF(ISBLANK(Fixtures[[#This Row],[date]]), "N/A", IF(Fixtures[[#This Row],[userSide]]="H", Fixtures[[#This Row],[homeScore]], Fixtures[[#This Row],[awayScore]]))</f>
        <v>N/A</v>
      </c>
      <c r="AE376" s="58" t="str">
        <f>IF(ISBLANK(Fixtures[[#This Row],[date]]), "N/A", IF(Fixtures[[#This Row],[userScore]] = Fixtures[[#This Row],[homeScore]], Fixtures[[#This Row],[awayScore]], Fixtures[[#This Row],[homeScore]]))</f>
        <v>N/A</v>
      </c>
      <c r="AF376" s="58" t="b">
        <f>NOT(AND(ISBLANK(Fixtures[[#This Row],[homePens]]), ISBLANK(Fixtures[[#This Row],[awayPens]])))</f>
        <v>0</v>
      </c>
      <c r="AG376" s="58" t="str">
        <f>IF(Fixtures[[#This Row],[penalties]], IF(Fixtures[[#This Row],[userSide]]="H", Fixtures[[#This Row],[homePens]], Fixtures[[#This Row],[awayPens]]), "N/A")</f>
        <v>N/A</v>
      </c>
      <c r="AH376" s="58" t="str">
        <f>IF(Fixtures[[#This Row],[penalties]], IF(Fixtures[[#This Row],[userPens]]=Fixtures[[#This Row],[homePens]],Fixtures[[#This Row],[awayPens]],Fixtures[[#This Row],[homePens]]), "N/A")</f>
        <v>N/A</v>
      </c>
      <c r="AI376" s="58" t="b">
        <f>COUNTBLANK(Fixtures[[#This Row],[G]:[MOTM]]) = 0</f>
        <v>0</v>
      </c>
      <c r="AJ376" s="58" t="str">
        <f>IF(Fixtures[[#This Row],[APP]], Fixtures[[#This Row],[G]]+Fixtures[[#This Row],[A]], "N/A")</f>
        <v>N/A</v>
      </c>
      <c r="AK3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7" spans="1:39" ht="13">
      <c r="A377" s="55"/>
      <c r="B377" s="61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7"/>
      <c r="R377" s="56"/>
      <c r="S377" s="58" t="str" cm="1">
        <f t="array" ref="S377">_xlfn._xlws.FILTER(Competitions[compType], (Fixtures[[#This Row],[competition]] = Competitions[name]), "N/A")</f>
        <v>N/A</v>
      </c>
      <c r="T377" s="58" t="str" cm="1">
        <f t="array" ref="T377">_xlfn._xlws.FILTER(Competitions[exhibition], (Fixtures[[#This Row],[competition]] = Competitions[name]), "N/A")</f>
        <v>N/A</v>
      </c>
      <c r="U377" s="58" t="str" cm="1">
        <f t="array" ref="U377">_xlfn._xlws.FILTER(Competitions[compID], (Fixtures[[#This Row],[competition]] = Competitions[name]), "N/A")</f>
        <v>N/A</v>
      </c>
      <c r="V3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7" s="58" t="str" cm="1">
        <f t="array" ref="W3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7" s="58" t="str" cm="1">
        <f t="array" ref="X377">_xlfn._xlws.FILTER(Teams[name], (Fixtures[[#This Row],[userTeamID]] = Teams[teamID]), "N/A")</f>
        <v>N/A</v>
      </c>
      <c r="Y377" s="58" t="str" cm="1">
        <f t="array" ref="Y377">_xlfn._xlws.FILTER(Teams[teamType], (Fixtures[[#This Row],[userTeamID]] = Teams[teamID]), "N/A")</f>
        <v>N/A</v>
      </c>
      <c r="Z377" s="58" t="str" cm="1">
        <f t="array" ref="Z3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7" s="58" t="str">
        <f>IF(Fixtures[[#This Row],[userSide]] = "N/A", "N/A", IF(Fixtures[[#This Row],[userSide]] = "H", Fixtures[[#This Row],[awayTeam]], Fixtures[[#This Row],[homeTeam]]))</f>
        <v>N/A</v>
      </c>
      <c r="AB377" s="58" t="str" cm="1">
        <f t="array" ref="AB377">_xlfn._xlws.FILTER(Teams[teamID], Fixtures[[#This Row],[oppTeam]] = Teams[name], "N/A")</f>
        <v>N/A</v>
      </c>
      <c r="AC377" s="58" t="str" cm="1">
        <f t="array" ref="AC377">_xlfn._xlws.FILTER(Teams[teamType], Fixtures[[#This Row],[oppTeam]] = Teams[name], "N/A")</f>
        <v>N/A</v>
      </c>
      <c r="AD377" s="58" t="str">
        <f>IF(ISBLANK(Fixtures[[#This Row],[date]]), "N/A", IF(Fixtures[[#This Row],[userSide]]="H", Fixtures[[#This Row],[homeScore]], Fixtures[[#This Row],[awayScore]]))</f>
        <v>N/A</v>
      </c>
      <c r="AE377" s="58" t="str">
        <f>IF(ISBLANK(Fixtures[[#This Row],[date]]), "N/A", IF(Fixtures[[#This Row],[userScore]] = Fixtures[[#This Row],[homeScore]], Fixtures[[#This Row],[awayScore]], Fixtures[[#This Row],[homeScore]]))</f>
        <v>N/A</v>
      </c>
      <c r="AF377" s="58" t="b">
        <f>NOT(AND(ISBLANK(Fixtures[[#This Row],[homePens]]), ISBLANK(Fixtures[[#This Row],[awayPens]])))</f>
        <v>0</v>
      </c>
      <c r="AG377" s="58" t="str">
        <f>IF(Fixtures[[#This Row],[penalties]], IF(Fixtures[[#This Row],[userSide]]="H", Fixtures[[#This Row],[homePens]], Fixtures[[#This Row],[awayPens]]), "N/A")</f>
        <v>N/A</v>
      </c>
      <c r="AH377" s="58" t="str">
        <f>IF(Fixtures[[#This Row],[penalties]], IF(Fixtures[[#This Row],[userPens]]=Fixtures[[#This Row],[homePens]],Fixtures[[#This Row],[awayPens]],Fixtures[[#This Row],[homePens]]), "N/A")</f>
        <v>N/A</v>
      </c>
      <c r="AI377" s="58" t="b">
        <f>COUNTBLANK(Fixtures[[#This Row],[G]:[MOTM]]) = 0</f>
        <v>0</v>
      </c>
      <c r="AJ377" s="58" t="str">
        <f>IF(Fixtures[[#This Row],[APP]], Fixtures[[#This Row],[G]]+Fixtures[[#This Row],[A]], "N/A")</f>
        <v>N/A</v>
      </c>
      <c r="AK3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8" spans="1:39" ht="13">
      <c r="A378" s="55"/>
      <c r="B378" s="61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7"/>
      <c r="R378" s="56"/>
      <c r="S378" s="58" t="str" cm="1">
        <f t="array" ref="S378">_xlfn._xlws.FILTER(Competitions[compType], (Fixtures[[#This Row],[competition]] = Competitions[name]), "N/A")</f>
        <v>N/A</v>
      </c>
      <c r="T378" s="58" t="str" cm="1">
        <f t="array" ref="T378">_xlfn._xlws.FILTER(Competitions[exhibition], (Fixtures[[#This Row],[competition]] = Competitions[name]), "N/A")</f>
        <v>N/A</v>
      </c>
      <c r="U378" s="58" t="str" cm="1">
        <f t="array" ref="U378">_xlfn._xlws.FILTER(Competitions[compID], (Fixtures[[#This Row],[competition]] = Competitions[name]), "N/A")</f>
        <v>N/A</v>
      </c>
      <c r="V3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8" s="58" t="str" cm="1">
        <f t="array" ref="W3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8" s="58" t="str" cm="1">
        <f t="array" ref="X378">_xlfn._xlws.FILTER(Teams[name], (Fixtures[[#This Row],[userTeamID]] = Teams[teamID]), "N/A")</f>
        <v>N/A</v>
      </c>
      <c r="Y378" s="58" t="str" cm="1">
        <f t="array" ref="Y378">_xlfn._xlws.FILTER(Teams[teamType], (Fixtures[[#This Row],[userTeamID]] = Teams[teamID]), "N/A")</f>
        <v>N/A</v>
      </c>
      <c r="Z378" s="58" t="str" cm="1">
        <f t="array" ref="Z3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8" s="58" t="str">
        <f>IF(Fixtures[[#This Row],[userSide]] = "N/A", "N/A", IF(Fixtures[[#This Row],[userSide]] = "H", Fixtures[[#This Row],[awayTeam]], Fixtures[[#This Row],[homeTeam]]))</f>
        <v>N/A</v>
      </c>
      <c r="AB378" s="58" t="str" cm="1">
        <f t="array" ref="AB378">_xlfn._xlws.FILTER(Teams[teamID], Fixtures[[#This Row],[oppTeam]] = Teams[name], "N/A")</f>
        <v>N/A</v>
      </c>
      <c r="AC378" s="58" t="str" cm="1">
        <f t="array" ref="AC378">_xlfn._xlws.FILTER(Teams[teamType], Fixtures[[#This Row],[oppTeam]] = Teams[name], "N/A")</f>
        <v>N/A</v>
      </c>
      <c r="AD378" s="58" t="str">
        <f>IF(ISBLANK(Fixtures[[#This Row],[date]]), "N/A", IF(Fixtures[[#This Row],[userSide]]="H", Fixtures[[#This Row],[homeScore]], Fixtures[[#This Row],[awayScore]]))</f>
        <v>N/A</v>
      </c>
      <c r="AE378" s="58" t="str">
        <f>IF(ISBLANK(Fixtures[[#This Row],[date]]), "N/A", IF(Fixtures[[#This Row],[userScore]] = Fixtures[[#This Row],[homeScore]], Fixtures[[#This Row],[awayScore]], Fixtures[[#This Row],[homeScore]]))</f>
        <v>N/A</v>
      </c>
      <c r="AF378" s="58" t="b">
        <f>NOT(AND(ISBLANK(Fixtures[[#This Row],[homePens]]), ISBLANK(Fixtures[[#This Row],[awayPens]])))</f>
        <v>0</v>
      </c>
      <c r="AG378" s="58" t="str">
        <f>IF(Fixtures[[#This Row],[penalties]], IF(Fixtures[[#This Row],[userSide]]="H", Fixtures[[#This Row],[homePens]], Fixtures[[#This Row],[awayPens]]), "N/A")</f>
        <v>N/A</v>
      </c>
      <c r="AH378" s="58" t="str">
        <f>IF(Fixtures[[#This Row],[penalties]], IF(Fixtures[[#This Row],[userPens]]=Fixtures[[#This Row],[homePens]],Fixtures[[#This Row],[awayPens]],Fixtures[[#This Row],[homePens]]), "N/A")</f>
        <v>N/A</v>
      </c>
      <c r="AI378" s="58" t="b">
        <f>COUNTBLANK(Fixtures[[#This Row],[G]:[MOTM]]) = 0</f>
        <v>0</v>
      </c>
      <c r="AJ378" s="58" t="str">
        <f>IF(Fixtures[[#This Row],[APP]], Fixtures[[#This Row],[G]]+Fixtures[[#This Row],[A]], "N/A")</f>
        <v>N/A</v>
      </c>
      <c r="AK3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79" spans="1:39" ht="13">
      <c r="A379" s="55"/>
      <c r="B379" s="61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7"/>
      <c r="R379" s="56"/>
      <c r="S379" s="58" t="str" cm="1">
        <f t="array" ref="S379">_xlfn._xlws.FILTER(Competitions[compType], (Fixtures[[#This Row],[competition]] = Competitions[name]), "N/A")</f>
        <v>N/A</v>
      </c>
      <c r="T379" s="58" t="str" cm="1">
        <f t="array" ref="T379">_xlfn._xlws.FILTER(Competitions[exhibition], (Fixtures[[#This Row],[competition]] = Competitions[name]), "N/A")</f>
        <v>N/A</v>
      </c>
      <c r="U379" s="58" t="str" cm="1">
        <f t="array" ref="U379">_xlfn._xlws.FILTER(Competitions[compID], (Fixtures[[#This Row],[competition]] = Competitions[name]), "N/A")</f>
        <v>N/A</v>
      </c>
      <c r="V3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79" s="58" t="str" cm="1">
        <f t="array" ref="W3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79" s="58" t="str" cm="1">
        <f t="array" ref="X379">_xlfn._xlws.FILTER(Teams[name], (Fixtures[[#This Row],[userTeamID]] = Teams[teamID]), "N/A")</f>
        <v>N/A</v>
      </c>
      <c r="Y379" s="58" t="str" cm="1">
        <f t="array" ref="Y379">_xlfn._xlws.FILTER(Teams[teamType], (Fixtures[[#This Row],[userTeamID]] = Teams[teamID]), "N/A")</f>
        <v>N/A</v>
      </c>
      <c r="Z379" s="58" t="str" cm="1">
        <f t="array" ref="Z3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79" s="58" t="str">
        <f>IF(Fixtures[[#This Row],[userSide]] = "N/A", "N/A", IF(Fixtures[[#This Row],[userSide]] = "H", Fixtures[[#This Row],[awayTeam]], Fixtures[[#This Row],[homeTeam]]))</f>
        <v>N/A</v>
      </c>
      <c r="AB379" s="58" t="str" cm="1">
        <f t="array" ref="AB379">_xlfn._xlws.FILTER(Teams[teamID], Fixtures[[#This Row],[oppTeam]] = Teams[name], "N/A")</f>
        <v>N/A</v>
      </c>
      <c r="AC379" s="58" t="str" cm="1">
        <f t="array" ref="AC379">_xlfn._xlws.FILTER(Teams[teamType], Fixtures[[#This Row],[oppTeam]] = Teams[name], "N/A")</f>
        <v>N/A</v>
      </c>
      <c r="AD379" s="58" t="str">
        <f>IF(ISBLANK(Fixtures[[#This Row],[date]]), "N/A", IF(Fixtures[[#This Row],[userSide]]="H", Fixtures[[#This Row],[homeScore]], Fixtures[[#This Row],[awayScore]]))</f>
        <v>N/A</v>
      </c>
      <c r="AE379" s="58" t="str">
        <f>IF(ISBLANK(Fixtures[[#This Row],[date]]), "N/A", IF(Fixtures[[#This Row],[userScore]] = Fixtures[[#This Row],[homeScore]], Fixtures[[#This Row],[awayScore]], Fixtures[[#This Row],[homeScore]]))</f>
        <v>N/A</v>
      </c>
      <c r="AF379" s="58" t="b">
        <f>NOT(AND(ISBLANK(Fixtures[[#This Row],[homePens]]), ISBLANK(Fixtures[[#This Row],[awayPens]])))</f>
        <v>0</v>
      </c>
      <c r="AG379" s="58" t="str">
        <f>IF(Fixtures[[#This Row],[penalties]], IF(Fixtures[[#This Row],[userSide]]="H", Fixtures[[#This Row],[homePens]], Fixtures[[#This Row],[awayPens]]), "N/A")</f>
        <v>N/A</v>
      </c>
      <c r="AH379" s="58" t="str">
        <f>IF(Fixtures[[#This Row],[penalties]], IF(Fixtures[[#This Row],[userPens]]=Fixtures[[#This Row],[homePens]],Fixtures[[#This Row],[awayPens]],Fixtures[[#This Row],[homePens]]), "N/A")</f>
        <v>N/A</v>
      </c>
      <c r="AI379" s="58" t="b">
        <f>COUNTBLANK(Fixtures[[#This Row],[G]:[MOTM]]) = 0</f>
        <v>0</v>
      </c>
      <c r="AJ379" s="58" t="str">
        <f>IF(Fixtures[[#This Row],[APP]], Fixtures[[#This Row],[G]]+Fixtures[[#This Row],[A]], "N/A")</f>
        <v>N/A</v>
      </c>
      <c r="AK3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0" spans="1:39" ht="13">
      <c r="A380" s="55"/>
      <c r="B380" s="61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7"/>
      <c r="R380" s="56"/>
      <c r="S380" s="58" t="str" cm="1">
        <f t="array" ref="S380">_xlfn._xlws.FILTER(Competitions[compType], (Fixtures[[#This Row],[competition]] = Competitions[name]), "N/A")</f>
        <v>N/A</v>
      </c>
      <c r="T380" s="58" t="str" cm="1">
        <f t="array" ref="T380">_xlfn._xlws.FILTER(Competitions[exhibition], (Fixtures[[#This Row],[competition]] = Competitions[name]), "N/A")</f>
        <v>N/A</v>
      </c>
      <c r="U380" s="58" t="str" cm="1">
        <f t="array" ref="U380">_xlfn._xlws.FILTER(Competitions[compID], (Fixtures[[#This Row],[competition]] = Competitions[name]), "N/A")</f>
        <v>N/A</v>
      </c>
      <c r="V3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0" s="58" t="str" cm="1">
        <f t="array" ref="W3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0" s="58" t="str" cm="1">
        <f t="array" ref="X380">_xlfn._xlws.FILTER(Teams[name], (Fixtures[[#This Row],[userTeamID]] = Teams[teamID]), "N/A")</f>
        <v>N/A</v>
      </c>
      <c r="Y380" s="58" t="str" cm="1">
        <f t="array" ref="Y380">_xlfn._xlws.FILTER(Teams[teamType], (Fixtures[[#This Row],[userTeamID]] = Teams[teamID]), "N/A")</f>
        <v>N/A</v>
      </c>
      <c r="Z380" s="58" t="str" cm="1">
        <f t="array" ref="Z3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0" s="58" t="str">
        <f>IF(Fixtures[[#This Row],[userSide]] = "N/A", "N/A", IF(Fixtures[[#This Row],[userSide]] = "H", Fixtures[[#This Row],[awayTeam]], Fixtures[[#This Row],[homeTeam]]))</f>
        <v>N/A</v>
      </c>
      <c r="AB380" s="58" t="str" cm="1">
        <f t="array" ref="AB380">_xlfn._xlws.FILTER(Teams[teamID], Fixtures[[#This Row],[oppTeam]] = Teams[name], "N/A")</f>
        <v>N/A</v>
      </c>
      <c r="AC380" s="58" t="str" cm="1">
        <f t="array" ref="AC380">_xlfn._xlws.FILTER(Teams[teamType], Fixtures[[#This Row],[oppTeam]] = Teams[name], "N/A")</f>
        <v>N/A</v>
      </c>
      <c r="AD380" s="58" t="str">
        <f>IF(ISBLANK(Fixtures[[#This Row],[date]]), "N/A", IF(Fixtures[[#This Row],[userSide]]="H", Fixtures[[#This Row],[homeScore]], Fixtures[[#This Row],[awayScore]]))</f>
        <v>N/A</v>
      </c>
      <c r="AE380" s="58" t="str">
        <f>IF(ISBLANK(Fixtures[[#This Row],[date]]), "N/A", IF(Fixtures[[#This Row],[userScore]] = Fixtures[[#This Row],[homeScore]], Fixtures[[#This Row],[awayScore]], Fixtures[[#This Row],[homeScore]]))</f>
        <v>N/A</v>
      </c>
      <c r="AF380" s="58" t="b">
        <f>NOT(AND(ISBLANK(Fixtures[[#This Row],[homePens]]), ISBLANK(Fixtures[[#This Row],[awayPens]])))</f>
        <v>0</v>
      </c>
      <c r="AG380" s="58" t="str">
        <f>IF(Fixtures[[#This Row],[penalties]], IF(Fixtures[[#This Row],[userSide]]="H", Fixtures[[#This Row],[homePens]], Fixtures[[#This Row],[awayPens]]), "N/A")</f>
        <v>N/A</v>
      </c>
      <c r="AH380" s="58" t="str">
        <f>IF(Fixtures[[#This Row],[penalties]], IF(Fixtures[[#This Row],[userPens]]=Fixtures[[#This Row],[homePens]],Fixtures[[#This Row],[awayPens]],Fixtures[[#This Row],[homePens]]), "N/A")</f>
        <v>N/A</v>
      </c>
      <c r="AI380" s="58" t="b">
        <f>COUNTBLANK(Fixtures[[#This Row],[G]:[MOTM]]) = 0</f>
        <v>0</v>
      </c>
      <c r="AJ380" s="58" t="str">
        <f>IF(Fixtures[[#This Row],[APP]], Fixtures[[#This Row],[G]]+Fixtures[[#This Row],[A]], "N/A")</f>
        <v>N/A</v>
      </c>
      <c r="AK3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1" spans="1:39" ht="13">
      <c r="A381" s="55"/>
      <c r="B381" s="61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7"/>
      <c r="R381" s="56"/>
      <c r="S381" s="58" t="str" cm="1">
        <f t="array" ref="S381">_xlfn._xlws.FILTER(Competitions[compType], (Fixtures[[#This Row],[competition]] = Competitions[name]), "N/A")</f>
        <v>N/A</v>
      </c>
      <c r="T381" s="58" t="str" cm="1">
        <f t="array" ref="T381">_xlfn._xlws.FILTER(Competitions[exhibition], (Fixtures[[#This Row],[competition]] = Competitions[name]), "N/A")</f>
        <v>N/A</v>
      </c>
      <c r="U381" s="58" t="str" cm="1">
        <f t="array" ref="U381">_xlfn._xlws.FILTER(Competitions[compID], (Fixtures[[#This Row],[competition]] = Competitions[name]), "N/A")</f>
        <v>N/A</v>
      </c>
      <c r="V3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1" s="58" t="str" cm="1">
        <f t="array" ref="W3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1" s="58" t="str" cm="1">
        <f t="array" ref="X381">_xlfn._xlws.FILTER(Teams[name], (Fixtures[[#This Row],[userTeamID]] = Teams[teamID]), "N/A")</f>
        <v>N/A</v>
      </c>
      <c r="Y381" s="58" t="str" cm="1">
        <f t="array" ref="Y381">_xlfn._xlws.FILTER(Teams[teamType], (Fixtures[[#This Row],[userTeamID]] = Teams[teamID]), "N/A")</f>
        <v>N/A</v>
      </c>
      <c r="Z381" s="58" t="str" cm="1">
        <f t="array" ref="Z3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1" s="58" t="str">
        <f>IF(Fixtures[[#This Row],[userSide]] = "N/A", "N/A", IF(Fixtures[[#This Row],[userSide]] = "H", Fixtures[[#This Row],[awayTeam]], Fixtures[[#This Row],[homeTeam]]))</f>
        <v>N/A</v>
      </c>
      <c r="AB381" s="58" t="str" cm="1">
        <f t="array" ref="AB381">_xlfn._xlws.FILTER(Teams[teamID], Fixtures[[#This Row],[oppTeam]] = Teams[name], "N/A")</f>
        <v>N/A</v>
      </c>
      <c r="AC381" s="58" t="str" cm="1">
        <f t="array" ref="AC381">_xlfn._xlws.FILTER(Teams[teamType], Fixtures[[#This Row],[oppTeam]] = Teams[name], "N/A")</f>
        <v>N/A</v>
      </c>
      <c r="AD381" s="58" t="str">
        <f>IF(ISBLANK(Fixtures[[#This Row],[date]]), "N/A", IF(Fixtures[[#This Row],[userSide]]="H", Fixtures[[#This Row],[homeScore]], Fixtures[[#This Row],[awayScore]]))</f>
        <v>N/A</v>
      </c>
      <c r="AE381" s="58" t="str">
        <f>IF(ISBLANK(Fixtures[[#This Row],[date]]), "N/A", IF(Fixtures[[#This Row],[userScore]] = Fixtures[[#This Row],[homeScore]], Fixtures[[#This Row],[awayScore]], Fixtures[[#This Row],[homeScore]]))</f>
        <v>N/A</v>
      </c>
      <c r="AF381" s="58" t="b">
        <f>NOT(AND(ISBLANK(Fixtures[[#This Row],[homePens]]), ISBLANK(Fixtures[[#This Row],[awayPens]])))</f>
        <v>0</v>
      </c>
      <c r="AG381" s="58" t="str">
        <f>IF(Fixtures[[#This Row],[penalties]], IF(Fixtures[[#This Row],[userSide]]="H", Fixtures[[#This Row],[homePens]], Fixtures[[#This Row],[awayPens]]), "N/A")</f>
        <v>N/A</v>
      </c>
      <c r="AH381" s="58" t="str">
        <f>IF(Fixtures[[#This Row],[penalties]], IF(Fixtures[[#This Row],[userPens]]=Fixtures[[#This Row],[homePens]],Fixtures[[#This Row],[awayPens]],Fixtures[[#This Row],[homePens]]), "N/A")</f>
        <v>N/A</v>
      </c>
      <c r="AI381" s="58" t="b">
        <f>COUNTBLANK(Fixtures[[#This Row],[G]:[MOTM]]) = 0</f>
        <v>0</v>
      </c>
      <c r="AJ381" s="58" t="str">
        <f>IF(Fixtures[[#This Row],[APP]], Fixtures[[#This Row],[G]]+Fixtures[[#This Row],[A]], "N/A")</f>
        <v>N/A</v>
      </c>
      <c r="AK3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2" spans="1:39" ht="13">
      <c r="A382" s="55"/>
      <c r="B382" s="61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7"/>
      <c r="R382" s="56"/>
      <c r="S382" s="58" t="str" cm="1">
        <f t="array" ref="S382">_xlfn._xlws.FILTER(Competitions[compType], (Fixtures[[#This Row],[competition]] = Competitions[name]), "N/A")</f>
        <v>N/A</v>
      </c>
      <c r="T382" s="58" t="str" cm="1">
        <f t="array" ref="T382">_xlfn._xlws.FILTER(Competitions[exhibition], (Fixtures[[#This Row],[competition]] = Competitions[name]), "N/A")</f>
        <v>N/A</v>
      </c>
      <c r="U382" s="58" t="str" cm="1">
        <f t="array" ref="U382">_xlfn._xlws.FILTER(Competitions[compID], (Fixtures[[#This Row],[competition]] = Competitions[name]), "N/A")</f>
        <v>N/A</v>
      </c>
      <c r="V3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2" s="58" t="str" cm="1">
        <f t="array" ref="W3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2" s="58" t="str" cm="1">
        <f t="array" ref="X382">_xlfn._xlws.FILTER(Teams[name], (Fixtures[[#This Row],[userTeamID]] = Teams[teamID]), "N/A")</f>
        <v>N/A</v>
      </c>
      <c r="Y382" s="58" t="str" cm="1">
        <f t="array" ref="Y382">_xlfn._xlws.FILTER(Teams[teamType], (Fixtures[[#This Row],[userTeamID]] = Teams[teamID]), "N/A")</f>
        <v>N/A</v>
      </c>
      <c r="Z382" s="58" t="str" cm="1">
        <f t="array" ref="Z3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2" s="58" t="str">
        <f>IF(Fixtures[[#This Row],[userSide]] = "N/A", "N/A", IF(Fixtures[[#This Row],[userSide]] = "H", Fixtures[[#This Row],[awayTeam]], Fixtures[[#This Row],[homeTeam]]))</f>
        <v>N/A</v>
      </c>
      <c r="AB382" s="58" t="str" cm="1">
        <f t="array" ref="AB382">_xlfn._xlws.FILTER(Teams[teamID], Fixtures[[#This Row],[oppTeam]] = Teams[name], "N/A")</f>
        <v>N/A</v>
      </c>
      <c r="AC382" s="58" t="str" cm="1">
        <f t="array" ref="AC382">_xlfn._xlws.FILTER(Teams[teamType], Fixtures[[#This Row],[oppTeam]] = Teams[name], "N/A")</f>
        <v>N/A</v>
      </c>
      <c r="AD382" s="58" t="str">
        <f>IF(ISBLANK(Fixtures[[#This Row],[date]]), "N/A", IF(Fixtures[[#This Row],[userSide]]="H", Fixtures[[#This Row],[homeScore]], Fixtures[[#This Row],[awayScore]]))</f>
        <v>N/A</v>
      </c>
      <c r="AE382" s="58" t="str">
        <f>IF(ISBLANK(Fixtures[[#This Row],[date]]), "N/A", IF(Fixtures[[#This Row],[userScore]] = Fixtures[[#This Row],[homeScore]], Fixtures[[#This Row],[awayScore]], Fixtures[[#This Row],[homeScore]]))</f>
        <v>N/A</v>
      </c>
      <c r="AF382" s="58" t="b">
        <f>NOT(AND(ISBLANK(Fixtures[[#This Row],[homePens]]), ISBLANK(Fixtures[[#This Row],[awayPens]])))</f>
        <v>0</v>
      </c>
      <c r="AG382" s="58" t="str">
        <f>IF(Fixtures[[#This Row],[penalties]], IF(Fixtures[[#This Row],[userSide]]="H", Fixtures[[#This Row],[homePens]], Fixtures[[#This Row],[awayPens]]), "N/A")</f>
        <v>N/A</v>
      </c>
      <c r="AH382" s="58" t="str">
        <f>IF(Fixtures[[#This Row],[penalties]], IF(Fixtures[[#This Row],[userPens]]=Fixtures[[#This Row],[homePens]],Fixtures[[#This Row],[awayPens]],Fixtures[[#This Row],[homePens]]), "N/A")</f>
        <v>N/A</v>
      </c>
      <c r="AI382" s="58" t="b">
        <f>COUNTBLANK(Fixtures[[#This Row],[G]:[MOTM]]) = 0</f>
        <v>0</v>
      </c>
      <c r="AJ382" s="58" t="str">
        <f>IF(Fixtures[[#This Row],[APP]], Fixtures[[#This Row],[G]]+Fixtures[[#This Row],[A]], "N/A")</f>
        <v>N/A</v>
      </c>
      <c r="AK3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3" spans="1:39" ht="13">
      <c r="A383" s="55"/>
      <c r="B383" s="61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7"/>
      <c r="R383" s="56"/>
      <c r="S383" s="58" t="str" cm="1">
        <f t="array" ref="S383">_xlfn._xlws.FILTER(Competitions[compType], (Fixtures[[#This Row],[competition]] = Competitions[name]), "N/A")</f>
        <v>N/A</v>
      </c>
      <c r="T383" s="58" t="str" cm="1">
        <f t="array" ref="T383">_xlfn._xlws.FILTER(Competitions[exhibition], (Fixtures[[#This Row],[competition]] = Competitions[name]), "N/A")</f>
        <v>N/A</v>
      </c>
      <c r="U383" s="58" t="str" cm="1">
        <f t="array" ref="U383">_xlfn._xlws.FILTER(Competitions[compID], (Fixtures[[#This Row],[competition]] = Competitions[name]), "N/A")</f>
        <v>N/A</v>
      </c>
      <c r="V3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3" s="58" t="str" cm="1">
        <f t="array" ref="W3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3" s="58" t="str" cm="1">
        <f t="array" ref="X383">_xlfn._xlws.FILTER(Teams[name], (Fixtures[[#This Row],[userTeamID]] = Teams[teamID]), "N/A")</f>
        <v>N/A</v>
      </c>
      <c r="Y383" s="58" t="str" cm="1">
        <f t="array" ref="Y383">_xlfn._xlws.FILTER(Teams[teamType], (Fixtures[[#This Row],[userTeamID]] = Teams[teamID]), "N/A")</f>
        <v>N/A</v>
      </c>
      <c r="Z383" s="58" t="str" cm="1">
        <f t="array" ref="Z3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3" s="58" t="str">
        <f>IF(Fixtures[[#This Row],[userSide]] = "N/A", "N/A", IF(Fixtures[[#This Row],[userSide]] = "H", Fixtures[[#This Row],[awayTeam]], Fixtures[[#This Row],[homeTeam]]))</f>
        <v>N/A</v>
      </c>
      <c r="AB383" s="58" t="str" cm="1">
        <f t="array" ref="AB383">_xlfn._xlws.FILTER(Teams[teamID], Fixtures[[#This Row],[oppTeam]] = Teams[name], "N/A")</f>
        <v>N/A</v>
      </c>
      <c r="AC383" s="58" t="str" cm="1">
        <f t="array" ref="AC383">_xlfn._xlws.FILTER(Teams[teamType], Fixtures[[#This Row],[oppTeam]] = Teams[name], "N/A")</f>
        <v>N/A</v>
      </c>
      <c r="AD383" s="58" t="str">
        <f>IF(ISBLANK(Fixtures[[#This Row],[date]]), "N/A", IF(Fixtures[[#This Row],[userSide]]="H", Fixtures[[#This Row],[homeScore]], Fixtures[[#This Row],[awayScore]]))</f>
        <v>N/A</v>
      </c>
      <c r="AE383" s="58" t="str">
        <f>IF(ISBLANK(Fixtures[[#This Row],[date]]), "N/A", IF(Fixtures[[#This Row],[userScore]] = Fixtures[[#This Row],[homeScore]], Fixtures[[#This Row],[awayScore]], Fixtures[[#This Row],[homeScore]]))</f>
        <v>N/A</v>
      </c>
      <c r="AF383" s="58" t="b">
        <f>NOT(AND(ISBLANK(Fixtures[[#This Row],[homePens]]), ISBLANK(Fixtures[[#This Row],[awayPens]])))</f>
        <v>0</v>
      </c>
      <c r="AG383" s="58" t="str">
        <f>IF(Fixtures[[#This Row],[penalties]], IF(Fixtures[[#This Row],[userSide]]="H", Fixtures[[#This Row],[homePens]], Fixtures[[#This Row],[awayPens]]), "N/A")</f>
        <v>N/A</v>
      </c>
      <c r="AH383" s="58" t="str">
        <f>IF(Fixtures[[#This Row],[penalties]], IF(Fixtures[[#This Row],[userPens]]=Fixtures[[#This Row],[homePens]],Fixtures[[#This Row],[awayPens]],Fixtures[[#This Row],[homePens]]), "N/A")</f>
        <v>N/A</v>
      </c>
      <c r="AI383" s="58" t="b">
        <f>COUNTBLANK(Fixtures[[#This Row],[G]:[MOTM]]) = 0</f>
        <v>0</v>
      </c>
      <c r="AJ383" s="58" t="str">
        <f>IF(Fixtures[[#This Row],[APP]], Fixtures[[#This Row],[G]]+Fixtures[[#This Row],[A]], "N/A")</f>
        <v>N/A</v>
      </c>
      <c r="AK3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4" spans="1:39" ht="13">
      <c r="A384" s="55"/>
      <c r="B384" s="61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7"/>
      <c r="R384" s="56"/>
      <c r="S384" s="58" t="str" cm="1">
        <f t="array" ref="S384">_xlfn._xlws.FILTER(Competitions[compType], (Fixtures[[#This Row],[competition]] = Competitions[name]), "N/A")</f>
        <v>N/A</v>
      </c>
      <c r="T384" s="58" t="str" cm="1">
        <f t="array" ref="T384">_xlfn._xlws.FILTER(Competitions[exhibition], (Fixtures[[#This Row],[competition]] = Competitions[name]), "N/A")</f>
        <v>N/A</v>
      </c>
      <c r="U384" s="58" t="str" cm="1">
        <f t="array" ref="U384">_xlfn._xlws.FILTER(Competitions[compID], (Fixtures[[#This Row],[competition]] = Competitions[name]), "N/A")</f>
        <v>N/A</v>
      </c>
      <c r="V3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4" s="58" t="str" cm="1">
        <f t="array" ref="W3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4" s="58" t="str" cm="1">
        <f t="array" ref="X384">_xlfn._xlws.FILTER(Teams[name], (Fixtures[[#This Row],[userTeamID]] = Teams[teamID]), "N/A")</f>
        <v>N/A</v>
      </c>
      <c r="Y384" s="58" t="str" cm="1">
        <f t="array" ref="Y384">_xlfn._xlws.FILTER(Teams[teamType], (Fixtures[[#This Row],[userTeamID]] = Teams[teamID]), "N/A")</f>
        <v>N/A</v>
      </c>
      <c r="Z384" s="58" t="str" cm="1">
        <f t="array" ref="Z3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4" s="58" t="str">
        <f>IF(Fixtures[[#This Row],[userSide]] = "N/A", "N/A", IF(Fixtures[[#This Row],[userSide]] = "H", Fixtures[[#This Row],[awayTeam]], Fixtures[[#This Row],[homeTeam]]))</f>
        <v>N/A</v>
      </c>
      <c r="AB384" s="58" t="str" cm="1">
        <f t="array" ref="AB384">_xlfn._xlws.FILTER(Teams[teamID], Fixtures[[#This Row],[oppTeam]] = Teams[name], "N/A")</f>
        <v>N/A</v>
      </c>
      <c r="AC384" s="58" t="str" cm="1">
        <f t="array" ref="AC384">_xlfn._xlws.FILTER(Teams[teamType], Fixtures[[#This Row],[oppTeam]] = Teams[name], "N/A")</f>
        <v>N/A</v>
      </c>
      <c r="AD384" s="58" t="str">
        <f>IF(ISBLANK(Fixtures[[#This Row],[date]]), "N/A", IF(Fixtures[[#This Row],[userSide]]="H", Fixtures[[#This Row],[homeScore]], Fixtures[[#This Row],[awayScore]]))</f>
        <v>N/A</v>
      </c>
      <c r="AE384" s="58" t="str">
        <f>IF(ISBLANK(Fixtures[[#This Row],[date]]), "N/A", IF(Fixtures[[#This Row],[userScore]] = Fixtures[[#This Row],[homeScore]], Fixtures[[#This Row],[awayScore]], Fixtures[[#This Row],[homeScore]]))</f>
        <v>N/A</v>
      </c>
      <c r="AF384" s="58" t="b">
        <f>NOT(AND(ISBLANK(Fixtures[[#This Row],[homePens]]), ISBLANK(Fixtures[[#This Row],[awayPens]])))</f>
        <v>0</v>
      </c>
      <c r="AG384" s="58" t="str">
        <f>IF(Fixtures[[#This Row],[penalties]], IF(Fixtures[[#This Row],[userSide]]="H", Fixtures[[#This Row],[homePens]], Fixtures[[#This Row],[awayPens]]), "N/A")</f>
        <v>N/A</v>
      </c>
      <c r="AH384" s="58" t="str">
        <f>IF(Fixtures[[#This Row],[penalties]], IF(Fixtures[[#This Row],[userPens]]=Fixtures[[#This Row],[homePens]],Fixtures[[#This Row],[awayPens]],Fixtures[[#This Row],[homePens]]), "N/A")</f>
        <v>N/A</v>
      </c>
      <c r="AI384" s="58" t="b">
        <f>COUNTBLANK(Fixtures[[#This Row],[G]:[MOTM]]) = 0</f>
        <v>0</v>
      </c>
      <c r="AJ384" s="58" t="str">
        <f>IF(Fixtures[[#This Row],[APP]], Fixtures[[#This Row],[G]]+Fixtures[[#This Row],[A]], "N/A")</f>
        <v>N/A</v>
      </c>
      <c r="AK3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5" spans="1:39" ht="13">
      <c r="A385" s="55"/>
      <c r="B385" s="61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7"/>
      <c r="R385" s="56"/>
      <c r="S385" s="58" t="str" cm="1">
        <f t="array" ref="S385">_xlfn._xlws.FILTER(Competitions[compType], (Fixtures[[#This Row],[competition]] = Competitions[name]), "N/A")</f>
        <v>N/A</v>
      </c>
      <c r="T385" s="58" t="str" cm="1">
        <f t="array" ref="T385">_xlfn._xlws.FILTER(Competitions[exhibition], (Fixtures[[#This Row],[competition]] = Competitions[name]), "N/A")</f>
        <v>N/A</v>
      </c>
      <c r="U385" s="58" t="str" cm="1">
        <f t="array" ref="U385">_xlfn._xlws.FILTER(Competitions[compID], (Fixtures[[#This Row],[competition]] = Competitions[name]), "N/A")</f>
        <v>N/A</v>
      </c>
      <c r="V3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5" s="58" t="str" cm="1">
        <f t="array" ref="W3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5" s="58" t="str" cm="1">
        <f t="array" ref="X385">_xlfn._xlws.FILTER(Teams[name], (Fixtures[[#This Row],[userTeamID]] = Teams[teamID]), "N/A")</f>
        <v>N/A</v>
      </c>
      <c r="Y385" s="58" t="str" cm="1">
        <f t="array" ref="Y385">_xlfn._xlws.FILTER(Teams[teamType], (Fixtures[[#This Row],[userTeamID]] = Teams[teamID]), "N/A")</f>
        <v>N/A</v>
      </c>
      <c r="Z385" s="58" t="str" cm="1">
        <f t="array" ref="Z3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5" s="58" t="str">
        <f>IF(Fixtures[[#This Row],[userSide]] = "N/A", "N/A", IF(Fixtures[[#This Row],[userSide]] = "H", Fixtures[[#This Row],[awayTeam]], Fixtures[[#This Row],[homeTeam]]))</f>
        <v>N/A</v>
      </c>
      <c r="AB385" s="58" t="str" cm="1">
        <f t="array" ref="AB385">_xlfn._xlws.FILTER(Teams[teamID], Fixtures[[#This Row],[oppTeam]] = Teams[name], "N/A")</f>
        <v>N/A</v>
      </c>
      <c r="AC385" s="58" t="str" cm="1">
        <f t="array" ref="AC385">_xlfn._xlws.FILTER(Teams[teamType], Fixtures[[#This Row],[oppTeam]] = Teams[name], "N/A")</f>
        <v>N/A</v>
      </c>
      <c r="AD385" s="58" t="str">
        <f>IF(ISBLANK(Fixtures[[#This Row],[date]]), "N/A", IF(Fixtures[[#This Row],[userSide]]="H", Fixtures[[#This Row],[homeScore]], Fixtures[[#This Row],[awayScore]]))</f>
        <v>N/A</v>
      </c>
      <c r="AE385" s="58" t="str">
        <f>IF(ISBLANK(Fixtures[[#This Row],[date]]), "N/A", IF(Fixtures[[#This Row],[userScore]] = Fixtures[[#This Row],[homeScore]], Fixtures[[#This Row],[awayScore]], Fixtures[[#This Row],[homeScore]]))</f>
        <v>N/A</v>
      </c>
      <c r="AF385" s="58" t="b">
        <f>NOT(AND(ISBLANK(Fixtures[[#This Row],[homePens]]), ISBLANK(Fixtures[[#This Row],[awayPens]])))</f>
        <v>0</v>
      </c>
      <c r="AG385" s="58" t="str">
        <f>IF(Fixtures[[#This Row],[penalties]], IF(Fixtures[[#This Row],[userSide]]="H", Fixtures[[#This Row],[homePens]], Fixtures[[#This Row],[awayPens]]), "N/A")</f>
        <v>N/A</v>
      </c>
      <c r="AH385" s="58" t="str">
        <f>IF(Fixtures[[#This Row],[penalties]], IF(Fixtures[[#This Row],[userPens]]=Fixtures[[#This Row],[homePens]],Fixtures[[#This Row],[awayPens]],Fixtures[[#This Row],[homePens]]), "N/A")</f>
        <v>N/A</v>
      </c>
      <c r="AI385" s="58" t="b">
        <f>COUNTBLANK(Fixtures[[#This Row],[G]:[MOTM]]) = 0</f>
        <v>0</v>
      </c>
      <c r="AJ385" s="58" t="str">
        <f>IF(Fixtures[[#This Row],[APP]], Fixtures[[#This Row],[G]]+Fixtures[[#This Row],[A]], "N/A")</f>
        <v>N/A</v>
      </c>
      <c r="AK3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6" spans="1:39" ht="13">
      <c r="A386" s="55"/>
      <c r="B386" s="61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7"/>
      <c r="R386" s="56"/>
      <c r="S386" s="58" t="str" cm="1">
        <f t="array" ref="S386">_xlfn._xlws.FILTER(Competitions[compType], (Fixtures[[#This Row],[competition]] = Competitions[name]), "N/A")</f>
        <v>N/A</v>
      </c>
      <c r="T386" s="58" t="str" cm="1">
        <f t="array" ref="T386">_xlfn._xlws.FILTER(Competitions[exhibition], (Fixtures[[#This Row],[competition]] = Competitions[name]), "N/A")</f>
        <v>N/A</v>
      </c>
      <c r="U386" s="58" t="str" cm="1">
        <f t="array" ref="U386">_xlfn._xlws.FILTER(Competitions[compID], (Fixtures[[#This Row],[competition]] = Competitions[name]), "N/A")</f>
        <v>N/A</v>
      </c>
      <c r="V3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6" s="58" t="str" cm="1">
        <f t="array" ref="W3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6" s="58" t="str" cm="1">
        <f t="array" ref="X386">_xlfn._xlws.FILTER(Teams[name], (Fixtures[[#This Row],[userTeamID]] = Teams[teamID]), "N/A")</f>
        <v>N/A</v>
      </c>
      <c r="Y386" s="58" t="str" cm="1">
        <f t="array" ref="Y386">_xlfn._xlws.FILTER(Teams[teamType], (Fixtures[[#This Row],[userTeamID]] = Teams[teamID]), "N/A")</f>
        <v>N/A</v>
      </c>
      <c r="Z386" s="58" t="str" cm="1">
        <f t="array" ref="Z3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6" s="58" t="str">
        <f>IF(Fixtures[[#This Row],[userSide]] = "N/A", "N/A", IF(Fixtures[[#This Row],[userSide]] = "H", Fixtures[[#This Row],[awayTeam]], Fixtures[[#This Row],[homeTeam]]))</f>
        <v>N/A</v>
      </c>
      <c r="AB386" s="58" t="str" cm="1">
        <f t="array" ref="AB386">_xlfn._xlws.FILTER(Teams[teamID], Fixtures[[#This Row],[oppTeam]] = Teams[name], "N/A")</f>
        <v>N/A</v>
      </c>
      <c r="AC386" s="58" t="str" cm="1">
        <f t="array" ref="AC386">_xlfn._xlws.FILTER(Teams[teamType], Fixtures[[#This Row],[oppTeam]] = Teams[name], "N/A")</f>
        <v>N/A</v>
      </c>
      <c r="AD386" s="58" t="str">
        <f>IF(ISBLANK(Fixtures[[#This Row],[date]]), "N/A", IF(Fixtures[[#This Row],[userSide]]="H", Fixtures[[#This Row],[homeScore]], Fixtures[[#This Row],[awayScore]]))</f>
        <v>N/A</v>
      </c>
      <c r="AE386" s="58" t="str">
        <f>IF(ISBLANK(Fixtures[[#This Row],[date]]), "N/A", IF(Fixtures[[#This Row],[userScore]] = Fixtures[[#This Row],[homeScore]], Fixtures[[#This Row],[awayScore]], Fixtures[[#This Row],[homeScore]]))</f>
        <v>N/A</v>
      </c>
      <c r="AF386" s="58" t="b">
        <f>NOT(AND(ISBLANK(Fixtures[[#This Row],[homePens]]), ISBLANK(Fixtures[[#This Row],[awayPens]])))</f>
        <v>0</v>
      </c>
      <c r="AG386" s="58" t="str">
        <f>IF(Fixtures[[#This Row],[penalties]], IF(Fixtures[[#This Row],[userSide]]="H", Fixtures[[#This Row],[homePens]], Fixtures[[#This Row],[awayPens]]), "N/A")</f>
        <v>N/A</v>
      </c>
      <c r="AH386" s="58" t="str">
        <f>IF(Fixtures[[#This Row],[penalties]], IF(Fixtures[[#This Row],[userPens]]=Fixtures[[#This Row],[homePens]],Fixtures[[#This Row],[awayPens]],Fixtures[[#This Row],[homePens]]), "N/A")</f>
        <v>N/A</v>
      </c>
      <c r="AI386" s="58" t="b">
        <f>COUNTBLANK(Fixtures[[#This Row],[G]:[MOTM]]) = 0</f>
        <v>0</v>
      </c>
      <c r="AJ386" s="58" t="str">
        <f>IF(Fixtures[[#This Row],[APP]], Fixtures[[#This Row],[G]]+Fixtures[[#This Row],[A]], "N/A")</f>
        <v>N/A</v>
      </c>
      <c r="AK3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7" spans="1:39" ht="13">
      <c r="A387" s="55"/>
      <c r="B387" s="61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7"/>
      <c r="R387" s="56"/>
      <c r="S387" s="58" t="str" cm="1">
        <f t="array" ref="S387">_xlfn._xlws.FILTER(Competitions[compType], (Fixtures[[#This Row],[competition]] = Competitions[name]), "N/A")</f>
        <v>N/A</v>
      </c>
      <c r="T387" s="58" t="str" cm="1">
        <f t="array" ref="T387">_xlfn._xlws.FILTER(Competitions[exhibition], (Fixtures[[#This Row],[competition]] = Competitions[name]), "N/A")</f>
        <v>N/A</v>
      </c>
      <c r="U387" s="58" t="str" cm="1">
        <f t="array" ref="U387">_xlfn._xlws.FILTER(Competitions[compID], (Fixtures[[#This Row],[competition]] = Competitions[name]), "N/A")</f>
        <v>N/A</v>
      </c>
      <c r="V3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7" s="58" t="str" cm="1">
        <f t="array" ref="W3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7" s="58" t="str" cm="1">
        <f t="array" ref="X387">_xlfn._xlws.FILTER(Teams[name], (Fixtures[[#This Row],[userTeamID]] = Teams[teamID]), "N/A")</f>
        <v>N/A</v>
      </c>
      <c r="Y387" s="58" t="str" cm="1">
        <f t="array" ref="Y387">_xlfn._xlws.FILTER(Teams[teamType], (Fixtures[[#This Row],[userTeamID]] = Teams[teamID]), "N/A")</f>
        <v>N/A</v>
      </c>
      <c r="Z387" s="58" t="str" cm="1">
        <f t="array" ref="Z3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7" s="58" t="str">
        <f>IF(Fixtures[[#This Row],[userSide]] = "N/A", "N/A", IF(Fixtures[[#This Row],[userSide]] = "H", Fixtures[[#This Row],[awayTeam]], Fixtures[[#This Row],[homeTeam]]))</f>
        <v>N/A</v>
      </c>
      <c r="AB387" s="58" t="str" cm="1">
        <f t="array" ref="AB387">_xlfn._xlws.FILTER(Teams[teamID], Fixtures[[#This Row],[oppTeam]] = Teams[name], "N/A")</f>
        <v>N/A</v>
      </c>
      <c r="AC387" s="58" t="str" cm="1">
        <f t="array" ref="AC387">_xlfn._xlws.FILTER(Teams[teamType], Fixtures[[#This Row],[oppTeam]] = Teams[name], "N/A")</f>
        <v>N/A</v>
      </c>
      <c r="AD387" s="58" t="str">
        <f>IF(ISBLANK(Fixtures[[#This Row],[date]]), "N/A", IF(Fixtures[[#This Row],[userSide]]="H", Fixtures[[#This Row],[homeScore]], Fixtures[[#This Row],[awayScore]]))</f>
        <v>N/A</v>
      </c>
      <c r="AE387" s="58" t="str">
        <f>IF(ISBLANK(Fixtures[[#This Row],[date]]), "N/A", IF(Fixtures[[#This Row],[userScore]] = Fixtures[[#This Row],[homeScore]], Fixtures[[#This Row],[awayScore]], Fixtures[[#This Row],[homeScore]]))</f>
        <v>N/A</v>
      </c>
      <c r="AF387" s="58" t="b">
        <f>NOT(AND(ISBLANK(Fixtures[[#This Row],[homePens]]), ISBLANK(Fixtures[[#This Row],[awayPens]])))</f>
        <v>0</v>
      </c>
      <c r="AG387" s="58" t="str">
        <f>IF(Fixtures[[#This Row],[penalties]], IF(Fixtures[[#This Row],[userSide]]="H", Fixtures[[#This Row],[homePens]], Fixtures[[#This Row],[awayPens]]), "N/A")</f>
        <v>N/A</v>
      </c>
      <c r="AH387" s="58" t="str">
        <f>IF(Fixtures[[#This Row],[penalties]], IF(Fixtures[[#This Row],[userPens]]=Fixtures[[#This Row],[homePens]],Fixtures[[#This Row],[awayPens]],Fixtures[[#This Row],[homePens]]), "N/A")</f>
        <v>N/A</v>
      </c>
      <c r="AI387" s="58" t="b">
        <f>COUNTBLANK(Fixtures[[#This Row],[G]:[MOTM]]) = 0</f>
        <v>0</v>
      </c>
      <c r="AJ387" s="58" t="str">
        <f>IF(Fixtures[[#This Row],[APP]], Fixtures[[#This Row],[G]]+Fixtures[[#This Row],[A]], "N/A")</f>
        <v>N/A</v>
      </c>
      <c r="AK3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8" spans="1:39" ht="13">
      <c r="A388" s="55"/>
      <c r="B388" s="61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7"/>
      <c r="R388" s="56"/>
      <c r="S388" s="58" t="str" cm="1">
        <f t="array" ref="S388">_xlfn._xlws.FILTER(Competitions[compType], (Fixtures[[#This Row],[competition]] = Competitions[name]), "N/A")</f>
        <v>N/A</v>
      </c>
      <c r="T388" s="58" t="str" cm="1">
        <f t="array" ref="T388">_xlfn._xlws.FILTER(Competitions[exhibition], (Fixtures[[#This Row],[competition]] = Competitions[name]), "N/A")</f>
        <v>N/A</v>
      </c>
      <c r="U388" s="58" t="str" cm="1">
        <f t="array" ref="U388">_xlfn._xlws.FILTER(Competitions[compID], (Fixtures[[#This Row],[competition]] = Competitions[name]), "N/A")</f>
        <v>N/A</v>
      </c>
      <c r="V3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8" s="58" t="str" cm="1">
        <f t="array" ref="W3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8" s="58" t="str" cm="1">
        <f t="array" ref="X388">_xlfn._xlws.FILTER(Teams[name], (Fixtures[[#This Row],[userTeamID]] = Teams[teamID]), "N/A")</f>
        <v>N/A</v>
      </c>
      <c r="Y388" s="58" t="str" cm="1">
        <f t="array" ref="Y388">_xlfn._xlws.FILTER(Teams[teamType], (Fixtures[[#This Row],[userTeamID]] = Teams[teamID]), "N/A")</f>
        <v>N/A</v>
      </c>
      <c r="Z388" s="58" t="str" cm="1">
        <f t="array" ref="Z3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8" s="58" t="str">
        <f>IF(Fixtures[[#This Row],[userSide]] = "N/A", "N/A", IF(Fixtures[[#This Row],[userSide]] = "H", Fixtures[[#This Row],[awayTeam]], Fixtures[[#This Row],[homeTeam]]))</f>
        <v>N/A</v>
      </c>
      <c r="AB388" s="58" t="str" cm="1">
        <f t="array" ref="AB388">_xlfn._xlws.FILTER(Teams[teamID], Fixtures[[#This Row],[oppTeam]] = Teams[name], "N/A")</f>
        <v>N/A</v>
      </c>
      <c r="AC388" s="58" t="str" cm="1">
        <f t="array" ref="AC388">_xlfn._xlws.FILTER(Teams[teamType], Fixtures[[#This Row],[oppTeam]] = Teams[name], "N/A")</f>
        <v>N/A</v>
      </c>
      <c r="AD388" s="58" t="str">
        <f>IF(ISBLANK(Fixtures[[#This Row],[date]]), "N/A", IF(Fixtures[[#This Row],[userSide]]="H", Fixtures[[#This Row],[homeScore]], Fixtures[[#This Row],[awayScore]]))</f>
        <v>N/A</v>
      </c>
      <c r="AE388" s="58" t="str">
        <f>IF(ISBLANK(Fixtures[[#This Row],[date]]), "N/A", IF(Fixtures[[#This Row],[userScore]] = Fixtures[[#This Row],[homeScore]], Fixtures[[#This Row],[awayScore]], Fixtures[[#This Row],[homeScore]]))</f>
        <v>N/A</v>
      </c>
      <c r="AF388" s="58" t="b">
        <f>NOT(AND(ISBLANK(Fixtures[[#This Row],[homePens]]), ISBLANK(Fixtures[[#This Row],[awayPens]])))</f>
        <v>0</v>
      </c>
      <c r="AG388" s="58" t="str">
        <f>IF(Fixtures[[#This Row],[penalties]], IF(Fixtures[[#This Row],[userSide]]="H", Fixtures[[#This Row],[homePens]], Fixtures[[#This Row],[awayPens]]), "N/A")</f>
        <v>N/A</v>
      </c>
      <c r="AH388" s="58" t="str">
        <f>IF(Fixtures[[#This Row],[penalties]], IF(Fixtures[[#This Row],[userPens]]=Fixtures[[#This Row],[homePens]],Fixtures[[#This Row],[awayPens]],Fixtures[[#This Row],[homePens]]), "N/A")</f>
        <v>N/A</v>
      </c>
      <c r="AI388" s="58" t="b">
        <f>COUNTBLANK(Fixtures[[#This Row],[G]:[MOTM]]) = 0</f>
        <v>0</v>
      </c>
      <c r="AJ388" s="58" t="str">
        <f>IF(Fixtures[[#This Row],[APP]], Fixtures[[#This Row],[G]]+Fixtures[[#This Row],[A]], "N/A")</f>
        <v>N/A</v>
      </c>
      <c r="AK3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89" spans="1:39" ht="13">
      <c r="A389" s="55"/>
      <c r="B389" s="61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7"/>
      <c r="R389" s="56"/>
      <c r="S389" s="58" t="str" cm="1">
        <f t="array" ref="S389">_xlfn._xlws.FILTER(Competitions[compType], (Fixtures[[#This Row],[competition]] = Competitions[name]), "N/A")</f>
        <v>N/A</v>
      </c>
      <c r="T389" s="58" t="str" cm="1">
        <f t="array" ref="T389">_xlfn._xlws.FILTER(Competitions[exhibition], (Fixtures[[#This Row],[competition]] = Competitions[name]), "N/A")</f>
        <v>N/A</v>
      </c>
      <c r="U389" s="58" t="str" cm="1">
        <f t="array" ref="U389">_xlfn._xlws.FILTER(Competitions[compID], (Fixtures[[#This Row],[competition]] = Competitions[name]), "N/A")</f>
        <v>N/A</v>
      </c>
      <c r="V3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89" s="58" t="str" cm="1">
        <f t="array" ref="W3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89" s="58" t="str" cm="1">
        <f t="array" ref="X389">_xlfn._xlws.FILTER(Teams[name], (Fixtures[[#This Row],[userTeamID]] = Teams[teamID]), "N/A")</f>
        <v>N/A</v>
      </c>
      <c r="Y389" s="58" t="str" cm="1">
        <f t="array" ref="Y389">_xlfn._xlws.FILTER(Teams[teamType], (Fixtures[[#This Row],[userTeamID]] = Teams[teamID]), "N/A")</f>
        <v>N/A</v>
      </c>
      <c r="Z389" s="58" t="str" cm="1">
        <f t="array" ref="Z3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89" s="58" t="str">
        <f>IF(Fixtures[[#This Row],[userSide]] = "N/A", "N/A", IF(Fixtures[[#This Row],[userSide]] = "H", Fixtures[[#This Row],[awayTeam]], Fixtures[[#This Row],[homeTeam]]))</f>
        <v>N/A</v>
      </c>
      <c r="AB389" s="58" t="str" cm="1">
        <f t="array" ref="AB389">_xlfn._xlws.FILTER(Teams[teamID], Fixtures[[#This Row],[oppTeam]] = Teams[name], "N/A")</f>
        <v>N/A</v>
      </c>
      <c r="AC389" s="58" t="str" cm="1">
        <f t="array" ref="AC389">_xlfn._xlws.FILTER(Teams[teamType], Fixtures[[#This Row],[oppTeam]] = Teams[name], "N/A")</f>
        <v>N/A</v>
      </c>
      <c r="AD389" s="58" t="str">
        <f>IF(ISBLANK(Fixtures[[#This Row],[date]]), "N/A", IF(Fixtures[[#This Row],[userSide]]="H", Fixtures[[#This Row],[homeScore]], Fixtures[[#This Row],[awayScore]]))</f>
        <v>N/A</v>
      </c>
      <c r="AE389" s="58" t="str">
        <f>IF(ISBLANK(Fixtures[[#This Row],[date]]), "N/A", IF(Fixtures[[#This Row],[userScore]] = Fixtures[[#This Row],[homeScore]], Fixtures[[#This Row],[awayScore]], Fixtures[[#This Row],[homeScore]]))</f>
        <v>N/A</v>
      </c>
      <c r="AF389" s="58" t="b">
        <f>NOT(AND(ISBLANK(Fixtures[[#This Row],[homePens]]), ISBLANK(Fixtures[[#This Row],[awayPens]])))</f>
        <v>0</v>
      </c>
      <c r="AG389" s="58" t="str">
        <f>IF(Fixtures[[#This Row],[penalties]], IF(Fixtures[[#This Row],[userSide]]="H", Fixtures[[#This Row],[homePens]], Fixtures[[#This Row],[awayPens]]), "N/A")</f>
        <v>N/A</v>
      </c>
      <c r="AH389" s="58" t="str">
        <f>IF(Fixtures[[#This Row],[penalties]], IF(Fixtures[[#This Row],[userPens]]=Fixtures[[#This Row],[homePens]],Fixtures[[#This Row],[awayPens]],Fixtures[[#This Row],[homePens]]), "N/A")</f>
        <v>N/A</v>
      </c>
      <c r="AI389" s="58" t="b">
        <f>COUNTBLANK(Fixtures[[#This Row],[G]:[MOTM]]) = 0</f>
        <v>0</v>
      </c>
      <c r="AJ389" s="58" t="str">
        <f>IF(Fixtures[[#This Row],[APP]], Fixtures[[#This Row],[G]]+Fixtures[[#This Row],[A]], "N/A")</f>
        <v>N/A</v>
      </c>
      <c r="AK3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0" spans="1:39" ht="13">
      <c r="A390" s="55"/>
      <c r="B390" s="61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7"/>
      <c r="R390" s="56"/>
      <c r="S390" s="58" t="str" cm="1">
        <f t="array" ref="S390">_xlfn._xlws.FILTER(Competitions[compType], (Fixtures[[#This Row],[competition]] = Competitions[name]), "N/A")</f>
        <v>N/A</v>
      </c>
      <c r="T390" s="58" t="str" cm="1">
        <f t="array" ref="T390">_xlfn._xlws.FILTER(Competitions[exhibition], (Fixtures[[#This Row],[competition]] = Competitions[name]), "N/A")</f>
        <v>N/A</v>
      </c>
      <c r="U390" s="58" t="str" cm="1">
        <f t="array" ref="U390">_xlfn._xlws.FILTER(Competitions[compID], (Fixtures[[#This Row],[competition]] = Competitions[name]), "N/A")</f>
        <v>N/A</v>
      </c>
      <c r="V3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0" s="58" t="str" cm="1">
        <f t="array" ref="W3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0" s="58" t="str" cm="1">
        <f t="array" ref="X390">_xlfn._xlws.FILTER(Teams[name], (Fixtures[[#This Row],[userTeamID]] = Teams[teamID]), "N/A")</f>
        <v>N/A</v>
      </c>
      <c r="Y390" s="58" t="str" cm="1">
        <f t="array" ref="Y390">_xlfn._xlws.FILTER(Teams[teamType], (Fixtures[[#This Row],[userTeamID]] = Teams[teamID]), "N/A")</f>
        <v>N/A</v>
      </c>
      <c r="Z390" s="58" t="str" cm="1">
        <f t="array" ref="Z3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0" s="58" t="str">
        <f>IF(Fixtures[[#This Row],[userSide]] = "N/A", "N/A", IF(Fixtures[[#This Row],[userSide]] = "H", Fixtures[[#This Row],[awayTeam]], Fixtures[[#This Row],[homeTeam]]))</f>
        <v>N/A</v>
      </c>
      <c r="AB390" s="58" t="str" cm="1">
        <f t="array" ref="AB390">_xlfn._xlws.FILTER(Teams[teamID], Fixtures[[#This Row],[oppTeam]] = Teams[name], "N/A")</f>
        <v>N/A</v>
      </c>
      <c r="AC390" s="58" t="str" cm="1">
        <f t="array" ref="AC390">_xlfn._xlws.FILTER(Teams[teamType], Fixtures[[#This Row],[oppTeam]] = Teams[name], "N/A")</f>
        <v>N/A</v>
      </c>
      <c r="AD390" s="58" t="str">
        <f>IF(ISBLANK(Fixtures[[#This Row],[date]]), "N/A", IF(Fixtures[[#This Row],[userSide]]="H", Fixtures[[#This Row],[homeScore]], Fixtures[[#This Row],[awayScore]]))</f>
        <v>N/A</v>
      </c>
      <c r="AE390" s="58" t="str">
        <f>IF(ISBLANK(Fixtures[[#This Row],[date]]), "N/A", IF(Fixtures[[#This Row],[userScore]] = Fixtures[[#This Row],[homeScore]], Fixtures[[#This Row],[awayScore]], Fixtures[[#This Row],[homeScore]]))</f>
        <v>N/A</v>
      </c>
      <c r="AF390" s="58" t="b">
        <f>NOT(AND(ISBLANK(Fixtures[[#This Row],[homePens]]), ISBLANK(Fixtures[[#This Row],[awayPens]])))</f>
        <v>0</v>
      </c>
      <c r="AG390" s="58" t="str">
        <f>IF(Fixtures[[#This Row],[penalties]], IF(Fixtures[[#This Row],[userSide]]="H", Fixtures[[#This Row],[homePens]], Fixtures[[#This Row],[awayPens]]), "N/A")</f>
        <v>N/A</v>
      </c>
      <c r="AH390" s="58" t="str">
        <f>IF(Fixtures[[#This Row],[penalties]], IF(Fixtures[[#This Row],[userPens]]=Fixtures[[#This Row],[homePens]],Fixtures[[#This Row],[awayPens]],Fixtures[[#This Row],[homePens]]), "N/A")</f>
        <v>N/A</v>
      </c>
      <c r="AI390" s="58" t="b">
        <f>COUNTBLANK(Fixtures[[#This Row],[G]:[MOTM]]) = 0</f>
        <v>0</v>
      </c>
      <c r="AJ390" s="58" t="str">
        <f>IF(Fixtures[[#This Row],[APP]], Fixtures[[#This Row],[G]]+Fixtures[[#This Row],[A]], "N/A")</f>
        <v>N/A</v>
      </c>
      <c r="AK3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1" spans="1:39" ht="13">
      <c r="A391" s="55"/>
      <c r="B391" s="61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7"/>
      <c r="R391" s="56"/>
      <c r="S391" s="58" t="str" cm="1">
        <f t="array" ref="S391">_xlfn._xlws.FILTER(Competitions[compType], (Fixtures[[#This Row],[competition]] = Competitions[name]), "N/A")</f>
        <v>N/A</v>
      </c>
      <c r="T391" s="58" t="str" cm="1">
        <f t="array" ref="T391">_xlfn._xlws.FILTER(Competitions[exhibition], (Fixtures[[#This Row],[competition]] = Competitions[name]), "N/A")</f>
        <v>N/A</v>
      </c>
      <c r="U391" s="58" t="str" cm="1">
        <f t="array" ref="U391">_xlfn._xlws.FILTER(Competitions[compID], (Fixtures[[#This Row],[competition]] = Competitions[name]), "N/A")</f>
        <v>N/A</v>
      </c>
      <c r="V3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1" s="58" t="str" cm="1">
        <f t="array" ref="W3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1" s="58" t="str" cm="1">
        <f t="array" ref="X391">_xlfn._xlws.FILTER(Teams[name], (Fixtures[[#This Row],[userTeamID]] = Teams[teamID]), "N/A")</f>
        <v>N/A</v>
      </c>
      <c r="Y391" s="58" t="str" cm="1">
        <f t="array" ref="Y391">_xlfn._xlws.FILTER(Teams[teamType], (Fixtures[[#This Row],[userTeamID]] = Teams[teamID]), "N/A")</f>
        <v>N/A</v>
      </c>
      <c r="Z391" s="58" t="str" cm="1">
        <f t="array" ref="Z3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1" s="58" t="str">
        <f>IF(Fixtures[[#This Row],[userSide]] = "N/A", "N/A", IF(Fixtures[[#This Row],[userSide]] = "H", Fixtures[[#This Row],[awayTeam]], Fixtures[[#This Row],[homeTeam]]))</f>
        <v>N/A</v>
      </c>
      <c r="AB391" s="58" t="str" cm="1">
        <f t="array" ref="AB391">_xlfn._xlws.FILTER(Teams[teamID], Fixtures[[#This Row],[oppTeam]] = Teams[name], "N/A")</f>
        <v>N/A</v>
      </c>
      <c r="AC391" s="58" t="str" cm="1">
        <f t="array" ref="AC391">_xlfn._xlws.FILTER(Teams[teamType], Fixtures[[#This Row],[oppTeam]] = Teams[name], "N/A")</f>
        <v>N/A</v>
      </c>
      <c r="AD391" s="58" t="str">
        <f>IF(ISBLANK(Fixtures[[#This Row],[date]]), "N/A", IF(Fixtures[[#This Row],[userSide]]="H", Fixtures[[#This Row],[homeScore]], Fixtures[[#This Row],[awayScore]]))</f>
        <v>N/A</v>
      </c>
      <c r="AE391" s="58" t="str">
        <f>IF(ISBLANK(Fixtures[[#This Row],[date]]), "N/A", IF(Fixtures[[#This Row],[userScore]] = Fixtures[[#This Row],[homeScore]], Fixtures[[#This Row],[awayScore]], Fixtures[[#This Row],[homeScore]]))</f>
        <v>N/A</v>
      </c>
      <c r="AF391" s="58" t="b">
        <f>NOT(AND(ISBLANK(Fixtures[[#This Row],[homePens]]), ISBLANK(Fixtures[[#This Row],[awayPens]])))</f>
        <v>0</v>
      </c>
      <c r="AG391" s="58" t="str">
        <f>IF(Fixtures[[#This Row],[penalties]], IF(Fixtures[[#This Row],[userSide]]="H", Fixtures[[#This Row],[homePens]], Fixtures[[#This Row],[awayPens]]), "N/A")</f>
        <v>N/A</v>
      </c>
      <c r="AH391" s="58" t="str">
        <f>IF(Fixtures[[#This Row],[penalties]], IF(Fixtures[[#This Row],[userPens]]=Fixtures[[#This Row],[homePens]],Fixtures[[#This Row],[awayPens]],Fixtures[[#This Row],[homePens]]), "N/A")</f>
        <v>N/A</v>
      </c>
      <c r="AI391" s="58" t="b">
        <f>COUNTBLANK(Fixtures[[#This Row],[G]:[MOTM]]) = 0</f>
        <v>0</v>
      </c>
      <c r="AJ391" s="58" t="str">
        <f>IF(Fixtures[[#This Row],[APP]], Fixtures[[#This Row],[G]]+Fixtures[[#This Row],[A]], "N/A")</f>
        <v>N/A</v>
      </c>
      <c r="AK3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2" spans="1:39" ht="13">
      <c r="A392" s="55"/>
      <c r="B392" s="61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7"/>
      <c r="R392" s="56"/>
      <c r="S392" s="58" t="str" cm="1">
        <f t="array" ref="S392">_xlfn._xlws.FILTER(Competitions[compType], (Fixtures[[#This Row],[competition]] = Competitions[name]), "N/A")</f>
        <v>N/A</v>
      </c>
      <c r="T392" s="58" t="str" cm="1">
        <f t="array" ref="T392">_xlfn._xlws.FILTER(Competitions[exhibition], (Fixtures[[#This Row],[competition]] = Competitions[name]), "N/A")</f>
        <v>N/A</v>
      </c>
      <c r="U392" s="58" t="str" cm="1">
        <f t="array" ref="U392">_xlfn._xlws.FILTER(Competitions[compID], (Fixtures[[#This Row],[competition]] = Competitions[name]), "N/A")</f>
        <v>N/A</v>
      </c>
      <c r="V3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2" s="58" t="str" cm="1">
        <f t="array" ref="W3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2" s="58" t="str" cm="1">
        <f t="array" ref="X392">_xlfn._xlws.FILTER(Teams[name], (Fixtures[[#This Row],[userTeamID]] = Teams[teamID]), "N/A")</f>
        <v>N/A</v>
      </c>
      <c r="Y392" s="58" t="str" cm="1">
        <f t="array" ref="Y392">_xlfn._xlws.FILTER(Teams[teamType], (Fixtures[[#This Row],[userTeamID]] = Teams[teamID]), "N/A")</f>
        <v>N/A</v>
      </c>
      <c r="Z392" s="58" t="str" cm="1">
        <f t="array" ref="Z3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2" s="58" t="str">
        <f>IF(Fixtures[[#This Row],[userSide]] = "N/A", "N/A", IF(Fixtures[[#This Row],[userSide]] = "H", Fixtures[[#This Row],[awayTeam]], Fixtures[[#This Row],[homeTeam]]))</f>
        <v>N/A</v>
      </c>
      <c r="AB392" s="58" t="str" cm="1">
        <f t="array" ref="AB392">_xlfn._xlws.FILTER(Teams[teamID], Fixtures[[#This Row],[oppTeam]] = Teams[name], "N/A")</f>
        <v>N/A</v>
      </c>
      <c r="AC392" s="58" t="str" cm="1">
        <f t="array" ref="AC392">_xlfn._xlws.FILTER(Teams[teamType], Fixtures[[#This Row],[oppTeam]] = Teams[name], "N/A")</f>
        <v>N/A</v>
      </c>
      <c r="AD392" s="58" t="str">
        <f>IF(ISBLANK(Fixtures[[#This Row],[date]]), "N/A", IF(Fixtures[[#This Row],[userSide]]="H", Fixtures[[#This Row],[homeScore]], Fixtures[[#This Row],[awayScore]]))</f>
        <v>N/A</v>
      </c>
      <c r="AE392" s="58" t="str">
        <f>IF(ISBLANK(Fixtures[[#This Row],[date]]), "N/A", IF(Fixtures[[#This Row],[userScore]] = Fixtures[[#This Row],[homeScore]], Fixtures[[#This Row],[awayScore]], Fixtures[[#This Row],[homeScore]]))</f>
        <v>N/A</v>
      </c>
      <c r="AF392" s="58" t="b">
        <f>NOT(AND(ISBLANK(Fixtures[[#This Row],[homePens]]), ISBLANK(Fixtures[[#This Row],[awayPens]])))</f>
        <v>0</v>
      </c>
      <c r="AG392" s="58" t="str">
        <f>IF(Fixtures[[#This Row],[penalties]], IF(Fixtures[[#This Row],[userSide]]="H", Fixtures[[#This Row],[homePens]], Fixtures[[#This Row],[awayPens]]), "N/A")</f>
        <v>N/A</v>
      </c>
      <c r="AH392" s="58" t="str">
        <f>IF(Fixtures[[#This Row],[penalties]], IF(Fixtures[[#This Row],[userPens]]=Fixtures[[#This Row],[homePens]],Fixtures[[#This Row],[awayPens]],Fixtures[[#This Row],[homePens]]), "N/A")</f>
        <v>N/A</v>
      </c>
      <c r="AI392" s="58" t="b">
        <f>COUNTBLANK(Fixtures[[#This Row],[G]:[MOTM]]) = 0</f>
        <v>0</v>
      </c>
      <c r="AJ392" s="58" t="str">
        <f>IF(Fixtures[[#This Row],[APP]], Fixtures[[#This Row],[G]]+Fixtures[[#This Row],[A]], "N/A")</f>
        <v>N/A</v>
      </c>
      <c r="AK3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3" spans="1:39" ht="13">
      <c r="A393" s="55"/>
      <c r="B393" s="61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7"/>
      <c r="R393" s="56"/>
      <c r="S393" s="58" t="str" cm="1">
        <f t="array" ref="S393">_xlfn._xlws.FILTER(Competitions[compType], (Fixtures[[#This Row],[competition]] = Competitions[name]), "N/A")</f>
        <v>N/A</v>
      </c>
      <c r="T393" s="58" t="str" cm="1">
        <f t="array" ref="T393">_xlfn._xlws.FILTER(Competitions[exhibition], (Fixtures[[#This Row],[competition]] = Competitions[name]), "N/A")</f>
        <v>N/A</v>
      </c>
      <c r="U393" s="58" t="str" cm="1">
        <f t="array" ref="U393">_xlfn._xlws.FILTER(Competitions[compID], (Fixtures[[#This Row],[competition]] = Competitions[name]), "N/A")</f>
        <v>N/A</v>
      </c>
      <c r="V3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3" s="58" t="str" cm="1">
        <f t="array" ref="W3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3" s="58" t="str" cm="1">
        <f t="array" ref="X393">_xlfn._xlws.FILTER(Teams[name], (Fixtures[[#This Row],[userTeamID]] = Teams[teamID]), "N/A")</f>
        <v>N/A</v>
      </c>
      <c r="Y393" s="58" t="str" cm="1">
        <f t="array" ref="Y393">_xlfn._xlws.FILTER(Teams[teamType], (Fixtures[[#This Row],[userTeamID]] = Teams[teamID]), "N/A")</f>
        <v>N/A</v>
      </c>
      <c r="Z393" s="58" t="str" cm="1">
        <f t="array" ref="Z3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3" s="58" t="str">
        <f>IF(Fixtures[[#This Row],[userSide]] = "N/A", "N/A", IF(Fixtures[[#This Row],[userSide]] = "H", Fixtures[[#This Row],[awayTeam]], Fixtures[[#This Row],[homeTeam]]))</f>
        <v>N/A</v>
      </c>
      <c r="AB393" s="58" t="str" cm="1">
        <f t="array" ref="AB393">_xlfn._xlws.FILTER(Teams[teamID], Fixtures[[#This Row],[oppTeam]] = Teams[name], "N/A")</f>
        <v>N/A</v>
      </c>
      <c r="AC393" s="58" t="str" cm="1">
        <f t="array" ref="AC393">_xlfn._xlws.FILTER(Teams[teamType], Fixtures[[#This Row],[oppTeam]] = Teams[name], "N/A")</f>
        <v>N/A</v>
      </c>
      <c r="AD393" s="58" t="str">
        <f>IF(ISBLANK(Fixtures[[#This Row],[date]]), "N/A", IF(Fixtures[[#This Row],[userSide]]="H", Fixtures[[#This Row],[homeScore]], Fixtures[[#This Row],[awayScore]]))</f>
        <v>N/A</v>
      </c>
      <c r="AE393" s="58" t="str">
        <f>IF(ISBLANK(Fixtures[[#This Row],[date]]), "N/A", IF(Fixtures[[#This Row],[userScore]] = Fixtures[[#This Row],[homeScore]], Fixtures[[#This Row],[awayScore]], Fixtures[[#This Row],[homeScore]]))</f>
        <v>N/A</v>
      </c>
      <c r="AF393" s="58" t="b">
        <f>NOT(AND(ISBLANK(Fixtures[[#This Row],[homePens]]), ISBLANK(Fixtures[[#This Row],[awayPens]])))</f>
        <v>0</v>
      </c>
      <c r="AG393" s="58" t="str">
        <f>IF(Fixtures[[#This Row],[penalties]], IF(Fixtures[[#This Row],[userSide]]="H", Fixtures[[#This Row],[homePens]], Fixtures[[#This Row],[awayPens]]), "N/A")</f>
        <v>N/A</v>
      </c>
      <c r="AH393" s="58" t="str">
        <f>IF(Fixtures[[#This Row],[penalties]], IF(Fixtures[[#This Row],[userPens]]=Fixtures[[#This Row],[homePens]],Fixtures[[#This Row],[awayPens]],Fixtures[[#This Row],[homePens]]), "N/A")</f>
        <v>N/A</v>
      </c>
      <c r="AI393" s="58" t="b">
        <f>COUNTBLANK(Fixtures[[#This Row],[G]:[MOTM]]) = 0</f>
        <v>0</v>
      </c>
      <c r="AJ393" s="58" t="str">
        <f>IF(Fixtures[[#This Row],[APP]], Fixtures[[#This Row],[G]]+Fixtures[[#This Row],[A]], "N/A")</f>
        <v>N/A</v>
      </c>
      <c r="AK3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4" spans="1:39" ht="13">
      <c r="A394" s="55"/>
      <c r="B394" s="61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7"/>
      <c r="R394" s="56"/>
      <c r="S394" s="58" t="str" cm="1">
        <f t="array" ref="S394">_xlfn._xlws.FILTER(Competitions[compType], (Fixtures[[#This Row],[competition]] = Competitions[name]), "N/A")</f>
        <v>N/A</v>
      </c>
      <c r="T394" s="58" t="str" cm="1">
        <f t="array" ref="T394">_xlfn._xlws.FILTER(Competitions[exhibition], (Fixtures[[#This Row],[competition]] = Competitions[name]), "N/A")</f>
        <v>N/A</v>
      </c>
      <c r="U394" s="58" t="str" cm="1">
        <f t="array" ref="U394">_xlfn._xlws.FILTER(Competitions[compID], (Fixtures[[#This Row],[competition]] = Competitions[name]), "N/A")</f>
        <v>N/A</v>
      </c>
      <c r="V3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4" s="58" t="str" cm="1">
        <f t="array" ref="W3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4" s="58" t="str" cm="1">
        <f t="array" ref="X394">_xlfn._xlws.FILTER(Teams[name], (Fixtures[[#This Row],[userTeamID]] = Teams[teamID]), "N/A")</f>
        <v>N/A</v>
      </c>
      <c r="Y394" s="58" t="str" cm="1">
        <f t="array" ref="Y394">_xlfn._xlws.FILTER(Teams[teamType], (Fixtures[[#This Row],[userTeamID]] = Teams[teamID]), "N/A")</f>
        <v>N/A</v>
      </c>
      <c r="Z394" s="58" t="str" cm="1">
        <f t="array" ref="Z3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4" s="58" t="str">
        <f>IF(Fixtures[[#This Row],[userSide]] = "N/A", "N/A", IF(Fixtures[[#This Row],[userSide]] = "H", Fixtures[[#This Row],[awayTeam]], Fixtures[[#This Row],[homeTeam]]))</f>
        <v>N/A</v>
      </c>
      <c r="AB394" s="58" t="str" cm="1">
        <f t="array" ref="AB394">_xlfn._xlws.FILTER(Teams[teamID], Fixtures[[#This Row],[oppTeam]] = Teams[name], "N/A")</f>
        <v>N/A</v>
      </c>
      <c r="AC394" s="58" t="str" cm="1">
        <f t="array" ref="AC394">_xlfn._xlws.FILTER(Teams[teamType], Fixtures[[#This Row],[oppTeam]] = Teams[name], "N/A")</f>
        <v>N/A</v>
      </c>
      <c r="AD394" s="58" t="str">
        <f>IF(ISBLANK(Fixtures[[#This Row],[date]]), "N/A", IF(Fixtures[[#This Row],[userSide]]="H", Fixtures[[#This Row],[homeScore]], Fixtures[[#This Row],[awayScore]]))</f>
        <v>N/A</v>
      </c>
      <c r="AE394" s="58" t="str">
        <f>IF(ISBLANK(Fixtures[[#This Row],[date]]), "N/A", IF(Fixtures[[#This Row],[userScore]] = Fixtures[[#This Row],[homeScore]], Fixtures[[#This Row],[awayScore]], Fixtures[[#This Row],[homeScore]]))</f>
        <v>N/A</v>
      </c>
      <c r="AF394" s="58" t="b">
        <f>NOT(AND(ISBLANK(Fixtures[[#This Row],[homePens]]), ISBLANK(Fixtures[[#This Row],[awayPens]])))</f>
        <v>0</v>
      </c>
      <c r="AG394" s="58" t="str">
        <f>IF(Fixtures[[#This Row],[penalties]], IF(Fixtures[[#This Row],[userSide]]="H", Fixtures[[#This Row],[homePens]], Fixtures[[#This Row],[awayPens]]), "N/A")</f>
        <v>N/A</v>
      </c>
      <c r="AH394" s="58" t="str">
        <f>IF(Fixtures[[#This Row],[penalties]], IF(Fixtures[[#This Row],[userPens]]=Fixtures[[#This Row],[homePens]],Fixtures[[#This Row],[awayPens]],Fixtures[[#This Row],[homePens]]), "N/A")</f>
        <v>N/A</v>
      </c>
      <c r="AI394" s="58" t="b">
        <f>COUNTBLANK(Fixtures[[#This Row],[G]:[MOTM]]) = 0</f>
        <v>0</v>
      </c>
      <c r="AJ394" s="58" t="str">
        <f>IF(Fixtures[[#This Row],[APP]], Fixtures[[#This Row],[G]]+Fixtures[[#This Row],[A]], "N/A")</f>
        <v>N/A</v>
      </c>
      <c r="AK3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5" spans="1:39" ht="13">
      <c r="A395" s="55"/>
      <c r="B395" s="61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7"/>
      <c r="R395" s="56"/>
      <c r="S395" s="58" t="str" cm="1">
        <f t="array" ref="S395">_xlfn._xlws.FILTER(Competitions[compType], (Fixtures[[#This Row],[competition]] = Competitions[name]), "N/A")</f>
        <v>N/A</v>
      </c>
      <c r="T395" s="58" t="str" cm="1">
        <f t="array" ref="T395">_xlfn._xlws.FILTER(Competitions[exhibition], (Fixtures[[#This Row],[competition]] = Competitions[name]), "N/A")</f>
        <v>N/A</v>
      </c>
      <c r="U395" s="58" t="str" cm="1">
        <f t="array" ref="U395">_xlfn._xlws.FILTER(Competitions[compID], (Fixtures[[#This Row],[competition]] = Competitions[name]), "N/A")</f>
        <v>N/A</v>
      </c>
      <c r="V3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5" s="58" t="str" cm="1">
        <f t="array" ref="W3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5" s="58" t="str" cm="1">
        <f t="array" ref="X395">_xlfn._xlws.FILTER(Teams[name], (Fixtures[[#This Row],[userTeamID]] = Teams[teamID]), "N/A")</f>
        <v>N/A</v>
      </c>
      <c r="Y395" s="58" t="str" cm="1">
        <f t="array" ref="Y395">_xlfn._xlws.FILTER(Teams[teamType], (Fixtures[[#This Row],[userTeamID]] = Teams[teamID]), "N/A")</f>
        <v>N/A</v>
      </c>
      <c r="Z395" s="58" t="str" cm="1">
        <f t="array" ref="Z3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5" s="58" t="str">
        <f>IF(Fixtures[[#This Row],[userSide]] = "N/A", "N/A", IF(Fixtures[[#This Row],[userSide]] = "H", Fixtures[[#This Row],[awayTeam]], Fixtures[[#This Row],[homeTeam]]))</f>
        <v>N/A</v>
      </c>
      <c r="AB395" s="58" t="str" cm="1">
        <f t="array" ref="AB395">_xlfn._xlws.FILTER(Teams[teamID], Fixtures[[#This Row],[oppTeam]] = Teams[name], "N/A")</f>
        <v>N/A</v>
      </c>
      <c r="AC395" s="58" t="str" cm="1">
        <f t="array" ref="AC395">_xlfn._xlws.FILTER(Teams[teamType], Fixtures[[#This Row],[oppTeam]] = Teams[name], "N/A")</f>
        <v>N/A</v>
      </c>
      <c r="AD395" s="58" t="str">
        <f>IF(ISBLANK(Fixtures[[#This Row],[date]]), "N/A", IF(Fixtures[[#This Row],[userSide]]="H", Fixtures[[#This Row],[homeScore]], Fixtures[[#This Row],[awayScore]]))</f>
        <v>N/A</v>
      </c>
      <c r="AE395" s="58" t="str">
        <f>IF(ISBLANK(Fixtures[[#This Row],[date]]), "N/A", IF(Fixtures[[#This Row],[userScore]] = Fixtures[[#This Row],[homeScore]], Fixtures[[#This Row],[awayScore]], Fixtures[[#This Row],[homeScore]]))</f>
        <v>N/A</v>
      </c>
      <c r="AF395" s="58" t="b">
        <f>NOT(AND(ISBLANK(Fixtures[[#This Row],[homePens]]), ISBLANK(Fixtures[[#This Row],[awayPens]])))</f>
        <v>0</v>
      </c>
      <c r="AG395" s="58" t="str">
        <f>IF(Fixtures[[#This Row],[penalties]], IF(Fixtures[[#This Row],[userSide]]="H", Fixtures[[#This Row],[homePens]], Fixtures[[#This Row],[awayPens]]), "N/A")</f>
        <v>N/A</v>
      </c>
      <c r="AH395" s="58" t="str">
        <f>IF(Fixtures[[#This Row],[penalties]], IF(Fixtures[[#This Row],[userPens]]=Fixtures[[#This Row],[homePens]],Fixtures[[#This Row],[awayPens]],Fixtures[[#This Row],[homePens]]), "N/A")</f>
        <v>N/A</v>
      </c>
      <c r="AI395" s="58" t="b">
        <f>COUNTBLANK(Fixtures[[#This Row],[G]:[MOTM]]) = 0</f>
        <v>0</v>
      </c>
      <c r="AJ395" s="58" t="str">
        <f>IF(Fixtures[[#This Row],[APP]], Fixtures[[#This Row],[G]]+Fixtures[[#This Row],[A]], "N/A")</f>
        <v>N/A</v>
      </c>
      <c r="AK3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6" spans="1:39" ht="13">
      <c r="A396" s="55"/>
      <c r="B396" s="61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7"/>
      <c r="R396" s="56"/>
      <c r="S396" s="58" t="str" cm="1">
        <f t="array" ref="S396">_xlfn._xlws.FILTER(Competitions[compType], (Fixtures[[#This Row],[competition]] = Competitions[name]), "N/A")</f>
        <v>N/A</v>
      </c>
      <c r="T396" s="58" t="str" cm="1">
        <f t="array" ref="T396">_xlfn._xlws.FILTER(Competitions[exhibition], (Fixtures[[#This Row],[competition]] = Competitions[name]), "N/A")</f>
        <v>N/A</v>
      </c>
      <c r="U396" s="58" t="str" cm="1">
        <f t="array" ref="U396">_xlfn._xlws.FILTER(Competitions[compID], (Fixtures[[#This Row],[competition]] = Competitions[name]), "N/A")</f>
        <v>N/A</v>
      </c>
      <c r="V3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6" s="58" t="str" cm="1">
        <f t="array" ref="W3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6" s="58" t="str" cm="1">
        <f t="array" ref="X396">_xlfn._xlws.FILTER(Teams[name], (Fixtures[[#This Row],[userTeamID]] = Teams[teamID]), "N/A")</f>
        <v>N/A</v>
      </c>
      <c r="Y396" s="58" t="str" cm="1">
        <f t="array" ref="Y396">_xlfn._xlws.FILTER(Teams[teamType], (Fixtures[[#This Row],[userTeamID]] = Teams[teamID]), "N/A")</f>
        <v>N/A</v>
      </c>
      <c r="Z396" s="58" t="str" cm="1">
        <f t="array" ref="Z3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6" s="58" t="str">
        <f>IF(Fixtures[[#This Row],[userSide]] = "N/A", "N/A", IF(Fixtures[[#This Row],[userSide]] = "H", Fixtures[[#This Row],[awayTeam]], Fixtures[[#This Row],[homeTeam]]))</f>
        <v>N/A</v>
      </c>
      <c r="AB396" s="58" t="str" cm="1">
        <f t="array" ref="AB396">_xlfn._xlws.FILTER(Teams[teamID], Fixtures[[#This Row],[oppTeam]] = Teams[name], "N/A")</f>
        <v>N/A</v>
      </c>
      <c r="AC396" s="58" t="str" cm="1">
        <f t="array" ref="AC396">_xlfn._xlws.FILTER(Teams[teamType], Fixtures[[#This Row],[oppTeam]] = Teams[name], "N/A")</f>
        <v>N/A</v>
      </c>
      <c r="AD396" s="58" t="str">
        <f>IF(ISBLANK(Fixtures[[#This Row],[date]]), "N/A", IF(Fixtures[[#This Row],[userSide]]="H", Fixtures[[#This Row],[homeScore]], Fixtures[[#This Row],[awayScore]]))</f>
        <v>N/A</v>
      </c>
      <c r="AE396" s="58" t="str">
        <f>IF(ISBLANK(Fixtures[[#This Row],[date]]), "N/A", IF(Fixtures[[#This Row],[userScore]] = Fixtures[[#This Row],[homeScore]], Fixtures[[#This Row],[awayScore]], Fixtures[[#This Row],[homeScore]]))</f>
        <v>N/A</v>
      </c>
      <c r="AF396" s="58" t="b">
        <f>NOT(AND(ISBLANK(Fixtures[[#This Row],[homePens]]), ISBLANK(Fixtures[[#This Row],[awayPens]])))</f>
        <v>0</v>
      </c>
      <c r="AG396" s="58" t="str">
        <f>IF(Fixtures[[#This Row],[penalties]], IF(Fixtures[[#This Row],[userSide]]="H", Fixtures[[#This Row],[homePens]], Fixtures[[#This Row],[awayPens]]), "N/A")</f>
        <v>N/A</v>
      </c>
      <c r="AH396" s="58" t="str">
        <f>IF(Fixtures[[#This Row],[penalties]], IF(Fixtures[[#This Row],[userPens]]=Fixtures[[#This Row],[homePens]],Fixtures[[#This Row],[awayPens]],Fixtures[[#This Row],[homePens]]), "N/A")</f>
        <v>N/A</v>
      </c>
      <c r="AI396" s="58" t="b">
        <f>COUNTBLANK(Fixtures[[#This Row],[G]:[MOTM]]) = 0</f>
        <v>0</v>
      </c>
      <c r="AJ396" s="58" t="str">
        <f>IF(Fixtures[[#This Row],[APP]], Fixtures[[#This Row],[G]]+Fixtures[[#This Row],[A]], "N/A")</f>
        <v>N/A</v>
      </c>
      <c r="AK3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7" spans="1:39" ht="13">
      <c r="A397" s="55"/>
      <c r="B397" s="61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7"/>
      <c r="R397" s="56"/>
      <c r="S397" s="58" t="str" cm="1">
        <f t="array" ref="S397">_xlfn._xlws.FILTER(Competitions[compType], (Fixtures[[#This Row],[competition]] = Competitions[name]), "N/A")</f>
        <v>N/A</v>
      </c>
      <c r="T397" s="58" t="str" cm="1">
        <f t="array" ref="T397">_xlfn._xlws.FILTER(Competitions[exhibition], (Fixtures[[#This Row],[competition]] = Competitions[name]), "N/A")</f>
        <v>N/A</v>
      </c>
      <c r="U397" s="58" t="str" cm="1">
        <f t="array" ref="U397">_xlfn._xlws.FILTER(Competitions[compID], (Fixtures[[#This Row],[competition]] = Competitions[name]), "N/A")</f>
        <v>N/A</v>
      </c>
      <c r="V3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7" s="58" t="str" cm="1">
        <f t="array" ref="W3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7" s="58" t="str" cm="1">
        <f t="array" ref="X397">_xlfn._xlws.FILTER(Teams[name], (Fixtures[[#This Row],[userTeamID]] = Teams[teamID]), "N/A")</f>
        <v>N/A</v>
      </c>
      <c r="Y397" s="58" t="str" cm="1">
        <f t="array" ref="Y397">_xlfn._xlws.FILTER(Teams[teamType], (Fixtures[[#This Row],[userTeamID]] = Teams[teamID]), "N/A")</f>
        <v>N/A</v>
      </c>
      <c r="Z397" s="58" t="str" cm="1">
        <f t="array" ref="Z3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7" s="58" t="str">
        <f>IF(Fixtures[[#This Row],[userSide]] = "N/A", "N/A", IF(Fixtures[[#This Row],[userSide]] = "H", Fixtures[[#This Row],[awayTeam]], Fixtures[[#This Row],[homeTeam]]))</f>
        <v>N/A</v>
      </c>
      <c r="AB397" s="58" t="str" cm="1">
        <f t="array" ref="AB397">_xlfn._xlws.FILTER(Teams[teamID], Fixtures[[#This Row],[oppTeam]] = Teams[name], "N/A")</f>
        <v>N/A</v>
      </c>
      <c r="AC397" s="58" t="str" cm="1">
        <f t="array" ref="AC397">_xlfn._xlws.FILTER(Teams[teamType], Fixtures[[#This Row],[oppTeam]] = Teams[name], "N/A")</f>
        <v>N/A</v>
      </c>
      <c r="AD397" s="58" t="str">
        <f>IF(ISBLANK(Fixtures[[#This Row],[date]]), "N/A", IF(Fixtures[[#This Row],[userSide]]="H", Fixtures[[#This Row],[homeScore]], Fixtures[[#This Row],[awayScore]]))</f>
        <v>N/A</v>
      </c>
      <c r="AE397" s="58" t="str">
        <f>IF(ISBLANK(Fixtures[[#This Row],[date]]), "N/A", IF(Fixtures[[#This Row],[userScore]] = Fixtures[[#This Row],[homeScore]], Fixtures[[#This Row],[awayScore]], Fixtures[[#This Row],[homeScore]]))</f>
        <v>N/A</v>
      </c>
      <c r="AF397" s="58" t="b">
        <f>NOT(AND(ISBLANK(Fixtures[[#This Row],[homePens]]), ISBLANK(Fixtures[[#This Row],[awayPens]])))</f>
        <v>0</v>
      </c>
      <c r="AG397" s="58" t="str">
        <f>IF(Fixtures[[#This Row],[penalties]], IF(Fixtures[[#This Row],[userSide]]="H", Fixtures[[#This Row],[homePens]], Fixtures[[#This Row],[awayPens]]), "N/A")</f>
        <v>N/A</v>
      </c>
      <c r="AH397" s="58" t="str">
        <f>IF(Fixtures[[#This Row],[penalties]], IF(Fixtures[[#This Row],[userPens]]=Fixtures[[#This Row],[homePens]],Fixtures[[#This Row],[awayPens]],Fixtures[[#This Row],[homePens]]), "N/A")</f>
        <v>N/A</v>
      </c>
      <c r="AI397" s="58" t="b">
        <f>COUNTBLANK(Fixtures[[#This Row],[G]:[MOTM]]) = 0</f>
        <v>0</v>
      </c>
      <c r="AJ397" s="58" t="str">
        <f>IF(Fixtures[[#This Row],[APP]], Fixtures[[#This Row],[G]]+Fixtures[[#This Row],[A]], "N/A")</f>
        <v>N/A</v>
      </c>
      <c r="AK3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8" spans="1:39" ht="13">
      <c r="A398" s="55"/>
      <c r="B398" s="61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7"/>
      <c r="R398" s="56"/>
      <c r="S398" s="58" t="str" cm="1">
        <f t="array" ref="S398">_xlfn._xlws.FILTER(Competitions[compType], (Fixtures[[#This Row],[competition]] = Competitions[name]), "N/A")</f>
        <v>N/A</v>
      </c>
      <c r="T398" s="58" t="str" cm="1">
        <f t="array" ref="T398">_xlfn._xlws.FILTER(Competitions[exhibition], (Fixtures[[#This Row],[competition]] = Competitions[name]), "N/A")</f>
        <v>N/A</v>
      </c>
      <c r="U398" s="58" t="str" cm="1">
        <f t="array" ref="U398">_xlfn._xlws.FILTER(Competitions[compID], (Fixtures[[#This Row],[competition]] = Competitions[name]), "N/A")</f>
        <v>N/A</v>
      </c>
      <c r="V3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8" s="58" t="str" cm="1">
        <f t="array" ref="W3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8" s="58" t="str" cm="1">
        <f t="array" ref="X398">_xlfn._xlws.FILTER(Teams[name], (Fixtures[[#This Row],[userTeamID]] = Teams[teamID]), "N/A")</f>
        <v>N/A</v>
      </c>
      <c r="Y398" s="58" t="str" cm="1">
        <f t="array" ref="Y398">_xlfn._xlws.FILTER(Teams[teamType], (Fixtures[[#This Row],[userTeamID]] = Teams[teamID]), "N/A")</f>
        <v>N/A</v>
      </c>
      <c r="Z398" s="58" t="str" cm="1">
        <f t="array" ref="Z3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8" s="58" t="str">
        <f>IF(Fixtures[[#This Row],[userSide]] = "N/A", "N/A", IF(Fixtures[[#This Row],[userSide]] = "H", Fixtures[[#This Row],[awayTeam]], Fixtures[[#This Row],[homeTeam]]))</f>
        <v>N/A</v>
      </c>
      <c r="AB398" s="58" t="str" cm="1">
        <f t="array" ref="AB398">_xlfn._xlws.FILTER(Teams[teamID], Fixtures[[#This Row],[oppTeam]] = Teams[name], "N/A")</f>
        <v>N/A</v>
      </c>
      <c r="AC398" s="58" t="str" cm="1">
        <f t="array" ref="AC398">_xlfn._xlws.FILTER(Teams[teamType], Fixtures[[#This Row],[oppTeam]] = Teams[name], "N/A")</f>
        <v>N/A</v>
      </c>
      <c r="AD398" s="58" t="str">
        <f>IF(ISBLANK(Fixtures[[#This Row],[date]]), "N/A", IF(Fixtures[[#This Row],[userSide]]="H", Fixtures[[#This Row],[homeScore]], Fixtures[[#This Row],[awayScore]]))</f>
        <v>N/A</v>
      </c>
      <c r="AE398" s="58" t="str">
        <f>IF(ISBLANK(Fixtures[[#This Row],[date]]), "N/A", IF(Fixtures[[#This Row],[userScore]] = Fixtures[[#This Row],[homeScore]], Fixtures[[#This Row],[awayScore]], Fixtures[[#This Row],[homeScore]]))</f>
        <v>N/A</v>
      </c>
      <c r="AF398" s="58" t="b">
        <f>NOT(AND(ISBLANK(Fixtures[[#This Row],[homePens]]), ISBLANK(Fixtures[[#This Row],[awayPens]])))</f>
        <v>0</v>
      </c>
      <c r="AG398" s="58" t="str">
        <f>IF(Fixtures[[#This Row],[penalties]], IF(Fixtures[[#This Row],[userSide]]="H", Fixtures[[#This Row],[homePens]], Fixtures[[#This Row],[awayPens]]), "N/A")</f>
        <v>N/A</v>
      </c>
      <c r="AH398" s="58" t="str">
        <f>IF(Fixtures[[#This Row],[penalties]], IF(Fixtures[[#This Row],[userPens]]=Fixtures[[#This Row],[homePens]],Fixtures[[#This Row],[awayPens]],Fixtures[[#This Row],[homePens]]), "N/A")</f>
        <v>N/A</v>
      </c>
      <c r="AI398" s="58" t="b">
        <f>COUNTBLANK(Fixtures[[#This Row],[G]:[MOTM]]) = 0</f>
        <v>0</v>
      </c>
      <c r="AJ398" s="58" t="str">
        <f>IF(Fixtures[[#This Row],[APP]], Fixtures[[#This Row],[G]]+Fixtures[[#This Row],[A]], "N/A")</f>
        <v>N/A</v>
      </c>
      <c r="AK3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399" spans="1:39" ht="13">
      <c r="A399" s="55"/>
      <c r="B399" s="61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7"/>
      <c r="R399" s="56"/>
      <c r="S399" s="58" t="str" cm="1">
        <f t="array" ref="S399">_xlfn._xlws.FILTER(Competitions[compType], (Fixtures[[#This Row],[competition]] = Competitions[name]), "N/A")</f>
        <v>N/A</v>
      </c>
      <c r="T399" s="58" t="str" cm="1">
        <f t="array" ref="T399">_xlfn._xlws.FILTER(Competitions[exhibition], (Fixtures[[#This Row],[competition]] = Competitions[name]), "N/A")</f>
        <v>N/A</v>
      </c>
      <c r="U399" s="58" t="str" cm="1">
        <f t="array" ref="U399">_xlfn._xlws.FILTER(Competitions[compID], (Fixtures[[#This Row],[competition]] = Competitions[name]), "N/A")</f>
        <v>N/A</v>
      </c>
      <c r="V3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399" s="58" t="str" cm="1">
        <f t="array" ref="W3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399" s="58" t="str" cm="1">
        <f t="array" ref="X399">_xlfn._xlws.FILTER(Teams[name], (Fixtures[[#This Row],[userTeamID]] = Teams[teamID]), "N/A")</f>
        <v>N/A</v>
      </c>
      <c r="Y399" s="58" t="str" cm="1">
        <f t="array" ref="Y399">_xlfn._xlws.FILTER(Teams[teamType], (Fixtures[[#This Row],[userTeamID]] = Teams[teamID]), "N/A")</f>
        <v>N/A</v>
      </c>
      <c r="Z399" s="58" t="str" cm="1">
        <f t="array" ref="Z3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399" s="58" t="str">
        <f>IF(Fixtures[[#This Row],[userSide]] = "N/A", "N/A", IF(Fixtures[[#This Row],[userSide]] = "H", Fixtures[[#This Row],[awayTeam]], Fixtures[[#This Row],[homeTeam]]))</f>
        <v>N/A</v>
      </c>
      <c r="AB399" s="58" t="str" cm="1">
        <f t="array" ref="AB399">_xlfn._xlws.FILTER(Teams[teamID], Fixtures[[#This Row],[oppTeam]] = Teams[name], "N/A")</f>
        <v>N/A</v>
      </c>
      <c r="AC399" s="58" t="str" cm="1">
        <f t="array" ref="AC399">_xlfn._xlws.FILTER(Teams[teamType], Fixtures[[#This Row],[oppTeam]] = Teams[name], "N/A")</f>
        <v>N/A</v>
      </c>
      <c r="AD399" s="58" t="str">
        <f>IF(ISBLANK(Fixtures[[#This Row],[date]]), "N/A", IF(Fixtures[[#This Row],[userSide]]="H", Fixtures[[#This Row],[homeScore]], Fixtures[[#This Row],[awayScore]]))</f>
        <v>N/A</v>
      </c>
      <c r="AE399" s="58" t="str">
        <f>IF(ISBLANK(Fixtures[[#This Row],[date]]), "N/A", IF(Fixtures[[#This Row],[userScore]] = Fixtures[[#This Row],[homeScore]], Fixtures[[#This Row],[awayScore]], Fixtures[[#This Row],[homeScore]]))</f>
        <v>N/A</v>
      </c>
      <c r="AF399" s="58" t="b">
        <f>NOT(AND(ISBLANK(Fixtures[[#This Row],[homePens]]), ISBLANK(Fixtures[[#This Row],[awayPens]])))</f>
        <v>0</v>
      </c>
      <c r="AG399" s="58" t="str">
        <f>IF(Fixtures[[#This Row],[penalties]], IF(Fixtures[[#This Row],[userSide]]="H", Fixtures[[#This Row],[homePens]], Fixtures[[#This Row],[awayPens]]), "N/A")</f>
        <v>N/A</v>
      </c>
      <c r="AH399" s="58" t="str">
        <f>IF(Fixtures[[#This Row],[penalties]], IF(Fixtures[[#This Row],[userPens]]=Fixtures[[#This Row],[homePens]],Fixtures[[#This Row],[awayPens]],Fixtures[[#This Row],[homePens]]), "N/A")</f>
        <v>N/A</v>
      </c>
      <c r="AI399" s="58" t="b">
        <f>COUNTBLANK(Fixtures[[#This Row],[G]:[MOTM]]) = 0</f>
        <v>0</v>
      </c>
      <c r="AJ399" s="58" t="str">
        <f>IF(Fixtures[[#This Row],[APP]], Fixtures[[#This Row],[G]]+Fixtures[[#This Row],[A]], "N/A")</f>
        <v>N/A</v>
      </c>
      <c r="AK3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3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3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0" spans="1:39" ht="13">
      <c r="A400" s="55"/>
      <c r="B400" s="61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7"/>
      <c r="R400" s="56"/>
      <c r="S400" s="58" t="str" cm="1">
        <f t="array" ref="S400">_xlfn._xlws.FILTER(Competitions[compType], (Fixtures[[#This Row],[competition]] = Competitions[name]), "N/A")</f>
        <v>N/A</v>
      </c>
      <c r="T400" s="58" t="str" cm="1">
        <f t="array" ref="T400">_xlfn._xlws.FILTER(Competitions[exhibition], (Fixtures[[#This Row],[competition]] = Competitions[name]), "N/A")</f>
        <v>N/A</v>
      </c>
      <c r="U400" s="58" t="str" cm="1">
        <f t="array" ref="U400">_xlfn._xlws.FILTER(Competitions[compID], (Fixtures[[#This Row],[competition]] = Competitions[name]), "N/A")</f>
        <v>N/A</v>
      </c>
      <c r="V4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0" s="58" t="str" cm="1">
        <f t="array" ref="W4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0" s="58" t="str" cm="1">
        <f t="array" ref="X400">_xlfn._xlws.FILTER(Teams[name], (Fixtures[[#This Row],[userTeamID]] = Teams[teamID]), "N/A")</f>
        <v>N/A</v>
      </c>
      <c r="Y400" s="58" t="str" cm="1">
        <f t="array" ref="Y400">_xlfn._xlws.FILTER(Teams[teamType], (Fixtures[[#This Row],[userTeamID]] = Teams[teamID]), "N/A")</f>
        <v>N/A</v>
      </c>
      <c r="Z400" s="58" t="str" cm="1">
        <f t="array" ref="Z4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0" s="58" t="str">
        <f>IF(Fixtures[[#This Row],[userSide]] = "N/A", "N/A", IF(Fixtures[[#This Row],[userSide]] = "H", Fixtures[[#This Row],[awayTeam]], Fixtures[[#This Row],[homeTeam]]))</f>
        <v>N/A</v>
      </c>
      <c r="AB400" s="58" t="str" cm="1">
        <f t="array" ref="AB400">_xlfn._xlws.FILTER(Teams[teamID], Fixtures[[#This Row],[oppTeam]] = Teams[name], "N/A")</f>
        <v>N/A</v>
      </c>
      <c r="AC400" s="58" t="str" cm="1">
        <f t="array" ref="AC400">_xlfn._xlws.FILTER(Teams[teamType], Fixtures[[#This Row],[oppTeam]] = Teams[name], "N/A")</f>
        <v>N/A</v>
      </c>
      <c r="AD400" s="58" t="str">
        <f>IF(ISBLANK(Fixtures[[#This Row],[date]]), "N/A", IF(Fixtures[[#This Row],[userSide]]="H", Fixtures[[#This Row],[homeScore]], Fixtures[[#This Row],[awayScore]]))</f>
        <v>N/A</v>
      </c>
      <c r="AE400" s="58" t="str">
        <f>IF(ISBLANK(Fixtures[[#This Row],[date]]), "N/A", IF(Fixtures[[#This Row],[userScore]] = Fixtures[[#This Row],[homeScore]], Fixtures[[#This Row],[awayScore]], Fixtures[[#This Row],[homeScore]]))</f>
        <v>N/A</v>
      </c>
      <c r="AF400" s="58" t="b">
        <f>NOT(AND(ISBLANK(Fixtures[[#This Row],[homePens]]), ISBLANK(Fixtures[[#This Row],[awayPens]])))</f>
        <v>0</v>
      </c>
      <c r="AG400" s="58" t="str">
        <f>IF(Fixtures[[#This Row],[penalties]], IF(Fixtures[[#This Row],[userSide]]="H", Fixtures[[#This Row],[homePens]], Fixtures[[#This Row],[awayPens]]), "N/A")</f>
        <v>N/A</v>
      </c>
      <c r="AH400" s="58" t="str">
        <f>IF(Fixtures[[#This Row],[penalties]], IF(Fixtures[[#This Row],[userPens]]=Fixtures[[#This Row],[homePens]],Fixtures[[#This Row],[awayPens]],Fixtures[[#This Row],[homePens]]), "N/A")</f>
        <v>N/A</v>
      </c>
      <c r="AI400" s="58" t="b">
        <f>COUNTBLANK(Fixtures[[#This Row],[G]:[MOTM]]) = 0</f>
        <v>0</v>
      </c>
      <c r="AJ400" s="58" t="str">
        <f>IF(Fixtures[[#This Row],[APP]], Fixtures[[#This Row],[G]]+Fixtures[[#This Row],[A]], "N/A")</f>
        <v>N/A</v>
      </c>
      <c r="AK4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1" spans="1:39" ht="13">
      <c r="A401" s="55"/>
      <c r="B401" s="61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7"/>
      <c r="R401" s="56"/>
      <c r="S401" s="58" t="str" cm="1">
        <f t="array" ref="S401">_xlfn._xlws.FILTER(Competitions[compType], (Fixtures[[#This Row],[competition]] = Competitions[name]), "N/A")</f>
        <v>N/A</v>
      </c>
      <c r="T401" s="58" t="str" cm="1">
        <f t="array" ref="T401">_xlfn._xlws.FILTER(Competitions[exhibition], (Fixtures[[#This Row],[competition]] = Competitions[name]), "N/A")</f>
        <v>N/A</v>
      </c>
      <c r="U401" s="58" t="str" cm="1">
        <f t="array" ref="U401">_xlfn._xlws.FILTER(Competitions[compID], (Fixtures[[#This Row],[competition]] = Competitions[name]), "N/A")</f>
        <v>N/A</v>
      </c>
      <c r="V4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1" s="58" t="str" cm="1">
        <f t="array" ref="W4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1" s="58" t="str" cm="1">
        <f t="array" ref="X401">_xlfn._xlws.FILTER(Teams[name], (Fixtures[[#This Row],[userTeamID]] = Teams[teamID]), "N/A")</f>
        <v>N/A</v>
      </c>
      <c r="Y401" s="58" t="str" cm="1">
        <f t="array" ref="Y401">_xlfn._xlws.FILTER(Teams[teamType], (Fixtures[[#This Row],[userTeamID]] = Teams[teamID]), "N/A")</f>
        <v>N/A</v>
      </c>
      <c r="Z401" s="58" t="str" cm="1">
        <f t="array" ref="Z4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1" s="58" t="str">
        <f>IF(Fixtures[[#This Row],[userSide]] = "N/A", "N/A", IF(Fixtures[[#This Row],[userSide]] = "H", Fixtures[[#This Row],[awayTeam]], Fixtures[[#This Row],[homeTeam]]))</f>
        <v>N/A</v>
      </c>
      <c r="AB401" s="58" t="str" cm="1">
        <f t="array" ref="AB401">_xlfn._xlws.FILTER(Teams[teamID], Fixtures[[#This Row],[oppTeam]] = Teams[name], "N/A")</f>
        <v>N/A</v>
      </c>
      <c r="AC401" s="58" t="str" cm="1">
        <f t="array" ref="AC401">_xlfn._xlws.FILTER(Teams[teamType], Fixtures[[#This Row],[oppTeam]] = Teams[name], "N/A")</f>
        <v>N/A</v>
      </c>
      <c r="AD401" s="58" t="str">
        <f>IF(ISBLANK(Fixtures[[#This Row],[date]]), "N/A", IF(Fixtures[[#This Row],[userSide]]="H", Fixtures[[#This Row],[homeScore]], Fixtures[[#This Row],[awayScore]]))</f>
        <v>N/A</v>
      </c>
      <c r="AE401" s="58" t="str">
        <f>IF(ISBLANK(Fixtures[[#This Row],[date]]), "N/A", IF(Fixtures[[#This Row],[userScore]] = Fixtures[[#This Row],[homeScore]], Fixtures[[#This Row],[awayScore]], Fixtures[[#This Row],[homeScore]]))</f>
        <v>N/A</v>
      </c>
      <c r="AF401" s="58" t="b">
        <f>NOT(AND(ISBLANK(Fixtures[[#This Row],[homePens]]), ISBLANK(Fixtures[[#This Row],[awayPens]])))</f>
        <v>0</v>
      </c>
      <c r="AG401" s="58" t="str">
        <f>IF(Fixtures[[#This Row],[penalties]], IF(Fixtures[[#This Row],[userSide]]="H", Fixtures[[#This Row],[homePens]], Fixtures[[#This Row],[awayPens]]), "N/A")</f>
        <v>N/A</v>
      </c>
      <c r="AH401" s="58" t="str">
        <f>IF(Fixtures[[#This Row],[penalties]], IF(Fixtures[[#This Row],[userPens]]=Fixtures[[#This Row],[homePens]],Fixtures[[#This Row],[awayPens]],Fixtures[[#This Row],[homePens]]), "N/A")</f>
        <v>N/A</v>
      </c>
      <c r="AI401" s="58" t="b">
        <f>COUNTBLANK(Fixtures[[#This Row],[G]:[MOTM]]) = 0</f>
        <v>0</v>
      </c>
      <c r="AJ401" s="58" t="str">
        <f>IF(Fixtures[[#This Row],[APP]], Fixtures[[#This Row],[G]]+Fixtures[[#This Row],[A]], "N/A")</f>
        <v>N/A</v>
      </c>
      <c r="AK4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2" spans="1:39" ht="13">
      <c r="A402" s="55"/>
      <c r="B402" s="61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7"/>
      <c r="R402" s="56"/>
      <c r="S402" s="58" t="str" cm="1">
        <f t="array" ref="S402">_xlfn._xlws.FILTER(Competitions[compType], (Fixtures[[#This Row],[competition]] = Competitions[name]), "N/A")</f>
        <v>N/A</v>
      </c>
      <c r="T402" s="58" t="str" cm="1">
        <f t="array" ref="T402">_xlfn._xlws.FILTER(Competitions[exhibition], (Fixtures[[#This Row],[competition]] = Competitions[name]), "N/A")</f>
        <v>N/A</v>
      </c>
      <c r="U402" s="58" t="str" cm="1">
        <f t="array" ref="U402">_xlfn._xlws.FILTER(Competitions[compID], (Fixtures[[#This Row],[competition]] = Competitions[name]), "N/A")</f>
        <v>N/A</v>
      </c>
      <c r="V4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2" s="58" t="str" cm="1">
        <f t="array" ref="W4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2" s="58" t="str" cm="1">
        <f t="array" ref="X402">_xlfn._xlws.FILTER(Teams[name], (Fixtures[[#This Row],[userTeamID]] = Teams[teamID]), "N/A")</f>
        <v>N/A</v>
      </c>
      <c r="Y402" s="58" t="str" cm="1">
        <f t="array" ref="Y402">_xlfn._xlws.FILTER(Teams[teamType], (Fixtures[[#This Row],[userTeamID]] = Teams[teamID]), "N/A")</f>
        <v>N/A</v>
      </c>
      <c r="Z402" s="58" t="str" cm="1">
        <f t="array" ref="Z4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2" s="58" t="str">
        <f>IF(Fixtures[[#This Row],[userSide]] = "N/A", "N/A", IF(Fixtures[[#This Row],[userSide]] = "H", Fixtures[[#This Row],[awayTeam]], Fixtures[[#This Row],[homeTeam]]))</f>
        <v>N/A</v>
      </c>
      <c r="AB402" s="58" t="str" cm="1">
        <f t="array" ref="AB402">_xlfn._xlws.FILTER(Teams[teamID], Fixtures[[#This Row],[oppTeam]] = Teams[name], "N/A")</f>
        <v>N/A</v>
      </c>
      <c r="AC402" s="58" t="str" cm="1">
        <f t="array" ref="AC402">_xlfn._xlws.FILTER(Teams[teamType], Fixtures[[#This Row],[oppTeam]] = Teams[name], "N/A")</f>
        <v>N/A</v>
      </c>
      <c r="AD402" s="58" t="str">
        <f>IF(ISBLANK(Fixtures[[#This Row],[date]]), "N/A", IF(Fixtures[[#This Row],[userSide]]="H", Fixtures[[#This Row],[homeScore]], Fixtures[[#This Row],[awayScore]]))</f>
        <v>N/A</v>
      </c>
      <c r="AE402" s="58" t="str">
        <f>IF(ISBLANK(Fixtures[[#This Row],[date]]), "N/A", IF(Fixtures[[#This Row],[userScore]] = Fixtures[[#This Row],[homeScore]], Fixtures[[#This Row],[awayScore]], Fixtures[[#This Row],[homeScore]]))</f>
        <v>N/A</v>
      </c>
      <c r="AF402" s="58" t="b">
        <f>NOT(AND(ISBLANK(Fixtures[[#This Row],[homePens]]), ISBLANK(Fixtures[[#This Row],[awayPens]])))</f>
        <v>0</v>
      </c>
      <c r="AG402" s="58" t="str">
        <f>IF(Fixtures[[#This Row],[penalties]], IF(Fixtures[[#This Row],[userSide]]="H", Fixtures[[#This Row],[homePens]], Fixtures[[#This Row],[awayPens]]), "N/A")</f>
        <v>N/A</v>
      </c>
      <c r="AH402" s="58" t="str">
        <f>IF(Fixtures[[#This Row],[penalties]], IF(Fixtures[[#This Row],[userPens]]=Fixtures[[#This Row],[homePens]],Fixtures[[#This Row],[awayPens]],Fixtures[[#This Row],[homePens]]), "N/A")</f>
        <v>N/A</v>
      </c>
      <c r="AI402" s="58" t="b">
        <f>COUNTBLANK(Fixtures[[#This Row],[G]:[MOTM]]) = 0</f>
        <v>0</v>
      </c>
      <c r="AJ402" s="58" t="str">
        <f>IF(Fixtures[[#This Row],[APP]], Fixtures[[#This Row],[G]]+Fixtures[[#This Row],[A]], "N/A")</f>
        <v>N/A</v>
      </c>
      <c r="AK4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3" spans="1:39" ht="13">
      <c r="A403" s="55"/>
      <c r="B403" s="61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7"/>
      <c r="R403" s="56"/>
      <c r="S403" s="58" t="str" cm="1">
        <f t="array" ref="S403">_xlfn._xlws.FILTER(Competitions[compType], (Fixtures[[#This Row],[competition]] = Competitions[name]), "N/A")</f>
        <v>N/A</v>
      </c>
      <c r="T403" s="58" t="str" cm="1">
        <f t="array" ref="T403">_xlfn._xlws.FILTER(Competitions[exhibition], (Fixtures[[#This Row],[competition]] = Competitions[name]), "N/A")</f>
        <v>N/A</v>
      </c>
      <c r="U403" s="58" t="str" cm="1">
        <f t="array" ref="U403">_xlfn._xlws.FILTER(Competitions[compID], (Fixtures[[#This Row],[competition]] = Competitions[name]), "N/A")</f>
        <v>N/A</v>
      </c>
      <c r="V4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3" s="58" t="str" cm="1">
        <f t="array" ref="W4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3" s="58" t="str" cm="1">
        <f t="array" ref="X403">_xlfn._xlws.FILTER(Teams[name], (Fixtures[[#This Row],[userTeamID]] = Teams[teamID]), "N/A")</f>
        <v>N/A</v>
      </c>
      <c r="Y403" s="58" t="str" cm="1">
        <f t="array" ref="Y403">_xlfn._xlws.FILTER(Teams[teamType], (Fixtures[[#This Row],[userTeamID]] = Teams[teamID]), "N/A")</f>
        <v>N/A</v>
      </c>
      <c r="Z403" s="58" t="str" cm="1">
        <f t="array" ref="Z4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3" s="58" t="str">
        <f>IF(Fixtures[[#This Row],[userSide]] = "N/A", "N/A", IF(Fixtures[[#This Row],[userSide]] = "H", Fixtures[[#This Row],[awayTeam]], Fixtures[[#This Row],[homeTeam]]))</f>
        <v>N/A</v>
      </c>
      <c r="AB403" s="58" t="str" cm="1">
        <f t="array" ref="AB403">_xlfn._xlws.FILTER(Teams[teamID], Fixtures[[#This Row],[oppTeam]] = Teams[name], "N/A")</f>
        <v>N/A</v>
      </c>
      <c r="AC403" s="58" t="str" cm="1">
        <f t="array" ref="AC403">_xlfn._xlws.FILTER(Teams[teamType], Fixtures[[#This Row],[oppTeam]] = Teams[name], "N/A")</f>
        <v>N/A</v>
      </c>
      <c r="AD403" s="58" t="str">
        <f>IF(ISBLANK(Fixtures[[#This Row],[date]]), "N/A", IF(Fixtures[[#This Row],[userSide]]="H", Fixtures[[#This Row],[homeScore]], Fixtures[[#This Row],[awayScore]]))</f>
        <v>N/A</v>
      </c>
      <c r="AE403" s="58" t="str">
        <f>IF(ISBLANK(Fixtures[[#This Row],[date]]), "N/A", IF(Fixtures[[#This Row],[userScore]] = Fixtures[[#This Row],[homeScore]], Fixtures[[#This Row],[awayScore]], Fixtures[[#This Row],[homeScore]]))</f>
        <v>N/A</v>
      </c>
      <c r="AF403" s="58" t="b">
        <f>NOT(AND(ISBLANK(Fixtures[[#This Row],[homePens]]), ISBLANK(Fixtures[[#This Row],[awayPens]])))</f>
        <v>0</v>
      </c>
      <c r="AG403" s="58" t="str">
        <f>IF(Fixtures[[#This Row],[penalties]], IF(Fixtures[[#This Row],[userSide]]="H", Fixtures[[#This Row],[homePens]], Fixtures[[#This Row],[awayPens]]), "N/A")</f>
        <v>N/A</v>
      </c>
      <c r="AH403" s="58" t="str">
        <f>IF(Fixtures[[#This Row],[penalties]], IF(Fixtures[[#This Row],[userPens]]=Fixtures[[#This Row],[homePens]],Fixtures[[#This Row],[awayPens]],Fixtures[[#This Row],[homePens]]), "N/A")</f>
        <v>N/A</v>
      </c>
      <c r="AI403" s="58" t="b">
        <f>COUNTBLANK(Fixtures[[#This Row],[G]:[MOTM]]) = 0</f>
        <v>0</v>
      </c>
      <c r="AJ403" s="58" t="str">
        <f>IF(Fixtures[[#This Row],[APP]], Fixtures[[#This Row],[G]]+Fixtures[[#This Row],[A]], "N/A")</f>
        <v>N/A</v>
      </c>
      <c r="AK4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4" spans="1:39" ht="13">
      <c r="A404" s="55"/>
      <c r="B404" s="61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7"/>
      <c r="R404" s="56"/>
      <c r="S404" s="58" t="str" cm="1">
        <f t="array" ref="S404">_xlfn._xlws.FILTER(Competitions[compType], (Fixtures[[#This Row],[competition]] = Competitions[name]), "N/A")</f>
        <v>N/A</v>
      </c>
      <c r="T404" s="58" t="str" cm="1">
        <f t="array" ref="T404">_xlfn._xlws.FILTER(Competitions[exhibition], (Fixtures[[#This Row],[competition]] = Competitions[name]), "N/A")</f>
        <v>N/A</v>
      </c>
      <c r="U404" s="58" t="str" cm="1">
        <f t="array" ref="U404">_xlfn._xlws.FILTER(Competitions[compID], (Fixtures[[#This Row],[competition]] = Competitions[name]), "N/A")</f>
        <v>N/A</v>
      </c>
      <c r="V4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4" s="58" t="str" cm="1">
        <f t="array" ref="W4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4" s="58" t="str" cm="1">
        <f t="array" ref="X404">_xlfn._xlws.FILTER(Teams[name], (Fixtures[[#This Row],[userTeamID]] = Teams[teamID]), "N/A")</f>
        <v>N/A</v>
      </c>
      <c r="Y404" s="58" t="str" cm="1">
        <f t="array" ref="Y404">_xlfn._xlws.FILTER(Teams[teamType], (Fixtures[[#This Row],[userTeamID]] = Teams[teamID]), "N/A")</f>
        <v>N/A</v>
      </c>
      <c r="Z404" s="58" t="str" cm="1">
        <f t="array" ref="Z4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4" s="58" t="str">
        <f>IF(Fixtures[[#This Row],[userSide]] = "N/A", "N/A", IF(Fixtures[[#This Row],[userSide]] = "H", Fixtures[[#This Row],[awayTeam]], Fixtures[[#This Row],[homeTeam]]))</f>
        <v>N/A</v>
      </c>
      <c r="AB404" s="58" t="str" cm="1">
        <f t="array" ref="AB404">_xlfn._xlws.FILTER(Teams[teamID], Fixtures[[#This Row],[oppTeam]] = Teams[name], "N/A")</f>
        <v>N/A</v>
      </c>
      <c r="AC404" s="58" t="str" cm="1">
        <f t="array" ref="AC404">_xlfn._xlws.FILTER(Teams[teamType], Fixtures[[#This Row],[oppTeam]] = Teams[name], "N/A")</f>
        <v>N/A</v>
      </c>
      <c r="AD404" s="58" t="str">
        <f>IF(ISBLANK(Fixtures[[#This Row],[date]]), "N/A", IF(Fixtures[[#This Row],[userSide]]="H", Fixtures[[#This Row],[homeScore]], Fixtures[[#This Row],[awayScore]]))</f>
        <v>N/A</v>
      </c>
      <c r="AE404" s="58" t="str">
        <f>IF(ISBLANK(Fixtures[[#This Row],[date]]), "N/A", IF(Fixtures[[#This Row],[userScore]] = Fixtures[[#This Row],[homeScore]], Fixtures[[#This Row],[awayScore]], Fixtures[[#This Row],[homeScore]]))</f>
        <v>N/A</v>
      </c>
      <c r="AF404" s="58" t="b">
        <f>NOT(AND(ISBLANK(Fixtures[[#This Row],[homePens]]), ISBLANK(Fixtures[[#This Row],[awayPens]])))</f>
        <v>0</v>
      </c>
      <c r="AG404" s="58" t="str">
        <f>IF(Fixtures[[#This Row],[penalties]], IF(Fixtures[[#This Row],[userSide]]="H", Fixtures[[#This Row],[homePens]], Fixtures[[#This Row],[awayPens]]), "N/A")</f>
        <v>N/A</v>
      </c>
      <c r="AH404" s="58" t="str">
        <f>IF(Fixtures[[#This Row],[penalties]], IF(Fixtures[[#This Row],[userPens]]=Fixtures[[#This Row],[homePens]],Fixtures[[#This Row],[awayPens]],Fixtures[[#This Row],[homePens]]), "N/A")</f>
        <v>N/A</v>
      </c>
      <c r="AI404" s="58" t="b">
        <f>COUNTBLANK(Fixtures[[#This Row],[G]:[MOTM]]) = 0</f>
        <v>0</v>
      </c>
      <c r="AJ404" s="58" t="str">
        <f>IF(Fixtures[[#This Row],[APP]], Fixtures[[#This Row],[G]]+Fixtures[[#This Row],[A]], "N/A")</f>
        <v>N/A</v>
      </c>
      <c r="AK4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5" spans="1:39" ht="13">
      <c r="A405" s="55"/>
      <c r="B405" s="61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7"/>
      <c r="R405" s="56"/>
      <c r="S405" s="58" t="str" cm="1">
        <f t="array" ref="S405">_xlfn._xlws.FILTER(Competitions[compType], (Fixtures[[#This Row],[competition]] = Competitions[name]), "N/A")</f>
        <v>N/A</v>
      </c>
      <c r="T405" s="58" t="str" cm="1">
        <f t="array" ref="T405">_xlfn._xlws.FILTER(Competitions[exhibition], (Fixtures[[#This Row],[competition]] = Competitions[name]), "N/A")</f>
        <v>N/A</v>
      </c>
      <c r="U405" s="58" t="str" cm="1">
        <f t="array" ref="U405">_xlfn._xlws.FILTER(Competitions[compID], (Fixtures[[#This Row],[competition]] = Competitions[name]), "N/A")</f>
        <v>N/A</v>
      </c>
      <c r="V4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5" s="58" t="str" cm="1">
        <f t="array" ref="W4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5" s="58" t="str" cm="1">
        <f t="array" ref="X405">_xlfn._xlws.FILTER(Teams[name], (Fixtures[[#This Row],[userTeamID]] = Teams[teamID]), "N/A")</f>
        <v>N/A</v>
      </c>
      <c r="Y405" s="58" t="str" cm="1">
        <f t="array" ref="Y405">_xlfn._xlws.FILTER(Teams[teamType], (Fixtures[[#This Row],[userTeamID]] = Teams[teamID]), "N/A")</f>
        <v>N/A</v>
      </c>
      <c r="Z405" s="58" t="str" cm="1">
        <f t="array" ref="Z4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5" s="58" t="str">
        <f>IF(Fixtures[[#This Row],[userSide]] = "N/A", "N/A", IF(Fixtures[[#This Row],[userSide]] = "H", Fixtures[[#This Row],[awayTeam]], Fixtures[[#This Row],[homeTeam]]))</f>
        <v>N/A</v>
      </c>
      <c r="AB405" s="58" t="str" cm="1">
        <f t="array" ref="AB405">_xlfn._xlws.FILTER(Teams[teamID], Fixtures[[#This Row],[oppTeam]] = Teams[name], "N/A")</f>
        <v>N/A</v>
      </c>
      <c r="AC405" s="58" t="str" cm="1">
        <f t="array" ref="AC405">_xlfn._xlws.FILTER(Teams[teamType], Fixtures[[#This Row],[oppTeam]] = Teams[name], "N/A")</f>
        <v>N/A</v>
      </c>
      <c r="AD405" s="58" t="str">
        <f>IF(ISBLANK(Fixtures[[#This Row],[date]]), "N/A", IF(Fixtures[[#This Row],[userSide]]="H", Fixtures[[#This Row],[homeScore]], Fixtures[[#This Row],[awayScore]]))</f>
        <v>N/A</v>
      </c>
      <c r="AE405" s="58" t="str">
        <f>IF(ISBLANK(Fixtures[[#This Row],[date]]), "N/A", IF(Fixtures[[#This Row],[userScore]] = Fixtures[[#This Row],[homeScore]], Fixtures[[#This Row],[awayScore]], Fixtures[[#This Row],[homeScore]]))</f>
        <v>N/A</v>
      </c>
      <c r="AF405" s="58" t="b">
        <f>NOT(AND(ISBLANK(Fixtures[[#This Row],[homePens]]), ISBLANK(Fixtures[[#This Row],[awayPens]])))</f>
        <v>0</v>
      </c>
      <c r="AG405" s="58" t="str">
        <f>IF(Fixtures[[#This Row],[penalties]], IF(Fixtures[[#This Row],[userSide]]="H", Fixtures[[#This Row],[homePens]], Fixtures[[#This Row],[awayPens]]), "N/A")</f>
        <v>N/A</v>
      </c>
      <c r="AH405" s="58" t="str">
        <f>IF(Fixtures[[#This Row],[penalties]], IF(Fixtures[[#This Row],[userPens]]=Fixtures[[#This Row],[homePens]],Fixtures[[#This Row],[awayPens]],Fixtures[[#This Row],[homePens]]), "N/A")</f>
        <v>N/A</v>
      </c>
      <c r="AI405" s="58" t="b">
        <f>COUNTBLANK(Fixtures[[#This Row],[G]:[MOTM]]) = 0</f>
        <v>0</v>
      </c>
      <c r="AJ405" s="58" t="str">
        <f>IF(Fixtures[[#This Row],[APP]], Fixtures[[#This Row],[G]]+Fixtures[[#This Row],[A]], "N/A")</f>
        <v>N/A</v>
      </c>
      <c r="AK4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6" spans="1:39" ht="13">
      <c r="A406" s="55"/>
      <c r="B406" s="61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7"/>
      <c r="R406" s="56"/>
      <c r="S406" s="58" t="str" cm="1">
        <f t="array" ref="S406">_xlfn._xlws.FILTER(Competitions[compType], (Fixtures[[#This Row],[competition]] = Competitions[name]), "N/A")</f>
        <v>N/A</v>
      </c>
      <c r="T406" s="58" t="str" cm="1">
        <f t="array" ref="T406">_xlfn._xlws.FILTER(Competitions[exhibition], (Fixtures[[#This Row],[competition]] = Competitions[name]), "N/A")</f>
        <v>N/A</v>
      </c>
      <c r="U406" s="58" t="str" cm="1">
        <f t="array" ref="U406">_xlfn._xlws.FILTER(Competitions[compID], (Fixtures[[#This Row],[competition]] = Competitions[name]), "N/A")</f>
        <v>N/A</v>
      </c>
      <c r="V4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6" s="58" t="str" cm="1">
        <f t="array" ref="W4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6" s="58" t="str" cm="1">
        <f t="array" ref="X406">_xlfn._xlws.FILTER(Teams[name], (Fixtures[[#This Row],[userTeamID]] = Teams[teamID]), "N/A")</f>
        <v>N/A</v>
      </c>
      <c r="Y406" s="58" t="str" cm="1">
        <f t="array" ref="Y406">_xlfn._xlws.FILTER(Teams[teamType], (Fixtures[[#This Row],[userTeamID]] = Teams[teamID]), "N/A")</f>
        <v>N/A</v>
      </c>
      <c r="Z406" s="58" t="str" cm="1">
        <f t="array" ref="Z4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6" s="58" t="str">
        <f>IF(Fixtures[[#This Row],[userSide]] = "N/A", "N/A", IF(Fixtures[[#This Row],[userSide]] = "H", Fixtures[[#This Row],[awayTeam]], Fixtures[[#This Row],[homeTeam]]))</f>
        <v>N/A</v>
      </c>
      <c r="AB406" s="58" t="str" cm="1">
        <f t="array" ref="AB406">_xlfn._xlws.FILTER(Teams[teamID], Fixtures[[#This Row],[oppTeam]] = Teams[name], "N/A")</f>
        <v>N/A</v>
      </c>
      <c r="AC406" s="58" t="str" cm="1">
        <f t="array" ref="AC406">_xlfn._xlws.FILTER(Teams[teamType], Fixtures[[#This Row],[oppTeam]] = Teams[name], "N/A")</f>
        <v>N/A</v>
      </c>
      <c r="AD406" s="58" t="str">
        <f>IF(ISBLANK(Fixtures[[#This Row],[date]]), "N/A", IF(Fixtures[[#This Row],[userSide]]="H", Fixtures[[#This Row],[homeScore]], Fixtures[[#This Row],[awayScore]]))</f>
        <v>N/A</v>
      </c>
      <c r="AE406" s="58" t="str">
        <f>IF(ISBLANK(Fixtures[[#This Row],[date]]), "N/A", IF(Fixtures[[#This Row],[userScore]] = Fixtures[[#This Row],[homeScore]], Fixtures[[#This Row],[awayScore]], Fixtures[[#This Row],[homeScore]]))</f>
        <v>N/A</v>
      </c>
      <c r="AF406" s="58" t="b">
        <f>NOT(AND(ISBLANK(Fixtures[[#This Row],[homePens]]), ISBLANK(Fixtures[[#This Row],[awayPens]])))</f>
        <v>0</v>
      </c>
      <c r="AG406" s="58" t="str">
        <f>IF(Fixtures[[#This Row],[penalties]], IF(Fixtures[[#This Row],[userSide]]="H", Fixtures[[#This Row],[homePens]], Fixtures[[#This Row],[awayPens]]), "N/A")</f>
        <v>N/A</v>
      </c>
      <c r="AH406" s="58" t="str">
        <f>IF(Fixtures[[#This Row],[penalties]], IF(Fixtures[[#This Row],[userPens]]=Fixtures[[#This Row],[homePens]],Fixtures[[#This Row],[awayPens]],Fixtures[[#This Row],[homePens]]), "N/A")</f>
        <v>N/A</v>
      </c>
      <c r="AI406" s="58" t="b">
        <f>COUNTBLANK(Fixtures[[#This Row],[G]:[MOTM]]) = 0</f>
        <v>0</v>
      </c>
      <c r="AJ406" s="58" t="str">
        <f>IF(Fixtures[[#This Row],[APP]], Fixtures[[#This Row],[G]]+Fixtures[[#This Row],[A]], "N/A")</f>
        <v>N/A</v>
      </c>
      <c r="AK4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7" spans="1:39" ht="13">
      <c r="A407" s="55"/>
      <c r="B407" s="61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7"/>
      <c r="R407" s="56"/>
      <c r="S407" s="58" t="str" cm="1">
        <f t="array" ref="S407">_xlfn._xlws.FILTER(Competitions[compType], (Fixtures[[#This Row],[competition]] = Competitions[name]), "N/A")</f>
        <v>N/A</v>
      </c>
      <c r="T407" s="58" t="str" cm="1">
        <f t="array" ref="T407">_xlfn._xlws.FILTER(Competitions[exhibition], (Fixtures[[#This Row],[competition]] = Competitions[name]), "N/A")</f>
        <v>N/A</v>
      </c>
      <c r="U407" s="58" t="str" cm="1">
        <f t="array" ref="U407">_xlfn._xlws.FILTER(Competitions[compID], (Fixtures[[#This Row],[competition]] = Competitions[name]), "N/A")</f>
        <v>N/A</v>
      </c>
      <c r="V4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7" s="58" t="str" cm="1">
        <f t="array" ref="W4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7" s="58" t="str" cm="1">
        <f t="array" ref="X407">_xlfn._xlws.FILTER(Teams[name], (Fixtures[[#This Row],[userTeamID]] = Teams[teamID]), "N/A")</f>
        <v>N/A</v>
      </c>
      <c r="Y407" s="58" t="str" cm="1">
        <f t="array" ref="Y407">_xlfn._xlws.FILTER(Teams[teamType], (Fixtures[[#This Row],[userTeamID]] = Teams[teamID]), "N/A")</f>
        <v>N/A</v>
      </c>
      <c r="Z407" s="58" t="str" cm="1">
        <f t="array" ref="Z4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7" s="58" t="str">
        <f>IF(Fixtures[[#This Row],[userSide]] = "N/A", "N/A", IF(Fixtures[[#This Row],[userSide]] = "H", Fixtures[[#This Row],[awayTeam]], Fixtures[[#This Row],[homeTeam]]))</f>
        <v>N/A</v>
      </c>
      <c r="AB407" s="58" t="str" cm="1">
        <f t="array" ref="AB407">_xlfn._xlws.FILTER(Teams[teamID], Fixtures[[#This Row],[oppTeam]] = Teams[name], "N/A")</f>
        <v>N/A</v>
      </c>
      <c r="AC407" s="58" t="str" cm="1">
        <f t="array" ref="AC407">_xlfn._xlws.FILTER(Teams[teamType], Fixtures[[#This Row],[oppTeam]] = Teams[name], "N/A")</f>
        <v>N/A</v>
      </c>
      <c r="AD407" s="58" t="str">
        <f>IF(ISBLANK(Fixtures[[#This Row],[date]]), "N/A", IF(Fixtures[[#This Row],[userSide]]="H", Fixtures[[#This Row],[homeScore]], Fixtures[[#This Row],[awayScore]]))</f>
        <v>N/A</v>
      </c>
      <c r="AE407" s="58" t="str">
        <f>IF(ISBLANK(Fixtures[[#This Row],[date]]), "N/A", IF(Fixtures[[#This Row],[userScore]] = Fixtures[[#This Row],[homeScore]], Fixtures[[#This Row],[awayScore]], Fixtures[[#This Row],[homeScore]]))</f>
        <v>N/A</v>
      </c>
      <c r="AF407" s="58" t="b">
        <f>NOT(AND(ISBLANK(Fixtures[[#This Row],[homePens]]), ISBLANK(Fixtures[[#This Row],[awayPens]])))</f>
        <v>0</v>
      </c>
      <c r="AG407" s="58" t="str">
        <f>IF(Fixtures[[#This Row],[penalties]], IF(Fixtures[[#This Row],[userSide]]="H", Fixtures[[#This Row],[homePens]], Fixtures[[#This Row],[awayPens]]), "N/A")</f>
        <v>N/A</v>
      </c>
      <c r="AH407" s="58" t="str">
        <f>IF(Fixtures[[#This Row],[penalties]], IF(Fixtures[[#This Row],[userPens]]=Fixtures[[#This Row],[homePens]],Fixtures[[#This Row],[awayPens]],Fixtures[[#This Row],[homePens]]), "N/A")</f>
        <v>N/A</v>
      </c>
      <c r="AI407" s="58" t="b">
        <f>COUNTBLANK(Fixtures[[#This Row],[G]:[MOTM]]) = 0</f>
        <v>0</v>
      </c>
      <c r="AJ407" s="58" t="str">
        <f>IF(Fixtures[[#This Row],[APP]], Fixtures[[#This Row],[G]]+Fixtures[[#This Row],[A]], "N/A")</f>
        <v>N/A</v>
      </c>
      <c r="AK4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8" spans="1:39" ht="13">
      <c r="A408" s="55"/>
      <c r="B408" s="61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7"/>
      <c r="R408" s="56"/>
      <c r="S408" s="58" t="str" cm="1">
        <f t="array" ref="S408">_xlfn._xlws.FILTER(Competitions[compType], (Fixtures[[#This Row],[competition]] = Competitions[name]), "N/A")</f>
        <v>N/A</v>
      </c>
      <c r="T408" s="58" t="str" cm="1">
        <f t="array" ref="T408">_xlfn._xlws.FILTER(Competitions[exhibition], (Fixtures[[#This Row],[competition]] = Competitions[name]), "N/A")</f>
        <v>N/A</v>
      </c>
      <c r="U408" s="58" t="str" cm="1">
        <f t="array" ref="U408">_xlfn._xlws.FILTER(Competitions[compID], (Fixtures[[#This Row],[competition]] = Competitions[name]), "N/A")</f>
        <v>N/A</v>
      </c>
      <c r="V4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8" s="58" t="str" cm="1">
        <f t="array" ref="W4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8" s="58" t="str" cm="1">
        <f t="array" ref="X408">_xlfn._xlws.FILTER(Teams[name], (Fixtures[[#This Row],[userTeamID]] = Teams[teamID]), "N/A")</f>
        <v>N/A</v>
      </c>
      <c r="Y408" s="58" t="str" cm="1">
        <f t="array" ref="Y408">_xlfn._xlws.FILTER(Teams[teamType], (Fixtures[[#This Row],[userTeamID]] = Teams[teamID]), "N/A")</f>
        <v>N/A</v>
      </c>
      <c r="Z408" s="58" t="str" cm="1">
        <f t="array" ref="Z4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8" s="58" t="str">
        <f>IF(Fixtures[[#This Row],[userSide]] = "N/A", "N/A", IF(Fixtures[[#This Row],[userSide]] = "H", Fixtures[[#This Row],[awayTeam]], Fixtures[[#This Row],[homeTeam]]))</f>
        <v>N/A</v>
      </c>
      <c r="AB408" s="58" t="str" cm="1">
        <f t="array" ref="AB408">_xlfn._xlws.FILTER(Teams[teamID], Fixtures[[#This Row],[oppTeam]] = Teams[name], "N/A")</f>
        <v>N/A</v>
      </c>
      <c r="AC408" s="58" t="str" cm="1">
        <f t="array" ref="AC408">_xlfn._xlws.FILTER(Teams[teamType], Fixtures[[#This Row],[oppTeam]] = Teams[name], "N/A")</f>
        <v>N/A</v>
      </c>
      <c r="AD408" s="58" t="str">
        <f>IF(ISBLANK(Fixtures[[#This Row],[date]]), "N/A", IF(Fixtures[[#This Row],[userSide]]="H", Fixtures[[#This Row],[homeScore]], Fixtures[[#This Row],[awayScore]]))</f>
        <v>N/A</v>
      </c>
      <c r="AE408" s="58" t="str">
        <f>IF(ISBLANK(Fixtures[[#This Row],[date]]), "N/A", IF(Fixtures[[#This Row],[userScore]] = Fixtures[[#This Row],[homeScore]], Fixtures[[#This Row],[awayScore]], Fixtures[[#This Row],[homeScore]]))</f>
        <v>N/A</v>
      </c>
      <c r="AF408" s="58" t="b">
        <f>NOT(AND(ISBLANK(Fixtures[[#This Row],[homePens]]), ISBLANK(Fixtures[[#This Row],[awayPens]])))</f>
        <v>0</v>
      </c>
      <c r="AG408" s="58" t="str">
        <f>IF(Fixtures[[#This Row],[penalties]], IF(Fixtures[[#This Row],[userSide]]="H", Fixtures[[#This Row],[homePens]], Fixtures[[#This Row],[awayPens]]), "N/A")</f>
        <v>N/A</v>
      </c>
      <c r="AH408" s="58" t="str">
        <f>IF(Fixtures[[#This Row],[penalties]], IF(Fixtures[[#This Row],[userPens]]=Fixtures[[#This Row],[homePens]],Fixtures[[#This Row],[awayPens]],Fixtures[[#This Row],[homePens]]), "N/A")</f>
        <v>N/A</v>
      </c>
      <c r="AI408" s="58" t="b">
        <f>COUNTBLANK(Fixtures[[#This Row],[G]:[MOTM]]) = 0</f>
        <v>0</v>
      </c>
      <c r="AJ408" s="58" t="str">
        <f>IF(Fixtures[[#This Row],[APP]], Fixtures[[#This Row],[G]]+Fixtures[[#This Row],[A]], "N/A")</f>
        <v>N/A</v>
      </c>
      <c r="AK4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09" spans="1:39" ht="13">
      <c r="A409" s="55"/>
      <c r="B409" s="61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7"/>
      <c r="R409" s="56"/>
      <c r="S409" s="58" t="str" cm="1">
        <f t="array" ref="S409">_xlfn._xlws.FILTER(Competitions[compType], (Fixtures[[#This Row],[competition]] = Competitions[name]), "N/A")</f>
        <v>N/A</v>
      </c>
      <c r="T409" s="58" t="str" cm="1">
        <f t="array" ref="T409">_xlfn._xlws.FILTER(Competitions[exhibition], (Fixtures[[#This Row],[competition]] = Competitions[name]), "N/A")</f>
        <v>N/A</v>
      </c>
      <c r="U409" s="58" t="str" cm="1">
        <f t="array" ref="U409">_xlfn._xlws.FILTER(Competitions[compID], (Fixtures[[#This Row],[competition]] = Competitions[name]), "N/A")</f>
        <v>N/A</v>
      </c>
      <c r="V4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09" s="58" t="str" cm="1">
        <f t="array" ref="W4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09" s="58" t="str" cm="1">
        <f t="array" ref="X409">_xlfn._xlws.FILTER(Teams[name], (Fixtures[[#This Row],[userTeamID]] = Teams[teamID]), "N/A")</f>
        <v>N/A</v>
      </c>
      <c r="Y409" s="58" t="str" cm="1">
        <f t="array" ref="Y409">_xlfn._xlws.FILTER(Teams[teamType], (Fixtures[[#This Row],[userTeamID]] = Teams[teamID]), "N/A")</f>
        <v>N/A</v>
      </c>
      <c r="Z409" s="58" t="str" cm="1">
        <f t="array" ref="Z4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09" s="58" t="str">
        <f>IF(Fixtures[[#This Row],[userSide]] = "N/A", "N/A", IF(Fixtures[[#This Row],[userSide]] = "H", Fixtures[[#This Row],[awayTeam]], Fixtures[[#This Row],[homeTeam]]))</f>
        <v>N/A</v>
      </c>
      <c r="AB409" s="58" t="str" cm="1">
        <f t="array" ref="AB409">_xlfn._xlws.FILTER(Teams[teamID], Fixtures[[#This Row],[oppTeam]] = Teams[name], "N/A")</f>
        <v>N/A</v>
      </c>
      <c r="AC409" s="58" t="str" cm="1">
        <f t="array" ref="AC409">_xlfn._xlws.FILTER(Teams[teamType], Fixtures[[#This Row],[oppTeam]] = Teams[name], "N/A")</f>
        <v>N/A</v>
      </c>
      <c r="AD409" s="58" t="str">
        <f>IF(ISBLANK(Fixtures[[#This Row],[date]]), "N/A", IF(Fixtures[[#This Row],[userSide]]="H", Fixtures[[#This Row],[homeScore]], Fixtures[[#This Row],[awayScore]]))</f>
        <v>N/A</v>
      </c>
      <c r="AE409" s="58" t="str">
        <f>IF(ISBLANK(Fixtures[[#This Row],[date]]), "N/A", IF(Fixtures[[#This Row],[userScore]] = Fixtures[[#This Row],[homeScore]], Fixtures[[#This Row],[awayScore]], Fixtures[[#This Row],[homeScore]]))</f>
        <v>N/A</v>
      </c>
      <c r="AF409" s="58" t="b">
        <f>NOT(AND(ISBLANK(Fixtures[[#This Row],[homePens]]), ISBLANK(Fixtures[[#This Row],[awayPens]])))</f>
        <v>0</v>
      </c>
      <c r="AG409" s="58" t="str">
        <f>IF(Fixtures[[#This Row],[penalties]], IF(Fixtures[[#This Row],[userSide]]="H", Fixtures[[#This Row],[homePens]], Fixtures[[#This Row],[awayPens]]), "N/A")</f>
        <v>N/A</v>
      </c>
      <c r="AH409" s="58" t="str">
        <f>IF(Fixtures[[#This Row],[penalties]], IF(Fixtures[[#This Row],[userPens]]=Fixtures[[#This Row],[homePens]],Fixtures[[#This Row],[awayPens]],Fixtures[[#This Row],[homePens]]), "N/A")</f>
        <v>N/A</v>
      </c>
      <c r="AI409" s="58" t="b">
        <f>COUNTBLANK(Fixtures[[#This Row],[G]:[MOTM]]) = 0</f>
        <v>0</v>
      </c>
      <c r="AJ409" s="58" t="str">
        <f>IF(Fixtures[[#This Row],[APP]], Fixtures[[#This Row],[G]]+Fixtures[[#This Row],[A]], "N/A")</f>
        <v>N/A</v>
      </c>
      <c r="AK4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0" spans="1:39" ht="13">
      <c r="A410" s="55"/>
      <c r="B410" s="61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7"/>
      <c r="R410" s="56"/>
      <c r="S410" s="58" t="str" cm="1">
        <f t="array" ref="S410">_xlfn._xlws.FILTER(Competitions[compType], (Fixtures[[#This Row],[competition]] = Competitions[name]), "N/A")</f>
        <v>N/A</v>
      </c>
      <c r="T410" s="58" t="str" cm="1">
        <f t="array" ref="T410">_xlfn._xlws.FILTER(Competitions[exhibition], (Fixtures[[#This Row],[competition]] = Competitions[name]), "N/A")</f>
        <v>N/A</v>
      </c>
      <c r="U410" s="58" t="str" cm="1">
        <f t="array" ref="U410">_xlfn._xlws.FILTER(Competitions[compID], (Fixtures[[#This Row],[competition]] = Competitions[name]), "N/A")</f>
        <v>N/A</v>
      </c>
      <c r="V4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0" s="58" t="str" cm="1">
        <f t="array" ref="W4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0" s="58" t="str" cm="1">
        <f t="array" ref="X410">_xlfn._xlws.FILTER(Teams[name], (Fixtures[[#This Row],[userTeamID]] = Teams[teamID]), "N/A")</f>
        <v>N/A</v>
      </c>
      <c r="Y410" s="58" t="str" cm="1">
        <f t="array" ref="Y410">_xlfn._xlws.FILTER(Teams[teamType], (Fixtures[[#This Row],[userTeamID]] = Teams[teamID]), "N/A")</f>
        <v>N/A</v>
      </c>
      <c r="Z410" s="58" t="str" cm="1">
        <f t="array" ref="Z4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0" s="58" t="str">
        <f>IF(Fixtures[[#This Row],[userSide]] = "N/A", "N/A", IF(Fixtures[[#This Row],[userSide]] = "H", Fixtures[[#This Row],[awayTeam]], Fixtures[[#This Row],[homeTeam]]))</f>
        <v>N/A</v>
      </c>
      <c r="AB410" s="58" t="str" cm="1">
        <f t="array" ref="AB410">_xlfn._xlws.FILTER(Teams[teamID], Fixtures[[#This Row],[oppTeam]] = Teams[name], "N/A")</f>
        <v>N/A</v>
      </c>
      <c r="AC410" s="58" t="str" cm="1">
        <f t="array" ref="AC410">_xlfn._xlws.FILTER(Teams[teamType], Fixtures[[#This Row],[oppTeam]] = Teams[name], "N/A")</f>
        <v>N/A</v>
      </c>
      <c r="AD410" s="58" t="str">
        <f>IF(ISBLANK(Fixtures[[#This Row],[date]]), "N/A", IF(Fixtures[[#This Row],[userSide]]="H", Fixtures[[#This Row],[homeScore]], Fixtures[[#This Row],[awayScore]]))</f>
        <v>N/A</v>
      </c>
      <c r="AE410" s="58" t="str">
        <f>IF(ISBLANK(Fixtures[[#This Row],[date]]), "N/A", IF(Fixtures[[#This Row],[userScore]] = Fixtures[[#This Row],[homeScore]], Fixtures[[#This Row],[awayScore]], Fixtures[[#This Row],[homeScore]]))</f>
        <v>N/A</v>
      </c>
      <c r="AF410" s="58" t="b">
        <f>NOT(AND(ISBLANK(Fixtures[[#This Row],[homePens]]), ISBLANK(Fixtures[[#This Row],[awayPens]])))</f>
        <v>0</v>
      </c>
      <c r="AG410" s="58" t="str">
        <f>IF(Fixtures[[#This Row],[penalties]], IF(Fixtures[[#This Row],[userSide]]="H", Fixtures[[#This Row],[homePens]], Fixtures[[#This Row],[awayPens]]), "N/A")</f>
        <v>N/A</v>
      </c>
      <c r="AH410" s="58" t="str">
        <f>IF(Fixtures[[#This Row],[penalties]], IF(Fixtures[[#This Row],[userPens]]=Fixtures[[#This Row],[homePens]],Fixtures[[#This Row],[awayPens]],Fixtures[[#This Row],[homePens]]), "N/A")</f>
        <v>N/A</v>
      </c>
      <c r="AI410" s="58" t="b">
        <f>COUNTBLANK(Fixtures[[#This Row],[G]:[MOTM]]) = 0</f>
        <v>0</v>
      </c>
      <c r="AJ410" s="58" t="str">
        <f>IF(Fixtures[[#This Row],[APP]], Fixtures[[#This Row],[G]]+Fixtures[[#This Row],[A]], "N/A")</f>
        <v>N/A</v>
      </c>
      <c r="AK4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1" spans="1:39" ht="13">
      <c r="A411" s="55"/>
      <c r="B411" s="61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7"/>
      <c r="R411" s="56"/>
      <c r="S411" s="58" t="str" cm="1">
        <f t="array" ref="S411">_xlfn._xlws.FILTER(Competitions[compType], (Fixtures[[#This Row],[competition]] = Competitions[name]), "N/A")</f>
        <v>N/A</v>
      </c>
      <c r="T411" s="58" t="str" cm="1">
        <f t="array" ref="T411">_xlfn._xlws.FILTER(Competitions[exhibition], (Fixtures[[#This Row],[competition]] = Competitions[name]), "N/A")</f>
        <v>N/A</v>
      </c>
      <c r="U411" s="58" t="str" cm="1">
        <f t="array" ref="U411">_xlfn._xlws.FILTER(Competitions[compID], (Fixtures[[#This Row],[competition]] = Competitions[name]), "N/A")</f>
        <v>N/A</v>
      </c>
      <c r="V4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1" s="58" t="str" cm="1">
        <f t="array" ref="W4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1" s="58" t="str" cm="1">
        <f t="array" ref="X411">_xlfn._xlws.FILTER(Teams[name], (Fixtures[[#This Row],[userTeamID]] = Teams[teamID]), "N/A")</f>
        <v>N/A</v>
      </c>
      <c r="Y411" s="58" t="str" cm="1">
        <f t="array" ref="Y411">_xlfn._xlws.FILTER(Teams[teamType], (Fixtures[[#This Row],[userTeamID]] = Teams[teamID]), "N/A")</f>
        <v>N/A</v>
      </c>
      <c r="Z411" s="58" t="str" cm="1">
        <f t="array" ref="Z4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1" s="58" t="str">
        <f>IF(Fixtures[[#This Row],[userSide]] = "N/A", "N/A", IF(Fixtures[[#This Row],[userSide]] = "H", Fixtures[[#This Row],[awayTeam]], Fixtures[[#This Row],[homeTeam]]))</f>
        <v>N/A</v>
      </c>
      <c r="AB411" s="58" t="str" cm="1">
        <f t="array" ref="AB411">_xlfn._xlws.FILTER(Teams[teamID], Fixtures[[#This Row],[oppTeam]] = Teams[name], "N/A")</f>
        <v>N/A</v>
      </c>
      <c r="AC411" s="58" t="str" cm="1">
        <f t="array" ref="AC411">_xlfn._xlws.FILTER(Teams[teamType], Fixtures[[#This Row],[oppTeam]] = Teams[name], "N/A")</f>
        <v>N/A</v>
      </c>
      <c r="AD411" s="58" t="str">
        <f>IF(ISBLANK(Fixtures[[#This Row],[date]]), "N/A", IF(Fixtures[[#This Row],[userSide]]="H", Fixtures[[#This Row],[homeScore]], Fixtures[[#This Row],[awayScore]]))</f>
        <v>N/A</v>
      </c>
      <c r="AE411" s="58" t="str">
        <f>IF(ISBLANK(Fixtures[[#This Row],[date]]), "N/A", IF(Fixtures[[#This Row],[userScore]] = Fixtures[[#This Row],[homeScore]], Fixtures[[#This Row],[awayScore]], Fixtures[[#This Row],[homeScore]]))</f>
        <v>N/A</v>
      </c>
      <c r="AF411" s="58" t="b">
        <f>NOT(AND(ISBLANK(Fixtures[[#This Row],[homePens]]), ISBLANK(Fixtures[[#This Row],[awayPens]])))</f>
        <v>0</v>
      </c>
      <c r="AG411" s="58" t="str">
        <f>IF(Fixtures[[#This Row],[penalties]], IF(Fixtures[[#This Row],[userSide]]="H", Fixtures[[#This Row],[homePens]], Fixtures[[#This Row],[awayPens]]), "N/A")</f>
        <v>N/A</v>
      </c>
      <c r="AH411" s="58" t="str">
        <f>IF(Fixtures[[#This Row],[penalties]], IF(Fixtures[[#This Row],[userPens]]=Fixtures[[#This Row],[homePens]],Fixtures[[#This Row],[awayPens]],Fixtures[[#This Row],[homePens]]), "N/A")</f>
        <v>N/A</v>
      </c>
      <c r="AI411" s="58" t="b">
        <f>COUNTBLANK(Fixtures[[#This Row],[G]:[MOTM]]) = 0</f>
        <v>0</v>
      </c>
      <c r="AJ411" s="58" t="str">
        <f>IF(Fixtures[[#This Row],[APP]], Fixtures[[#This Row],[G]]+Fixtures[[#This Row],[A]], "N/A")</f>
        <v>N/A</v>
      </c>
      <c r="AK4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2" spans="1:39" ht="13">
      <c r="A412" s="55"/>
      <c r="B412" s="61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7"/>
      <c r="R412" s="56"/>
      <c r="S412" s="58" t="str" cm="1">
        <f t="array" ref="S412">_xlfn._xlws.FILTER(Competitions[compType], (Fixtures[[#This Row],[competition]] = Competitions[name]), "N/A")</f>
        <v>N/A</v>
      </c>
      <c r="T412" s="58" t="str" cm="1">
        <f t="array" ref="T412">_xlfn._xlws.FILTER(Competitions[exhibition], (Fixtures[[#This Row],[competition]] = Competitions[name]), "N/A")</f>
        <v>N/A</v>
      </c>
      <c r="U412" s="58" t="str" cm="1">
        <f t="array" ref="U412">_xlfn._xlws.FILTER(Competitions[compID], (Fixtures[[#This Row],[competition]] = Competitions[name]), "N/A")</f>
        <v>N/A</v>
      </c>
      <c r="V4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2" s="58" t="str" cm="1">
        <f t="array" ref="W4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2" s="58" t="str" cm="1">
        <f t="array" ref="X412">_xlfn._xlws.FILTER(Teams[name], (Fixtures[[#This Row],[userTeamID]] = Teams[teamID]), "N/A")</f>
        <v>N/A</v>
      </c>
      <c r="Y412" s="58" t="str" cm="1">
        <f t="array" ref="Y412">_xlfn._xlws.FILTER(Teams[teamType], (Fixtures[[#This Row],[userTeamID]] = Teams[teamID]), "N/A")</f>
        <v>N/A</v>
      </c>
      <c r="Z412" s="58" t="str" cm="1">
        <f t="array" ref="Z4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2" s="58" t="str">
        <f>IF(Fixtures[[#This Row],[userSide]] = "N/A", "N/A", IF(Fixtures[[#This Row],[userSide]] = "H", Fixtures[[#This Row],[awayTeam]], Fixtures[[#This Row],[homeTeam]]))</f>
        <v>N/A</v>
      </c>
      <c r="AB412" s="58" t="str" cm="1">
        <f t="array" ref="AB412">_xlfn._xlws.FILTER(Teams[teamID], Fixtures[[#This Row],[oppTeam]] = Teams[name], "N/A")</f>
        <v>N/A</v>
      </c>
      <c r="AC412" s="58" t="str" cm="1">
        <f t="array" ref="AC412">_xlfn._xlws.FILTER(Teams[teamType], Fixtures[[#This Row],[oppTeam]] = Teams[name], "N/A")</f>
        <v>N/A</v>
      </c>
      <c r="AD412" s="58" t="str">
        <f>IF(ISBLANK(Fixtures[[#This Row],[date]]), "N/A", IF(Fixtures[[#This Row],[userSide]]="H", Fixtures[[#This Row],[homeScore]], Fixtures[[#This Row],[awayScore]]))</f>
        <v>N/A</v>
      </c>
      <c r="AE412" s="58" t="str">
        <f>IF(ISBLANK(Fixtures[[#This Row],[date]]), "N/A", IF(Fixtures[[#This Row],[userScore]] = Fixtures[[#This Row],[homeScore]], Fixtures[[#This Row],[awayScore]], Fixtures[[#This Row],[homeScore]]))</f>
        <v>N/A</v>
      </c>
      <c r="AF412" s="58" t="b">
        <f>NOT(AND(ISBLANK(Fixtures[[#This Row],[homePens]]), ISBLANK(Fixtures[[#This Row],[awayPens]])))</f>
        <v>0</v>
      </c>
      <c r="AG412" s="58" t="str">
        <f>IF(Fixtures[[#This Row],[penalties]], IF(Fixtures[[#This Row],[userSide]]="H", Fixtures[[#This Row],[homePens]], Fixtures[[#This Row],[awayPens]]), "N/A")</f>
        <v>N/A</v>
      </c>
      <c r="AH412" s="58" t="str">
        <f>IF(Fixtures[[#This Row],[penalties]], IF(Fixtures[[#This Row],[userPens]]=Fixtures[[#This Row],[homePens]],Fixtures[[#This Row],[awayPens]],Fixtures[[#This Row],[homePens]]), "N/A")</f>
        <v>N/A</v>
      </c>
      <c r="AI412" s="58" t="b">
        <f>COUNTBLANK(Fixtures[[#This Row],[G]:[MOTM]]) = 0</f>
        <v>0</v>
      </c>
      <c r="AJ412" s="58" t="str">
        <f>IF(Fixtures[[#This Row],[APP]], Fixtures[[#This Row],[G]]+Fixtures[[#This Row],[A]], "N/A")</f>
        <v>N/A</v>
      </c>
      <c r="AK4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3" spans="1:39" ht="13">
      <c r="A413" s="55"/>
      <c r="B413" s="61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7"/>
      <c r="R413" s="56"/>
      <c r="S413" s="58" t="str" cm="1">
        <f t="array" ref="S413">_xlfn._xlws.FILTER(Competitions[compType], (Fixtures[[#This Row],[competition]] = Competitions[name]), "N/A")</f>
        <v>N/A</v>
      </c>
      <c r="T413" s="58" t="str" cm="1">
        <f t="array" ref="T413">_xlfn._xlws.FILTER(Competitions[exhibition], (Fixtures[[#This Row],[competition]] = Competitions[name]), "N/A")</f>
        <v>N/A</v>
      </c>
      <c r="U413" s="58" t="str" cm="1">
        <f t="array" ref="U413">_xlfn._xlws.FILTER(Competitions[compID], (Fixtures[[#This Row],[competition]] = Competitions[name]), "N/A")</f>
        <v>N/A</v>
      </c>
      <c r="V4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3" s="58" t="str" cm="1">
        <f t="array" ref="W4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3" s="58" t="str" cm="1">
        <f t="array" ref="X413">_xlfn._xlws.FILTER(Teams[name], (Fixtures[[#This Row],[userTeamID]] = Teams[teamID]), "N/A")</f>
        <v>N/A</v>
      </c>
      <c r="Y413" s="58" t="str" cm="1">
        <f t="array" ref="Y413">_xlfn._xlws.FILTER(Teams[teamType], (Fixtures[[#This Row],[userTeamID]] = Teams[teamID]), "N/A")</f>
        <v>N/A</v>
      </c>
      <c r="Z413" s="58" t="str" cm="1">
        <f t="array" ref="Z4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3" s="58" t="str">
        <f>IF(Fixtures[[#This Row],[userSide]] = "N/A", "N/A", IF(Fixtures[[#This Row],[userSide]] = "H", Fixtures[[#This Row],[awayTeam]], Fixtures[[#This Row],[homeTeam]]))</f>
        <v>N/A</v>
      </c>
      <c r="AB413" s="58" t="str" cm="1">
        <f t="array" ref="AB413">_xlfn._xlws.FILTER(Teams[teamID], Fixtures[[#This Row],[oppTeam]] = Teams[name], "N/A")</f>
        <v>N/A</v>
      </c>
      <c r="AC413" s="58" t="str" cm="1">
        <f t="array" ref="AC413">_xlfn._xlws.FILTER(Teams[teamType], Fixtures[[#This Row],[oppTeam]] = Teams[name], "N/A")</f>
        <v>N/A</v>
      </c>
      <c r="AD413" s="58" t="str">
        <f>IF(ISBLANK(Fixtures[[#This Row],[date]]), "N/A", IF(Fixtures[[#This Row],[userSide]]="H", Fixtures[[#This Row],[homeScore]], Fixtures[[#This Row],[awayScore]]))</f>
        <v>N/A</v>
      </c>
      <c r="AE413" s="58" t="str">
        <f>IF(ISBLANK(Fixtures[[#This Row],[date]]), "N/A", IF(Fixtures[[#This Row],[userScore]] = Fixtures[[#This Row],[homeScore]], Fixtures[[#This Row],[awayScore]], Fixtures[[#This Row],[homeScore]]))</f>
        <v>N/A</v>
      </c>
      <c r="AF413" s="58" t="b">
        <f>NOT(AND(ISBLANK(Fixtures[[#This Row],[homePens]]), ISBLANK(Fixtures[[#This Row],[awayPens]])))</f>
        <v>0</v>
      </c>
      <c r="AG413" s="58" t="str">
        <f>IF(Fixtures[[#This Row],[penalties]], IF(Fixtures[[#This Row],[userSide]]="H", Fixtures[[#This Row],[homePens]], Fixtures[[#This Row],[awayPens]]), "N/A")</f>
        <v>N/A</v>
      </c>
      <c r="AH413" s="58" t="str">
        <f>IF(Fixtures[[#This Row],[penalties]], IF(Fixtures[[#This Row],[userPens]]=Fixtures[[#This Row],[homePens]],Fixtures[[#This Row],[awayPens]],Fixtures[[#This Row],[homePens]]), "N/A")</f>
        <v>N/A</v>
      </c>
      <c r="AI413" s="58" t="b">
        <f>COUNTBLANK(Fixtures[[#This Row],[G]:[MOTM]]) = 0</f>
        <v>0</v>
      </c>
      <c r="AJ413" s="58" t="str">
        <f>IF(Fixtures[[#This Row],[APP]], Fixtures[[#This Row],[G]]+Fixtures[[#This Row],[A]], "N/A")</f>
        <v>N/A</v>
      </c>
      <c r="AK4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4" spans="1:39" ht="13">
      <c r="A414" s="55"/>
      <c r="B414" s="61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7"/>
      <c r="R414" s="56"/>
      <c r="S414" s="58" t="str" cm="1">
        <f t="array" ref="S414">_xlfn._xlws.FILTER(Competitions[compType], (Fixtures[[#This Row],[competition]] = Competitions[name]), "N/A")</f>
        <v>N/A</v>
      </c>
      <c r="T414" s="58" t="str" cm="1">
        <f t="array" ref="T414">_xlfn._xlws.FILTER(Competitions[exhibition], (Fixtures[[#This Row],[competition]] = Competitions[name]), "N/A")</f>
        <v>N/A</v>
      </c>
      <c r="U414" s="58" t="str" cm="1">
        <f t="array" ref="U414">_xlfn._xlws.FILTER(Competitions[compID], (Fixtures[[#This Row],[competition]] = Competitions[name]), "N/A")</f>
        <v>N/A</v>
      </c>
      <c r="V4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4" s="58" t="str" cm="1">
        <f t="array" ref="W4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4" s="58" t="str" cm="1">
        <f t="array" ref="X414">_xlfn._xlws.FILTER(Teams[name], (Fixtures[[#This Row],[userTeamID]] = Teams[teamID]), "N/A")</f>
        <v>N/A</v>
      </c>
      <c r="Y414" s="58" t="str" cm="1">
        <f t="array" ref="Y414">_xlfn._xlws.FILTER(Teams[teamType], (Fixtures[[#This Row],[userTeamID]] = Teams[teamID]), "N/A")</f>
        <v>N/A</v>
      </c>
      <c r="Z414" s="58" t="str" cm="1">
        <f t="array" ref="Z4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4" s="58" t="str">
        <f>IF(Fixtures[[#This Row],[userSide]] = "N/A", "N/A", IF(Fixtures[[#This Row],[userSide]] = "H", Fixtures[[#This Row],[awayTeam]], Fixtures[[#This Row],[homeTeam]]))</f>
        <v>N/A</v>
      </c>
      <c r="AB414" s="58" t="str" cm="1">
        <f t="array" ref="AB414">_xlfn._xlws.FILTER(Teams[teamID], Fixtures[[#This Row],[oppTeam]] = Teams[name], "N/A")</f>
        <v>N/A</v>
      </c>
      <c r="AC414" s="58" t="str" cm="1">
        <f t="array" ref="AC414">_xlfn._xlws.FILTER(Teams[teamType], Fixtures[[#This Row],[oppTeam]] = Teams[name], "N/A")</f>
        <v>N/A</v>
      </c>
      <c r="AD414" s="58" t="str">
        <f>IF(ISBLANK(Fixtures[[#This Row],[date]]), "N/A", IF(Fixtures[[#This Row],[userSide]]="H", Fixtures[[#This Row],[homeScore]], Fixtures[[#This Row],[awayScore]]))</f>
        <v>N/A</v>
      </c>
      <c r="AE414" s="58" t="str">
        <f>IF(ISBLANK(Fixtures[[#This Row],[date]]), "N/A", IF(Fixtures[[#This Row],[userScore]] = Fixtures[[#This Row],[homeScore]], Fixtures[[#This Row],[awayScore]], Fixtures[[#This Row],[homeScore]]))</f>
        <v>N/A</v>
      </c>
      <c r="AF414" s="58" t="b">
        <f>NOT(AND(ISBLANK(Fixtures[[#This Row],[homePens]]), ISBLANK(Fixtures[[#This Row],[awayPens]])))</f>
        <v>0</v>
      </c>
      <c r="AG414" s="58" t="str">
        <f>IF(Fixtures[[#This Row],[penalties]], IF(Fixtures[[#This Row],[userSide]]="H", Fixtures[[#This Row],[homePens]], Fixtures[[#This Row],[awayPens]]), "N/A")</f>
        <v>N/A</v>
      </c>
      <c r="AH414" s="58" t="str">
        <f>IF(Fixtures[[#This Row],[penalties]], IF(Fixtures[[#This Row],[userPens]]=Fixtures[[#This Row],[homePens]],Fixtures[[#This Row],[awayPens]],Fixtures[[#This Row],[homePens]]), "N/A")</f>
        <v>N/A</v>
      </c>
      <c r="AI414" s="58" t="b">
        <f>COUNTBLANK(Fixtures[[#This Row],[G]:[MOTM]]) = 0</f>
        <v>0</v>
      </c>
      <c r="AJ414" s="58" t="str">
        <f>IF(Fixtures[[#This Row],[APP]], Fixtures[[#This Row],[G]]+Fixtures[[#This Row],[A]], "N/A")</f>
        <v>N/A</v>
      </c>
      <c r="AK4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5" spans="1:39" ht="13">
      <c r="A415" s="55"/>
      <c r="B415" s="61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7"/>
      <c r="R415" s="56"/>
      <c r="S415" s="58" t="str" cm="1">
        <f t="array" ref="S415">_xlfn._xlws.FILTER(Competitions[compType], (Fixtures[[#This Row],[competition]] = Competitions[name]), "N/A")</f>
        <v>N/A</v>
      </c>
      <c r="T415" s="58" t="str" cm="1">
        <f t="array" ref="T415">_xlfn._xlws.FILTER(Competitions[exhibition], (Fixtures[[#This Row],[competition]] = Competitions[name]), "N/A")</f>
        <v>N/A</v>
      </c>
      <c r="U415" s="58" t="str" cm="1">
        <f t="array" ref="U415">_xlfn._xlws.FILTER(Competitions[compID], (Fixtures[[#This Row],[competition]] = Competitions[name]), "N/A")</f>
        <v>N/A</v>
      </c>
      <c r="V4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5" s="58" t="str" cm="1">
        <f t="array" ref="W4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5" s="58" t="str" cm="1">
        <f t="array" ref="X415">_xlfn._xlws.FILTER(Teams[name], (Fixtures[[#This Row],[userTeamID]] = Teams[teamID]), "N/A")</f>
        <v>N/A</v>
      </c>
      <c r="Y415" s="58" t="str" cm="1">
        <f t="array" ref="Y415">_xlfn._xlws.FILTER(Teams[teamType], (Fixtures[[#This Row],[userTeamID]] = Teams[teamID]), "N/A")</f>
        <v>N/A</v>
      </c>
      <c r="Z415" s="58" t="str" cm="1">
        <f t="array" ref="Z4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5" s="58" t="str">
        <f>IF(Fixtures[[#This Row],[userSide]] = "N/A", "N/A", IF(Fixtures[[#This Row],[userSide]] = "H", Fixtures[[#This Row],[awayTeam]], Fixtures[[#This Row],[homeTeam]]))</f>
        <v>N/A</v>
      </c>
      <c r="AB415" s="58" t="str" cm="1">
        <f t="array" ref="AB415">_xlfn._xlws.FILTER(Teams[teamID], Fixtures[[#This Row],[oppTeam]] = Teams[name], "N/A")</f>
        <v>N/A</v>
      </c>
      <c r="AC415" s="58" t="str" cm="1">
        <f t="array" ref="AC415">_xlfn._xlws.FILTER(Teams[teamType], Fixtures[[#This Row],[oppTeam]] = Teams[name], "N/A")</f>
        <v>N/A</v>
      </c>
      <c r="AD415" s="58" t="str">
        <f>IF(ISBLANK(Fixtures[[#This Row],[date]]), "N/A", IF(Fixtures[[#This Row],[userSide]]="H", Fixtures[[#This Row],[homeScore]], Fixtures[[#This Row],[awayScore]]))</f>
        <v>N/A</v>
      </c>
      <c r="AE415" s="58" t="str">
        <f>IF(ISBLANK(Fixtures[[#This Row],[date]]), "N/A", IF(Fixtures[[#This Row],[userScore]] = Fixtures[[#This Row],[homeScore]], Fixtures[[#This Row],[awayScore]], Fixtures[[#This Row],[homeScore]]))</f>
        <v>N/A</v>
      </c>
      <c r="AF415" s="58" t="b">
        <f>NOT(AND(ISBLANK(Fixtures[[#This Row],[homePens]]), ISBLANK(Fixtures[[#This Row],[awayPens]])))</f>
        <v>0</v>
      </c>
      <c r="AG415" s="58" t="str">
        <f>IF(Fixtures[[#This Row],[penalties]], IF(Fixtures[[#This Row],[userSide]]="H", Fixtures[[#This Row],[homePens]], Fixtures[[#This Row],[awayPens]]), "N/A")</f>
        <v>N/A</v>
      </c>
      <c r="AH415" s="58" t="str">
        <f>IF(Fixtures[[#This Row],[penalties]], IF(Fixtures[[#This Row],[userPens]]=Fixtures[[#This Row],[homePens]],Fixtures[[#This Row],[awayPens]],Fixtures[[#This Row],[homePens]]), "N/A")</f>
        <v>N/A</v>
      </c>
      <c r="AI415" s="58" t="b">
        <f>COUNTBLANK(Fixtures[[#This Row],[G]:[MOTM]]) = 0</f>
        <v>0</v>
      </c>
      <c r="AJ415" s="58" t="str">
        <f>IF(Fixtures[[#This Row],[APP]], Fixtures[[#This Row],[G]]+Fixtures[[#This Row],[A]], "N/A")</f>
        <v>N/A</v>
      </c>
      <c r="AK4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6" spans="1:39" ht="13">
      <c r="A416" s="55"/>
      <c r="B416" s="61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7"/>
      <c r="R416" s="56"/>
      <c r="S416" s="58" t="str" cm="1">
        <f t="array" ref="S416">_xlfn._xlws.FILTER(Competitions[compType], (Fixtures[[#This Row],[competition]] = Competitions[name]), "N/A")</f>
        <v>N/A</v>
      </c>
      <c r="T416" s="58" t="str" cm="1">
        <f t="array" ref="T416">_xlfn._xlws.FILTER(Competitions[exhibition], (Fixtures[[#This Row],[competition]] = Competitions[name]), "N/A")</f>
        <v>N/A</v>
      </c>
      <c r="U416" s="58" t="str" cm="1">
        <f t="array" ref="U416">_xlfn._xlws.FILTER(Competitions[compID], (Fixtures[[#This Row],[competition]] = Competitions[name]), "N/A")</f>
        <v>N/A</v>
      </c>
      <c r="V4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6" s="58" t="str" cm="1">
        <f t="array" ref="W4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6" s="58" t="str" cm="1">
        <f t="array" ref="X416">_xlfn._xlws.FILTER(Teams[name], (Fixtures[[#This Row],[userTeamID]] = Teams[teamID]), "N/A")</f>
        <v>N/A</v>
      </c>
      <c r="Y416" s="58" t="str" cm="1">
        <f t="array" ref="Y416">_xlfn._xlws.FILTER(Teams[teamType], (Fixtures[[#This Row],[userTeamID]] = Teams[teamID]), "N/A")</f>
        <v>N/A</v>
      </c>
      <c r="Z416" s="58" t="str" cm="1">
        <f t="array" ref="Z4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6" s="58" t="str">
        <f>IF(Fixtures[[#This Row],[userSide]] = "N/A", "N/A", IF(Fixtures[[#This Row],[userSide]] = "H", Fixtures[[#This Row],[awayTeam]], Fixtures[[#This Row],[homeTeam]]))</f>
        <v>N/A</v>
      </c>
      <c r="AB416" s="58" t="str" cm="1">
        <f t="array" ref="AB416">_xlfn._xlws.FILTER(Teams[teamID], Fixtures[[#This Row],[oppTeam]] = Teams[name], "N/A")</f>
        <v>N/A</v>
      </c>
      <c r="AC416" s="58" t="str" cm="1">
        <f t="array" ref="AC416">_xlfn._xlws.FILTER(Teams[teamType], Fixtures[[#This Row],[oppTeam]] = Teams[name], "N/A")</f>
        <v>N/A</v>
      </c>
      <c r="AD416" s="58" t="str">
        <f>IF(ISBLANK(Fixtures[[#This Row],[date]]), "N/A", IF(Fixtures[[#This Row],[userSide]]="H", Fixtures[[#This Row],[homeScore]], Fixtures[[#This Row],[awayScore]]))</f>
        <v>N/A</v>
      </c>
      <c r="AE416" s="58" t="str">
        <f>IF(ISBLANK(Fixtures[[#This Row],[date]]), "N/A", IF(Fixtures[[#This Row],[userScore]] = Fixtures[[#This Row],[homeScore]], Fixtures[[#This Row],[awayScore]], Fixtures[[#This Row],[homeScore]]))</f>
        <v>N/A</v>
      </c>
      <c r="AF416" s="58" t="b">
        <f>NOT(AND(ISBLANK(Fixtures[[#This Row],[homePens]]), ISBLANK(Fixtures[[#This Row],[awayPens]])))</f>
        <v>0</v>
      </c>
      <c r="AG416" s="58" t="str">
        <f>IF(Fixtures[[#This Row],[penalties]], IF(Fixtures[[#This Row],[userSide]]="H", Fixtures[[#This Row],[homePens]], Fixtures[[#This Row],[awayPens]]), "N/A")</f>
        <v>N/A</v>
      </c>
      <c r="AH416" s="58" t="str">
        <f>IF(Fixtures[[#This Row],[penalties]], IF(Fixtures[[#This Row],[userPens]]=Fixtures[[#This Row],[homePens]],Fixtures[[#This Row],[awayPens]],Fixtures[[#This Row],[homePens]]), "N/A")</f>
        <v>N/A</v>
      </c>
      <c r="AI416" s="58" t="b">
        <f>COUNTBLANK(Fixtures[[#This Row],[G]:[MOTM]]) = 0</f>
        <v>0</v>
      </c>
      <c r="AJ416" s="58" t="str">
        <f>IF(Fixtures[[#This Row],[APP]], Fixtures[[#This Row],[G]]+Fixtures[[#This Row],[A]], "N/A")</f>
        <v>N/A</v>
      </c>
      <c r="AK4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7" spans="1:39" ht="13">
      <c r="A417" s="55"/>
      <c r="B417" s="61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7"/>
      <c r="R417" s="56"/>
      <c r="S417" s="58" t="str" cm="1">
        <f t="array" ref="S417">_xlfn._xlws.FILTER(Competitions[compType], (Fixtures[[#This Row],[competition]] = Competitions[name]), "N/A")</f>
        <v>N/A</v>
      </c>
      <c r="T417" s="58" t="str" cm="1">
        <f t="array" ref="T417">_xlfn._xlws.FILTER(Competitions[exhibition], (Fixtures[[#This Row],[competition]] = Competitions[name]), "N/A")</f>
        <v>N/A</v>
      </c>
      <c r="U417" s="58" t="str" cm="1">
        <f t="array" ref="U417">_xlfn._xlws.FILTER(Competitions[compID], (Fixtures[[#This Row],[competition]] = Competitions[name]), "N/A")</f>
        <v>N/A</v>
      </c>
      <c r="V4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7" s="58" t="str" cm="1">
        <f t="array" ref="W4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7" s="58" t="str" cm="1">
        <f t="array" ref="X417">_xlfn._xlws.FILTER(Teams[name], (Fixtures[[#This Row],[userTeamID]] = Teams[teamID]), "N/A")</f>
        <v>N/A</v>
      </c>
      <c r="Y417" s="58" t="str" cm="1">
        <f t="array" ref="Y417">_xlfn._xlws.FILTER(Teams[teamType], (Fixtures[[#This Row],[userTeamID]] = Teams[teamID]), "N/A")</f>
        <v>N/A</v>
      </c>
      <c r="Z417" s="58" t="str" cm="1">
        <f t="array" ref="Z4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7" s="58" t="str">
        <f>IF(Fixtures[[#This Row],[userSide]] = "N/A", "N/A", IF(Fixtures[[#This Row],[userSide]] = "H", Fixtures[[#This Row],[awayTeam]], Fixtures[[#This Row],[homeTeam]]))</f>
        <v>N/A</v>
      </c>
      <c r="AB417" s="58" t="str" cm="1">
        <f t="array" ref="AB417">_xlfn._xlws.FILTER(Teams[teamID], Fixtures[[#This Row],[oppTeam]] = Teams[name], "N/A")</f>
        <v>N/A</v>
      </c>
      <c r="AC417" s="58" t="str" cm="1">
        <f t="array" ref="AC417">_xlfn._xlws.FILTER(Teams[teamType], Fixtures[[#This Row],[oppTeam]] = Teams[name], "N/A")</f>
        <v>N/A</v>
      </c>
      <c r="AD417" s="58" t="str">
        <f>IF(ISBLANK(Fixtures[[#This Row],[date]]), "N/A", IF(Fixtures[[#This Row],[userSide]]="H", Fixtures[[#This Row],[homeScore]], Fixtures[[#This Row],[awayScore]]))</f>
        <v>N/A</v>
      </c>
      <c r="AE417" s="58" t="str">
        <f>IF(ISBLANK(Fixtures[[#This Row],[date]]), "N/A", IF(Fixtures[[#This Row],[userScore]] = Fixtures[[#This Row],[homeScore]], Fixtures[[#This Row],[awayScore]], Fixtures[[#This Row],[homeScore]]))</f>
        <v>N/A</v>
      </c>
      <c r="AF417" s="58" t="b">
        <f>NOT(AND(ISBLANK(Fixtures[[#This Row],[homePens]]), ISBLANK(Fixtures[[#This Row],[awayPens]])))</f>
        <v>0</v>
      </c>
      <c r="AG417" s="58" t="str">
        <f>IF(Fixtures[[#This Row],[penalties]], IF(Fixtures[[#This Row],[userSide]]="H", Fixtures[[#This Row],[homePens]], Fixtures[[#This Row],[awayPens]]), "N/A")</f>
        <v>N/A</v>
      </c>
      <c r="AH417" s="58" t="str">
        <f>IF(Fixtures[[#This Row],[penalties]], IF(Fixtures[[#This Row],[userPens]]=Fixtures[[#This Row],[homePens]],Fixtures[[#This Row],[awayPens]],Fixtures[[#This Row],[homePens]]), "N/A")</f>
        <v>N/A</v>
      </c>
      <c r="AI417" s="58" t="b">
        <f>COUNTBLANK(Fixtures[[#This Row],[G]:[MOTM]]) = 0</f>
        <v>0</v>
      </c>
      <c r="AJ417" s="58" t="str">
        <f>IF(Fixtures[[#This Row],[APP]], Fixtures[[#This Row],[G]]+Fixtures[[#This Row],[A]], "N/A")</f>
        <v>N/A</v>
      </c>
      <c r="AK4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8" spans="1:39" ht="13">
      <c r="A418" s="55"/>
      <c r="B418" s="61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7"/>
      <c r="R418" s="56"/>
      <c r="S418" s="58" t="str" cm="1">
        <f t="array" ref="S418">_xlfn._xlws.FILTER(Competitions[compType], (Fixtures[[#This Row],[competition]] = Competitions[name]), "N/A")</f>
        <v>N/A</v>
      </c>
      <c r="T418" s="58" t="str" cm="1">
        <f t="array" ref="T418">_xlfn._xlws.FILTER(Competitions[exhibition], (Fixtures[[#This Row],[competition]] = Competitions[name]), "N/A")</f>
        <v>N/A</v>
      </c>
      <c r="U418" s="58" t="str" cm="1">
        <f t="array" ref="U418">_xlfn._xlws.FILTER(Competitions[compID], (Fixtures[[#This Row],[competition]] = Competitions[name]), "N/A")</f>
        <v>N/A</v>
      </c>
      <c r="V4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8" s="58" t="str" cm="1">
        <f t="array" ref="W4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8" s="58" t="str" cm="1">
        <f t="array" ref="X418">_xlfn._xlws.FILTER(Teams[name], (Fixtures[[#This Row],[userTeamID]] = Teams[teamID]), "N/A")</f>
        <v>N/A</v>
      </c>
      <c r="Y418" s="58" t="str" cm="1">
        <f t="array" ref="Y418">_xlfn._xlws.FILTER(Teams[teamType], (Fixtures[[#This Row],[userTeamID]] = Teams[teamID]), "N/A")</f>
        <v>N/A</v>
      </c>
      <c r="Z418" s="58" t="str" cm="1">
        <f t="array" ref="Z4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8" s="58" t="str">
        <f>IF(Fixtures[[#This Row],[userSide]] = "N/A", "N/A", IF(Fixtures[[#This Row],[userSide]] = "H", Fixtures[[#This Row],[awayTeam]], Fixtures[[#This Row],[homeTeam]]))</f>
        <v>N/A</v>
      </c>
      <c r="AB418" s="58" t="str" cm="1">
        <f t="array" ref="AB418">_xlfn._xlws.FILTER(Teams[teamID], Fixtures[[#This Row],[oppTeam]] = Teams[name], "N/A")</f>
        <v>N/A</v>
      </c>
      <c r="AC418" s="58" t="str" cm="1">
        <f t="array" ref="AC418">_xlfn._xlws.FILTER(Teams[teamType], Fixtures[[#This Row],[oppTeam]] = Teams[name], "N/A")</f>
        <v>N/A</v>
      </c>
      <c r="AD418" s="58" t="str">
        <f>IF(ISBLANK(Fixtures[[#This Row],[date]]), "N/A", IF(Fixtures[[#This Row],[userSide]]="H", Fixtures[[#This Row],[homeScore]], Fixtures[[#This Row],[awayScore]]))</f>
        <v>N/A</v>
      </c>
      <c r="AE418" s="58" t="str">
        <f>IF(ISBLANK(Fixtures[[#This Row],[date]]), "N/A", IF(Fixtures[[#This Row],[userScore]] = Fixtures[[#This Row],[homeScore]], Fixtures[[#This Row],[awayScore]], Fixtures[[#This Row],[homeScore]]))</f>
        <v>N/A</v>
      </c>
      <c r="AF418" s="58" t="b">
        <f>NOT(AND(ISBLANK(Fixtures[[#This Row],[homePens]]), ISBLANK(Fixtures[[#This Row],[awayPens]])))</f>
        <v>0</v>
      </c>
      <c r="AG418" s="58" t="str">
        <f>IF(Fixtures[[#This Row],[penalties]], IF(Fixtures[[#This Row],[userSide]]="H", Fixtures[[#This Row],[homePens]], Fixtures[[#This Row],[awayPens]]), "N/A")</f>
        <v>N/A</v>
      </c>
      <c r="AH418" s="58" t="str">
        <f>IF(Fixtures[[#This Row],[penalties]], IF(Fixtures[[#This Row],[userPens]]=Fixtures[[#This Row],[homePens]],Fixtures[[#This Row],[awayPens]],Fixtures[[#This Row],[homePens]]), "N/A")</f>
        <v>N/A</v>
      </c>
      <c r="AI418" s="58" t="b">
        <f>COUNTBLANK(Fixtures[[#This Row],[G]:[MOTM]]) = 0</f>
        <v>0</v>
      </c>
      <c r="AJ418" s="58" t="str">
        <f>IF(Fixtures[[#This Row],[APP]], Fixtures[[#This Row],[G]]+Fixtures[[#This Row],[A]], "N/A")</f>
        <v>N/A</v>
      </c>
      <c r="AK4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19" spans="1:39" ht="13">
      <c r="A419" s="55"/>
      <c r="B419" s="61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7"/>
      <c r="R419" s="56"/>
      <c r="S419" s="58" t="str" cm="1">
        <f t="array" ref="S419">_xlfn._xlws.FILTER(Competitions[compType], (Fixtures[[#This Row],[competition]] = Competitions[name]), "N/A")</f>
        <v>N/A</v>
      </c>
      <c r="T419" s="58" t="str" cm="1">
        <f t="array" ref="T419">_xlfn._xlws.FILTER(Competitions[exhibition], (Fixtures[[#This Row],[competition]] = Competitions[name]), "N/A")</f>
        <v>N/A</v>
      </c>
      <c r="U419" s="58" t="str" cm="1">
        <f t="array" ref="U419">_xlfn._xlws.FILTER(Competitions[compID], (Fixtures[[#This Row],[competition]] = Competitions[name]), "N/A")</f>
        <v>N/A</v>
      </c>
      <c r="V4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19" s="58" t="str" cm="1">
        <f t="array" ref="W4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19" s="58" t="str" cm="1">
        <f t="array" ref="X419">_xlfn._xlws.FILTER(Teams[name], (Fixtures[[#This Row],[userTeamID]] = Teams[teamID]), "N/A")</f>
        <v>N/A</v>
      </c>
      <c r="Y419" s="58" t="str" cm="1">
        <f t="array" ref="Y419">_xlfn._xlws.FILTER(Teams[teamType], (Fixtures[[#This Row],[userTeamID]] = Teams[teamID]), "N/A")</f>
        <v>N/A</v>
      </c>
      <c r="Z419" s="58" t="str" cm="1">
        <f t="array" ref="Z4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19" s="58" t="str">
        <f>IF(Fixtures[[#This Row],[userSide]] = "N/A", "N/A", IF(Fixtures[[#This Row],[userSide]] = "H", Fixtures[[#This Row],[awayTeam]], Fixtures[[#This Row],[homeTeam]]))</f>
        <v>N/A</v>
      </c>
      <c r="AB419" s="58" t="str" cm="1">
        <f t="array" ref="AB419">_xlfn._xlws.FILTER(Teams[teamID], Fixtures[[#This Row],[oppTeam]] = Teams[name], "N/A")</f>
        <v>N/A</v>
      </c>
      <c r="AC419" s="58" t="str" cm="1">
        <f t="array" ref="AC419">_xlfn._xlws.FILTER(Teams[teamType], Fixtures[[#This Row],[oppTeam]] = Teams[name], "N/A")</f>
        <v>N/A</v>
      </c>
      <c r="AD419" s="58" t="str">
        <f>IF(ISBLANK(Fixtures[[#This Row],[date]]), "N/A", IF(Fixtures[[#This Row],[userSide]]="H", Fixtures[[#This Row],[homeScore]], Fixtures[[#This Row],[awayScore]]))</f>
        <v>N/A</v>
      </c>
      <c r="AE419" s="58" t="str">
        <f>IF(ISBLANK(Fixtures[[#This Row],[date]]), "N/A", IF(Fixtures[[#This Row],[userScore]] = Fixtures[[#This Row],[homeScore]], Fixtures[[#This Row],[awayScore]], Fixtures[[#This Row],[homeScore]]))</f>
        <v>N/A</v>
      </c>
      <c r="AF419" s="58" t="b">
        <f>NOT(AND(ISBLANK(Fixtures[[#This Row],[homePens]]), ISBLANK(Fixtures[[#This Row],[awayPens]])))</f>
        <v>0</v>
      </c>
      <c r="AG419" s="58" t="str">
        <f>IF(Fixtures[[#This Row],[penalties]], IF(Fixtures[[#This Row],[userSide]]="H", Fixtures[[#This Row],[homePens]], Fixtures[[#This Row],[awayPens]]), "N/A")</f>
        <v>N/A</v>
      </c>
      <c r="AH419" s="58" t="str">
        <f>IF(Fixtures[[#This Row],[penalties]], IF(Fixtures[[#This Row],[userPens]]=Fixtures[[#This Row],[homePens]],Fixtures[[#This Row],[awayPens]],Fixtures[[#This Row],[homePens]]), "N/A")</f>
        <v>N/A</v>
      </c>
      <c r="AI419" s="58" t="b">
        <f>COUNTBLANK(Fixtures[[#This Row],[G]:[MOTM]]) = 0</f>
        <v>0</v>
      </c>
      <c r="AJ419" s="58" t="str">
        <f>IF(Fixtures[[#This Row],[APP]], Fixtures[[#This Row],[G]]+Fixtures[[#This Row],[A]], "N/A")</f>
        <v>N/A</v>
      </c>
      <c r="AK4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0" spans="1:39" ht="13">
      <c r="A420" s="55"/>
      <c r="B420" s="61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7"/>
      <c r="R420" s="56"/>
      <c r="S420" s="58" t="str" cm="1">
        <f t="array" ref="S420">_xlfn._xlws.FILTER(Competitions[compType], (Fixtures[[#This Row],[competition]] = Competitions[name]), "N/A")</f>
        <v>N/A</v>
      </c>
      <c r="T420" s="58" t="str" cm="1">
        <f t="array" ref="T420">_xlfn._xlws.FILTER(Competitions[exhibition], (Fixtures[[#This Row],[competition]] = Competitions[name]), "N/A")</f>
        <v>N/A</v>
      </c>
      <c r="U420" s="58" t="str" cm="1">
        <f t="array" ref="U420">_xlfn._xlws.FILTER(Competitions[compID], (Fixtures[[#This Row],[competition]] = Competitions[name]), "N/A")</f>
        <v>N/A</v>
      </c>
      <c r="V4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0" s="58" t="str" cm="1">
        <f t="array" ref="W4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0" s="58" t="str" cm="1">
        <f t="array" ref="X420">_xlfn._xlws.FILTER(Teams[name], (Fixtures[[#This Row],[userTeamID]] = Teams[teamID]), "N/A")</f>
        <v>N/A</v>
      </c>
      <c r="Y420" s="58" t="str" cm="1">
        <f t="array" ref="Y420">_xlfn._xlws.FILTER(Teams[teamType], (Fixtures[[#This Row],[userTeamID]] = Teams[teamID]), "N/A")</f>
        <v>N/A</v>
      </c>
      <c r="Z420" s="58" t="str" cm="1">
        <f t="array" ref="Z4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0" s="58" t="str">
        <f>IF(Fixtures[[#This Row],[userSide]] = "N/A", "N/A", IF(Fixtures[[#This Row],[userSide]] = "H", Fixtures[[#This Row],[awayTeam]], Fixtures[[#This Row],[homeTeam]]))</f>
        <v>N/A</v>
      </c>
      <c r="AB420" s="58" t="str" cm="1">
        <f t="array" ref="AB420">_xlfn._xlws.FILTER(Teams[teamID], Fixtures[[#This Row],[oppTeam]] = Teams[name], "N/A")</f>
        <v>N/A</v>
      </c>
      <c r="AC420" s="58" t="str" cm="1">
        <f t="array" ref="AC420">_xlfn._xlws.FILTER(Teams[teamType], Fixtures[[#This Row],[oppTeam]] = Teams[name], "N/A")</f>
        <v>N/A</v>
      </c>
      <c r="AD420" s="58" t="str">
        <f>IF(ISBLANK(Fixtures[[#This Row],[date]]), "N/A", IF(Fixtures[[#This Row],[userSide]]="H", Fixtures[[#This Row],[homeScore]], Fixtures[[#This Row],[awayScore]]))</f>
        <v>N/A</v>
      </c>
      <c r="AE420" s="58" t="str">
        <f>IF(ISBLANK(Fixtures[[#This Row],[date]]), "N/A", IF(Fixtures[[#This Row],[userScore]] = Fixtures[[#This Row],[homeScore]], Fixtures[[#This Row],[awayScore]], Fixtures[[#This Row],[homeScore]]))</f>
        <v>N/A</v>
      </c>
      <c r="AF420" s="58" t="b">
        <f>NOT(AND(ISBLANK(Fixtures[[#This Row],[homePens]]), ISBLANK(Fixtures[[#This Row],[awayPens]])))</f>
        <v>0</v>
      </c>
      <c r="AG420" s="58" t="str">
        <f>IF(Fixtures[[#This Row],[penalties]], IF(Fixtures[[#This Row],[userSide]]="H", Fixtures[[#This Row],[homePens]], Fixtures[[#This Row],[awayPens]]), "N/A")</f>
        <v>N/A</v>
      </c>
      <c r="AH420" s="58" t="str">
        <f>IF(Fixtures[[#This Row],[penalties]], IF(Fixtures[[#This Row],[userPens]]=Fixtures[[#This Row],[homePens]],Fixtures[[#This Row],[awayPens]],Fixtures[[#This Row],[homePens]]), "N/A")</f>
        <v>N/A</v>
      </c>
      <c r="AI420" s="58" t="b">
        <f>COUNTBLANK(Fixtures[[#This Row],[G]:[MOTM]]) = 0</f>
        <v>0</v>
      </c>
      <c r="AJ420" s="58" t="str">
        <f>IF(Fixtures[[#This Row],[APP]], Fixtures[[#This Row],[G]]+Fixtures[[#This Row],[A]], "N/A")</f>
        <v>N/A</v>
      </c>
      <c r="AK4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1" spans="1:39" ht="13">
      <c r="A421" s="55"/>
      <c r="B421" s="61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7"/>
      <c r="R421" s="56"/>
      <c r="S421" s="58" t="str" cm="1">
        <f t="array" ref="S421">_xlfn._xlws.FILTER(Competitions[compType], (Fixtures[[#This Row],[competition]] = Competitions[name]), "N/A")</f>
        <v>N/A</v>
      </c>
      <c r="T421" s="58" t="str" cm="1">
        <f t="array" ref="T421">_xlfn._xlws.FILTER(Competitions[exhibition], (Fixtures[[#This Row],[competition]] = Competitions[name]), "N/A")</f>
        <v>N/A</v>
      </c>
      <c r="U421" s="58" t="str" cm="1">
        <f t="array" ref="U421">_xlfn._xlws.FILTER(Competitions[compID], (Fixtures[[#This Row],[competition]] = Competitions[name]), "N/A")</f>
        <v>N/A</v>
      </c>
      <c r="V4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1" s="58" t="str" cm="1">
        <f t="array" ref="W4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1" s="58" t="str" cm="1">
        <f t="array" ref="X421">_xlfn._xlws.FILTER(Teams[name], (Fixtures[[#This Row],[userTeamID]] = Teams[teamID]), "N/A")</f>
        <v>N/A</v>
      </c>
      <c r="Y421" s="58" t="str" cm="1">
        <f t="array" ref="Y421">_xlfn._xlws.FILTER(Teams[teamType], (Fixtures[[#This Row],[userTeamID]] = Teams[teamID]), "N/A")</f>
        <v>N/A</v>
      </c>
      <c r="Z421" s="58" t="str" cm="1">
        <f t="array" ref="Z4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1" s="58" t="str">
        <f>IF(Fixtures[[#This Row],[userSide]] = "N/A", "N/A", IF(Fixtures[[#This Row],[userSide]] = "H", Fixtures[[#This Row],[awayTeam]], Fixtures[[#This Row],[homeTeam]]))</f>
        <v>N/A</v>
      </c>
      <c r="AB421" s="58" t="str" cm="1">
        <f t="array" ref="AB421">_xlfn._xlws.FILTER(Teams[teamID], Fixtures[[#This Row],[oppTeam]] = Teams[name], "N/A")</f>
        <v>N/A</v>
      </c>
      <c r="AC421" s="58" t="str" cm="1">
        <f t="array" ref="AC421">_xlfn._xlws.FILTER(Teams[teamType], Fixtures[[#This Row],[oppTeam]] = Teams[name], "N/A")</f>
        <v>N/A</v>
      </c>
      <c r="AD421" s="58" t="str">
        <f>IF(ISBLANK(Fixtures[[#This Row],[date]]), "N/A", IF(Fixtures[[#This Row],[userSide]]="H", Fixtures[[#This Row],[homeScore]], Fixtures[[#This Row],[awayScore]]))</f>
        <v>N/A</v>
      </c>
      <c r="AE421" s="58" t="str">
        <f>IF(ISBLANK(Fixtures[[#This Row],[date]]), "N/A", IF(Fixtures[[#This Row],[userScore]] = Fixtures[[#This Row],[homeScore]], Fixtures[[#This Row],[awayScore]], Fixtures[[#This Row],[homeScore]]))</f>
        <v>N/A</v>
      </c>
      <c r="AF421" s="58" t="b">
        <f>NOT(AND(ISBLANK(Fixtures[[#This Row],[homePens]]), ISBLANK(Fixtures[[#This Row],[awayPens]])))</f>
        <v>0</v>
      </c>
      <c r="AG421" s="58" t="str">
        <f>IF(Fixtures[[#This Row],[penalties]], IF(Fixtures[[#This Row],[userSide]]="H", Fixtures[[#This Row],[homePens]], Fixtures[[#This Row],[awayPens]]), "N/A")</f>
        <v>N/A</v>
      </c>
      <c r="AH421" s="58" t="str">
        <f>IF(Fixtures[[#This Row],[penalties]], IF(Fixtures[[#This Row],[userPens]]=Fixtures[[#This Row],[homePens]],Fixtures[[#This Row],[awayPens]],Fixtures[[#This Row],[homePens]]), "N/A")</f>
        <v>N/A</v>
      </c>
      <c r="AI421" s="58" t="b">
        <f>COUNTBLANK(Fixtures[[#This Row],[G]:[MOTM]]) = 0</f>
        <v>0</v>
      </c>
      <c r="AJ421" s="58" t="str">
        <f>IF(Fixtures[[#This Row],[APP]], Fixtures[[#This Row],[G]]+Fixtures[[#This Row],[A]], "N/A")</f>
        <v>N/A</v>
      </c>
      <c r="AK4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2" spans="1:39" ht="13">
      <c r="A422" s="55"/>
      <c r="B422" s="61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7"/>
      <c r="R422" s="56"/>
      <c r="S422" s="58" t="str" cm="1">
        <f t="array" ref="S422">_xlfn._xlws.FILTER(Competitions[compType], (Fixtures[[#This Row],[competition]] = Competitions[name]), "N/A")</f>
        <v>N/A</v>
      </c>
      <c r="T422" s="58" t="str" cm="1">
        <f t="array" ref="T422">_xlfn._xlws.FILTER(Competitions[exhibition], (Fixtures[[#This Row],[competition]] = Competitions[name]), "N/A")</f>
        <v>N/A</v>
      </c>
      <c r="U422" s="58" t="str" cm="1">
        <f t="array" ref="U422">_xlfn._xlws.FILTER(Competitions[compID], (Fixtures[[#This Row],[competition]] = Competitions[name]), "N/A")</f>
        <v>N/A</v>
      </c>
      <c r="V4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2" s="58" t="str" cm="1">
        <f t="array" ref="W4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2" s="58" t="str" cm="1">
        <f t="array" ref="X422">_xlfn._xlws.FILTER(Teams[name], (Fixtures[[#This Row],[userTeamID]] = Teams[teamID]), "N/A")</f>
        <v>N/A</v>
      </c>
      <c r="Y422" s="58" t="str" cm="1">
        <f t="array" ref="Y422">_xlfn._xlws.FILTER(Teams[teamType], (Fixtures[[#This Row],[userTeamID]] = Teams[teamID]), "N/A")</f>
        <v>N/A</v>
      </c>
      <c r="Z422" s="58" t="str" cm="1">
        <f t="array" ref="Z4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2" s="58" t="str">
        <f>IF(Fixtures[[#This Row],[userSide]] = "N/A", "N/A", IF(Fixtures[[#This Row],[userSide]] = "H", Fixtures[[#This Row],[awayTeam]], Fixtures[[#This Row],[homeTeam]]))</f>
        <v>N/A</v>
      </c>
      <c r="AB422" s="58" t="str" cm="1">
        <f t="array" ref="AB422">_xlfn._xlws.FILTER(Teams[teamID], Fixtures[[#This Row],[oppTeam]] = Teams[name], "N/A")</f>
        <v>N/A</v>
      </c>
      <c r="AC422" s="58" t="str" cm="1">
        <f t="array" ref="AC422">_xlfn._xlws.FILTER(Teams[teamType], Fixtures[[#This Row],[oppTeam]] = Teams[name], "N/A")</f>
        <v>N/A</v>
      </c>
      <c r="AD422" s="58" t="str">
        <f>IF(ISBLANK(Fixtures[[#This Row],[date]]), "N/A", IF(Fixtures[[#This Row],[userSide]]="H", Fixtures[[#This Row],[homeScore]], Fixtures[[#This Row],[awayScore]]))</f>
        <v>N/A</v>
      </c>
      <c r="AE422" s="58" t="str">
        <f>IF(ISBLANK(Fixtures[[#This Row],[date]]), "N/A", IF(Fixtures[[#This Row],[userScore]] = Fixtures[[#This Row],[homeScore]], Fixtures[[#This Row],[awayScore]], Fixtures[[#This Row],[homeScore]]))</f>
        <v>N/A</v>
      </c>
      <c r="AF422" s="58" t="b">
        <f>NOT(AND(ISBLANK(Fixtures[[#This Row],[homePens]]), ISBLANK(Fixtures[[#This Row],[awayPens]])))</f>
        <v>0</v>
      </c>
      <c r="AG422" s="58" t="str">
        <f>IF(Fixtures[[#This Row],[penalties]], IF(Fixtures[[#This Row],[userSide]]="H", Fixtures[[#This Row],[homePens]], Fixtures[[#This Row],[awayPens]]), "N/A")</f>
        <v>N/A</v>
      </c>
      <c r="AH422" s="58" t="str">
        <f>IF(Fixtures[[#This Row],[penalties]], IF(Fixtures[[#This Row],[userPens]]=Fixtures[[#This Row],[homePens]],Fixtures[[#This Row],[awayPens]],Fixtures[[#This Row],[homePens]]), "N/A")</f>
        <v>N/A</v>
      </c>
      <c r="AI422" s="58" t="b">
        <f>COUNTBLANK(Fixtures[[#This Row],[G]:[MOTM]]) = 0</f>
        <v>0</v>
      </c>
      <c r="AJ422" s="58" t="str">
        <f>IF(Fixtures[[#This Row],[APP]], Fixtures[[#This Row],[G]]+Fixtures[[#This Row],[A]], "N/A")</f>
        <v>N/A</v>
      </c>
      <c r="AK4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3" spans="1:39" ht="13">
      <c r="A423" s="55"/>
      <c r="B423" s="61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7"/>
      <c r="R423" s="56"/>
      <c r="S423" s="58" t="str" cm="1">
        <f t="array" ref="S423">_xlfn._xlws.FILTER(Competitions[compType], (Fixtures[[#This Row],[competition]] = Competitions[name]), "N/A")</f>
        <v>N/A</v>
      </c>
      <c r="T423" s="58" t="str" cm="1">
        <f t="array" ref="T423">_xlfn._xlws.FILTER(Competitions[exhibition], (Fixtures[[#This Row],[competition]] = Competitions[name]), "N/A")</f>
        <v>N/A</v>
      </c>
      <c r="U423" s="58" t="str" cm="1">
        <f t="array" ref="U423">_xlfn._xlws.FILTER(Competitions[compID], (Fixtures[[#This Row],[competition]] = Competitions[name]), "N/A")</f>
        <v>N/A</v>
      </c>
      <c r="V4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3" s="58" t="str" cm="1">
        <f t="array" ref="W4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3" s="58" t="str" cm="1">
        <f t="array" ref="X423">_xlfn._xlws.FILTER(Teams[name], (Fixtures[[#This Row],[userTeamID]] = Teams[teamID]), "N/A")</f>
        <v>N/A</v>
      </c>
      <c r="Y423" s="58" t="str" cm="1">
        <f t="array" ref="Y423">_xlfn._xlws.FILTER(Teams[teamType], (Fixtures[[#This Row],[userTeamID]] = Teams[teamID]), "N/A")</f>
        <v>N/A</v>
      </c>
      <c r="Z423" s="58" t="str" cm="1">
        <f t="array" ref="Z4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3" s="58" t="str">
        <f>IF(Fixtures[[#This Row],[userSide]] = "N/A", "N/A", IF(Fixtures[[#This Row],[userSide]] = "H", Fixtures[[#This Row],[awayTeam]], Fixtures[[#This Row],[homeTeam]]))</f>
        <v>N/A</v>
      </c>
      <c r="AB423" s="58" t="str" cm="1">
        <f t="array" ref="AB423">_xlfn._xlws.FILTER(Teams[teamID], Fixtures[[#This Row],[oppTeam]] = Teams[name], "N/A")</f>
        <v>N/A</v>
      </c>
      <c r="AC423" s="58" t="str" cm="1">
        <f t="array" ref="AC423">_xlfn._xlws.FILTER(Teams[teamType], Fixtures[[#This Row],[oppTeam]] = Teams[name], "N/A")</f>
        <v>N/A</v>
      </c>
      <c r="AD423" s="58" t="str">
        <f>IF(ISBLANK(Fixtures[[#This Row],[date]]), "N/A", IF(Fixtures[[#This Row],[userSide]]="H", Fixtures[[#This Row],[homeScore]], Fixtures[[#This Row],[awayScore]]))</f>
        <v>N/A</v>
      </c>
      <c r="AE423" s="58" t="str">
        <f>IF(ISBLANK(Fixtures[[#This Row],[date]]), "N/A", IF(Fixtures[[#This Row],[userScore]] = Fixtures[[#This Row],[homeScore]], Fixtures[[#This Row],[awayScore]], Fixtures[[#This Row],[homeScore]]))</f>
        <v>N/A</v>
      </c>
      <c r="AF423" s="58" t="b">
        <f>NOT(AND(ISBLANK(Fixtures[[#This Row],[homePens]]), ISBLANK(Fixtures[[#This Row],[awayPens]])))</f>
        <v>0</v>
      </c>
      <c r="AG423" s="58" t="str">
        <f>IF(Fixtures[[#This Row],[penalties]], IF(Fixtures[[#This Row],[userSide]]="H", Fixtures[[#This Row],[homePens]], Fixtures[[#This Row],[awayPens]]), "N/A")</f>
        <v>N/A</v>
      </c>
      <c r="AH423" s="58" t="str">
        <f>IF(Fixtures[[#This Row],[penalties]], IF(Fixtures[[#This Row],[userPens]]=Fixtures[[#This Row],[homePens]],Fixtures[[#This Row],[awayPens]],Fixtures[[#This Row],[homePens]]), "N/A")</f>
        <v>N/A</v>
      </c>
      <c r="AI423" s="58" t="b">
        <f>COUNTBLANK(Fixtures[[#This Row],[G]:[MOTM]]) = 0</f>
        <v>0</v>
      </c>
      <c r="AJ423" s="58" t="str">
        <f>IF(Fixtures[[#This Row],[APP]], Fixtures[[#This Row],[G]]+Fixtures[[#This Row],[A]], "N/A")</f>
        <v>N/A</v>
      </c>
      <c r="AK4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4" spans="1:39" ht="13">
      <c r="A424" s="55"/>
      <c r="B424" s="61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7"/>
      <c r="R424" s="56"/>
      <c r="S424" s="58" t="str" cm="1">
        <f t="array" ref="S424">_xlfn._xlws.FILTER(Competitions[compType], (Fixtures[[#This Row],[competition]] = Competitions[name]), "N/A")</f>
        <v>N/A</v>
      </c>
      <c r="T424" s="58" t="str" cm="1">
        <f t="array" ref="T424">_xlfn._xlws.FILTER(Competitions[exhibition], (Fixtures[[#This Row],[competition]] = Competitions[name]), "N/A")</f>
        <v>N/A</v>
      </c>
      <c r="U424" s="58" t="str" cm="1">
        <f t="array" ref="U424">_xlfn._xlws.FILTER(Competitions[compID], (Fixtures[[#This Row],[competition]] = Competitions[name]), "N/A")</f>
        <v>N/A</v>
      </c>
      <c r="V4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4" s="58" t="str" cm="1">
        <f t="array" ref="W4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4" s="58" t="str" cm="1">
        <f t="array" ref="X424">_xlfn._xlws.FILTER(Teams[name], (Fixtures[[#This Row],[userTeamID]] = Teams[teamID]), "N/A")</f>
        <v>N/A</v>
      </c>
      <c r="Y424" s="58" t="str" cm="1">
        <f t="array" ref="Y424">_xlfn._xlws.FILTER(Teams[teamType], (Fixtures[[#This Row],[userTeamID]] = Teams[teamID]), "N/A")</f>
        <v>N/A</v>
      </c>
      <c r="Z424" s="58" t="str" cm="1">
        <f t="array" ref="Z4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4" s="58" t="str">
        <f>IF(Fixtures[[#This Row],[userSide]] = "N/A", "N/A", IF(Fixtures[[#This Row],[userSide]] = "H", Fixtures[[#This Row],[awayTeam]], Fixtures[[#This Row],[homeTeam]]))</f>
        <v>N/A</v>
      </c>
      <c r="AB424" s="58" t="str" cm="1">
        <f t="array" ref="AB424">_xlfn._xlws.FILTER(Teams[teamID], Fixtures[[#This Row],[oppTeam]] = Teams[name], "N/A")</f>
        <v>N/A</v>
      </c>
      <c r="AC424" s="58" t="str" cm="1">
        <f t="array" ref="AC424">_xlfn._xlws.FILTER(Teams[teamType], Fixtures[[#This Row],[oppTeam]] = Teams[name], "N/A")</f>
        <v>N/A</v>
      </c>
      <c r="AD424" s="58" t="str">
        <f>IF(ISBLANK(Fixtures[[#This Row],[date]]), "N/A", IF(Fixtures[[#This Row],[userSide]]="H", Fixtures[[#This Row],[homeScore]], Fixtures[[#This Row],[awayScore]]))</f>
        <v>N/A</v>
      </c>
      <c r="AE424" s="58" t="str">
        <f>IF(ISBLANK(Fixtures[[#This Row],[date]]), "N/A", IF(Fixtures[[#This Row],[userScore]] = Fixtures[[#This Row],[homeScore]], Fixtures[[#This Row],[awayScore]], Fixtures[[#This Row],[homeScore]]))</f>
        <v>N/A</v>
      </c>
      <c r="AF424" s="58" t="b">
        <f>NOT(AND(ISBLANK(Fixtures[[#This Row],[homePens]]), ISBLANK(Fixtures[[#This Row],[awayPens]])))</f>
        <v>0</v>
      </c>
      <c r="AG424" s="58" t="str">
        <f>IF(Fixtures[[#This Row],[penalties]], IF(Fixtures[[#This Row],[userSide]]="H", Fixtures[[#This Row],[homePens]], Fixtures[[#This Row],[awayPens]]), "N/A")</f>
        <v>N/A</v>
      </c>
      <c r="AH424" s="58" t="str">
        <f>IF(Fixtures[[#This Row],[penalties]], IF(Fixtures[[#This Row],[userPens]]=Fixtures[[#This Row],[homePens]],Fixtures[[#This Row],[awayPens]],Fixtures[[#This Row],[homePens]]), "N/A")</f>
        <v>N/A</v>
      </c>
      <c r="AI424" s="58" t="b">
        <f>COUNTBLANK(Fixtures[[#This Row],[G]:[MOTM]]) = 0</f>
        <v>0</v>
      </c>
      <c r="AJ424" s="58" t="str">
        <f>IF(Fixtures[[#This Row],[APP]], Fixtures[[#This Row],[G]]+Fixtures[[#This Row],[A]], "N/A")</f>
        <v>N/A</v>
      </c>
      <c r="AK4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5" spans="1:39" ht="13">
      <c r="A425" s="55"/>
      <c r="B425" s="61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7"/>
      <c r="R425" s="56"/>
      <c r="S425" s="58" t="str" cm="1">
        <f t="array" ref="S425">_xlfn._xlws.FILTER(Competitions[compType], (Fixtures[[#This Row],[competition]] = Competitions[name]), "N/A")</f>
        <v>N/A</v>
      </c>
      <c r="T425" s="58" t="str" cm="1">
        <f t="array" ref="T425">_xlfn._xlws.FILTER(Competitions[exhibition], (Fixtures[[#This Row],[competition]] = Competitions[name]), "N/A")</f>
        <v>N/A</v>
      </c>
      <c r="U425" s="58" t="str" cm="1">
        <f t="array" ref="U425">_xlfn._xlws.FILTER(Competitions[compID], (Fixtures[[#This Row],[competition]] = Competitions[name]), "N/A")</f>
        <v>N/A</v>
      </c>
      <c r="V4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5" s="58" t="str" cm="1">
        <f t="array" ref="W4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5" s="58" t="str" cm="1">
        <f t="array" ref="X425">_xlfn._xlws.FILTER(Teams[name], (Fixtures[[#This Row],[userTeamID]] = Teams[teamID]), "N/A")</f>
        <v>N/A</v>
      </c>
      <c r="Y425" s="58" t="str" cm="1">
        <f t="array" ref="Y425">_xlfn._xlws.FILTER(Teams[teamType], (Fixtures[[#This Row],[userTeamID]] = Teams[teamID]), "N/A")</f>
        <v>N/A</v>
      </c>
      <c r="Z425" s="58" t="str" cm="1">
        <f t="array" ref="Z4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5" s="58" t="str">
        <f>IF(Fixtures[[#This Row],[userSide]] = "N/A", "N/A", IF(Fixtures[[#This Row],[userSide]] = "H", Fixtures[[#This Row],[awayTeam]], Fixtures[[#This Row],[homeTeam]]))</f>
        <v>N/A</v>
      </c>
      <c r="AB425" s="58" t="str" cm="1">
        <f t="array" ref="AB425">_xlfn._xlws.FILTER(Teams[teamID], Fixtures[[#This Row],[oppTeam]] = Teams[name], "N/A")</f>
        <v>N/A</v>
      </c>
      <c r="AC425" s="58" t="str" cm="1">
        <f t="array" ref="AC425">_xlfn._xlws.FILTER(Teams[teamType], Fixtures[[#This Row],[oppTeam]] = Teams[name], "N/A")</f>
        <v>N/A</v>
      </c>
      <c r="AD425" s="58" t="str">
        <f>IF(ISBLANK(Fixtures[[#This Row],[date]]), "N/A", IF(Fixtures[[#This Row],[userSide]]="H", Fixtures[[#This Row],[homeScore]], Fixtures[[#This Row],[awayScore]]))</f>
        <v>N/A</v>
      </c>
      <c r="AE425" s="58" t="str">
        <f>IF(ISBLANK(Fixtures[[#This Row],[date]]), "N/A", IF(Fixtures[[#This Row],[userScore]] = Fixtures[[#This Row],[homeScore]], Fixtures[[#This Row],[awayScore]], Fixtures[[#This Row],[homeScore]]))</f>
        <v>N/A</v>
      </c>
      <c r="AF425" s="58" t="b">
        <f>NOT(AND(ISBLANK(Fixtures[[#This Row],[homePens]]), ISBLANK(Fixtures[[#This Row],[awayPens]])))</f>
        <v>0</v>
      </c>
      <c r="AG425" s="58" t="str">
        <f>IF(Fixtures[[#This Row],[penalties]], IF(Fixtures[[#This Row],[userSide]]="H", Fixtures[[#This Row],[homePens]], Fixtures[[#This Row],[awayPens]]), "N/A")</f>
        <v>N/A</v>
      </c>
      <c r="AH425" s="58" t="str">
        <f>IF(Fixtures[[#This Row],[penalties]], IF(Fixtures[[#This Row],[userPens]]=Fixtures[[#This Row],[homePens]],Fixtures[[#This Row],[awayPens]],Fixtures[[#This Row],[homePens]]), "N/A")</f>
        <v>N/A</v>
      </c>
      <c r="AI425" s="58" t="b">
        <f>COUNTBLANK(Fixtures[[#This Row],[G]:[MOTM]]) = 0</f>
        <v>0</v>
      </c>
      <c r="AJ425" s="58" t="str">
        <f>IF(Fixtures[[#This Row],[APP]], Fixtures[[#This Row],[G]]+Fixtures[[#This Row],[A]], "N/A")</f>
        <v>N/A</v>
      </c>
      <c r="AK4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6" spans="1:39" ht="13">
      <c r="A426" s="55"/>
      <c r="B426" s="61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7"/>
      <c r="R426" s="56"/>
      <c r="S426" s="58" t="str" cm="1">
        <f t="array" ref="S426">_xlfn._xlws.FILTER(Competitions[compType], (Fixtures[[#This Row],[competition]] = Competitions[name]), "N/A")</f>
        <v>N/A</v>
      </c>
      <c r="T426" s="58" t="str" cm="1">
        <f t="array" ref="T426">_xlfn._xlws.FILTER(Competitions[exhibition], (Fixtures[[#This Row],[competition]] = Competitions[name]), "N/A")</f>
        <v>N/A</v>
      </c>
      <c r="U426" s="58" t="str" cm="1">
        <f t="array" ref="U426">_xlfn._xlws.FILTER(Competitions[compID], (Fixtures[[#This Row],[competition]] = Competitions[name]), "N/A")</f>
        <v>N/A</v>
      </c>
      <c r="V4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6" s="58" t="str" cm="1">
        <f t="array" ref="W4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6" s="58" t="str" cm="1">
        <f t="array" ref="X426">_xlfn._xlws.FILTER(Teams[name], (Fixtures[[#This Row],[userTeamID]] = Teams[teamID]), "N/A")</f>
        <v>N/A</v>
      </c>
      <c r="Y426" s="58" t="str" cm="1">
        <f t="array" ref="Y426">_xlfn._xlws.FILTER(Teams[teamType], (Fixtures[[#This Row],[userTeamID]] = Teams[teamID]), "N/A")</f>
        <v>N/A</v>
      </c>
      <c r="Z426" s="58" t="str" cm="1">
        <f t="array" ref="Z4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6" s="58" t="str">
        <f>IF(Fixtures[[#This Row],[userSide]] = "N/A", "N/A", IF(Fixtures[[#This Row],[userSide]] = "H", Fixtures[[#This Row],[awayTeam]], Fixtures[[#This Row],[homeTeam]]))</f>
        <v>N/A</v>
      </c>
      <c r="AB426" s="58" t="str" cm="1">
        <f t="array" ref="AB426">_xlfn._xlws.FILTER(Teams[teamID], Fixtures[[#This Row],[oppTeam]] = Teams[name], "N/A")</f>
        <v>N/A</v>
      </c>
      <c r="AC426" s="58" t="str" cm="1">
        <f t="array" ref="AC426">_xlfn._xlws.FILTER(Teams[teamType], Fixtures[[#This Row],[oppTeam]] = Teams[name], "N/A")</f>
        <v>N/A</v>
      </c>
      <c r="AD426" s="58" t="str">
        <f>IF(ISBLANK(Fixtures[[#This Row],[date]]), "N/A", IF(Fixtures[[#This Row],[userSide]]="H", Fixtures[[#This Row],[homeScore]], Fixtures[[#This Row],[awayScore]]))</f>
        <v>N/A</v>
      </c>
      <c r="AE426" s="58" t="str">
        <f>IF(ISBLANK(Fixtures[[#This Row],[date]]), "N/A", IF(Fixtures[[#This Row],[userScore]] = Fixtures[[#This Row],[homeScore]], Fixtures[[#This Row],[awayScore]], Fixtures[[#This Row],[homeScore]]))</f>
        <v>N/A</v>
      </c>
      <c r="AF426" s="58" t="b">
        <f>NOT(AND(ISBLANK(Fixtures[[#This Row],[homePens]]), ISBLANK(Fixtures[[#This Row],[awayPens]])))</f>
        <v>0</v>
      </c>
      <c r="AG426" s="58" t="str">
        <f>IF(Fixtures[[#This Row],[penalties]], IF(Fixtures[[#This Row],[userSide]]="H", Fixtures[[#This Row],[homePens]], Fixtures[[#This Row],[awayPens]]), "N/A")</f>
        <v>N/A</v>
      </c>
      <c r="AH426" s="58" t="str">
        <f>IF(Fixtures[[#This Row],[penalties]], IF(Fixtures[[#This Row],[userPens]]=Fixtures[[#This Row],[homePens]],Fixtures[[#This Row],[awayPens]],Fixtures[[#This Row],[homePens]]), "N/A")</f>
        <v>N/A</v>
      </c>
      <c r="AI426" s="58" t="b">
        <f>COUNTBLANK(Fixtures[[#This Row],[G]:[MOTM]]) = 0</f>
        <v>0</v>
      </c>
      <c r="AJ426" s="58" t="str">
        <f>IF(Fixtures[[#This Row],[APP]], Fixtures[[#This Row],[G]]+Fixtures[[#This Row],[A]], "N/A")</f>
        <v>N/A</v>
      </c>
      <c r="AK4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7" spans="1:39" ht="13">
      <c r="A427" s="55"/>
      <c r="B427" s="61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7"/>
      <c r="R427" s="56"/>
      <c r="S427" s="58" t="str" cm="1">
        <f t="array" ref="S427">_xlfn._xlws.FILTER(Competitions[compType], (Fixtures[[#This Row],[competition]] = Competitions[name]), "N/A")</f>
        <v>N/A</v>
      </c>
      <c r="T427" s="58" t="str" cm="1">
        <f t="array" ref="T427">_xlfn._xlws.FILTER(Competitions[exhibition], (Fixtures[[#This Row],[competition]] = Competitions[name]), "N/A")</f>
        <v>N/A</v>
      </c>
      <c r="U427" s="58" t="str" cm="1">
        <f t="array" ref="U427">_xlfn._xlws.FILTER(Competitions[compID], (Fixtures[[#This Row],[competition]] = Competitions[name]), "N/A")</f>
        <v>N/A</v>
      </c>
      <c r="V4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7" s="58" t="str" cm="1">
        <f t="array" ref="W4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7" s="58" t="str" cm="1">
        <f t="array" ref="X427">_xlfn._xlws.FILTER(Teams[name], (Fixtures[[#This Row],[userTeamID]] = Teams[teamID]), "N/A")</f>
        <v>N/A</v>
      </c>
      <c r="Y427" s="58" t="str" cm="1">
        <f t="array" ref="Y427">_xlfn._xlws.FILTER(Teams[teamType], (Fixtures[[#This Row],[userTeamID]] = Teams[teamID]), "N/A")</f>
        <v>N/A</v>
      </c>
      <c r="Z427" s="58" t="str" cm="1">
        <f t="array" ref="Z4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7" s="58" t="str">
        <f>IF(Fixtures[[#This Row],[userSide]] = "N/A", "N/A", IF(Fixtures[[#This Row],[userSide]] = "H", Fixtures[[#This Row],[awayTeam]], Fixtures[[#This Row],[homeTeam]]))</f>
        <v>N/A</v>
      </c>
      <c r="AB427" s="58" t="str" cm="1">
        <f t="array" ref="AB427">_xlfn._xlws.FILTER(Teams[teamID], Fixtures[[#This Row],[oppTeam]] = Teams[name], "N/A")</f>
        <v>N/A</v>
      </c>
      <c r="AC427" s="58" t="str" cm="1">
        <f t="array" ref="AC427">_xlfn._xlws.FILTER(Teams[teamType], Fixtures[[#This Row],[oppTeam]] = Teams[name], "N/A")</f>
        <v>N/A</v>
      </c>
      <c r="AD427" s="58" t="str">
        <f>IF(ISBLANK(Fixtures[[#This Row],[date]]), "N/A", IF(Fixtures[[#This Row],[userSide]]="H", Fixtures[[#This Row],[homeScore]], Fixtures[[#This Row],[awayScore]]))</f>
        <v>N/A</v>
      </c>
      <c r="AE427" s="58" t="str">
        <f>IF(ISBLANK(Fixtures[[#This Row],[date]]), "N/A", IF(Fixtures[[#This Row],[userScore]] = Fixtures[[#This Row],[homeScore]], Fixtures[[#This Row],[awayScore]], Fixtures[[#This Row],[homeScore]]))</f>
        <v>N/A</v>
      </c>
      <c r="AF427" s="58" t="b">
        <f>NOT(AND(ISBLANK(Fixtures[[#This Row],[homePens]]), ISBLANK(Fixtures[[#This Row],[awayPens]])))</f>
        <v>0</v>
      </c>
      <c r="AG427" s="58" t="str">
        <f>IF(Fixtures[[#This Row],[penalties]], IF(Fixtures[[#This Row],[userSide]]="H", Fixtures[[#This Row],[homePens]], Fixtures[[#This Row],[awayPens]]), "N/A")</f>
        <v>N/A</v>
      </c>
      <c r="AH427" s="58" t="str">
        <f>IF(Fixtures[[#This Row],[penalties]], IF(Fixtures[[#This Row],[userPens]]=Fixtures[[#This Row],[homePens]],Fixtures[[#This Row],[awayPens]],Fixtures[[#This Row],[homePens]]), "N/A")</f>
        <v>N/A</v>
      </c>
      <c r="AI427" s="58" t="b">
        <f>COUNTBLANK(Fixtures[[#This Row],[G]:[MOTM]]) = 0</f>
        <v>0</v>
      </c>
      <c r="AJ427" s="58" t="str">
        <f>IF(Fixtures[[#This Row],[APP]], Fixtures[[#This Row],[G]]+Fixtures[[#This Row],[A]], "N/A")</f>
        <v>N/A</v>
      </c>
      <c r="AK4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8" spans="1:39" ht="13">
      <c r="A428" s="55"/>
      <c r="B428" s="61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7"/>
      <c r="R428" s="56"/>
      <c r="S428" s="58" t="str" cm="1">
        <f t="array" ref="S428">_xlfn._xlws.FILTER(Competitions[compType], (Fixtures[[#This Row],[competition]] = Competitions[name]), "N/A")</f>
        <v>N/A</v>
      </c>
      <c r="T428" s="58" t="str" cm="1">
        <f t="array" ref="T428">_xlfn._xlws.FILTER(Competitions[exhibition], (Fixtures[[#This Row],[competition]] = Competitions[name]), "N/A")</f>
        <v>N/A</v>
      </c>
      <c r="U428" s="58" t="str" cm="1">
        <f t="array" ref="U428">_xlfn._xlws.FILTER(Competitions[compID], (Fixtures[[#This Row],[competition]] = Competitions[name]), "N/A")</f>
        <v>N/A</v>
      </c>
      <c r="V4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8" s="58" t="str" cm="1">
        <f t="array" ref="W4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8" s="58" t="str" cm="1">
        <f t="array" ref="X428">_xlfn._xlws.FILTER(Teams[name], (Fixtures[[#This Row],[userTeamID]] = Teams[teamID]), "N/A")</f>
        <v>N/A</v>
      </c>
      <c r="Y428" s="58" t="str" cm="1">
        <f t="array" ref="Y428">_xlfn._xlws.FILTER(Teams[teamType], (Fixtures[[#This Row],[userTeamID]] = Teams[teamID]), "N/A")</f>
        <v>N/A</v>
      </c>
      <c r="Z428" s="58" t="str" cm="1">
        <f t="array" ref="Z4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8" s="58" t="str">
        <f>IF(Fixtures[[#This Row],[userSide]] = "N/A", "N/A", IF(Fixtures[[#This Row],[userSide]] = "H", Fixtures[[#This Row],[awayTeam]], Fixtures[[#This Row],[homeTeam]]))</f>
        <v>N/A</v>
      </c>
      <c r="AB428" s="58" t="str" cm="1">
        <f t="array" ref="AB428">_xlfn._xlws.FILTER(Teams[teamID], Fixtures[[#This Row],[oppTeam]] = Teams[name], "N/A")</f>
        <v>N/A</v>
      </c>
      <c r="AC428" s="58" t="str" cm="1">
        <f t="array" ref="AC428">_xlfn._xlws.FILTER(Teams[teamType], Fixtures[[#This Row],[oppTeam]] = Teams[name], "N/A")</f>
        <v>N/A</v>
      </c>
      <c r="AD428" s="58" t="str">
        <f>IF(ISBLANK(Fixtures[[#This Row],[date]]), "N/A", IF(Fixtures[[#This Row],[userSide]]="H", Fixtures[[#This Row],[homeScore]], Fixtures[[#This Row],[awayScore]]))</f>
        <v>N/A</v>
      </c>
      <c r="AE428" s="58" t="str">
        <f>IF(ISBLANK(Fixtures[[#This Row],[date]]), "N/A", IF(Fixtures[[#This Row],[userScore]] = Fixtures[[#This Row],[homeScore]], Fixtures[[#This Row],[awayScore]], Fixtures[[#This Row],[homeScore]]))</f>
        <v>N/A</v>
      </c>
      <c r="AF428" s="58" t="b">
        <f>NOT(AND(ISBLANK(Fixtures[[#This Row],[homePens]]), ISBLANK(Fixtures[[#This Row],[awayPens]])))</f>
        <v>0</v>
      </c>
      <c r="AG428" s="58" t="str">
        <f>IF(Fixtures[[#This Row],[penalties]], IF(Fixtures[[#This Row],[userSide]]="H", Fixtures[[#This Row],[homePens]], Fixtures[[#This Row],[awayPens]]), "N/A")</f>
        <v>N/A</v>
      </c>
      <c r="AH428" s="58" t="str">
        <f>IF(Fixtures[[#This Row],[penalties]], IF(Fixtures[[#This Row],[userPens]]=Fixtures[[#This Row],[homePens]],Fixtures[[#This Row],[awayPens]],Fixtures[[#This Row],[homePens]]), "N/A")</f>
        <v>N/A</v>
      </c>
      <c r="AI428" s="58" t="b">
        <f>COUNTBLANK(Fixtures[[#This Row],[G]:[MOTM]]) = 0</f>
        <v>0</v>
      </c>
      <c r="AJ428" s="58" t="str">
        <f>IF(Fixtures[[#This Row],[APP]], Fixtures[[#This Row],[G]]+Fixtures[[#This Row],[A]], "N/A")</f>
        <v>N/A</v>
      </c>
      <c r="AK4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29" spans="1:39" ht="13">
      <c r="A429" s="55"/>
      <c r="B429" s="61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7"/>
      <c r="R429" s="56"/>
      <c r="S429" s="58" t="str" cm="1">
        <f t="array" ref="S429">_xlfn._xlws.FILTER(Competitions[compType], (Fixtures[[#This Row],[competition]] = Competitions[name]), "N/A")</f>
        <v>N/A</v>
      </c>
      <c r="T429" s="58" t="str" cm="1">
        <f t="array" ref="T429">_xlfn._xlws.FILTER(Competitions[exhibition], (Fixtures[[#This Row],[competition]] = Competitions[name]), "N/A")</f>
        <v>N/A</v>
      </c>
      <c r="U429" s="58" t="str" cm="1">
        <f t="array" ref="U429">_xlfn._xlws.FILTER(Competitions[compID], (Fixtures[[#This Row],[competition]] = Competitions[name]), "N/A")</f>
        <v>N/A</v>
      </c>
      <c r="V4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29" s="58" t="str" cm="1">
        <f t="array" ref="W4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29" s="58" t="str" cm="1">
        <f t="array" ref="X429">_xlfn._xlws.FILTER(Teams[name], (Fixtures[[#This Row],[userTeamID]] = Teams[teamID]), "N/A")</f>
        <v>N/A</v>
      </c>
      <c r="Y429" s="58" t="str" cm="1">
        <f t="array" ref="Y429">_xlfn._xlws.FILTER(Teams[teamType], (Fixtures[[#This Row],[userTeamID]] = Teams[teamID]), "N/A")</f>
        <v>N/A</v>
      </c>
      <c r="Z429" s="58" t="str" cm="1">
        <f t="array" ref="Z4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29" s="58" t="str">
        <f>IF(Fixtures[[#This Row],[userSide]] = "N/A", "N/A", IF(Fixtures[[#This Row],[userSide]] = "H", Fixtures[[#This Row],[awayTeam]], Fixtures[[#This Row],[homeTeam]]))</f>
        <v>N/A</v>
      </c>
      <c r="AB429" s="58" t="str" cm="1">
        <f t="array" ref="AB429">_xlfn._xlws.FILTER(Teams[teamID], Fixtures[[#This Row],[oppTeam]] = Teams[name], "N/A")</f>
        <v>N/A</v>
      </c>
      <c r="AC429" s="58" t="str" cm="1">
        <f t="array" ref="AC429">_xlfn._xlws.FILTER(Teams[teamType], Fixtures[[#This Row],[oppTeam]] = Teams[name], "N/A")</f>
        <v>N/A</v>
      </c>
      <c r="AD429" s="58" t="str">
        <f>IF(ISBLANK(Fixtures[[#This Row],[date]]), "N/A", IF(Fixtures[[#This Row],[userSide]]="H", Fixtures[[#This Row],[homeScore]], Fixtures[[#This Row],[awayScore]]))</f>
        <v>N/A</v>
      </c>
      <c r="AE429" s="58" t="str">
        <f>IF(ISBLANK(Fixtures[[#This Row],[date]]), "N/A", IF(Fixtures[[#This Row],[userScore]] = Fixtures[[#This Row],[homeScore]], Fixtures[[#This Row],[awayScore]], Fixtures[[#This Row],[homeScore]]))</f>
        <v>N/A</v>
      </c>
      <c r="AF429" s="58" t="b">
        <f>NOT(AND(ISBLANK(Fixtures[[#This Row],[homePens]]), ISBLANK(Fixtures[[#This Row],[awayPens]])))</f>
        <v>0</v>
      </c>
      <c r="AG429" s="58" t="str">
        <f>IF(Fixtures[[#This Row],[penalties]], IF(Fixtures[[#This Row],[userSide]]="H", Fixtures[[#This Row],[homePens]], Fixtures[[#This Row],[awayPens]]), "N/A")</f>
        <v>N/A</v>
      </c>
      <c r="AH429" s="58" t="str">
        <f>IF(Fixtures[[#This Row],[penalties]], IF(Fixtures[[#This Row],[userPens]]=Fixtures[[#This Row],[homePens]],Fixtures[[#This Row],[awayPens]],Fixtures[[#This Row],[homePens]]), "N/A")</f>
        <v>N/A</v>
      </c>
      <c r="AI429" s="58" t="b">
        <f>COUNTBLANK(Fixtures[[#This Row],[G]:[MOTM]]) = 0</f>
        <v>0</v>
      </c>
      <c r="AJ429" s="58" t="str">
        <f>IF(Fixtures[[#This Row],[APP]], Fixtures[[#This Row],[G]]+Fixtures[[#This Row],[A]], "N/A")</f>
        <v>N/A</v>
      </c>
      <c r="AK4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0" spans="1:39" ht="13">
      <c r="A430" s="55"/>
      <c r="B430" s="61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7"/>
      <c r="R430" s="56"/>
      <c r="S430" s="58" t="str" cm="1">
        <f t="array" ref="S430">_xlfn._xlws.FILTER(Competitions[compType], (Fixtures[[#This Row],[competition]] = Competitions[name]), "N/A")</f>
        <v>N/A</v>
      </c>
      <c r="T430" s="58" t="str" cm="1">
        <f t="array" ref="T430">_xlfn._xlws.FILTER(Competitions[exhibition], (Fixtures[[#This Row],[competition]] = Competitions[name]), "N/A")</f>
        <v>N/A</v>
      </c>
      <c r="U430" s="58" t="str" cm="1">
        <f t="array" ref="U430">_xlfn._xlws.FILTER(Competitions[compID], (Fixtures[[#This Row],[competition]] = Competitions[name]), "N/A")</f>
        <v>N/A</v>
      </c>
      <c r="V4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0" s="58" t="str" cm="1">
        <f t="array" ref="W4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0" s="58" t="str" cm="1">
        <f t="array" ref="X430">_xlfn._xlws.FILTER(Teams[name], (Fixtures[[#This Row],[userTeamID]] = Teams[teamID]), "N/A")</f>
        <v>N/A</v>
      </c>
      <c r="Y430" s="58" t="str" cm="1">
        <f t="array" ref="Y430">_xlfn._xlws.FILTER(Teams[teamType], (Fixtures[[#This Row],[userTeamID]] = Teams[teamID]), "N/A")</f>
        <v>N/A</v>
      </c>
      <c r="Z430" s="58" t="str" cm="1">
        <f t="array" ref="Z4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0" s="58" t="str">
        <f>IF(Fixtures[[#This Row],[userSide]] = "N/A", "N/A", IF(Fixtures[[#This Row],[userSide]] = "H", Fixtures[[#This Row],[awayTeam]], Fixtures[[#This Row],[homeTeam]]))</f>
        <v>N/A</v>
      </c>
      <c r="AB430" s="58" t="str" cm="1">
        <f t="array" ref="AB430">_xlfn._xlws.FILTER(Teams[teamID], Fixtures[[#This Row],[oppTeam]] = Teams[name], "N/A")</f>
        <v>N/A</v>
      </c>
      <c r="AC430" s="58" t="str" cm="1">
        <f t="array" ref="AC430">_xlfn._xlws.FILTER(Teams[teamType], Fixtures[[#This Row],[oppTeam]] = Teams[name], "N/A")</f>
        <v>N/A</v>
      </c>
      <c r="AD430" s="58" t="str">
        <f>IF(ISBLANK(Fixtures[[#This Row],[date]]), "N/A", IF(Fixtures[[#This Row],[userSide]]="H", Fixtures[[#This Row],[homeScore]], Fixtures[[#This Row],[awayScore]]))</f>
        <v>N/A</v>
      </c>
      <c r="AE430" s="58" t="str">
        <f>IF(ISBLANK(Fixtures[[#This Row],[date]]), "N/A", IF(Fixtures[[#This Row],[userScore]] = Fixtures[[#This Row],[homeScore]], Fixtures[[#This Row],[awayScore]], Fixtures[[#This Row],[homeScore]]))</f>
        <v>N/A</v>
      </c>
      <c r="AF430" s="58" t="b">
        <f>NOT(AND(ISBLANK(Fixtures[[#This Row],[homePens]]), ISBLANK(Fixtures[[#This Row],[awayPens]])))</f>
        <v>0</v>
      </c>
      <c r="AG430" s="58" t="str">
        <f>IF(Fixtures[[#This Row],[penalties]], IF(Fixtures[[#This Row],[userSide]]="H", Fixtures[[#This Row],[homePens]], Fixtures[[#This Row],[awayPens]]), "N/A")</f>
        <v>N/A</v>
      </c>
      <c r="AH430" s="58" t="str">
        <f>IF(Fixtures[[#This Row],[penalties]], IF(Fixtures[[#This Row],[userPens]]=Fixtures[[#This Row],[homePens]],Fixtures[[#This Row],[awayPens]],Fixtures[[#This Row],[homePens]]), "N/A")</f>
        <v>N/A</v>
      </c>
      <c r="AI430" s="58" t="b">
        <f>COUNTBLANK(Fixtures[[#This Row],[G]:[MOTM]]) = 0</f>
        <v>0</v>
      </c>
      <c r="AJ430" s="58" t="str">
        <f>IF(Fixtures[[#This Row],[APP]], Fixtures[[#This Row],[G]]+Fixtures[[#This Row],[A]], "N/A")</f>
        <v>N/A</v>
      </c>
      <c r="AK4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1" spans="1:39" ht="13">
      <c r="A431" s="55"/>
      <c r="B431" s="61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7"/>
      <c r="R431" s="56"/>
      <c r="S431" s="58" t="str" cm="1">
        <f t="array" ref="S431">_xlfn._xlws.FILTER(Competitions[compType], (Fixtures[[#This Row],[competition]] = Competitions[name]), "N/A")</f>
        <v>N/A</v>
      </c>
      <c r="T431" s="58" t="str" cm="1">
        <f t="array" ref="T431">_xlfn._xlws.FILTER(Competitions[exhibition], (Fixtures[[#This Row],[competition]] = Competitions[name]), "N/A")</f>
        <v>N/A</v>
      </c>
      <c r="U431" s="58" t="str" cm="1">
        <f t="array" ref="U431">_xlfn._xlws.FILTER(Competitions[compID], (Fixtures[[#This Row],[competition]] = Competitions[name]), "N/A")</f>
        <v>N/A</v>
      </c>
      <c r="V4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1" s="58" t="str" cm="1">
        <f t="array" ref="W4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1" s="58" t="str" cm="1">
        <f t="array" ref="X431">_xlfn._xlws.FILTER(Teams[name], (Fixtures[[#This Row],[userTeamID]] = Teams[teamID]), "N/A")</f>
        <v>N/A</v>
      </c>
      <c r="Y431" s="58" t="str" cm="1">
        <f t="array" ref="Y431">_xlfn._xlws.FILTER(Teams[teamType], (Fixtures[[#This Row],[userTeamID]] = Teams[teamID]), "N/A")</f>
        <v>N/A</v>
      </c>
      <c r="Z431" s="58" t="str" cm="1">
        <f t="array" ref="Z4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1" s="58" t="str">
        <f>IF(Fixtures[[#This Row],[userSide]] = "N/A", "N/A", IF(Fixtures[[#This Row],[userSide]] = "H", Fixtures[[#This Row],[awayTeam]], Fixtures[[#This Row],[homeTeam]]))</f>
        <v>N/A</v>
      </c>
      <c r="AB431" s="58" t="str" cm="1">
        <f t="array" ref="AB431">_xlfn._xlws.FILTER(Teams[teamID], Fixtures[[#This Row],[oppTeam]] = Teams[name], "N/A")</f>
        <v>N/A</v>
      </c>
      <c r="AC431" s="58" t="str" cm="1">
        <f t="array" ref="AC431">_xlfn._xlws.FILTER(Teams[teamType], Fixtures[[#This Row],[oppTeam]] = Teams[name], "N/A")</f>
        <v>N/A</v>
      </c>
      <c r="AD431" s="58" t="str">
        <f>IF(ISBLANK(Fixtures[[#This Row],[date]]), "N/A", IF(Fixtures[[#This Row],[userSide]]="H", Fixtures[[#This Row],[homeScore]], Fixtures[[#This Row],[awayScore]]))</f>
        <v>N/A</v>
      </c>
      <c r="AE431" s="58" t="str">
        <f>IF(ISBLANK(Fixtures[[#This Row],[date]]), "N/A", IF(Fixtures[[#This Row],[userScore]] = Fixtures[[#This Row],[homeScore]], Fixtures[[#This Row],[awayScore]], Fixtures[[#This Row],[homeScore]]))</f>
        <v>N/A</v>
      </c>
      <c r="AF431" s="58" t="b">
        <f>NOT(AND(ISBLANK(Fixtures[[#This Row],[homePens]]), ISBLANK(Fixtures[[#This Row],[awayPens]])))</f>
        <v>0</v>
      </c>
      <c r="AG431" s="58" t="str">
        <f>IF(Fixtures[[#This Row],[penalties]], IF(Fixtures[[#This Row],[userSide]]="H", Fixtures[[#This Row],[homePens]], Fixtures[[#This Row],[awayPens]]), "N/A")</f>
        <v>N/A</v>
      </c>
      <c r="AH431" s="58" t="str">
        <f>IF(Fixtures[[#This Row],[penalties]], IF(Fixtures[[#This Row],[userPens]]=Fixtures[[#This Row],[homePens]],Fixtures[[#This Row],[awayPens]],Fixtures[[#This Row],[homePens]]), "N/A")</f>
        <v>N/A</v>
      </c>
      <c r="AI431" s="58" t="b">
        <f>COUNTBLANK(Fixtures[[#This Row],[G]:[MOTM]]) = 0</f>
        <v>0</v>
      </c>
      <c r="AJ431" s="58" t="str">
        <f>IF(Fixtures[[#This Row],[APP]], Fixtures[[#This Row],[G]]+Fixtures[[#This Row],[A]], "N/A")</f>
        <v>N/A</v>
      </c>
      <c r="AK4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2" spans="1:39" ht="13">
      <c r="A432" s="55"/>
      <c r="B432" s="61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7"/>
      <c r="R432" s="56"/>
      <c r="S432" s="58" t="str" cm="1">
        <f t="array" ref="S432">_xlfn._xlws.FILTER(Competitions[compType], (Fixtures[[#This Row],[competition]] = Competitions[name]), "N/A")</f>
        <v>N/A</v>
      </c>
      <c r="T432" s="58" t="str" cm="1">
        <f t="array" ref="T432">_xlfn._xlws.FILTER(Competitions[exhibition], (Fixtures[[#This Row],[competition]] = Competitions[name]), "N/A")</f>
        <v>N/A</v>
      </c>
      <c r="U432" s="58" t="str" cm="1">
        <f t="array" ref="U432">_xlfn._xlws.FILTER(Competitions[compID], (Fixtures[[#This Row],[competition]] = Competitions[name]), "N/A")</f>
        <v>N/A</v>
      </c>
      <c r="V4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2" s="58" t="str" cm="1">
        <f t="array" ref="W4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2" s="58" t="str" cm="1">
        <f t="array" ref="X432">_xlfn._xlws.FILTER(Teams[name], (Fixtures[[#This Row],[userTeamID]] = Teams[teamID]), "N/A")</f>
        <v>N/A</v>
      </c>
      <c r="Y432" s="58" t="str" cm="1">
        <f t="array" ref="Y432">_xlfn._xlws.FILTER(Teams[teamType], (Fixtures[[#This Row],[userTeamID]] = Teams[teamID]), "N/A")</f>
        <v>N/A</v>
      </c>
      <c r="Z432" s="58" t="str" cm="1">
        <f t="array" ref="Z4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2" s="58" t="str">
        <f>IF(Fixtures[[#This Row],[userSide]] = "N/A", "N/A", IF(Fixtures[[#This Row],[userSide]] = "H", Fixtures[[#This Row],[awayTeam]], Fixtures[[#This Row],[homeTeam]]))</f>
        <v>N/A</v>
      </c>
      <c r="AB432" s="58" t="str" cm="1">
        <f t="array" ref="AB432">_xlfn._xlws.FILTER(Teams[teamID], Fixtures[[#This Row],[oppTeam]] = Teams[name], "N/A")</f>
        <v>N/A</v>
      </c>
      <c r="AC432" s="58" t="str" cm="1">
        <f t="array" ref="AC432">_xlfn._xlws.FILTER(Teams[teamType], Fixtures[[#This Row],[oppTeam]] = Teams[name], "N/A")</f>
        <v>N/A</v>
      </c>
      <c r="AD432" s="58" t="str">
        <f>IF(ISBLANK(Fixtures[[#This Row],[date]]), "N/A", IF(Fixtures[[#This Row],[userSide]]="H", Fixtures[[#This Row],[homeScore]], Fixtures[[#This Row],[awayScore]]))</f>
        <v>N/A</v>
      </c>
      <c r="AE432" s="58" t="str">
        <f>IF(ISBLANK(Fixtures[[#This Row],[date]]), "N/A", IF(Fixtures[[#This Row],[userScore]] = Fixtures[[#This Row],[homeScore]], Fixtures[[#This Row],[awayScore]], Fixtures[[#This Row],[homeScore]]))</f>
        <v>N/A</v>
      </c>
      <c r="AF432" s="58" t="b">
        <f>NOT(AND(ISBLANK(Fixtures[[#This Row],[homePens]]), ISBLANK(Fixtures[[#This Row],[awayPens]])))</f>
        <v>0</v>
      </c>
      <c r="AG432" s="58" t="str">
        <f>IF(Fixtures[[#This Row],[penalties]], IF(Fixtures[[#This Row],[userSide]]="H", Fixtures[[#This Row],[homePens]], Fixtures[[#This Row],[awayPens]]), "N/A")</f>
        <v>N/A</v>
      </c>
      <c r="AH432" s="58" t="str">
        <f>IF(Fixtures[[#This Row],[penalties]], IF(Fixtures[[#This Row],[userPens]]=Fixtures[[#This Row],[homePens]],Fixtures[[#This Row],[awayPens]],Fixtures[[#This Row],[homePens]]), "N/A")</f>
        <v>N/A</v>
      </c>
      <c r="AI432" s="58" t="b">
        <f>COUNTBLANK(Fixtures[[#This Row],[G]:[MOTM]]) = 0</f>
        <v>0</v>
      </c>
      <c r="AJ432" s="58" t="str">
        <f>IF(Fixtures[[#This Row],[APP]], Fixtures[[#This Row],[G]]+Fixtures[[#This Row],[A]], "N/A")</f>
        <v>N/A</v>
      </c>
      <c r="AK4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3" spans="1:39" ht="13">
      <c r="A433" s="55"/>
      <c r="B433" s="61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7"/>
      <c r="R433" s="56"/>
      <c r="S433" s="58" t="str" cm="1">
        <f t="array" ref="S433">_xlfn._xlws.FILTER(Competitions[compType], (Fixtures[[#This Row],[competition]] = Competitions[name]), "N/A")</f>
        <v>N/A</v>
      </c>
      <c r="T433" s="58" t="str" cm="1">
        <f t="array" ref="T433">_xlfn._xlws.FILTER(Competitions[exhibition], (Fixtures[[#This Row],[competition]] = Competitions[name]), "N/A")</f>
        <v>N/A</v>
      </c>
      <c r="U433" s="58" t="str" cm="1">
        <f t="array" ref="U433">_xlfn._xlws.FILTER(Competitions[compID], (Fixtures[[#This Row],[competition]] = Competitions[name]), "N/A")</f>
        <v>N/A</v>
      </c>
      <c r="V4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3" s="58" t="str" cm="1">
        <f t="array" ref="W4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3" s="58" t="str" cm="1">
        <f t="array" ref="X433">_xlfn._xlws.FILTER(Teams[name], (Fixtures[[#This Row],[userTeamID]] = Teams[teamID]), "N/A")</f>
        <v>N/A</v>
      </c>
      <c r="Y433" s="58" t="str" cm="1">
        <f t="array" ref="Y433">_xlfn._xlws.FILTER(Teams[teamType], (Fixtures[[#This Row],[userTeamID]] = Teams[teamID]), "N/A")</f>
        <v>N/A</v>
      </c>
      <c r="Z433" s="58" t="str" cm="1">
        <f t="array" ref="Z4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3" s="58" t="str">
        <f>IF(Fixtures[[#This Row],[userSide]] = "N/A", "N/A", IF(Fixtures[[#This Row],[userSide]] = "H", Fixtures[[#This Row],[awayTeam]], Fixtures[[#This Row],[homeTeam]]))</f>
        <v>N/A</v>
      </c>
      <c r="AB433" s="58" t="str" cm="1">
        <f t="array" ref="AB433">_xlfn._xlws.FILTER(Teams[teamID], Fixtures[[#This Row],[oppTeam]] = Teams[name], "N/A")</f>
        <v>N/A</v>
      </c>
      <c r="AC433" s="58" t="str" cm="1">
        <f t="array" ref="AC433">_xlfn._xlws.FILTER(Teams[teamType], Fixtures[[#This Row],[oppTeam]] = Teams[name], "N/A")</f>
        <v>N/A</v>
      </c>
      <c r="AD433" s="58" t="str">
        <f>IF(ISBLANK(Fixtures[[#This Row],[date]]), "N/A", IF(Fixtures[[#This Row],[userSide]]="H", Fixtures[[#This Row],[homeScore]], Fixtures[[#This Row],[awayScore]]))</f>
        <v>N/A</v>
      </c>
      <c r="AE433" s="58" t="str">
        <f>IF(ISBLANK(Fixtures[[#This Row],[date]]), "N/A", IF(Fixtures[[#This Row],[userScore]] = Fixtures[[#This Row],[homeScore]], Fixtures[[#This Row],[awayScore]], Fixtures[[#This Row],[homeScore]]))</f>
        <v>N/A</v>
      </c>
      <c r="AF433" s="58" t="b">
        <f>NOT(AND(ISBLANK(Fixtures[[#This Row],[homePens]]), ISBLANK(Fixtures[[#This Row],[awayPens]])))</f>
        <v>0</v>
      </c>
      <c r="AG433" s="58" t="str">
        <f>IF(Fixtures[[#This Row],[penalties]], IF(Fixtures[[#This Row],[userSide]]="H", Fixtures[[#This Row],[homePens]], Fixtures[[#This Row],[awayPens]]), "N/A")</f>
        <v>N/A</v>
      </c>
      <c r="AH433" s="58" t="str">
        <f>IF(Fixtures[[#This Row],[penalties]], IF(Fixtures[[#This Row],[userPens]]=Fixtures[[#This Row],[homePens]],Fixtures[[#This Row],[awayPens]],Fixtures[[#This Row],[homePens]]), "N/A")</f>
        <v>N/A</v>
      </c>
      <c r="AI433" s="58" t="b">
        <f>COUNTBLANK(Fixtures[[#This Row],[G]:[MOTM]]) = 0</f>
        <v>0</v>
      </c>
      <c r="AJ433" s="58" t="str">
        <f>IF(Fixtures[[#This Row],[APP]], Fixtures[[#This Row],[G]]+Fixtures[[#This Row],[A]], "N/A")</f>
        <v>N/A</v>
      </c>
      <c r="AK4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4" spans="1:39" ht="13">
      <c r="A434" s="55"/>
      <c r="B434" s="61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7"/>
      <c r="R434" s="56"/>
      <c r="S434" s="58" t="str" cm="1">
        <f t="array" ref="S434">_xlfn._xlws.FILTER(Competitions[compType], (Fixtures[[#This Row],[competition]] = Competitions[name]), "N/A")</f>
        <v>N/A</v>
      </c>
      <c r="T434" s="58" t="str" cm="1">
        <f t="array" ref="T434">_xlfn._xlws.FILTER(Competitions[exhibition], (Fixtures[[#This Row],[competition]] = Competitions[name]), "N/A")</f>
        <v>N/A</v>
      </c>
      <c r="U434" s="58" t="str" cm="1">
        <f t="array" ref="U434">_xlfn._xlws.FILTER(Competitions[compID], (Fixtures[[#This Row],[competition]] = Competitions[name]), "N/A")</f>
        <v>N/A</v>
      </c>
      <c r="V4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4" s="58" t="str" cm="1">
        <f t="array" ref="W4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4" s="58" t="str" cm="1">
        <f t="array" ref="X434">_xlfn._xlws.FILTER(Teams[name], (Fixtures[[#This Row],[userTeamID]] = Teams[teamID]), "N/A")</f>
        <v>N/A</v>
      </c>
      <c r="Y434" s="58" t="str" cm="1">
        <f t="array" ref="Y434">_xlfn._xlws.FILTER(Teams[teamType], (Fixtures[[#This Row],[userTeamID]] = Teams[teamID]), "N/A")</f>
        <v>N/A</v>
      </c>
      <c r="Z434" s="58" t="str" cm="1">
        <f t="array" ref="Z4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4" s="58" t="str">
        <f>IF(Fixtures[[#This Row],[userSide]] = "N/A", "N/A", IF(Fixtures[[#This Row],[userSide]] = "H", Fixtures[[#This Row],[awayTeam]], Fixtures[[#This Row],[homeTeam]]))</f>
        <v>N/A</v>
      </c>
      <c r="AB434" s="58" t="str" cm="1">
        <f t="array" ref="AB434">_xlfn._xlws.FILTER(Teams[teamID], Fixtures[[#This Row],[oppTeam]] = Teams[name], "N/A")</f>
        <v>N/A</v>
      </c>
      <c r="AC434" s="58" t="str" cm="1">
        <f t="array" ref="AC434">_xlfn._xlws.FILTER(Teams[teamType], Fixtures[[#This Row],[oppTeam]] = Teams[name], "N/A")</f>
        <v>N/A</v>
      </c>
      <c r="AD434" s="58" t="str">
        <f>IF(ISBLANK(Fixtures[[#This Row],[date]]), "N/A", IF(Fixtures[[#This Row],[userSide]]="H", Fixtures[[#This Row],[homeScore]], Fixtures[[#This Row],[awayScore]]))</f>
        <v>N/A</v>
      </c>
      <c r="AE434" s="58" t="str">
        <f>IF(ISBLANK(Fixtures[[#This Row],[date]]), "N/A", IF(Fixtures[[#This Row],[userScore]] = Fixtures[[#This Row],[homeScore]], Fixtures[[#This Row],[awayScore]], Fixtures[[#This Row],[homeScore]]))</f>
        <v>N/A</v>
      </c>
      <c r="AF434" s="58" t="b">
        <f>NOT(AND(ISBLANK(Fixtures[[#This Row],[homePens]]), ISBLANK(Fixtures[[#This Row],[awayPens]])))</f>
        <v>0</v>
      </c>
      <c r="AG434" s="58" t="str">
        <f>IF(Fixtures[[#This Row],[penalties]], IF(Fixtures[[#This Row],[userSide]]="H", Fixtures[[#This Row],[homePens]], Fixtures[[#This Row],[awayPens]]), "N/A")</f>
        <v>N/A</v>
      </c>
      <c r="AH434" s="58" t="str">
        <f>IF(Fixtures[[#This Row],[penalties]], IF(Fixtures[[#This Row],[userPens]]=Fixtures[[#This Row],[homePens]],Fixtures[[#This Row],[awayPens]],Fixtures[[#This Row],[homePens]]), "N/A")</f>
        <v>N/A</v>
      </c>
      <c r="AI434" s="58" t="b">
        <f>COUNTBLANK(Fixtures[[#This Row],[G]:[MOTM]]) = 0</f>
        <v>0</v>
      </c>
      <c r="AJ434" s="58" t="str">
        <f>IF(Fixtures[[#This Row],[APP]], Fixtures[[#This Row],[G]]+Fixtures[[#This Row],[A]], "N/A")</f>
        <v>N/A</v>
      </c>
      <c r="AK4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5" spans="1:39" ht="13">
      <c r="A435" s="55"/>
      <c r="B435" s="61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7"/>
      <c r="R435" s="56"/>
      <c r="S435" s="58" t="str" cm="1">
        <f t="array" ref="S435">_xlfn._xlws.FILTER(Competitions[compType], (Fixtures[[#This Row],[competition]] = Competitions[name]), "N/A")</f>
        <v>N/A</v>
      </c>
      <c r="T435" s="58" t="str" cm="1">
        <f t="array" ref="T435">_xlfn._xlws.FILTER(Competitions[exhibition], (Fixtures[[#This Row],[competition]] = Competitions[name]), "N/A")</f>
        <v>N/A</v>
      </c>
      <c r="U435" s="58" t="str" cm="1">
        <f t="array" ref="U435">_xlfn._xlws.FILTER(Competitions[compID], (Fixtures[[#This Row],[competition]] = Competitions[name]), "N/A")</f>
        <v>N/A</v>
      </c>
      <c r="V4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5" s="58" t="str" cm="1">
        <f t="array" ref="W4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5" s="58" t="str" cm="1">
        <f t="array" ref="X435">_xlfn._xlws.FILTER(Teams[name], (Fixtures[[#This Row],[userTeamID]] = Teams[teamID]), "N/A")</f>
        <v>N/A</v>
      </c>
      <c r="Y435" s="58" t="str" cm="1">
        <f t="array" ref="Y435">_xlfn._xlws.FILTER(Teams[teamType], (Fixtures[[#This Row],[userTeamID]] = Teams[teamID]), "N/A")</f>
        <v>N/A</v>
      </c>
      <c r="Z435" s="58" t="str" cm="1">
        <f t="array" ref="Z4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5" s="58" t="str">
        <f>IF(Fixtures[[#This Row],[userSide]] = "N/A", "N/A", IF(Fixtures[[#This Row],[userSide]] = "H", Fixtures[[#This Row],[awayTeam]], Fixtures[[#This Row],[homeTeam]]))</f>
        <v>N/A</v>
      </c>
      <c r="AB435" s="58" t="str" cm="1">
        <f t="array" ref="AB435">_xlfn._xlws.FILTER(Teams[teamID], Fixtures[[#This Row],[oppTeam]] = Teams[name], "N/A")</f>
        <v>N/A</v>
      </c>
      <c r="AC435" s="58" t="str" cm="1">
        <f t="array" ref="AC435">_xlfn._xlws.FILTER(Teams[teamType], Fixtures[[#This Row],[oppTeam]] = Teams[name], "N/A")</f>
        <v>N/A</v>
      </c>
      <c r="AD435" s="58" t="str">
        <f>IF(ISBLANK(Fixtures[[#This Row],[date]]), "N/A", IF(Fixtures[[#This Row],[userSide]]="H", Fixtures[[#This Row],[homeScore]], Fixtures[[#This Row],[awayScore]]))</f>
        <v>N/A</v>
      </c>
      <c r="AE435" s="58" t="str">
        <f>IF(ISBLANK(Fixtures[[#This Row],[date]]), "N/A", IF(Fixtures[[#This Row],[userScore]] = Fixtures[[#This Row],[homeScore]], Fixtures[[#This Row],[awayScore]], Fixtures[[#This Row],[homeScore]]))</f>
        <v>N/A</v>
      </c>
      <c r="AF435" s="58" t="b">
        <f>NOT(AND(ISBLANK(Fixtures[[#This Row],[homePens]]), ISBLANK(Fixtures[[#This Row],[awayPens]])))</f>
        <v>0</v>
      </c>
      <c r="AG435" s="58" t="str">
        <f>IF(Fixtures[[#This Row],[penalties]], IF(Fixtures[[#This Row],[userSide]]="H", Fixtures[[#This Row],[homePens]], Fixtures[[#This Row],[awayPens]]), "N/A")</f>
        <v>N/A</v>
      </c>
      <c r="AH435" s="58" t="str">
        <f>IF(Fixtures[[#This Row],[penalties]], IF(Fixtures[[#This Row],[userPens]]=Fixtures[[#This Row],[homePens]],Fixtures[[#This Row],[awayPens]],Fixtures[[#This Row],[homePens]]), "N/A")</f>
        <v>N/A</v>
      </c>
      <c r="AI435" s="58" t="b">
        <f>COUNTBLANK(Fixtures[[#This Row],[G]:[MOTM]]) = 0</f>
        <v>0</v>
      </c>
      <c r="AJ435" s="58" t="str">
        <f>IF(Fixtures[[#This Row],[APP]], Fixtures[[#This Row],[G]]+Fixtures[[#This Row],[A]], "N/A")</f>
        <v>N/A</v>
      </c>
      <c r="AK4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6" spans="1:39" ht="13">
      <c r="A436" s="55"/>
      <c r="B436" s="61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7"/>
      <c r="R436" s="56"/>
      <c r="S436" s="58" t="str" cm="1">
        <f t="array" ref="S436">_xlfn._xlws.FILTER(Competitions[compType], (Fixtures[[#This Row],[competition]] = Competitions[name]), "N/A")</f>
        <v>N/A</v>
      </c>
      <c r="T436" s="58" t="str" cm="1">
        <f t="array" ref="T436">_xlfn._xlws.FILTER(Competitions[exhibition], (Fixtures[[#This Row],[competition]] = Competitions[name]), "N/A")</f>
        <v>N/A</v>
      </c>
      <c r="U436" s="58" t="str" cm="1">
        <f t="array" ref="U436">_xlfn._xlws.FILTER(Competitions[compID], (Fixtures[[#This Row],[competition]] = Competitions[name]), "N/A")</f>
        <v>N/A</v>
      </c>
      <c r="V4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6" s="58" t="str" cm="1">
        <f t="array" ref="W4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6" s="58" t="str" cm="1">
        <f t="array" ref="X436">_xlfn._xlws.FILTER(Teams[name], (Fixtures[[#This Row],[userTeamID]] = Teams[teamID]), "N/A")</f>
        <v>N/A</v>
      </c>
      <c r="Y436" s="58" t="str" cm="1">
        <f t="array" ref="Y436">_xlfn._xlws.FILTER(Teams[teamType], (Fixtures[[#This Row],[userTeamID]] = Teams[teamID]), "N/A")</f>
        <v>N/A</v>
      </c>
      <c r="Z436" s="58" t="str" cm="1">
        <f t="array" ref="Z4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6" s="58" t="str">
        <f>IF(Fixtures[[#This Row],[userSide]] = "N/A", "N/A", IF(Fixtures[[#This Row],[userSide]] = "H", Fixtures[[#This Row],[awayTeam]], Fixtures[[#This Row],[homeTeam]]))</f>
        <v>N/A</v>
      </c>
      <c r="AB436" s="58" t="str" cm="1">
        <f t="array" ref="AB436">_xlfn._xlws.FILTER(Teams[teamID], Fixtures[[#This Row],[oppTeam]] = Teams[name], "N/A")</f>
        <v>N/A</v>
      </c>
      <c r="AC436" s="58" t="str" cm="1">
        <f t="array" ref="AC436">_xlfn._xlws.FILTER(Teams[teamType], Fixtures[[#This Row],[oppTeam]] = Teams[name], "N/A")</f>
        <v>N/A</v>
      </c>
      <c r="AD436" s="58" t="str">
        <f>IF(ISBLANK(Fixtures[[#This Row],[date]]), "N/A", IF(Fixtures[[#This Row],[userSide]]="H", Fixtures[[#This Row],[homeScore]], Fixtures[[#This Row],[awayScore]]))</f>
        <v>N/A</v>
      </c>
      <c r="AE436" s="58" t="str">
        <f>IF(ISBLANK(Fixtures[[#This Row],[date]]), "N/A", IF(Fixtures[[#This Row],[userScore]] = Fixtures[[#This Row],[homeScore]], Fixtures[[#This Row],[awayScore]], Fixtures[[#This Row],[homeScore]]))</f>
        <v>N/A</v>
      </c>
      <c r="AF436" s="58" t="b">
        <f>NOT(AND(ISBLANK(Fixtures[[#This Row],[homePens]]), ISBLANK(Fixtures[[#This Row],[awayPens]])))</f>
        <v>0</v>
      </c>
      <c r="AG436" s="58" t="str">
        <f>IF(Fixtures[[#This Row],[penalties]], IF(Fixtures[[#This Row],[userSide]]="H", Fixtures[[#This Row],[homePens]], Fixtures[[#This Row],[awayPens]]), "N/A")</f>
        <v>N/A</v>
      </c>
      <c r="AH436" s="58" t="str">
        <f>IF(Fixtures[[#This Row],[penalties]], IF(Fixtures[[#This Row],[userPens]]=Fixtures[[#This Row],[homePens]],Fixtures[[#This Row],[awayPens]],Fixtures[[#This Row],[homePens]]), "N/A")</f>
        <v>N/A</v>
      </c>
      <c r="AI436" s="58" t="b">
        <f>COUNTBLANK(Fixtures[[#This Row],[G]:[MOTM]]) = 0</f>
        <v>0</v>
      </c>
      <c r="AJ436" s="58" t="str">
        <f>IF(Fixtures[[#This Row],[APP]], Fixtures[[#This Row],[G]]+Fixtures[[#This Row],[A]], "N/A")</f>
        <v>N/A</v>
      </c>
      <c r="AK4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7" spans="1:39" ht="13">
      <c r="A437" s="55"/>
      <c r="B437" s="61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7"/>
      <c r="R437" s="56"/>
      <c r="S437" s="58" t="str" cm="1">
        <f t="array" ref="S437">_xlfn._xlws.FILTER(Competitions[compType], (Fixtures[[#This Row],[competition]] = Competitions[name]), "N/A")</f>
        <v>N/A</v>
      </c>
      <c r="T437" s="58" t="str" cm="1">
        <f t="array" ref="T437">_xlfn._xlws.FILTER(Competitions[exhibition], (Fixtures[[#This Row],[competition]] = Competitions[name]), "N/A")</f>
        <v>N/A</v>
      </c>
      <c r="U437" s="58" t="str" cm="1">
        <f t="array" ref="U437">_xlfn._xlws.FILTER(Competitions[compID], (Fixtures[[#This Row],[competition]] = Competitions[name]), "N/A")</f>
        <v>N/A</v>
      </c>
      <c r="V4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7" s="58" t="str" cm="1">
        <f t="array" ref="W4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7" s="58" t="str" cm="1">
        <f t="array" ref="X437">_xlfn._xlws.FILTER(Teams[name], (Fixtures[[#This Row],[userTeamID]] = Teams[teamID]), "N/A")</f>
        <v>N/A</v>
      </c>
      <c r="Y437" s="58" t="str" cm="1">
        <f t="array" ref="Y437">_xlfn._xlws.FILTER(Teams[teamType], (Fixtures[[#This Row],[userTeamID]] = Teams[teamID]), "N/A")</f>
        <v>N/A</v>
      </c>
      <c r="Z437" s="58" t="str" cm="1">
        <f t="array" ref="Z4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7" s="58" t="str">
        <f>IF(Fixtures[[#This Row],[userSide]] = "N/A", "N/A", IF(Fixtures[[#This Row],[userSide]] = "H", Fixtures[[#This Row],[awayTeam]], Fixtures[[#This Row],[homeTeam]]))</f>
        <v>N/A</v>
      </c>
      <c r="AB437" s="58" t="str" cm="1">
        <f t="array" ref="AB437">_xlfn._xlws.FILTER(Teams[teamID], Fixtures[[#This Row],[oppTeam]] = Teams[name], "N/A")</f>
        <v>N/A</v>
      </c>
      <c r="AC437" s="58" t="str" cm="1">
        <f t="array" ref="AC437">_xlfn._xlws.FILTER(Teams[teamType], Fixtures[[#This Row],[oppTeam]] = Teams[name], "N/A")</f>
        <v>N/A</v>
      </c>
      <c r="AD437" s="58" t="str">
        <f>IF(ISBLANK(Fixtures[[#This Row],[date]]), "N/A", IF(Fixtures[[#This Row],[userSide]]="H", Fixtures[[#This Row],[homeScore]], Fixtures[[#This Row],[awayScore]]))</f>
        <v>N/A</v>
      </c>
      <c r="AE437" s="58" t="str">
        <f>IF(ISBLANK(Fixtures[[#This Row],[date]]), "N/A", IF(Fixtures[[#This Row],[userScore]] = Fixtures[[#This Row],[homeScore]], Fixtures[[#This Row],[awayScore]], Fixtures[[#This Row],[homeScore]]))</f>
        <v>N/A</v>
      </c>
      <c r="AF437" s="58" t="b">
        <f>NOT(AND(ISBLANK(Fixtures[[#This Row],[homePens]]), ISBLANK(Fixtures[[#This Row],[awayPens]])))</f>
        <v>0</v>
      </c>
      <c r="AG437" s="58" t="str">
        <f>IF(Fixtures[[#This Row],[penalties]], IF(Fixtures[[#This Row],[userSide]]="H", Fixtures[[#This Row],[homePens]], Fixtures[[#This Row],[awayPens]]), "N/A")</f>
        <v>N/A</v>
      </c>
      <c r="AH437" s="58" t="str">
        <f>IF(Fixtures[[#This Row],[penalties]], IF(Fixtures[[#This Row],[userPens]]=Fixtures[[#This Row],[homePens]],Fixtures[[#This Row],[awayPens]],Fixtures[[#This Row],[homePens]]), "N/A")</f>
        <v>N/A</v>
      </c>
      <c r="AI437" s="58" t="b">
        <f>COUNTBLANK(Fixtures[[#This Row],[G]:[MOTM]]) = 0</f>
        <v>0</v>
      </c>
      <c r="AJ437" s="58" t="str">
        <f>IF(Fixtures[[#This Row],[APP]], Fixtures[[#This Row],[G]]+Fixtures[[#This Row],[A]], "N/A")</f>
        <v>N/A</v>
      </c>
      <c r="AK4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8" spans="1:39" ht="13">
      <c r="A438" s="55"/>
      <c r="B438" s="61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7"/>
      <c r="R438" s="56"/>
      <c r="S438" s="58" t="str" cm="1">
        <f t="array" ref="S438">_xlfn._xlws.FILTER(Competitions[compType], (Fixtures[[#This Row],[competition]] = Competitions[name]), "N/A")</f>
        <v>N/A</v>
      </c>
      <c r="T438" s="58" t="str" cm="1">
        <f t="array" ref="T438">_xlfn._xlws.FILTER(Competitions[exhibition], (Fixtures[[#This Row],[competition]] = Competitions[name]), "N/A")</f>
        <v>N/A</v>
      </c>
      <c r="U438" s="58" t="str" cm="1">
        <f t="array" ref="U438">_xlfn._xlws.FILTER(Competitions[compID], (Fixtures[[#This Row],[competition]] = Competitions[name]), "N/A")</f>
        <v>N/A</v>
      </c>
      <c r="V4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8" s="58" t="str" cm="1">
        <f t="array" ref="W4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8" s="58" t="str" cm="1">
        <f t="array" ref="X438">_xlfn._xlws.FILTER(Teams[name], (Fixtures[[#This Row],[userTeamID]] = Teams[teamID]), "N/A")</f>
        <v>N/A</v>
      </c>
      <c r="Y438" s="58" t="str" cm="1">
        <f t="array" ref="Y438">_xlfn._xlws.FILTER(Teams[teamType], (Fixtures[[#This Row],[userTeamID]] = Teams[teamID]), "N/A")</f>
        <v>N/A</v>
      </c>
      <c r="Z438" s="58" t="str" cm="1">
        <f t="array" ref="Z4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8" s="58" t="str">
        <f>IF(Fixtures[[#This Row],[userSide]] = "N/A", "N/A", IF(Fixtures[[#This Row],[userSide]] = "H", Fixtures[[#This Row],[awayTeam]], Fixtures[[#This Row],[homeTeam]]))</f>
        <v>N/A</v>
      </c>
      <c r="AB438" s="58" t="str" cm="1">
        <f t="array" ref="AB438">_xlfn._xlws.FILTER(Teams[teamID], Fixtures[[#This Row],[oppTeam]] = Teams[name], "N/A")</f>
        <v>N/A</v>
      </c>
      <c r="AC438" s="58" t="str" cm="1">
        <f t="array" ref="AC438">_xlfn._xlws.FILTER(Teams[teamType], Fixtures[[#This Row],[oppTeam]] = Teams[name], "N/A")</f>
        <v>N/A</v>
      </c>
      <c r="AD438" s="58" t="str">
        <f>IF(ISBLANK(Fixtures[[#This Row],[date]]), "N/A", IF(Fixtures[[#This Row],[userSide]]="H", Fixtures[[#This Row],[homeScore]], Fixtures[[#This Row],[awayScore]]))</f>
        <v>N/A</v>
      </c>
      <c r="AE438" s="58" t="str">
        <f>IF(ISBLANK(Fixtures[[#This Row],[date]]), "N/A", IF(Fixtures[[#This Row],[userScore]] = Fixtures[[#This Row],[homeScore]], Fixtures[[#This Row],[awayScore]], Fixtures[[#This Row],[homeScore]]))</f>
        <v>N/A</v>
      </c>
      <c r="AF438" s="58" t="b">
        <f>NOT(AND(ISBLANK(Fixtures[[#This Row],[homePens]]), ISBLANK(Fixtures[[#This Row],[awayPens]])))</f>
        <v>0</v>
      </c>
      <c r="AG438" s="58" t="str">
        <f>IF(Fixtures[[#This Row],[penalties]], IF(Fixtures[[#This Row],[userSide]]="H", Fixtures[[#This Row],[homePens]], Fixtures[[#This Row],[awayPens]]), "N/A")</f>
        <v>N/A</v>
      </c>
      <c r="AH438" s="58" t="str">
        <f>IF(Fixtures[[#This Row],[penalties]], IF(Fixtures[[#This Row],[userPens]]=Fixtures[[#This Row],[homePens]],Fixtures[[#This Row],[awayPens]],Fixtures[[#This Row],[homePens]]), "N/A")</f>
        <v>N/A</v>
      </c>
      <c r="AI438" s="58" t="b">
        <f>COUNTBLANK(Fixtures[[#This Row],[G]:[MOTM]]) = 0</f>
        <v>0</v>
      </c>
      <c r="AJ438" s="58" t="str">
        <f>IF(Fixtures[[#This Row],[APP]], Fixtures[[#This Row],[G]]+Fixtures[[#This Row],[A]], "N/A")</f>
        <v>N/A</v>
      </c>
      <c r="AK4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39" spans="1:39" ht="13">
      <c r="A439" s="55"/>
      <c r="B439" s="61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7"/>
      <c r="R439" s="56"/>
      <c r="S439" s="58" t="str" cm="1">
        <f t="array" ref="S439">_xlfn._xlws.FILTER(Competitions[compType], (Fixtures[[#This Row],[competition]] = Competitions[name]), "N/A")</f>
        <v>N/A</v>
      </c>
      <c r="T439" s="58" t="str" cm="1">
        <f t="array" ref="T439">_xlfn._xlws.FILTER(Competitions[exhibition], (Fixtures[[#This Row],[competition]] = Competitions[name]), "N/A")</f>
        <v>N/A</v>
      </c>
      <c r="U439" s="58" t="str" cm="1">
        <f t="array" ref="U439">_xlfn._xlws.FILTER(Competitions[compID], (Fixtures[[#This Row],[competition]] = Competitions[name]), "N/A")</f>
        <v>N/A</v>
      </c>
      <c r="V4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39" s="58" t="str" cm="1">
        <f t="array" ref="W4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39" s="58" t="str" cm="1">
        <f t="array" ref="X439">_xlfn._xlws.FILTER(Teams[name], (Fixtures[[#This Row],[userTeamID]] = Teams[teamID]), "N/A")</f>
        <v>N/A</v>
      </c>
      <c r="Y439" s="58" t="str" cm="1">
        <f t="array" ref="Y439">_xlfn._xlws.FILTER(Teams[teamType], (Fixtures[[#This Row],[userTeamID]] = Teams[teamID]), "N/A")</f>
        <v>N/A</v>
      </c>
      <c r="Z439" s="58" t="str" cm="1">
        <f t="array" ref="Z4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39" s="58" t="str">
        <f>IF(Fixtures[[#This Row],[userSide]] = "N/A", "N/A", IF(Fixtures[[#This Row],[userSide]] = "H", Fixtures[[#This Row],[awayTeam]], Fixtures[[#This Row],[homeTeam]]))</f>
        <v>N/A</v>
      </c>
      <c r="AB439" s="58" t="str" cm="1">
        <f t="array" ref="AB439">_xlfn._xlws.FILTER(Teams[teamID], Fixtures[[#This Row],[oppTeam]] = Teams[name], "N/A")</f>
        <v>N/A</v>
      </c>
      <c r="AC439" s="58" t="str" cm="1">
        <f t="array" ref="AC439">_xlfn._xlws.FILTER(Teams[teamType], Fixtures[[#This Row],[oppTeam]] = Teams[name], "N/A")</f>
        <v>N/A</v>
      </c>
      <c r="AD439" s="58" t="str">
        <f>IF(ISBLANK(Fixtures[[#This Row],[date]]), "N/A", IF(Fixtures[[#This Row],[userSide]]="H", Fixtures[[#This Row],[homeScore]], Fixtures[[#This Row],[awayScore]]))</f>
        <v>N/A</v>
      </c>
      <c r="AE439" s="58" t="str">
        <f>IF(ISBLANK(Fixtures[[#This Row],[date]]), "N/A", IF(Fixtures[[#This Row],[userScore]] = Fixtures[[#This Row],[homeScore]], Fixtures[[#This Row],[awayScore]], Fixtures[[#This Row],[homeScore]]))</f>
        <v>N/A</v>
      </c>
      <c r="AF439" s="58" t="b">
        <f>NOT(AND(ISBLANK(Fixtures[[#This Row],[homePens]]), ISBLANK(Fixtures[[#This Row],[awayPens]])))</f>
        <v>0</v>
      </c>
      <c r="AG439" s="58" t="str">
        <f>IF(Fixtures[[#This Row],[penalties]], IF(Fixtures[[#This Row],[userSide]]="H", Fixtures[[#This Row],[homePens]], Fixtures[[#This Row],[awayPens]]), "N/A")</f>
        <v>N/A</v>
      </c>
      <c r="AH439" s="58" t="str">
        <f>IF(Fixtures[[#This Row],[penalties]], IF(Fixtures[[#This Row],[userPens]]=Fixtures[[#This Row],[homePens]],Fixtures[[#This Row],[awayPens]],Fixtures[[#This Row],[homePens]]), "N/A")</f>
        <v>N/A</v>
      </c>
      <c r="AI439" s="58" t="b">
        <f>COUNTBLANK(Fixtures[[#This Row],[G]:[MOTM]]) = 0</f>
        <v>0</v>
      </c>
      <c r="AJ439" s="58" t="str">
        <f>IF(Fixtures[[#This Row],[APP]], Fixtures[[#This Row],[G]]+Fixtures[[#This Row],[A]], "N/A")</f>
        <v>N/A</v>
      </c>
      <c r="AK4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0" spans="1:39" ht="13">
      <c r="A440" s="55"/>
      <c r="B440" s="61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7"/>
      <c r="R440" s="56"/>
      <c r="S440" s="58" t="str" cm="1">
        <f t="array" ref="S440">_xlfn._xlws.FILTER(Competitions[compType], (Fixtures[[#This Row],[competition]] = Competitions[name]), "N/A")</f>
        <v>N/A</v>
      </c>
      <c r="T440" s="58" t="str" cm="1">
        <f t="array" ref="T440">_xlfn._xlws.FILTER(Competitions[exhibition], (Fixtures[[#This Row],[competition]] = Competitions[name]), "N/A")</f>
        <v>N/A</v>
      </c>
      <c r="U440" s="58" t="str" cm="1">
        <f t="array" ref="U440">_xlfn._xlws.FILTER(Competitions[compID], (Fixtures[[#This Row],[competition]] = Competitions[name]), "N/A")</f>
        <v>N/A</v>
      </c>
      <c r="V4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0" s="58" t="str" cm="1">
        <f t="array" ref="W4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0" s="58" t="str" cm="1">
        <f t="array" ref="X440">_xlfn._xlws.FILTER(Teams[name], (Fixtures[[#This Row],[userTeamID]] = Teams[teamID]), "N/A")</f>
        <v>N/A</v>
      </c>
      <c r="Y440" s="58" t="str" cm="1">
        <f t="array" ref="Y440">_xlfn._xlws.FILTER(Teams[teamType], (Fixtures[[#This Row],[userTeamID]] = Teams[teamID]), "N/A")</f>
        <v>N/A</v>
      </c>
      <c r="Z440" s="58" t="str" cm="1">
        <f t="array" ref="Z4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0" s="58" t="str">
        <f>IF(Fixtures[[#This Row],[userSide]] = "N/A", "N/A", IF(Fixtures[[#This Row],[userSide]] = "H", Fixtures[[#This Row],[awayTeam]], Fixtures[[#This Row],[homeTeam]]))</f>
        <v>N/A</v>
      </c>
      <c r="AB440" s="58" t="str" cm="1">
        <f t="array" ref="AB440">_xlfn._xlws.FILTER(Teams[teamID], Fixtures[[#This Row],[oppTeam]] = Teams[name], "N/A")</f>
        <v>N/A</v>
      </c>
      <c r="AC440" s="58" t="str" cm="1">
        <f t="array" ref="AC440">_xlfn._xlws.FILTER(Teams[teamType], Fixtures[[#This Row],[oppTeam]] = Teams[name], "N/A")</f>
        <v>N/A</v>
      </c>
      <c r="AD440" s="58" t="str">
        <f>IF(ISBLANK(Fixtures[[#This Row],[date]]), "N/A", IF(Fixtures[[#This Row],[userSide]]="H", Fixtures[[#This Row],[homeScore]], Fixtures[[#This Row],[awayScore]]))</f>
        <v>N/A</v>
      </c>
      <c r="AE440" s="58" t="str">
        <f>IF(ISBLANK(Fixtures[[#This Row],[date]]), "N/A", IF(Fixtures[[#This Row],[userScore]] = Fixtures[[#This Row],[homeScore]], Fixtures[[#This Row],[awayScore]], Fixtures[[#This Row],[homeScore]]))</f>
        <v>N/A</v>
      </c>
      <c r="AF440" s="58" t="b">
        <f>NOT(AND(ISBLANK(Fixtures[[#This Row],[homePens]]), ISBLANK(Fixtures[[#This Row],[awayPens]])))</f>
        <v>0</v>
      </c>
      <c r="AG440" s="58" t="str">
        <f>IF(Fixtures[[#This Row],[penalties]], IF(Fixtures[[#This Row],[userSide]]="H", Fixtures[[#This Row],[homePens]], Fixtures[[#This Row],[awayPens]]), "N/A")</f>
        <v>N/A</v>
      </c>
      <c r="AH440" s="58" t="str">
        <f>IF(Fixtures[[#This Row],[penalties]], IF(Fixtures[[#This Row],[userPens]]=Fixtures[[#This Row],[homePens]],Fixtures[[#This Row],[awayPens]],Fixtures[[#This Row],[homePens]]), "N/A")</f>
        <v>N/A</v>
      </c>
      <c r="AI440" s="58" t="b">
        <f>COUNTBLANK(Fixtures[[#This Row],[G]:[MOTM]]) = 0</f>
        <v>0</v>
      </c>
      <c r="AJ440" s="58" t="str">
        <f>IF(Fixtures[[#This Row],[APP]], Fixtures[[#This Row],[G]]+Fixtures[[#This Row],[A]], "N/A")</f>
        <v>N/A</v>
      </c>
      <c r="AK4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1" spans="1:39" ht="13">
      <c r="A441" s="55"/>
      <c r="B441" s="61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7"/>
      <c r="R441" s="56"/>
      <c r="S441" s="58" t="str" cm="1">
        <f t="array" ref="S441">_xlfn._xlws.FILTER(Competitions[compType], (Fixtures[[#This Row],[competition]] = Competitions[name]), "N/A")</f>
        <v>N/A</v>
      </c>
      <c r="T441" s="58" t="str" cm="1">
        <f t="array" ref="T441">_xlfn._xlws.FILTER(Competitions[exhibition], (Fixtures[[#This Row],[competition]] = Competitions[name]), "N/A")</f>
        <v>N/A</v>
      </c>
      <c r="U441" s="58" t="str" cm="1">
        <f t="array" ref="U441">_xlfn._xlws.FILTER(Competitions[compID], (Fixtures[[#This Row],[competition]] = Competitions[name]), "N/A")</f>
        <v>N/A</v>
      </c>
      <c r="V4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1" s="58" t="str" cm="1">
        <f t="array" ref="W4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1" s="58" t="str" cm="1">
        <f t="array" ref="X441">_xlfn._xlws.FILTER(Teams[name], (Fixtures[[#This Row],[userTeamID]] = Teams[teamID]), "N/A")</f>
        <v>N/A</v>
      </c>
      <c r="Y441" s="58" t="str" cm="1">
        <f t="array" ref="Y441">_xlfn._xlws.FILTER(Teams[teamType], (Fixtures[[#This Row],[userTeamID]] = Teams[teamID]), "N/A")</f>
        <v>N/A</v>
      </c>
      <c r="Z441" s="58" t="str" cm="1">
        <f t="array" ref="Z4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1" s="58" t="str">
        <f>IF(Fixtures[[#This Row],[userSide]] = "N/A", "N/A", IF(Fixtures[[#This Row],[userSide]] = "H", Fixtures[[#This Row],[awayTeam]], Fixtures[[#This Row],[homeTeam]]))</f>
        <v>N/A</v>
      </c>
      <c r="AB441" s="58" t="str" cm="1">
        <f t="array" ref="AB441">_xlfn._xlws.FILTER(Teams[teamID], Fixtures[[#This Row],[oppTeam]] = Teams[name], "N/A")</f>
        <v>N/A</v>
      </c>
      <c r="AC441" s="58" t="str" cm="1">
        <f t="array" ref="AC441">_xlfn._xlws.FILTER(Teams[teamType], Fixtures[[#This Row],[oppTeam]] = Teams[name], "N/A")</f>
        <v>N/A</v>
      </c>
      <c r="AD441" s="58" t="str">
        <f>IF(ISBLANK(Fixtures[[#This Row],[date]]), "N/A", IF(Fixtures[[#This Row],[userSide]]="H", Fixtures[[#This Row],[homeScore]], Fixtures[[#This Row],[awayScore]]))</f>
        <v>N/A</v>
      </c>
      <c r="AE441" s="58" t="str">
        <f>IF(ISBLANK(Fixtures[[#This Row],[date]]), "N/A", IF(Fixtures[[#This Row],[userScore]] = Fixtures[[#This Row],[homeScore]], Fixtures[[#This Row],[awayScore]], Fixtures[[#This Row],[homeScore]]))</f>
        <v>N/A</v>
      </c>
      <c r="AF441" s="58" t="b">
        <f>NOT(AND(ISBLANK(Fixtures[[#This Row],[homePens]]), ISBLANK(Fixtures[[#This Row],[awayPens]])))</f>
        <v>0</v>
      </c>
      <c r="AG441" s="58" t="str">
        <f>IF(Fixtures[[#This Row],[penalties]], IF(Fixtures[[#This Row],[userSide]]="H", Fixtures[[#This Row],[homePens]], Fixtures[[#This Row],[awayPens]]), "N/A")</f>
        <v>N/A</v>
      </c>
      <c r="AH441" s="58" t="str">
        <f>IF(Fixtures[[#This Row],[penalties]], IF(Fixtures[[#This Row],[userPens]]=Fixtures[[#This Row],[homePens]],Fixtures[[#This Row],[awayPens]],Fixtures[[#This Row],[homePens]]), "N/A")</f>
        <v>N/A</v>
      </c>
      <c r="AI441" s="58" t="b">
        <f>COUNTBLANK(Fixtures[[#This Row],[G]:[MOTM]]) = 0</f>
        <v>0</v>
      </c>
      <c r="AJ441" s="58" t="str">
        <f>IF(Fixtures[[#This Row],[APP]], Fixtures[[#This Row],[G]]+Fixtures[[#This Row],[A]], "N/A")</f>
        <v>N/A</v>
      </c>
      <c r="AK4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2" spans="1:39" ht="13">
      <c r="A442" s="55"/>
      <c r="B442" s="61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7"/>
      <c r="R442" s="56"/>
      <c r="S442" s="58" t="str" cm="1">
        <f t="array" ref="S442">_xlfn._xlws.FILTER(Competitions[compType], (Fixtures[[#This Row],[competition]] = Competitions[name]), "N/A")</f>
        <v>N/A</v>
      </c>
      <c r="T442" s="58" t="str" cm="1">
        <f t="array" ref="T442">_xlfn._xlws.FILTER(Competitions[exhibition], (Fixtures[[#This Row],[competition]] = Competitions[name]), "N/A")</f>
        <v>N/A</v>
      </c>
      <c r="U442" s="58" t="str" cm="1">
        <f t="array" ref="U442">_xlfn._xlws.FILTER(Competitions[compID], (Fixtures[[#This Row],[competition]] = Competitions[name]), "N/A")</f>
        <v>N/A</v>
      </c>
      <c r="V4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2" s="58" t="str" cm="1">
        <f t="array" ref="W4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2" s="58" t="str" cm="1">
        <f t="array" ref="X442">_xlfn._xlws.FILTER(Teams[name], (Fixtures[[#This Row],[userTeamID]] = Teams[teamID]), "N/A")</f>
        <v>N/A</v>
      </c>
      <c r="Y442" s="58" t="str" cm="1">
        <f t="array" ref="Y442">_xlfn._xlws.FILTER(Teams[teamType], (Fixtures[[#This Row],[userTeamID]] = Teams[teamID]), "N/A")</f>
        <v>N/A</v>
      </c>
      <c r="Z442" s="58" t="str" cm="1">
        <f t="array" ref="Z4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2" s="58" t="str">
        <f>IF(Fixtures[[#This Row],[userSide]] = "N/A", "N/A", IF(Fixtures[[#This Row],[userSide]] = "H", Fixtures[[#This Row],[awayTeam]], Fixtures[[#This Row],[homeTeam]]))</f>
        <v>N/A</v>
      </c>
      <c r="AB442" s="58" t="str" cm="1">
        <f t="array" ref="AB442">_xlfn._xlws.FILTER(Teams[teamID], Fixtures[[#This Row],[oppTeam]] = Teams[name], "N/A")</f>
        <v>N/A</v>
      </c>
      <c r="AC442" s="58" t="str" cm="1">
        <f t="array" ref="AC442">_xlfn._xlws.FILTER(Teams[teamType], Fixtures[[#This Row],[oppTeam]] = Teams[name], "N/A")</f>
        <v>N/A</v>
      </c>
      <c r="AD442" s="58" t="str">
        <f>IF(ISBLANK(Fixtures[[#This Row],[date]]), "N/A", IF(Fixtures[[#This Row],[userSide]]="H", Fixtures[[#This Row],[homeScore]], Fixtures[[#This Row],[awayScore]]))</f>
        <v>N/A</v>
      </c>
      <c r="AE442" s="58" t="str">
        <f>IF(ISBLANK(Fixtures[[#This Row],[date]]), "N/A", IF(Fixtures[[#This Row],[userScore]] = Fixtures[[#This Row],[homeScore]], Fixtures[[#This Row],[awayScore]], Fixtures[[#This Row],[homeScore]]))</f>
        <v>N/A</v>
      </c>
      <c r="AF442" s="58" t="b">
        <f>NOT(AND(ISBLANK(Fixtures[[#This Row],[homePens]]), ISBLANK(Fixtures[[#This Row],[awayPens]])))</f>
        <v>0</v>
      </c>
      <c r="AG442" s="58" t="str">
        <f>IF(Fixtures[[#This Row],[penalties]], IF(Fixtures[[#This Row],[userSide]]="H", Fixtures[[#This Row],[homePens]], Fixtures[[#This Row],[awayPens]]), "N/A")</f>
        <v>N/A</v>
      </c>
      <c r="AH442" s="58" t="str">
        <f>IF(Fixtures[[#This Row],[penalties]], IF(Fixtures[[#This Row],[userPens]]=Fixtures[[#This Row],[homePens]],Fixtures[[#This Row],[awayPens]],Fixtures[[#This Row],[homePens]]), "N/A")</f>
        <v>N/A</v>
      </c>
      <c r="AI442" s="58" t="b">
        <f>COUNTBLANK(Fixtures[[#This Row],[G]:[MOTM]]) = 0</f>
        <v>0</v>
      </c>
      <c r="AJ442" s="58" t="str">
        <f>IF(Fixtures[[#This Row],[APP]], Fixtures[[#This Row],[G]]+Fixtures[[#This Row],[A]], "N/A")</f>
        <v>N/A</v>
      </c>
      <c r="AK4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3" spans="1:39" ht="13">
      <c r="A443" s="55"/>
      <c r="B443" s="61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7"/>
      <c r="R443" s="56"/>
      <c r="S443" s="58" t="str" cm="1">
        <f t="array" ref="S443">_xlfn._xlws.FILTER(Competitions[compType], (Fixtures[[#This Row],[competition]] = Competitions[name]), "N/A")</f>
        <v>N/A</v>
      </c>
      <c r="T443" s="58" t="str" cm="1">
        <f t="array" ref="T443">_xlfn._xlws.FILTER(Competitions[exhibition], (Fixtures[[#This Row],[competition]] = Competitions[name]), "N/A")</f>
        <v>N/A</v>
      </c>
      <c r="U443" s="58" t="str" cm="1">
        <f t="array" ref="U443">_xlfn._xlws.FILTER(Competitions[compID], (Fixtures[[#This Row],[competition]] = Competitions[name]), "N/A")</f>
        <v>N/A</v>
      </c>
      <c r="V4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3" s="58" t="str" cm="1">
        <f t="array" ref="W4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3" s="58" t="str" cm="1">
        <f t="array" ref="X443">_xlfn._xlws.FILTER(Teams[name], (Fixtures[[#This Row],[userTeamID]] = Teams[teamID]), "N/A")</f>
        <v>N/A</v>
      </c>
      <c r="Y443" s="58" t="str" cm="1">
        <f t="array" ref="Y443">_xlfn._xlws.FILTER(Teams[teamType], (Fixtures[[#This Row],[userTeamID]] = Teams[teamID]), "N/A")</f>
        <v>N/A</v>
      </c>
      <c r="Z443" s="58" t="str" cm="1">
        <f t="array" ref="Z4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3" s="58" t="str">
        <f>IF(Fixtures[[#This Row],[userSide]] = "N/A", "N/A", IF(Fixtures[[#This Row],[userSide]] = "H", Fixtures[[#This Row],[awayTeam]], Fixtures[[#This Row],[homeTeam]]))</f>
        <v>N/A</v>
      </c>
      <c r="AB443" s="58" t="str" cm="1">
        <f t="array" ref="AB443">_xlfn._xlws.FILTER(Teams[teamID], Fixtures[[#This Row],[oppTeam]] = Teams[name], "N/A")</f>
        <v>N/A</v>
      </c>
      <c r="AC443" s="58" t="str" cm="1">
        <f t="array" ref="AC443">_xlfn._xlws.FILTER(Teams[teamType], Fixtures[[#This Row],[oppTeam]] = Teams[name], "N/A")</f>
        <v>N/A</v>
      </c>
      <c r="AD443" s="58" t="str">
        <f>IF(ISBLANK(Fixtures[[#This Row],[date]]), "N/A", IF(Fixtures[[#This Row],[userSide]]="H", Fixtures[[#This Row],[homeScore]], Fixtures[[#This Row],[awayScore]]))</f>
        <v>N/A</v>
      </c>
      <c r="AE443" s="58" t="str">
        <f>IF(ISBLANK(Fixtures[[#This Row],[date]]), "N/A", IF(Fixtures[[#This Row],[userScore]] = Fixtures[[#This Row],[homeScore]], Fixtures[[#This Row],[awayScore]], Fixtures[[#This Row],[homeScore]]))</f>
        <v>N/A</v>
      </c>
      <c r="AF443" s="58" t="b">
        <f>NOT(AND(ISBLANK(Fixtures[[#This Row],[homePens]]), ISBLANK(Fixtures[[#This Row],[awayPens]])))</f>
        <v>0</v>
      </c>
      <c r="AG443" s="58" t="str">
        <f>IF(Fixtures[[#This Row],[penalties]], IF(Fixtures[[#This Row],[userSide]]="H", Fixtures[[#This Row],[homePens]], Fixtures[[#This Row],[awayPens]]), "N/A")</f>
        <v>N/A</v>
      </c>
      <c r="AH443" s="58" t="str">
        <f>IF(Fixtures[[#This Row],[penalties]], IF(Fixtures[[#This Row],[userPens]]=Fixtures[[#This Row],[homePens]],Fixtures[[#This Row],[awayPens]],Fixtures[[#This Row],[homePens]]), "N/A")</f>
        <v>N/A</v>
      </c>
      <c r="AI443" s="58" t="b">
        <f>COUNTBLANK(Fixtures[[#This Row],[G]:[MOTM]]) = 0</f>
        <v>0</v>
      </c>
      <c r="AJ443" s="58" t="str">
        <f>IF(Fixtures[[#This Row],[APP]], Fixtures[[#This Row],[G]]+Fixtures[[#This Row],[A]], "N/A")</f>
        <v>N/A</v>
      </c>
      <c r="AK4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4" spans="1:39" ht="13">
      <c r="A444" s="55"/>
      <c r="B444" s="61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7"/>
      <c r="R444" s="56"/>
      <c r="S444" s="58" t="str" cm="1">
        <f t="array" ref="S444">_xlfn._xlws.FILTER(Competitions[compType], (Fixtures[[#This Row],[competition]] = Competitions[name]), "N/A")</f>
        <v>N/A</v>
      </c>
      <c r="T444" s="58" t="str" cm="1">
        <f t="array" ref="T444">_xlfn._xlws.FILTER(Competitions[exhibition], (Fixtures[[#This Row],[competition]] = Competitions[name]), "N/A")</f>
        <v>N/A</v>
      </c>
      <c r="U444" s="58" t="str" cm="1">
        <f t="array" ref="U444">_xlfn._xlws.FILTER(Competitions[compID], (Fixtures[[#This Row],[competition]] = Competitions[name]), "N/A")</f>
        <v>N/A</v>
      </c>
      <c r="V4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4" s="58" t="str" cm="1">
        <f t="array" ref="W4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4" s="58" t="str" cm="1">
        <f t="array" ref="X444">_xlfn._xlws.FILTER(Teams[name], (Fixtures[[#This Row],[userTeamID]] = Teams[teamID]), "N/A")</f>
        <v>N/A</v>
      </c>
      <c r="Y444" s="58" t="str" cm="1">
        <f t="array" ref="Y444">_xlfn._xlws.FILTER(Teams[teamType], (Fixtures[[#This Row],[userTeamID]] = Teams[teamID]), "N/A")</f>
        <v>N/A</v>
      </c>
      <c r="Z444" s="58" t="str" cm="1">
        <f t="array" ref="Z4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4" s="58" t="str">
        <f>IF(Fixtures[[#This Row],[userSide]] = "N/A", "N/A", IF(Fixtures[[#This Row],[userSide]] = "H", Fixtures[[#This Row],[awayTeam]], Fixtures[[#This Row],[homeTeam]]))</f>
        <v>N/A</v>
      </c>
      <c r="AB444" s="58" t="str" cm="1">
        <f t="array" ref="AB444">_xlfn._xlws.FILTER(Teams[teamID], Fixtures[[#This Row],[oppTeam]] = Teams[name], "N/A")</f>
        <v>N/A</v>
      </c>
      <c r="AC444" s="58" t="str" cm="1">
        <f t="array" ref="AC444">_xlfn._xlws.FILTER(Teams[teamType], Fixtures[[#This Row],[oppTeam]] = Teams[name], "N/A")</f>
        <v>N/A</v>
      </c>
      <c r="AD444" s="58" t="str">
        <f>IF(ISBLANK(Fixtures[[#This Row],[date]]), "N/A", IF(Fixtures[[#This Row],[userSide]]="H", Fixtures[[#This Row],[homeScore]], Fixtures[[#This Row],[awayScore]]))</f>
        <v>N/A</v>
      </c>
      <c r="AE444" s="58" t="str">
        <f>IF(ISBLANK(Fixtures[[#This Row],[date]]), "N/A", IF(Fixtures[[#This Row],[userScore]] = Fixtures[[#This Row],[homeScore]], Fixtures[[#This Row],[awayScore]], Fixtures[[#This Row],[homeScore]]))</f>
        <v>N/A</v>
      </c>
      <c r="AF444" s="58" t="b">
        <f>NOT(AND(ISBLANK(Fixtures[[#This Row],[homePens]]), ISBLANK(Fixtures[[#This Row],[awayPens]])))</f>
        <v>0</v>
      </c>
      <c r="AG444" s="58" t="str">
        <f>IF(Fixtures[[#This Row],[penalties]], IF(Fixtures[[#This Row],[userSide]]="H", Fixtures[[#This Row],[homePens]], Fixtures[[#This Row],[awayPens]]), "N/A")</f>
        <v>N/A</v>
      </c>
      <c r="AH444" s="58" t="str">
        <f>IF(Fixtures[[#This Row],[penalties]], IF(Fixtures[[#This Row],[userPens]]=Fixtures[[#This Row],[homePens]],Fixtures[[#This Row],[awayPens]],Fixtures[[#This Row],[homePens]]), "N/A")</f>
        <v>N/A</v>
      </c>
      <c r="AI444" s="58" t="b">
        <f>COUNTBLANK(Fixtures[[#This Row],[G]:[MOTM]]) = 0</f>
        <v>0</v>
      </c>
      <c r="AJ444" s="58" t="str">
        <f>IF(Fixtures[[#This Row],[APP]], Fixtures[[#This Row],[G]]+Fixtures[[#This Row],[A]], "N/A")</f>
        <v>N/A</v>
      </c>
      <c r="AK4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5" spans="1:39" ht="13">
      <c r="A445" s="55"/>
      <c r="B445" s="61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7"/>
      <c r="R445" s="56"/>
      <c r="S445" s="58" t="str" cm="1">
        <f t="array" ref="S445">_xlfn._xlws.FILTER(Competitions[compType], (Fixtures[[#This Row],[competition]] = Competitions[name]), "N/A")</f>
        <v>N/A</v>
      </c>
      <c r="T445" s="58" t="str" cm="1">
        <f t="array" ref="T445">_xlfn._xlws.FILTER(Competitions[exhibition], (Fixtures[[#This Row],[competition]] = Competitions[name]), "N/A")</f>
        <v>N/A</v>
      </c>
      <c r="U445" s="58" t="str" cm="1">
        <f t="array" ref="U445">_xlfn._xlws.FILTER(Competitions[compID], (Fixtures[[#This Row],[competition]] = Competitions[name]), "N/A")</f>
        <v>N/A</v>
      </c>
      <c r="V4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5" s="58" t="str" cm="1">
        <f t="array" ref="W4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5" s="58" t="str" cm="1">
        <f t="array" ref="X445">_xlfn._xlws.FILTER(Teams[name], (Fixtures[[#This Row],[userTeamID]] = Teams[teamID]), "N/A")</f>
        <v>N/A</v>
      </c>
      <c r="Y445" s="58" t="str" cm="1">
        <f t="array" ref="Y445">_xlfn._xlws.FILTER(Teams[teamType], (Fixtures[[#This Row],[userTeamID]] = Teams[teamID]), "N/A")</f>
        <v>N/A</v>
      </c>
      <c r="Z445" s="58" t="str" cm="1">
        <f t="array" ref="Z4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5" s="58" t="str">
        <f>IF(Fixtures[[#This Row],[userSide]] = "N/A", "N/A", IF(Fixtures[[#This Row],[userSide]] = "H", Fixtures[[#This Row],[awayTeam]], Fixtures[[#This Row],[homeTeam]]))</f>
        <v>N/A</v>
      </c>
      <c r="AB445" s="58" t="str" cm="1">
        <f t="array" ref="AB445">_xlfn._xlws.FILTER(Teams[teamID], Fixtures[[#This Row],[oppTeam]] = Teams[name], "N/A")</f>
        <v>N/A</v>
      </c>
      <c r="AC445" s="58" t="str" cm="1">
        <f t="array" ref="AC445">_xlfn._xlws.FILTER(Teams[teamType], Fixtures[[#This Row],[oppTeam]] = Teams[name], "N/A")</f>
        <v>N/A</v>
      </c>
      <c r="AD445" s="58" t="str">
        <f>IF(ISBLANK(Fixtures[[#This Row],[date]]), "N/A", IF(Fixtures[[#This Row],[userSide]]="H", Fixtures[[#This Row],[homeScore]], Fixtures[[#This Row],[awayScore]]))</f>
        <v>N/A</v>
      </c>
      <c r="AE445" s="58" t="str">
        <f>IF(ISBLANK(Fixtures[[#This Row],[date]]), "N/A", IF(Fixtures[[#This Row],[userScore]] = Fixtures[[#This Row],[homeScore]], Fixtures[[#This Row],[awayScore]], Fixtures[[#This Row],[homeScore]]))</f>
        <v>N/A</v>
      </c>
      <c r="AF445" s="58" t="b">
        <f>NOT(AND(ISBLANK(Fixtures[[#This Row],[homePens]]), ISBLANK(Fixtures[[#This Row],[awayPens]])))</f>
        <v>0</v>
      </c>
      <c r="AG445" s="58" t="str">
        <f>IF(Fixtures[[#This Row],[penalties]], IF(Fixtures[[#This Row],[userSide]]="H", Fixtures[[#This Row],[homePens]], Fixtures[[#This Row],[awayPens]]), "N/A")</f>
        <v>N/A</v>
      </c>
      <c r="AH445" s="58" t="str">
        <f>IF(Fixtures[[#This Row],[penalties]], IF(Fixtures[[#This Row],[userPens]]=Fixtures[[#This Row],[homePens]],Fixtures[[#This Row],[awayPens]],Fixtures[[#This Row],[homePens]]), "N/A")</f>
        <v>N/A</v>
      </c>
      <c r="AI445" s="58" t="b">
        <f>COUNTBLANK(Fixtures[[#This Row],[G]:[MOTM]]) = 0</f>
        <v>0</v>
      </c>
      <c r="AJ445" s="58" t="str">
        <f>IF(Fixtures[[#This Row],[APP]], Fixtures[[#This Row],[G]]+Fixtures[[#This Row],[A]], "N/A")</f>
        <v>N/A</v>
      </c>
      <c r="AK4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6" spans="1:39" ht="13">
      <c r="A446" s="55"/>
      <c r="B446" s="61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7"/>
      <c r="R446" s="56"/>
      <c r="S446" s="58" t="str" cm="1">
        <f t="array" ref="S446">_xlfn._xlws.FILTER(Competitions[compType], (Fixtures[[#This Row],[competition]] = Competitions[name]), "N/A")</f>
        <v>N/A</v>
      </c>
      <c r="T446" s="58" t="str" cm="1">
        <f t="array" ref="T446">_xlfn._xlws.FILTER(Competitions[exhibition], (Fixtures[[#This Row],[competition]] = Competitions[name]), "N/A")</f>
        <v>N/A</v>
      </c>
      <c r="U446" s="58" t="str" cm="1">
        <f t="array" ref="U446">_xlfn._xlws.FILTER(Competitions[compID], (Fixtures[[#This Row],[competition]] = Competitions[name]), "N/A")</f>
        <v>N/A</v>
      </c>
      <c r="V4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6" s="58" t="str" cm="1">
        <f t="array" ref="W4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6" s="58" t="str" cm="1">
        <f t="array" ref="X446">_xlfn._xlws.FILTER(Teams[name], (Fixtures[[#This Row],[userTeamID]] = Teams[teamID]), "N/A")</f>
        <v>N/A</v>
      </c>
      <c r="Y446" s="58" t="str" cm="1">
        <f t="array" ref="Y446">_xlfn._xlws.FILTER(Teams[teamType], (Fixtures[[#This Row],[userTeamID]] = Teams[teamID]), "N/A")</f>
        <v>N/A</v>
      </c>
      <c r="Z446" s="58" t="str" cm="1">
        <f t="array" ref="Z4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6" s="58" t="str">
        <f>IF(Fixtures[[#This Row],[userSide]] = "N/A", "N/A", IF(Fixtures[[#This Row],[userSide]] = "H", Fixtures[[#This Row],[awayTeam]], Fixtures[[#This Row],[homeTeam]]))</f>
        <v>N/A</v>
      </c>
      <c r="AB446" s="58" t="str" cm="1">
        <f t="array" ref="AB446">_xlfn._xlws.FILTER(Teams[teamID], Fixtures[[#This Row],[oppTeam]] = Teams[name], "N/A")</f>
        <v>N/A</v>
      </c>
      <c r="AC446" s="58" t="str" cm="1">
        <f t="array" ref="AC446">_xlfn._xlws.FILTER(Teams[teamType], Fixtures[[#This Row],[oppTeam]] = Teams[name], "N/A")</f>
        <v>N/A</v>
      </c>
      <c r="AD446" s="58" t="str">
        <f>IF(ISBLANK(Fixtures[[#This Row],[date]]), "N/A", IF(Fixtures[[#This Row],[userSide]]="H", Fixtures[[#This Row],[homeScore]], Fixtures[[#This Row],[awayScore]]))</f>
        <v>N/A</v>
      </c>
      <c r="AE446" s="58" t="str">
        <f>IF(ISBLANK(Fixtures[[#This Row],[date]]), "N/A", IF(Fixtures[[#This Row],[userScore]] = Fixtures[[#This Row],[homeScore]], Fixtures[[#This Row],[awayScore]], Fixtures[[#This Row],[homeScore]]))</f>
        <v>N/A</v>
      </c>
      <c r="AF446" s="58" t="b">
        <f>NOT(AND(ISBLANK(Fixtures[[#This Row],[homePens]]), ISBLANK(Fixtures[[#This Row],[awayPens]])))</f>
        <v>0</v>
      </c>
      <c r="AG446" s="58" t="str">
        <f>IF(Fixtures[[#This Row],[penalties]], IF(Fixtures[[#This Row],[userSide]]="H", Fixtures[[#This Row],[homePens]], Fixtures[[#This Row],[awayPens]]), "N/A")</f>
        <v>N/A</v>
      </c>
      <c r="AH446" s="58" t="str">
        <f>IF(Fixtures[[#This Row],[penalties]], IF(Fixtures[[#This Row],[userPens]]=Fixtures[[#This Row],[homePens]],Fixtures[[#This Row],[awayPens]],Fixtures[[#This Row],[homePens]]), "N/A")</f>
        <v>N/A</v>
      </c>
      <c r="AI446" s="58" t="b">
        <f>COUNTBLANK(Fixtures[[#This Row],[G]:[MOTM]]) = 0</f>
        <v>0</v>
      </c>
      <c r="AJ446" s="58" t="str">
        <f>IF(Fixtures[[#This Row],[APP]], Fixtures[[#This Row],[G]]+Fixtures[[#This Row],[A]], "N/A")</f>
        <v>N/A</v>
      </c>
      <c r="AK4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7" spans="1:39" ht="13">
      <c r="A447" s="55"/>
      <c r="B447" s="61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7"/>
      <c r="R447" s="56"/>
      <c r="S447" s="58" t="str" cm="1">
        <f t="array" ref="S447">_xlfn._xlws.FILTER(Competitions[compType], (Fixtures[[#This Row],[competition]] = Competitions[name]), "N/A")</f>
        <v>N/A</v>
      </c>
      <c r="T447" s="58" t="str" cm="1">
        <f t="array" ref="T447">_xlfn._xlws.FILTER(Competitions[exhibition], (Fixtures[[#This Row],[competition]] = Competitions[name]), "N/A")</f>
        <v>N/A</v>
      </c>
      <c r="U447" s="58" t="str" cm="1">
        <f t="array" ref="U447">_xlfn._xlws.FILTER(Competitions[compID], (Fixtures[[#This Row],[competition]] = Competitions[name]), "N/A")</f>
        <v>N/A</v>
      </c>
      <c r="V4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7" s="58" t="str" cm="1">
        <f t="array" ref="W4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7" s="58" t="str" cm="1">
        <f t="array" ref="X447">_xlfn._xlws.FILTER(Teams[name], (Fixtures[[#This Row],[userTeamID]] = Teams[teamID]), "N/A")</f>
        <v>N/A</v>
      </c>
      <c r="Y447" s="58" t="str" cm="1">
        <f t="array" ref="Y447">_xlfn._xlws.FILTER(Teams[teamType], (Fixtures[[#This Row],[userTeamID]] = Teams[teamID]), "N/A")</f>
        <v>N/A</v>
      </c>
      <c r="Z447" s="58" t="str" cm="1">
        <f t="array" ref="Z4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7" s="58" t="str">
        <f>IF(Fixtures[[#This Row],[userSide]] = "N/A", "N/A", IF(Fixtures[[#This Row],[userSide]] = "H", Fixtures[[#This Row],[awayTeam]], Fixtures[[#This Row],[homeTeam]]))</f>
        <v>N/A</v>
      </c>
      <c r="AB447" s="58" t="str" cm="1">
        <f t="array" ref="AB447">_xlfn._xlws.FILTER(Teams[teamID], Fixtures[[#This Row],[oppTeam]] = Teams[name], "N/A")</f>
        <v>N/A</v>
      </c>
      <c r="AC447" s="58" t="str" cm="1">
        <f t="array" ref="AC447">_xlfn._xlws.FILTER(Teams[teamType], Fixtures[[#This Row],[oppTeam]] = Teams[name], "N/A")</f>
        <v>N/A</v>
      </c>
      <c r="AD447" s="58" t="str">
        <f>IF(ISBLANK(Fixtures[[#This Row],[date]]), "N/A", IF(Fixtures[[#This Row],[userSide]]="H", Fixtures[[#This Row],[homeScore]], Fixtures[[#This Row],[awayScore]]))</f>
        <v>N/A</v>
      </c>
      <c r="AE447" s="58" t="str">
        <f>IF(ISBLANK(Fixtures[[#This Row],[date]]), "N/A", IF(Fixtures[[#This Row],[userScore]] = Fixtures[[#This Row],[homeScore]], Fixtures[[#This Row],[awayScore]], Fixtures[[#This Row],[homeScore]]))</f>
        <v>N/A</v>
      </c>
      <c r="AF447" s="58" t="b">
        <f>NOT(AND(ISBLANK(Fixtures[[#This Row],[homePens]]), ISBLANK(Fixtures[[#This Row],[awayPens]])))</f>
        <v>0</v>
      </c>
      <c r="AG447" s="58" t="str">
        <f>IF(Fixtures[[#This Row],[penalties]], IF(Fixtures[[#This Row],[userSide]]="H", Fixtures[[#This Row],[homePens]], Fixtures[[#This Row],[awayPens]]), "N/A")</f>
        <v>N/A</v>
      </c>
      <c r="AH447" s="58" t="str">
        <f>IF(Fixtures[[#This Row],[penalties]], IF(Fixtures[[#This Row],[userPens]]=Fixtures[[#This Row],[homePens]],Fixtures[[#This Row],[awayPens]],Fixtures[[#This Row],[homePens]]), "N/A")</f>
        <v>N/A</v>
      </c>
      <c r="AI447" s="58" t="b">
        <f>COUNTBLANK(Fixtures[[#This Row],[G]:[MOTM]]) = 0</f>
        <v>0</v>
      </c>
      <c r="AJ447" s="58" t="str">
        <f>IF(Fixtures[[#This Row],[APP]], Fixtures[[#This Row],[G]]+Fixtures[[#This Row],[A]], "N/A")</f>
        <v>N/A</v>
      </c>
      <c r="AK4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8" spans="1:39" ht="13">
      <c r="A448" s="55"/>
      <c r="B448" s="61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7"/>
      <c r="R448" s="56"/>
      <c r="S448" s="58" t="str" cm="1">
        <f t="array" ref="S448">_xlfn._xlws.FILTER(Competitions[compType], (Fixtures[[#This Row],[competition]] = Competitions[name]), "N/A")</f>
        <v>N/A</v>
      </c>
      <c r="T448" s="58" t="str" cm="1">
        <f t="array" ref="T448">_xlfn._xlws.FILTER(Competitions[exhibition], (Fixtures[[#This Row],[competition]] = Competitions[name]), "N/A")</f>
        <v>N/A</v>
      </c>
      <c r="U448" s="58" t="str" cm="1">
        <f t="array" ref="U448">_xlfn._xlws.FILTER(Competitions[compID], (Fixtures[[#This Row],[competition]] = Competitions[name]), "N/A")</f>
        <v>N/A</v>
      </c>
      <c r="V4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8" s="58" t="str" cm="1">
        <f t="array" ref="W4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8" s="58" t="str" cm="1">
        <f t="array" ref="X448">_xlfn._xlws.FILTER(Teams[name], (Fixtures[[#This Row],[userTeamID]] = Teams[teamID]), "N/A")</f>
        <v>N/A</v>
      </c>
      <c r="Y448" s="58" t="str" cm="1">
        <f t="array" ref="Y448">_xlfn._xlws.FILTER(Teams[teamType], (Fixtures[[#This Row],[userTeamID]] = Teams[teamID]), "N/A")</f>
        <v>N/A</v>
      </c>
      <c r="Z448" s="58" t="str" cm="1">
        <f t="array" ref="Z4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8" s="58" t="str">
        <f>IF(Fixtures[[#This Row],[userSide]] = "N/A", "N/A", IF(Fixtures[[#This Row],[userSide]] = "H", Fixtures[[#This Row],[awayTeam]], Fixtures[[#This Row],[homeTeam]]))</f>
        <v>N/A</v>
      </c>
      <c r="AB448" s="58" t="str" cm="1">
        <f t="array" ref="AB448">_xlfn._xlws.FILTER(Teams[teamID], Fixtures[[#This Row],[oppTeam]] = Teams[name], "N/A")</f>
        <v>N/A</v>
      </c>
      <c r="AC448" s="58" t="str" cm="1">
        <f t="array" ref="AC448">_xlfn._xlws.FILTER(Teams[teamType], Fixtures[[#This Row],[oppTeam]] = Teams[name], "N/A")</f>
        <v>N/A</v>
      </c>
      <c r="AD448" s="58" t="str">
        <f>IF(ISBLANK(Fixtures[[#This Row],[date]]), "N/A", IF(Fixtures[[#This Row],[userSide]]="H", Fixtures[[#This Row],[homeScore]], Fixtures[[#This Row],[awayScore]]))</f>
        <v>N/A</v>
      </c>
      <c r="AE448" s="58" t="str">
        <f>IF(ISBLANK(Fixtures[[#This Row],[date]]), "N/A", IF(Fixtures[[#This Row],[userScore]] = Fixtures[[#This Row],[homeScore]], Fixtures[[#This Row],[awayScore]], Fixtures[[#This Row],[homeScore]]))</f>
        <v>N/A</v>
      </c>
      <c r="AF448" s="58" t="b">
        <f>NOT(AND(ISBLANK(Fixtures[[#This Row],[homePens]]), ISBLANK(Fixtures[[#This Row],[awayPens]])))</f>
        <v>0</v>
      </c>
      <c r="AG448" s="58" t="str">
        <f>IF(Fixtures[[#This Row],[penalties]], IF(Fixtures[[#This Row],[userSide]]="H", Fixtures[[#This Row],[homePens]], Fixtures[[#This Row],[awayPens]]), "N/A")</f>
        <v>N/A</v>
      </c>
      <c r="AH448" s="58" t="str">
        <f>IF(Fixtures[[#This Row],[penalties]], IF(Fixtures[[#This Row],[userPens]]=Fixtures[[#This Row],[homePens]],Fixtures[[#This Row],[awayPens]],Fixtures[[#This Row],[homePens]]), "N/A")</f>
        <v>N/A</v>
      </c>
      <c r="AI448" s="58" t="b">
        <f>COUNTBLANK(Fixtures[[#This Row],[G]:[MOTM]]) = 0</f>
        <v>0</v>
      </c>
      <c r="AJ448" s="58" t="str">
        <f>IF(Fixtures[[#This Row],[APP]], Fixtures[[#This Row],[G]]+Fixtures[[#This Row],[A]], "N/A")</f>
        <v>N/A</v>
      </c>
      <c r="AK4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49" spans="1:39" ht="13">
      <c r="A449" s="55"/>
      <c r="B449" s="61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7"/>
      <c r="R449" s="56"/>
      <c r="S449" s="58" t="str" cm="1">
        <f t="array" ref="S449">_xlfn._xlws.FILTER(Competitions[compType], (Fixtures[[#This Row],[competition]] = Competitions[name]), "N/A")</f>
        <v>N/A</v>
      </c>
      <c r="T449" s="58" t="str" cm="1">
        <f t="array" ref="T449">_xlfn._xlws.FILTER(Competitions[exhibition], (Fixtures[[#This Row],[competition]] = Competitions[name]), "N/A")</f>
        <v>N/A</v>
      </c>
      <c r="U449" s="58" t="str" cm="1">
        <f t="array" ref="U449">_xlfn._xlws.FILTER(Competitions[compID], (Fixtures[[#This Row],[competition]] = Competitions[name]), "N/A")</f>
        <v>N/A</v>
      </c>
      <c r="V4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49" s="58" t="str" cm="1">
        <f t="array" ref="W4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49" s="58" t="str" cm="1">
        <f t="array" ref="X449">_xlfn._xlws.FILTER(Teams[name], (Fixtures[[#This Row],[userTeamID]] = Teams[teamID]), "N/A")</f>
        <v>N/A</v>
      </c>
      <c r="Y449" s="58" t="str" cm="1">
        <f t="array" ref="Y449">_xlfn._xlws.FILTER(Teams[teamType], (Fixtures[[#This Row],[userTeamID]] = Teams[teamID]), "N/A")</f>
        <v>N/A</v>
      </c>
      <c r="Z449" s="58" t="str" cm="1">
        <f t="array" ref="Z4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49" s="58" t="str">
        <f>IF(Fixtures[[#This Row],[userSide]] = "N/A", "N/A", IF(Fixtures[[#This Row],[userSide]] = "H", Fixtures[[#This Row],[awayTeam]], Fixtures[[#This Row],[homeTeam]]))</f>
        <v>N/A</v>
      </c>
      <c r="AB449" s="58" t="str" cm="1">
        <f t="array" ref="AB449">_xlfn._xlws.FILTER(Teams[teamID], Fixtures[[#This Row],[oppTeam]] = Teams[name], "N/A")</f>
        <v>N/A</v>
      </c>
      <c r="AC449" s="58" t="str" cm="1">
        <f t="array" ref="AC449">_xlfn._xlws.FILTER(Teams[teamType], Fixtures[[#This Row],[oppTeam]] = Teams[name], "N/A")</f>
        <v>N/A</v>
      </c>
      <c r="AD449" s="58" t="str">
        <f>IF(ISBLANK(Fixtures[[#This Row],[date]]), "N/A", IF(Fixtures[[#This Row],[userSide]]="H", Fixtures[[#This Row],[homeScore]], Fixtures[[#This Row],[awayScore]]))</f>
        <v>N/A</v>
      </c>
      <c r="AE449" s="58" t="str">
        <f>IF(ISBLANK(Fixtures[[#This Row],[date]]), "N/A", IF(Fixtures[[#This Row],[userScore]] = Fixtures[[#This Row],[homeScore]], Fixtures[[#This Row],[awayScore]], Fixtures[[#This Row],[homeScore]]))</f>
        <v>N/A</v>
      </c>
      <c r="AF449" s="58" t="b">
        <f>NOT(AND(ISBLANK(Fixtures[[#This Row],[homePens]]), ISBLANK(Fixtures[[#This Row],[awayPens]])))</f>
        <v>0</v>
      </c>
      <c r="AG449" s="58" t="str">
        <f>IF(Fixtures[[#This Row],[penalties]], IF(Fixtures[[#This Row],[userSide]]="H", Fixtures[[#This Row],[homePens]], Fixtures[[#This Row],[awayPens]]), "N/A")</f>
        <v>N/A</v>
      </c>
      <c r="AH449" s="58" t="str">
        <f>IF(Fixtures[[#This Row],[penalties]], IF(Fixtures[[#This Row],[userPens]]=Fixtures[[#This Row],[homePens]],Fixtures[[#This Row],[awayPens]],Fixtures[[#This Row],[homePens]]), "N/A")</f>
        <v>N/A</v>
      </c>
      <c r="AI449" s="58" t="b">
        <f>COUNTBLANK(Fixtures[[#This Row],[G]:[MOTM]]) = 0</f>
        <v>0</v>
      </c>
      <c r="AJ449" s="58" t="str">
        <f>IF(Fixtures[[#This Row],[APP]], Fixtures[[#This Row],[G]]+Fixtures[[#This Row],[A]], "N/A")</f>
        <v>N/A</v>
      </c>
      <c r="AK4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0" spans="1:39" ht="13">
      <c r="A450" s="55"/>
      <c r="B450" s="61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7"/>
      <c r="R450" s="56"/>
      <c r="S450" s="58" t="str" cm="1">
        <f t="array" ref="S450">_xlfn._xlws.FILTER(Competitions[compType], (Fixtures[[#This Row],[competition]] = Competitions[name]), "N/A")</f>
        <v>N/A</v>
      </c>
      <c r="T450" s="58" t="str" cm="1">
        <f t="array" ref="T450">_xlfn._xlws.FILTER(Competitions[exhibition], (Fixtures[[#This Row],[competition]] = Competitions[name]), "N/A")</f>
        <v>N/A</v>
      </c>
      <c r="U450" s="58" t="str" cm="1">
        <f t="array" ref="U450">_xlfn._xlws.FILTER(Competitions[compID], (Fixtures[[#This Row],[competition]] = Competitions[name]), "N/A")</f>
        <v>N/A</v>
      </c>
      <c r="V4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0" s="58" t="str" cm="1">
        <f t="array" ref="W4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0" s="58" t="str" cm="1">
        <f t="array" ref="X450">_xlfn._xlws.FILTER(Teams[name], (Fixtures[[#This Row],[userTeamID]] = Teams[teamID]), "N/A")</f>
        <v>N/A</v>
      </c>
      <c r="Y450" s="58" t="str" cm="1">
        <f t="array" ref="Y450">_xlfn._xlws.FILTER(Teams[teamType], (Fixtures[[#This Row],[userTeamID]] = Teams[teamID]), "N/A")</f>
        <v>N/A</v>
      </c>
      <c r="Z450" s="58" t="str" cm="1">
        <f t="array" ref="Z4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0" s="58" t="str">
        <f>IF(Fixtures[[#This Row],[userSide]] = "N/A", "N/A", IF(Fixtures[[#This Row],[userSide]] = "H", Fixtures[[#This Row],[awayTeam]], Fixtures[[#This Row],[homeTeam]]))</f>
        <v>N/A</v>
      </c>
      <c r="AB450" s="58" t="str" cm="1">
        <f t="array" ref="AB450">_xlfn._xlws.FILTER(Teams[teamID], Fixtures[[#This Row],[oppTeam]] = Teams[name], "N/A")</f>
        <v>N/A</v>
      </c>
      <c r="AC450" s="58" t="str" cm="1">
        <f t="array" ref="AC450">_xlfn._xlws.FILTER(Teams[teamType], Fixtures[[#This Row],[oppTeam]] = Teams[name], "N/A")</f>
        <v>N/A</v>
      </c>
      <c r="AD450" s="58" t="str">
        <f>IF(ISBLANK(Fixtures[[#This Row],[date]]), "N/A", IF(Fixtures[[#This Row],[userSide]]="H", Fixtures[[#This Row],[homeScore]], Fixtures[[#This Row],[awayScore]]))</f>
        <v>N/A</v>
      </c>
      <c r="AE450" s="58" t="str">
        <f>IF(ISBLANK(Fixtures[[#This Row],[date]]), "N/A", IF(Fixtures[[#This Row],[userScore]] = Fixtures[[#This Row],[homeScore]], Fixtures[[#This Row],[awayScore]], Fixtures[[#This Row],[homeScore]]))</f>
        <v>N/A</v>
      </c>
      <c r="AF450" s="58" t="b">
        <f>NOT(AND(ISBLANK(Fixtures[[#This Row],[homePens]]), ISBLANK(Fixtures[[#This Row],[awayPens]])))</f>
        <v>0</v>
      </c>
      <c r="AG450" s="58" t="str">
        <f>IF(Fixtures[[#This Row],[penalties]], IF(Fixtures[[#This Row],[userSide]]="H", Fixtures[[#This Row],[homePens]], Fixtures[[#This Row],[awayPens]]), "N/A")</f>
        <v>N/A</v>
      </c>
      <c r="AH450" s="58" t="str">
        <f>IF(Fixtures[[#This Row],[penalties]], IF(Fixtures[[#This Row],[userPens]]=Fixtures[[#This Row],[homePens]],Fixtures[[#This Row],[awayPens]],Fixtures[[#This Row],[homePens]]), "N/A")</f>
        <v>N/A</v>
      </c>
      <c r="AI450" s="58" t="b">
        <f>COUNTBLANK(Fixtures[[#This Row],[G]:[MOTM]]) = 0</f>
        <v>0</v>
      </c>
      <c r="AJ450" s="58" t="str">
        <f>IF(Fixtures[[#This Row],[APP]], Fixtures[[#This Row],[G]]+Fixtures[[#This Row],[A]], "N/A")</f>
        <v>N/A</v>
      </c>
      <c r="AK4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1" spans="1:39" ht="13">
      <c r="A451" s="55"/>
      <c r="B451" s="61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7"/>
      <c r="R451" s="56"/>
      <c r="S451" s="58" t="str" cm="1">
        <f t="array" ref="S451">_xlfn._xlws.FILTER(Competitions[compType], (Fixtures[[#This Row],[competition]] = Competitions[name]), "N/A")</f>
        <v>N/A</v>
      </c>
      <c r="T451" s="58" t="str" cm="1">
        <f t="array" ref="T451">_xlfn._xlws.FILTER(Competitions[exhibition], (Fixtures[[#This Row],[competition]] = Competitions[name]), "N/A")</f>
        <v>N/A</v>
      </c>
      <c r="U451" s="58" t="str" cm="1">
        <f t="array" ref="U451">_xlfn._xlws.FILTER(Competitions[compID], (Fixtures[[#This Row],[competition]] = Competitions[name]), "N/A")</f>
        <v>N/A</v>
      </c>
      <c r="V4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1" s="58" t="str" cm="1">
        <f t="array" ref="W4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1" s="58" t="str" cm="1">
        <f t="array" ref="X451">_xlfn._xlws.FILTER(Teams[name], (Fixtures[[#This Row],[userTeamID]] = Teams[teamID]), "N/A")</f>
        <v>N/A</v>
      </c>
      <c r="Y451" s="58" t="str" cm="1">
        <f t="array" ref="Y451">_xlfn._xlws.FILTER(Teams[teamType], (Fixtures[[#This Row],[userTeamID]] = Teams[teamID]), "N/A")</f>
        <v>N/A</v>
      </c>
      <c r="Z451" s="58" t="str" cm="1">
        <f t="array" ref="Z4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1" s="58" t="str">
        <f>IF(Fixtures[[#This Row],[userSide]] = "N/A", "N/A", IF(Fixtures[[#This Row],[userSide]] = "H", Fixtures[[#This Row],[awayTeam]], Fixtures[[#This Row],[homeTeam]]))</f>
        <v>N/A</v>
      </c>
      <c r="AB451" s="58" t="str" cm="1">
        <f t="array" ref="AB451">_xlfn._xlws.FILTER(Teams[teamID], Fixtures[[#This Row],[oppTeam]] = Teams[name], "N/A")</f>
        <v>N/A</v>
      </c>
      <c r="AC451" s="58" t="str" cm="1">
        <f t="array" ref="AC451">_xlfn._xlws.FILTER(Teams[teamType], Fixtures[[#This Row],[oppTeam]] = Teams[name], "N/A")</f>
        <v>N/A</v>
      </c>
      <c r="AD451" s="58" t="str">
        <f>IF(ISBLANK(Fixtures[[#This Row],[date]]), "N/A", IF(Fixtures[[#This Row],[userSide]]="H", Fixtures[[#This Row],[homeScore]], Fixtures[[#This Row],[awayScore]]))</f>
        <v>N/A</v>
      </c>
      <c r="AE451" s="58" t="str">
        <f>IF(ISBLANK(Fixtures[[#This Row],[date]]), "N/A", IF(Fixtures[[#This Row],[userScore]] = Fixtures[[#This Row],[homeScore]], Fixtures[[#This Row],[awayScore]], Fixtures[[#This Row],[homeScore]]))</f>
        <v>N/A</v>
      </c>
      <c r="AF451" s="58" t="b">
        <f>NOT(AND(ISBLANK(Fixtures[[#This Row],[homePens]]), ISBLANK(Fixtures[[#This Row],[awayPens]])))</f>
        <v>0</v>
      </c>
      <c r="AG451" s="58" t="str">
        <f>IF(Fixtures[[#This Row],[penalties]], IF(Fixtures[[#This Row],[userSide]]="H", Fixtures[[#This Row],[homePens]], Fixtures[[#This Row],[awayPens]]), "N/A")</f>
        <v>N/A</v>
      </c>
      <c r="AH451" s="58" t="str">
        <f>IF(Fixtures[[#This Row],[penalties]], IF(Fixtures[[#This Row],[userPens]]=Fixtures[[#This Row],[homePens]],Fixtures[[#This Row],[awayPens]],Fixtures[[#This Row],[homePens]]), "N/A")</f>
        <v>N/A</v>
      </c>
      <c r="AI451" s="58" t="b">
        <f>COUNTBLANK(Fixtures[[#This Row],[G]:[MOTM]]) = 0</f>
        <v>0</v>
      </c>
      <c r="AJ451" s="58" t="str">
        <f>IF(Fixtures[[#This Row],[APP]], Fixtures[[#This Row],[G]]+Fixtures[[#This Row],[A]], "N/A")</f>
        <v>N/A</v>
      </c>
      <c r="AK4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2" spans="1:39" ht="13">
      <c r="A452" s="55"/>
      <c r="B452" s="61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7"/>
      <c r="R452" s="56"/>
      <c r="S452" s="58" t="str" cm="1">
        <f t="array" ref="S452">_xlfn._xlws.FILTER(Competitions[compType], (Fixtures[[#This Row],[competition]] = Competitions[name]), "N/A")</f>
        <v>N/A</v>
      </c>
      <c r="T452" s="58" t="str" cm="1">
        <f t="array" ref="T452">_xlfn._xlws.FILTER(Competitions[exhibition], (Fixtures[[#This Row],[competition]] = Competitions[name]), "N/A")</f>
        <v>N/A</v>
      </c>
      <c r="U452" s="58" t="str" cm="1">
        <f t="array" ref="U452">_xlfn._xlws.FILTER(Competitions[compID], (Fixtures[[#This Row],[competition]] = Competitions[name]), "N/A")</f>
        <v>N/A</v>
      </c>
      <c r="V4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2" s="58" t="str" cm="1">
        <f t="array" ref="W4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2" s="58" t="str" cm="1">
        <f t="array" ref="X452">_xlfn._xlws.FILTER(Teams[name], (Fixtures[[#This Row],[userTeamID]] = Teams[teamID]), "N/A")</f>
        <v>N/A</v>
      </c>
      <c r="Y452" s="58" t="str" cm="1">
        <f t="array" ref="Y452">_xlfn._xlws.FILTER(Teams[teamType], (Fixtures[[#This Row],[userTeamID]] = Teams[teamID]), "N/A")</f>
        <v>N/A</v>
      </c>
      <c r="Z452" s="58" t="str" cm="1">
        <f t="array" ref="Z4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2" s="58" t="str">
        <f>IF(Fixtures[[#This Row],[userSide]] = "N/A", "N/A", IF(Fixtures[[#This Row],[userSide]] = "H", Fixtures[[#This Row],[awayTeam]], Fixtures[[#This Row],[homeTeam]]))</f>
        <v>N/A</v>
      </c>
      <c r="AB452" s="58" t="str" cm="1">
        <f t="array" ref="AB452">_xlfn._xlws.FILTER(Teams[teamID], Fixtures[[#This Row],[oppTeam]] = Teams[name], "N/A")</f>
        <v>N/A</v>
      </c>
      <c r="AC452" s="58" t="str" cm="1">
        <f t="array" ref="AC452">_xlfn._xlws.FILTER(Teams[teamType], Fixtures[[#This Row],[oppTeam]] = Teams[name], "N/A")</f>
        <v>N/A</v>
      </c>
      <c r="AD452" s="58" t="str">
        <f>IF(ISBLANK(Fixtures[[#This Row],[date]]), "N/A", IF(Fixtures[[#This Row],[userSide]]="H", Fixtures[[#This Row],[homeScore]], Fixtures[[#This Row],[awayScore]]))</f>
        <v>N/A</v>
      </c>
      <c r="AE452" s="58" t="str">
        <f>IF(ISBLANK(Fixtures[[#This Row],[date]]), "N/A", IF(Fixtures[[#This Row],[userScore]] = Fixtures[[#This Row],[homeScore]], Fixtures[[#This Row],[awayScore]], Fixtures[[#This Row],[homeScore]]))</f>
        <v>N/A</v>
      </c>
      <c r="AF452" s="58" t="b">
        <f>NOT(AND(ISBLANK(Fixtures[[#This Row],[homePens]]), ISBLANK(Fixtures[[#This Row],[awayPens]])))</f>
        <v>0</v>
      </c>
      <c r="AG452" s="58" t="str">
        <f>IF(Fixtures[[#This Row],[penalties]], IF(Fixtures[[#This Row],[userSide]]="H", Fixtures[[#This Row],[homePens]], Fixtures[[#This Row],[awayPens]]), "N/A")</f>
        <v>N/A</v>
      </c>
      <c r="AH452" s="58" t="str">
        <f>IF(Fixtures[[#This Row],[penalties]], IF(Fixtures[[#This Row],[userPens]]=Fixtures[[#This Row],[homePens]],Fixtures[[#This Row],[awayPens]],Fixtures[[#This Row],[homePens]]), "N/A")</f>
        <v>N/A</v>
      </c>
      <c r="AI452" s="58" t="b">
        <f>COUNTBLANK(Fixtures[[#This Row],[G]:[MOTM]]) = 0</f>
        <v>0</v>
      </c>
      <c r="AJ452" s="58" t="str">
        <f>IF(Fixtures[[#This Row],[APP]], Fixtures[[#This Row],[G]]+Fixtures[[#This Row],[A]], "N/A")</f>
        <v>N/A</v>
      </c>
      <c r="AK4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3" spans="1:39" ht="13">
      <c r="A453" s="55"/>
      <c r="B453" s="61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7"/>
      <c r="R453" s="56"/>
      <c r="S453" s="58" t="str" cm="1">
        <f t="array" ref="S453">_xlfn._xlws.FILTER(Competitions[compType], (Fixtures[[#This Row],[competition]] = Competitions[name]), "N/A")</f>
        <v>N/A</v>
      </c>
      <c r="T453" s="58" t="str" cm="1">
        <f t="array" ref="T453">_xlfn._xlws.FILTER(Competitions[exhibition], (Fixtures[[#This Row],[competition]] = Competitions[name]), "N/A")</f>
        <v>N/A</v>
      </c>
      <c r="U453" s="58" t="str" cm="1">
        <f t="array" ref="U453">_xlfn._xlws.FILTER(Competitions[compID], (Fixtures[[#This Row],[competition]] = Competitions[name]), "N/A")</f>
        <v>N/A</v>
      </c>
      <c r="V4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3" s="58" t="str" cm="1">
        <f t="array" ref="W4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3" s="58" t="str" cm="1">
        <f t="array" ref="X453">_xlfn._xlws.FILTER(Teams[name], (Fixtures[[#This Row],[userTeamID]] = Teams[teamID]), "N/A")</f>
        <v>N/A</v>
      </c>
      <c r="Y453" s="58" t="str" cm="1">
        <f t="array" ref="Y453">_xlfn._xlws.FILTER(Teams[teamType], (Fixtures[[#This Row],[userTeamID]] = Teams[teamID]), "N/A")</f>
        <v>N/A</v>
      </c>
      <c r="Z453" s="58" t="str" cm="1">
        <f t="array" ref="Z4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3" s="58" t="str">
        <f>IF(Fixtures[[#This Row],[userSide]] = "N/A", "N/A", IF(Fixtures[[#This Row],[userSide]] = "H", Fixtures[[#This Row],[awayTeam]], Fixtures[[#This Row],[homeTeam]]))</f>
        <v>N/A</v>
      </c>
      <c r="AB453" s="58" t="str" cm="1">
        <f t="array" ref="AB453">_xlfn._xlws.FILTER(Teams[teamID], Fixtures[[#This Row],[oppTeam]] = Teams[name], "N/A")</f>
        <v>N/A</v>
      </c>
      <c r="AC453" s="58" t="str" cm="1">
        <f t="array" ref="AC453">_xlfn._xlws.FILTER(Teams[teamType], Fixtures[[#This Row],[oppTeam]] = Teams[name], "N/A")</f>
        <v>N/A</v>
      </c>
      <c r="AD453" s="58" t="str">
        <f>IF(ISBLANK(Fixtures[[#This Row],[date]]), "N/A", IF(Fixtures[[#This Row],[userSide]]="H", Fixtures[[#This Row],[homeScore]], Fixtures[[#This Row],[awayScore]]))</f>
        <v>N/A</v>
      </c>
      <c r="AE453" s="58" t="str">
        <f>IF(ISBLANK(Fixtures[[#This Row],[date]]), "N/A", IF(Fixtures[[#This Row],[userScore]] = Fixtures[[#This Row],[homeScore]], Fixtures[[#This Row],[awayScore]], Fixtures[[#This Row],[homeScore]]))</f>
        <v>N/A</v>
      </c>
      <c r="AF453" s="58" t="b">
        <f>NOT(AND(ISBLANK(Fixtures[[#This Row],[homePens]]), ISBLANK(Fixtures[[#This Row],[awayPens]])))</f>
        <v>0</v>
      </c>
      <c r="AG453" s="58" t="str">
        <f>IF(Fixtures[[#This Row],[penalties]], IF(Fixtures[[#This Row],[userSide]]="H", Fixtures[[#This Row],[homePens]], Fixtures[[#This Row],[awayPens]]), "N/A")</f>
        <v>N/A</v>
      </c>
      <c r="AH453" s="58" t="str">
        <f>IF(Fixtures[[#This Row],[penalties]], IF(Fixtures[[#This Row],[userPens]]=Fixtures[[#This Row],[homePens]],Fixtures[[#This Row],[awayPens]],Fixtures[[#This Row],[homePens]]), "N/A")</f>
        <v>N/A</v>
      </c>
      <c r="AI453" s="58" t="b">
        <f>COUNTBLANK(Fixtures[[#This Row],[G]:[MOTM]]) = 0</f>
        <v>0</v>
      </c>
      <c r="AJ453" s="58" t="str">
        <f>IF(Fixtures[[#This Row],[APP]], Fixtures[[#This Row],[G]]+Fixtures[[#This Row],[A]], "N/A")</f>
        <v>N/A</v>
      </c>
      <c r="AK4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4" spans="1:39" ht="13">
      <c r="A454" s="55"/>
      <c r="B454" s="61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7"/>
      <c r="R454" s="56"/>
      <c r="S454" s="58" t="str" cm="1">
        <f t="array" ref="S454">_xlfn._xlws.FILTER(Competitions[compType], (Fixtures[[#This Row],[competition]] = Competitions[name]), "N/A")</f>
        <v>N/A</v>
      </c>
      <c r="T454" s="58" t="str" cm="1">
        <f t="array" ref="T454">_xlfn._xlws.FILTER(Competitions[exhibition], (Fixtures[[#This Row],[competition]] = Competitions[name]), "N/A")</f>
        <v>N/A</v>
      </c>
      <c r="U454" s="58" t="str" cm="1">
        <f t="array" ref="U454">_xlfn._xlws.FILTER(Competitions[compID], (Fixtures[[#This Row],[competition]] = Competitions[name]), "N/A")</f>
        <v>N/A</v>
      </c>
      <c r="V4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4" s="58" t="str" cm="1">
        <f t="array" ref="W4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4" s="58" t="str" cm="1">
        <f t="array" ref="X454">_xlfn._xlws.FILTER(Teams[name], (Fixtures[[#This Row],[userTeamID]] = Teams[teamID]), "N/A")</f>
        <v>N/A</v>
      </c>
      <c r="Y454" s="58" t="str" cm="1">
        <f t="array" ref="Y454">_xlfn._xlws.FILTER(Teams[teamType], (Fixtures[[#This Row],[userTeamID]] = Teams[teamID]), "N/A")</f>
        <v>N/A</v>
      </c>
      <c r="Z454" s="58" t="str" cm="1">
        <f t="array" ref="Z4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4" s="58" t="str">
        <f>IF(Fixtures[[#This Row],[userSide]] = "N/A", "N/A", IF(Fixtures[[#This Row],[userSide]] = "H", Fixtures[[#This Row],[awayTeam]], Fixtures[[#This Row],[homeTeam]]))</f>
        <v>N/A</v>
      </c>
      <c r="AB454" s="58" t="str" cm="1">
        <f t="array" ref="AB454">_xlfn._xlws.FILTER(Teams[teamID], Fixtures[[#This Row],[oppTeam]] = Teams[name], "N/A")</f>
        <v>N/A</v>
      </c>
      <c r="AC454" s="58" t="str" cm="1">
        <f t="array" ref="AC454">_xlfn._xlws.FILTER(Teams[teamType], Fixtures[[#This Row],[oppTeam]] = Teams[name], "N/A")</f>
        <v>N/A</v>
      </c>
      <c r="AD454" s="58" t="str">
        <f>IF(ISBLANK(Fixtures[[#This Row],[date]]), "N/A", IF(Fixtures[[#This Row],[userSide]]="H", Fixtures[[#This Row],[homeScore]], Fixtures[[#This Row],[awayScore]]))</f>
        <v>N/A</v>
      </c>
      <c r="AE454" s="58" t="str">
        <f>IF(ISBLANK(Fixtures[[#This Row],[date]]), "N/A", IF(Fixtures[[#This Row],[userScore]] = Fixtures[[#This Row],[homeScore]], Fixtures[[#This Row],[awayScore]], Fixtures[[#This Row],[homeScore]]))</f>
        <v>N/A</v>
      </c>
      <c r="AF454" s="58" t="b">
        <f>NOT(AND(ISBLANK(Fixtures[[#This Row],[homePens]]), ISBLANK(Fixtures[[#This Row],[awayPens]])))</f>
        <v>0</v>
      </c>
      <c r="AG454" s="58" t="str">
        <f>IF(Fixtures[[#This Row],[penalties]], IF(Fixtures[[#This Row],[userSide]]="H", Fixtures[[#This Row],[homePens]], Fixtures[[#This Row],[awayPens]]), "N/A")</f>
        <v>N/A</v>
      </c>
      <c r="AH454" s="58" t="str">
        <f>IF(Fixtures[[#This Row],[penalties]], IF(Fixtures[[#This Row],[userPens]]=Fixtures[[#This Row],[homePens]],Fixtures[[#This Row],[awayPens]],Fixtures[[#This Row],[homePens]]), "N/A")</f>
        <v>N/A</v>
      </c>
      <c r="AI454" s="58" t="b">
        <f>COUNTBLANK(Fixtures[[#This Row],[G]:[MOTM]]) = 0</f>
        <v>0</v>
      </c>
      <c r="AJ454" s="58" t="str">
        <f>IF(Fixtures[[#This Row],[APP]], Fixtures[[#This Row],[G]]+Fixtures[[#This Row],[A]], "N/A")</f>
        <v>N/A</v>
      </c>
      <c r="AK4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5" spans="1:39" ht="13">
      <c r="A455" s="55"/>
      <c r="B455" s="61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7"/>
      <c r="R455" s="56"/>
      <c r="S455" s="58" t="str" cm="1">
        <f t="array" ref="S455">_xlfn._xlws.FILTER(Competitions[compType], (Fixtures[[#This Row],[competition]] = Competitions[name]), "N/A")</f>
        <v>N/A</v>
      </c>
      <c r="T455" s="58" t="str" cm="1">
        <f t="array" ref="T455">_xlfn._xlws.FILTER(Competitions[exhibition], (Fixtures[[#This Row],[competition]] = Competitions[name]), "N/A")</f>
        <v>N/A</v>
      </c>
      <c r="U455" s="58" t="str" cm="1">
        <f t="array" ref="U455">_xlfn._xlws.FILTER(Competitions[compID], (Fixtures[[#This Row],[competition]] = Competitions[name]), "N/A")</f>
        <v>N/A</v>
      </c>
      <c r="V4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5" s="58" t="str" cm="1">
        <f t="array" ref="W4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5" s="58" t="str" cm="1">
        <f t="array" ref="X455">_xlfn._xlws.FILTER(Teams[name], (Fixtures[[#This Row],[userTeamID]] = Teams[teamID]), "N/A")</f>
        <v>N/A</v>
      </c>
      <c r="Y455" s="58" t="str" cm="1">
        <f t="array" ref="Y455">_xlfn._xlws.FILTER(Teams[teamType], (Fixtures[[#This Row],[userTeamID]] = Teams[teamID]), "N/A")</f>
        <v>N/A</v>
      </c>
      <c r="Z455" s="58" t="str" cm="1">
        <f t="array" ref="Z4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5" s="58" t="str">
        <f>IF(Fixtures[[#This Row],[userSide]] = "N/A", "N/A", IF(Fixtures[[#This Row],[userSide]] = "H", Fixtures[[#This Row],[awayTeam]], Fixtures[[#This Row],[homeTeam]]))</f>
        <v>N/A</v>
      </c>
      <c r="AB455" s="58" t="str" cm="1">
        <f t="array" ref="AB455">_xlfn._xlws.FILTER(Teams[teamID], Fixtures[[#This Row],[oppTeam]] = Teams[name], "N/A")</f>
        <v>N/A</v>
      </c>
      <c r="AC455" s="58" t="str" cm="1">
        <f t="array" ref="AC455">_xlfn._xlws.FILTER(Teams[teamType], Fixtures[[#This Row],[oppTeam]] = Teams[name], "N/A")</f>
        <v>N/A</v>
      </c>
      <c r="AD455" s="58" t="str">
        <f>IF(ISBLANK(Fixtures[[#This Row],[date]]), "N/A", IF(Fixtures[[#This Row],[userSide]]="H", Fixtures[[#This Row],[homeScore]], Fixtures[[#This Row],[awayScore]]))</f>
        <v>N/A</v>
      </c>
      <c r="AE455" s="58" t="str">
        <f>IF(ISBLANK(Fixtures[[#This Row],[date]]), "N/A", IF(Fixtures[[#This Row],[userScore]] = Fixtures[[#This Row],[homeScore]], Fixtures[[#This Row],[awayScore]], Fixtures[[#This Row],[homeScore]]))</f>
        <v>N/A</v>
      </c>
      <c r="AF455" s="58" t="b">
        <f>NOT(AND(ISBLANK(Fixtures[[#This Row],[homePens]]), ISBLANK(Fixtures[[#This Row],[awayPens]])))</f>
        <v>0</v>
      </c>
      <c r="AG455" s="58" t="str">
        <f>IF(Fixtures[[#This Row],[penalties]], IF(Fixtures[[#This Row],[userSide]]="H", Fixtures[[#This Row],[homePens]], Fixtures[[#This Row],[awayPens]]), "N/A")</f>
        <v>N/A</v>
      </c>
      <c r="AH455" s="58" t="str">
        <f>IF(Fixtures[[#This Row],[penalties]], IF(Fixtures[[#This Row],[userPens]]=Fixtures[[#This Row],[homePens]],Fixtures[[#This Row],[awayPens]],Fixtures[[#This Row],[homePens]]), "N/A")</f>
        <v>N/A</v>
      </c>
      <c r="AI455" s="58" t="b">
        <f>COUNTBLANK(Fixtures[[#This Row],[G]:[MOTM]]) = 0</f>
        <v>0</v>
      </c>
      <c r="AJ455" s="58" t="str">
        <f>IF(Fixtures[[#This Row],[APP]], Fixtures[[#This Row],[G]]+Fixtures[[#This Row],[A]], "N/A")</f>
        <v>N/A</v>
      </c>
      <c r="AK4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6" spans="1:39" ht="13">
      <c r="A456" s="55"/>
      <c r="B456" s="61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7"/>
      <c r="R456" s="56"/>
      <c r="S456" s="58" t="str" cm="1">
        <f t="array" ref="S456">_xlfn._xlws.FILTER(Competitions[compType], (Fixtures[[#This Row],[competition]] = Competitions[name]), "N/A")</f>
        <v>N/A</v>
      </c>
      <c r="T456" s="58" t="str" cm="1">
        <f t="array" ref="T456">_xlfn._xlws.FILTER(Competitions[exhibition], (Fixtures[[#This Row],[competition]] = Competitions[name]), "N/A")</f>
        <v>N/A</v>
      </c>
      <c r="U456" s="58" t="str" cm="1">
        <f t="array" ref="U456">_xlfn._xlws.FILTER(Competitions[compID], (Fixtures[[#This Row],[competition]] = Competitions[name]), "N/A")</f>
        <v>N/A</v>
      </c>
      <c r="V4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6" s="58" t="str" cm="1">
        <f t="array" ref="W4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6" s="58" t="str" cm="1">
        <f t="array" ref="X456">_xlfn._xlws.FILTER(Teams[name], (Fixtures[[#This Row],[userTeamID]] = Teams[teamID]), "N/A")</f>
        <v>N/A</v>
      </c>
      <c r="Y456" s="58" t="str" cm="1">
        <f t="array" ref="Y456">_xlfn._xlws.FILTER(Teams[teamType], (Fixtures[[#This Row],[userTeamID]] = Teams[teamID]), "N/A")</f>
        <v>N/A</v>
      </c>
      <c r="Z456" s="58" t="str" cm="1">
        <f t="array" ref="Z4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6" s="58" t="str">
        <f>IF(Fixtures[[#This Row],[userSide]] = "N/A", "N/A", IF(Fixtures[[#This Row],[userSide]] = "H", Fixtures[[#This Row],[awayTeam]], Fixtures[[#This Row],[homeTeam]]))</f>
        <v>N/A</v>
      </c>
      <c r="AB456" s="58" t="str" cm="1">
        <f t="array" ref="AB456">_xlfn._xlws.FILTER(Teams[teamID], Fixtures[[#This Row],[oppTeam]] = Teams[name], "N/A")</f>
        <v>N/A</v>
      </c>
      <c r="AC456" s="58" t="str" cm="1">
        <f t="array" ref="AC456">_xlfn._xlws.FILTER(Teams[teamType], Fixtures[[#This Row],[oppTeam]] = Teams[name], "N/A")</f>
        <v>N/A</v>
      </c>
      <c r="AD456" s="58" t="str">
        <f>IF(ISBLANK(Fixtures[[#This Row],[date]]), "N/A", IF(Fixtures[[#This Row],[userSide]]="H", Fixtures[[#This Row],[homeScore]], Fixtures[[#This Row],[awayScore]]))</f>
        <v>N/A</v>
      </c>
      <c r="AE456" s="58" t="str">
        <f>IF(ISBLANK(Fixtures[[#This Row],[date]]), "N/A", IF(Fixtures[[#This Row],[userScore]] = Fixtures[[#This Row],[homeScore]], Fixtures[[#This Row],[awayScore]], Fixtures[[#This Row],[homeScore]]))</f>
        <v>N/A</v>
      </c>
      <c r="AF456" s="58" t="b">
        <f>NOT(AND(ISBLANK(Fixtures[[#This Row],[homePens]]), ISBLANK(Fixtures[[#This Row],[awayPens]])))</f>
        <v>0</v>
      </c>
      <c r="AG456" s="58" t="str">
        <f>IF(Fixtures[[#This Row],[penalties]], IF(Fixtures[[#This Row],[userSide]]="H", Fixtures[[#This Row],[homePens]], Fixtures[[#This Row],[awayPens]]), "N/A")</f>
        <v>N/A</v>
      </c>
      <c r="AH456" s="58" t="str">
        <f>IF(Fixtures[[#This Row],[penalties]], IF(Fixtures[[#This Row],[userPens]]=Fixtures[[#This Row],[homePens]],Fixtures[[#This Row],[awayPens]],Fixtures[[#This Row],[homePens]]), "N/A")</f>
        <v>N/A</v>
      </c>
      <c r="AI456" s="58" t="b">
        <f>COUNTBLANK(Fixtures[[#This Row],[G]:[MOTM]]) = 0</f>
        <v>0</v>
      </c>
      <c r="AJ456" s="58" t="str">
        <f>IF(Fixtures[[#This Row],[APP]], Fixtures[[#This Row],[G]]+Fixtures[[#This Row],[A]], "N/A")</f>
        <v>N/A</v>
      </c>
      <c r="AK4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7" spans="1:39" ht="13">
      <c r="A457" s="55"/>
      <c r="B457" s="61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7"/>
      <c r="R457" s="56"/>
      <c r="S457" s="58" t="str" cm="1">
        <f t="array" ref="S457">_xlfn._xlws.FILTER(Competitions[compType], (Fixtures[[#This Row],[competition]] = Competitions[name]), "N/A")</f>
        <v>N/A</v>
      </c>
      <c r="T457" s="58" t="str" cm="1">
        <f t="array" ref="T457">_xlfn._xlws.FILTER(Competitions[exhibition], (Fixtures[[#This Row],[competition]] = Competitions[name]), "N/A")</f>
        <v>N/A</v>
      </c>
      <c r="U457" s="58" t="str" cm="1">
        <f t="array" ref="U457">_xlfn._xlws.FILTER(Competitions[compID], (Fixtures[[#This Row],[competition]] = Competitions[name]), "N/A")</f>
        <v>N/A</v>
      </c>
      <c r="V4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7" s="58" t="str" cm="1">
        <f t="array" ref="W4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7" s="58" t="str" cm="1">
        <f t="array" ref="X457">_xlfn._xlws.FILTER(Teams[name], (Fixtures[[#This Row],[userTeamID]] = Teams[teamID]), "N/A")</f>
        <v>N/A</v>
      </c>
      <c r="Y457" s="58" t="str" cm="1">
        <f t="array" ref="Y457">_xlfn._xlws.FILTER(Teams[teamType], (Fixtures[[#This Row],[userTeamID]] = Teams[teamID]), "N/A")</f>
        <v>N/A</v>
      </c>
      <c r="Z457" s="58" t="str" cm="1">
        <f t="array" ref="Z4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7" s="58" t="str">
        <f>IF(Fixtures[[#This Row],[userSide]] = "N/A", "N/A", IF(Fixtures[[#This Row],[userSide]] = "H", Fixtures[[#This Row],[awayTeam]], Fixtures[[#This Row],[homeTeam]]))</f>
        <v>N/A</v>
      </c>
      <c r="AB457" s="58" t="str" cm="1">
        <f t="array" ref="AB457">_xlfn._xlws.FILTER(Teams[teamID], Fixtures[[#This Row],[oppTeam]] = Teams[name], "N/A")</f>
        <v>N/A</v>
      </c>
      <c r="AC457" s="58" t="str" cm="1">
        <f t="array" ref="AC457">_xlfn._xlws.FILTER(Teams[teamType], Fixtures[[#This Row],[oppTeam]] = Teams[name], "N/A")</f>
        <v>N/A</v>
      </c>
      <c r="AD457" s="58" t="str">
        <f>IF(ISBLANK(Fixtures[[#This Row],[date]]), "N/A", IF(Fixtures[[#This Row],[userSide]]="H", Fixtures[[#This Row],[homeScore]], Fixtures[[#This Row],[awayScore]]))</f>
        <v>N/A</v>
      </c>
      <c r="AE457" s="58" t="str">
        <f>IF(ISBLANK(Fixtures[[#This Row],[date]]), "N/A", IF(Fixtures[[#This Row],[userScore]] = Fixtures[[#This Row],[homeScore]], Fixtures[[#This Row],[awayScore]], Fixtures[[#This Row],[homeScore]]))</f>
        <v>N/A</v>
      </c>
      <c r="AF457" s="58" t="b">
        <f>NOT(AND(ISBLANK(Fixtures[[#This Row],[homePens]]), ISBLANK(Fixtures[[#This Row],[awayPens]])))</f>
        <v>0</v>
      </c>
      <c r="AG457" s="58" t="str">
        <f>IF(Fixtures[[#This Row],[penalties]], IF(Fixtures[[#This Row],[userSide]]="H", Fixtures[[#This Row],[homePens]], Fixtures[[#This Row],[awayPens]]), "N/A")</f>
        <v>N/A</v>
      </c>
      <c r="AH457" s="58" t="str">
        <f>IF(Fixtures[[#This Row],[penalties]], IF(Fixtures[[#This Row],[userPens]]=Fixtures[[#This Row],[homePens]],Fixtures[[#This Row],[awayPens]],Fixtures[[#This Row],[homePens]]), "N/A")</f>
        <v>N/A</v>
      </c>
      <c r="AI457" s="58" t="b">
        <f>COUNTBLANK(Fixtures[[#This Row],[G]:[MOTM]]) = 0</f>
        <v>0</v>
      </c>
      <c r="AJ457" s="58" t="str">
        <f>IF(Fixtures[[#This Row],[APP]], Fixtures[[#This Row],[G]]+Fixtures[[#This Row],[A]], "N/A")</f>
        <v>N/A</v>
      </c>
      <c r="AK4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8" spans="1:39" ht="13">
      <c r="A458" s="55"/>
      <c r="B458" s="61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7"/>
      <c r="R458" s="56"/>
      <c r="S458" s="58" t="str" cm="1">
        <f t="array" ref="S458">_xlfn._xlws.FILTER(Competitions[compType], (Fixtures[[#This Row],[competition]] = Competitions[name]), "N/A")</f>
        <v>N/A</v>
      </c>
      <c r="T458" s="58" t="str" cm="1">
        <f t="array" ref="T458">_xlfn._xlws.FILTER(Competitions[exhibition], (Fixtures[[#This Row],[competition]] = Competitions[name]), "N/A")</f>
        <v>N/A</v>
      </c>
      <c r="U458" s="58" t="str" cm="1">
        <f t="array" ref="U458">_xlfn._xlws.FILTER(Competitions[compID], (Fixtures[[#This Row],[competition]] = Competitions[name]), "N/A")</f>
        <v>N/A</v>
      </c>
      <c r="V4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8" s="58" t="str" cm="1">
        <f t="array" ref="W4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8" s="58" t="str" cm="1">
        <f t="array" ref="X458">_xlfn._xlws.FILTER(Teams[name], (Fixtures[[#This Row],[userTeamID]] = Teams[teamID]), "N/A")</f>
        <v>N/A</v>
      </c>
      <c r="Y458" s="58" t="str" cm="1">
        <f t="array" ref="Y458">_xlfn._xlws.FILTER(Teams[teamType], (Fixtures[[#This Row],[userTeamID]] = Teams[teamID]), "N/A")</f>
        <v>N/A</v>
      </c>
      <c r="Z458" s="58" t="str" cm="1">
        <f t="array" ref="Z4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8" s="58" t="str">
        <f>IF(Fixtures[[#This Row],[userSide]] = "N/A", "N/A", IF(Fixtures[[#This Row],[userSide]] = "H", Fixtures[[#This Row],[awayTeam]], Fixtures[[#This Row],[homeTeam]]))</f>
        <v>N/A</v>
      </c>
      <c r="AB458" s="58" t="str" cm="1">
        <f t="array" ref="AB458">_xlfn._xlws.FILTER(Teams[teamID], Fixtures[[#This Row],[oppTeam]] = Teams[name], "N/A")</f>
        <v>N/A</v>
      </c>
      <c r="AC458" s="58" t="str" cm="1">
        <f t="array" ref="AC458">_xlfn._xlws.FILTER(Teams[teamType], Fixtures[[#This Row],[oppTeam]] = Teams[name], "N/A")</f>
        <v>N/A</v>
      </c>
      <c r="AD458" s="58" t="str">
        <f>IF(ISBLANK(Fixtures[[#This Row],[date]]), "N/A", IF(Fixtures[[#This Row],[userSide]]="H", Fixtures[[#This Row],[homeScore]], Fixtures[[#This Row],[awayScore]]))</f>
        <v>N/A</v>
      </c>
      <c r="AE458" s="58" t="str">
        <f>IF(ISBLANK(Fixtures[[#This Row],[date]]), "N/A", IF(Fixtures[[#This Row],[userScore]] = Fixtures[[#This Row],[homeScore]], Fixtures[[#This Row],[awayScore]], Fixtures[[#This Row],[homeScore]]))</f>
        <v>N/A</v>
      </c>
      <c r="AF458" s="58" t="b">
        <f>NOT(AND(ISBLANK(Fixtures[[#This Row],[homePens]]), ISBLANK(Fixtures[[#This Row],[awayPens]])))</f>
        <v>0</v>
      </c>
      <c r="AG458" s="58" t="str">
        <f>IF(Fixtures[[#This Row],[penalties]], IF(Fixtures[[#This Row],[userSide]]="H", Fixtures[[#This Row],[homePens]], Fixtures[[#This Row],[awayPens]]), "N/A")</f>
        <v>N/A</v>
      </c>
      <c r="AH458" s="58" t="str">
        <f>IF(Fixtures[[#This Row],[penalties]], IF(Fixtures[[#This Row],[userPens]]=Fixtures[[#This Row],[homePens]],Fixtures[[#This Row],[awayPens]],Fixtures[[#This Row],[homePens]]), "N/A")</f>
        <v>N/A</v>
      </c>
      <c r="AI458" s="58" t="b">
        <f>COUNTBLANK(Fixtures[[#This Row],[G]:[MOTM]]) = 0</f>
        <v>0</v>
      </c>
      <c r="AJ458" s="58" t="str">
        <f>IF(Fixtures[[#This Row],[APP]], Fixtures[[#This Row],[G]]+Fixtures[[#This Row],[A]], "N/A")</f>
        <v>N/A</v>
      </c>
      <c r="AK4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59" spans="1:39" ht="13">
      <c r="A459" s="55"/>
      <c r="B459" s="61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7"/>
      <c r="R459" s="56"/>
      <c r="S459" s="58" t="str" cm="1">
        <f t="array" ref="S459">_xlfn._xlws.FILTER(Competitions[compType], (Fixtures[[#This Row],[competition]] = Competitions[name]), "N/A")</f>
        <v>N/A</v>
      </c>
      <c r="T459" s="58" t="str" cm="1">
        <f t="array" ref="T459">_xlfn._xlws.FILTER(Competitions[exhibition], (Fixtures[[#This Row],[competition]] = Competitions[name]), "N/A")</f>
        <v>N/A</v>
      </c>
      <c r="U459" s="58" t="str" cm="1">
        <f t="array" ref="U459">_xlfn._xlws.FILTER(Competitions[compID], (Fixtures[[#This Row],[competition]] = Competitions[name]), "N/A")</f>
        <v>N/A</v>
      </c>
      <c r="V4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59" s="58" t="str" cm="1">
        <f t="array" ref="W4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59" s="58" t="str" cm="1">
        <f t="array" ref="X459">_xlfn._xlws.FILTER(Teams[name], (Fixtures[[#This Row],[userTeamID]] = Teams[teamID]), "N/A")</f>
        <v>N/A</v>
      </c>
      <c r="Y459" s="58" t="str" cm="1">
        <f t="array" ref="Y459">_xlfn._xlws.FILTER(Teams[teamType], (Fixtures[[#This Row],[userTeamID]] = Teams[teamID]), "N/A")</f>
        <v>N/A</v>
      </c>
      <c r="Z459" s="58" t="str" cm="1">
        <f t="array" ref="Z4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59" s="58" t="str">
        <f>IF(Fixtures[[#This Row],[userSide]] = "N/A", "N/A", IF(Fixtures[[#This Row],[userSide]] = "H", Fixtures[[#This Row],[awayTeam]], Fixtures[[#This Row],[homeTeam]]))</f>
        <v>N/A</v>
      </c>
      <c r="AB459" s="58" t="str" cm="1">
        <f t="array" ref="AB459">_xlfn._xlws.FILTER(Teams[teamID], Fixtures[[#This Row],[oppTeam]] = Teams[name], "N/A")</f>
        <v>N/A</v>
      </c>
      <c r="AC459" s="58" t="str" cm="1">
        <f t="array" ref="AC459">_xlfn._xlws.FILTER(Teams[teamType], Fixtures[[#This Row],[oppTeam]] = Teams[name], "N/A")</f>
        <v>N/A</v>
      </c>
      <c r="AD459" s="58" t="str">
        <f>IF(ISBLANK(Fixtures[[#This Row],[date]]), "N/A", IF(Fixtures[[#This Row],[userSide]]="H", Fixtures[[#This Row],[homeScore]], Fixtures[[#This Row],[awayScore]]))</f>
        <v>N/A</v>
      </c>
      <c r="AE459" s="58" t="str">
        <f>IF(ISBLANK(Fixtures[[#This Row],[date]]), "N/A", IF(Fixtures[[#This Row],[userScore]] = Fixtures[[#This Row],[homeScore]], Fixtures[[#This Row],[awayScore]], Fixtures[[#This Row],[homeScore]]))</f>
        <v>N/A</v>
      </c>
      <c r="AF459" s="58" t="b">
        <f>NOT(AND(ISBLANK(Fixtures[[#This Row],[homePens]]), ISBLANK(Fixtures[[#This Row],[awayPens]])))</f>
        <v>0</v>
      </c>
      <c r="AG459" s="58" t="str">
        <f>IF(Fixtures[[#This Row],[penalties]], IF(Fixtures[[#This Row],[userSide]]="H", Fixtures[[#This Row],[homePens]], Fixtures[[#This Row],[awayPens]]), "N/A")</f>
        <v>N/A</v>
      </c>
      <c r="AH459" s="58" t="str">
        <f>IF(Fixtures[[#This Row],[penalties]], IF(Fixtures[[#This Row],[userPens]]=Fixtures[[#This Row],[homePens]],Fixtures[[#This Row],[awayPens]],Fixtures[[#This Row],[homePens]]), "N/A")</f>
        <v>N/A</v>
      </c>
      <c r="AI459" s="58" t="b">
        <f>COUNTBLANK(Fixtures[[#This Row],[G]:[MOTM]]) = 0</f>
        <v>0</v>
      </c>
      <c r="AJ459" s="58" t="str">
        <f>IF(Fixtures[[#This Row],[APP]], Fixtures[[#This Row],[G]]+Fixtures[[#This Row],[A]], "N/A")</f>
        <v>N/A</v>
      </c>
      <c r="AK4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0" spans="1:39" ht="13">
      <c r="A460" s="55"/>
      <c r="B460" s="61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7"/>
      <c r="R460" s="56"/>
      <c r="S460" s="58" t="str" cm="1">
        <f t="array" ref="S460">_xlfn._xlws.FILTER(Competitions[compType], (Fixtures[[#This Row],[competition]] = Competitions[name]), "N/A")</f>
        <v>N/A</v>
      </c>
      <c r="T460" s="58" t="str" cm="1">
        <f t="array" ref="T460">_xlfn._xlws.FILTER(Competitions[exhibition], (Fixtures[[#This Row],[competition]] = Competitions[name]), "N/A")</f>
        <v>N/A</v>
      </c>
      <c r="U460" s="58" t="str" cm="1">
        <f t="array" ref="U460">_xlfn._xlws.FILTER(Competitions[compID], (Fixtures[[#This Row],[competition]] = Competitions[name]), "N/A")</f>
        <v>N/A</v>
      </c>
      <c r="V4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0" s="58" t="str" cm="1">
        <f t="array" ref="W4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0" s="58" t="str" cm="1">
        <f t="array" ref="X460">_xlfn._xlws.FILTER(Teams[name], (Fixtures[[#This Row],[userTeamID]] = Teams[teamID]), "N/A")</f>
        <v>N/A</v>
      </c>
      <c r="Y460" s="58" t="str" cm="1">
        <f t="array" ref="Y460">_xlfn._xlws.FILTER(Teams[teamType], (Fixtures[[#This Row],[userTeamID]] = Teams[teamID]), "N/A")</f>
        <v>N/A</v>
      </c>
      <c r="Z460" s="58" t="str" cm="1">
        <f t="array" ref="Z4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0" s="58" t="str">
        <f>IF(Fixtures[[#This Row],[userSide]] = "N/A", "N/A", IF(Fixtures[[#This Row],[userSide]] = "H", Fixtures[[#This Row],[awayTeam]], Fixtures[[#This Row],[homeTeam]]))</f>
        <v>N/A</v>
      </c>
      <c r="AB460" s="58" t="str" cm="1">
        <f t="array" ref="AB460">_xlfn._xlws.FILTER(Teams[teamID], Fixtures[[#This Row],[oppTeam]] = Teams[name], "N/A")</f>
        <v>N/A</v>
      </c>
      <c r="AC460" s="58" t="str" cm="1">
        <f t="array" ref="AC460">_xlfn._xlws.FILTER(Teams[teamType], Fixtures[[#This Row],[oppTeam]] = Teams[name], "N/A")</f>
        <v>N/A</v>
      </c>
      <c r="AD460" s="58" t="str">
        <f>IF(ISBLANK(Fixtures[[#This Row],[date]]), "N/A", IF(Fixtures[[#This Row],[userSide]]="H", Fixtures[[#This Row],[homeScore]], Fixtures[[#This Row],[awayScore]]))</f>
        <v>N/A</v>
      </c>
      <c r="AE460" s="58" t="str">
        <f>IF(ISBLANK(Fixtures[[#This Row],[date]]), "N/A", IF(Fixtures[[#This Row],[userScore]] = Fixtures[[#This Row],[homeScore]], Fixtures[[#This Row],[awayScore]], Fixtures[[#This Row],[homeScore]]))</f>
        <v>N/A</v>
      </c>
      <c r="AF460" s="58" t="b">
        <f>NOT(AND(ISBLANK(Fixtures[[#This Row],[homePens]]), ISBLANK(Fixtures[[#This Row],[awayPens]])))</f>
        <v>0</v>
      </c>
      <c r="AG460" s="58" t="str">
        <f>IF(Fixtures[[#This Row],[penalties]], IF(Fixtures[[#This Row],[userSide]]="H", Fixtures[[#This Row],[homePens]], Fixtures[[#This Row],[awayPens]]), "N/A")</f>
        <v>N/A</v>
      </c>
      <c r="AH460" s="58" t="str">
        <f>IF(Fixtures[[#This Row],[penalties]], IF(Fixtures[[#This Row],[userPens]]=Fixtures[[#This Row],[homePens]],Fixtures[[#This Row],[awayPens]],Fixtures[[#This Row],[homePens]]), "N/A")</f>
        <v>N/A</v>
      </c>
      <c r="AI460" s="58" t="b">
        <f>COUNTBLANK(Fixtures[[#This Row],[G]:[MOTM]]) = 0</f>
        <v>0</v>
      </c>
      <c r="AJ460" s="58" t="str">
        <f>IF(Fixtures[[#This Row],[APP]], Fixtures[[#This Row],[G]]+Fixtures[[#This Row],[A]], "N/A")</f>
        <v>N/A</v>
      </c>
      <c r="AK4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1" spans="1:39" ht="13">
      <c r="A461" s="55"/>
      <c r="B461" s="61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7"/>
      <c r="R461" s="56"/>
      <c r="S461" s="58" t="str" cm="1">
        <f t="array" ref="S461">_xlfn._xlws.FILTER(Competitions[compType], (Fixtures[[#This Row],[competition]] = Competitions[name]), "N/A")</f>
        <v>N/A</v>
      </c>
      <c r="T461" s="58" t="str" cm="1">
        <f t="array" ref="T461">_xlfn._xlws.FILTER(Competitions[exhibition], (Fixtures[[#This Row],[competition]] = Competitions[name]), "N/A")</f>
        <v>N/A</v>
      </c>
      <c r="U461" s="58" t="str" cm="1">
        <f t="array" ref="U461">_xlfn._xlws.FILTER(Competitions[compID], (Fixtures[[#This Row],[competition]] = Competitions[name]), "N/A")</f>
        <v>N/A</v>
      </c>
      <c r="V4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1" s="58" t="str" cm="1">
        <f t="array" ref="W4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1" s="58" t="str" cm="1">
        <f t="array" ref="X461">_xlfn._xlws.FILTER(Teams[name], (Fixtures[[#This Row],[userTeamID]] = Teams[teamID]), "N/A")</f>
        <v>N/A</v>
      </c>
      <c r="Y461" s="58" t="str" cm="1">
        <f t="array" ref="Y461">_xlfn._xlws.FILTER(Teams[teamType], (Fixtures[[#This Row],[userTeamID]] = Teams[teamID]), "N/A")</f>
        <v>N/A</v>
      </c>
      <c r="Z461" s="58" t="str" cm="1">
        <f t="array" ref="Z4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1" s="58" t="str">
        <f>IF(Fixtures[[#This Row],[userSide]] = "N/A", "N/A", IF(Fixtures[[#This Row],[userSide]] = "H", Fixtures[[#This Row],[awayTeam]], Fixtures[[#This Row],[homeTeam]]))</f>
        <v>N/A</v>
      </c>
      <c r="AB461" s="58" t="str" cm="1">
        <f t="array" ref="AB461">_xlfn._xlws.FILTER(Teams[teamID], Fixtures[[#This Row],[oppTeam]] = Teams[name], "N/A")</f>
        <v>N/A</v>
      </c>
      <c r="AC461" s="58" t="str" cm="1">
        <f t="array" ref="AC461">_xlfn._xlws.FILTER(Teams[teamType], Fixtures[[#This Row],[oppTeam]] = Teams[name], "N/A")</f>
        <v>N/A</v>
      </c>
      <c r="AD461" s="58" t="str">
        <f>IF(ISBLANK(Fixtures[[#This Row],[date]]), "N/A", IF(Fixtures[[#This Row],[userSide]]="H", Fixtures[[#This Row],[homeScore]], Fixtures[[#This Row],[awayScore]]))</f>
        <v>N/A</v>
      </c>
      <c r="AE461" s="58" t="str">
        <f>IF(ISBLANK(Fixtures[[#This Row],[date]]), "N/A", IF(Fixtures[[#This Row],[userScore]] = Fixtures[[#This Row],[homeScore]], Fixtures[[#This Row],[awayScore]], Fixtures[[#This Row],[homeScore]]))</f>
        <v>N/A</v>
      </c>
      <c r="AF461" s="58" t="b">
        <f>NOT(AND(ISBLANK(Fixtures[[#This Row],[homePens]]), ISBLANK(Fixtures[[#This Row],[awayPens]])))</f>
        <v>0</v>
      </c>
      <c r="AG461" s="58" t="str">
        <f>IF(Fixtures[[#This Row],[penalties]], IF(Fixtures[[#This Row],[userSide]]="H", Fixtures[[#This Row],[homePens]], Fixtures[[#This Row],[awayPens]]), "N/A")</f>
        <v>N/A</v>
      </c>
      <c r="AH461" s="58" t="str">
        <f>IF(Fixtures[[#This Row],[penalties]], IF(Fixtures[[#This Row],[userPens]]=Fixtures[[#This Row],[homePens]],Fixtures[[#This Row],[awayPens]],Fixtures[[#This Row],[homePens]]), "N/A")</f>
        <v>N/A</v>
      </c>
      <c r="AI461" s="58" t="b">
        <f>COUNTBLANK(Fixtures[[#This Row],[G]:[MOTM]]) = 0</f>
        <v>0</v>
      </c>
      <c r="AJ461" s="58" t="str">
        <f>IF(Fixtures[[#This Row],[APP]], Fixtures[[#This Row],[G]]+Fixtures[[#This Row],[A]], "N/A")</f>
        <v>N/A</v>
      </c>
      <c r="AK4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2" spans="1:39" ht="13">
      <c r="A462" s="55"/>
      <c r="B462" s="61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7"/>
      <c r="R462" s="56"/>
      <c r="S462" s="58" t="str" cm="1">
        <f t="array" ref="S462">_xlfn._xlws.FILTER(Competitions[compType], (Fixtures[[#This Row],[competition]] = Competitions[name]), "N/A")</f>
        <v>N/A</v>
      </c>
      <c r="T462" s="58" t="str" cm="1">
        <f t="array" ref="T462">_xlfn._xlws.FILTER(Competitions[exhibition], (Fixtures[[#This Row],[competition]] = Competitions[name]), "N/A")</f>
        <v>N/A</v>
      </c>
      <c r="U462" s="58" t="str" cm="1">
        <f t="array" ref="U462">_xlfn._xlws.FILTER(Competitions[compID], (Fixtures[[#This Row],[competition]] = Competitions[name]), "N/A")</f>
        <v>N/A</v>
      </c>
      <c r="V4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2" s="58" t="str" cm="1">
        <f t="array" ref="W4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2" s="58" t="str" cm="1">
        <f t="array" ref="X462">_xlfn._xlws.FILTER(Teams[name], (Fixtures[[#This Row],[userTeamID]] = Teams[teamID]), "N/A")</f>
        <v>N/A</v>
      </c>
      <c r="Y462" s="58" t="str" cm="1">
        <f t="array" ref="Y462">_xlfn._xlws.FILTER(Teams[teamType], (Fixtures[[#This Row],[userTeamID]] = Teams[teamID]), "N/A")</f>
        <v>N/A</v>
      </c>
      <c r="Z462" s="58" t="str" cm="1">
        <f t="array" ref="Z4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2" s="58" t="str">
        <f>IF(Fixtures[[#This Row],[userSide]] = "N/A", "N/A", IF(Fixtures[[#This Row],[userSide]] = "H", Fixtures[[#This Row],[awayTeam]], Fixtures[[#This Row],[homeTeam]]))</f>
        <v>N/A</v>
      </c>
      <c r="AB462" s="58" t="str" cm="1">
        <f t="array" ref="AB462">_xlfn._xlws.FILTER(Teams[teamID], Fixtures[[#This Row],[oppTeam]] = Teams[name], "N/A")</f>
        <v>N/A</v>
      </c>
      <c r="AC462" s="58" t="str" cm="1">
        <f t="array" ref="AC462">_xlfn._xlws.FILTER(Teams[teamType], Fixtures[[#This Row],[oppTeam]] = Teams[name], "N/A")</f>
        <v>N/A</v>
      </c>
      <c r="AD462" s="58" t="str">
        <f>IF(ISBLANK(Fixtures[[#This Row],[date]]), "N/A", IF(Fixtures[[#This Row],[userSide]]="H", Fixtures[[#This Row],[homeScore]], Fixtures[[#This Row],[awayScore]]))</f>
        <v>N/A</v>
      </c>
      <c r="AE462" s="58" t="str">
        <f>IF(ISBLANK(Fixtures[[#This Row],[date]]), "N/A", IF(Fixtures[[#This Row],[userScore]] = Fixtures[[#This Row],[homeScore]], Fixtures[[#This Row],[awayScore]], Fixtures[[#This Row],[homeScore]]))</f>
        <v>N/A</v>
      </c>
      <c r="AF462" s="58" t="b">
        <f>NOT(AND(ISBLANK(Fixtures[[#This Row],[homePens]]), ISBLANK(Fixtures[[#This Row],[awayPens]])))</f>
        <v>0</v>
      </c>
      <c r="AG462" s="58" t="str">
        <f>IF(Fixtures[[#This Row],[penalties]], IF(Fixtures[[#This Row],[userSide]]="H", Fixtures[[#This Row],[homePens]], Fixtures[[#This Row],[awayPens]]), "N/A")</f>
        <v>N/A</v>
      </c>
      <c r="AH462" s="58" t="str">
        <f>IF(Fixtures[[#This Row],[penalties]], IF(Fixtures[[#This Row],[userPens]]=Fixtures[[#This Row],[homePens]],Fixtures[[#This Row],[awayPens]],Fixtures[[#This Row],[homePens]]), "N/A")</f>
        <v>N/A</v>
      </c>
      <c r="AI462" s="58" t="b">
        <f>COUNTBLANK(Fixtures[[#This Row],[G]:[MOTM]]) = 0</f>
        <v>0</v>
      </c>
      <c r="AJ462" s="58" t="str">
        <f>IF(Fixtures[[#This Row],[APP]], Fixtures[[#This Row],[G]]+Fixtures[[#This Row],[A]], "N/A")</f>
        <v>N/A</v>
      </c>
      <c r="AK4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3" spans="1:39" ht="13">
      <c r="A463" s="55"/>
      <c r="B463" s="61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7"/>
      <c r="R463" s="56"/>
      <c r="S463" s="58" t="str" cm="1">
        <f t="array" ref="S463">_xlfn._xlws.FILTER(Competitions[compType], (Fixtures[[#This Row],[competition]] = Competitions[name]), "N/A")</f>
        <v>N/A</v>
      </c>
      <c r="T463" s="58" t="str" cm="1">
        <f t="array" ref="T463">_xlfn._xlws.FILTER(Competitions[exhibition], (Fixtures[[#This Row],[competition]] = Competitions[name]), "N/A")</f>
        <v>N/A</v>
      </c>
      <c r="U463" s="58" t="str" cm="1">
        <f t="array" ref="U463">_xlfn._xlws.FILTER(Competitions[compID], (Fixtures[[#This Row],[competition]] = Competitions[name]), "N/A")</f>
        <v>N/A</v>
      </c>
      <c r="V4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3" s="58" t="str" cm="1">
        <f t="array" ref="W4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3" s="58" t="str" cm="1">
        <f t="array" ref="X463">_xlfn._xlws.FILTER(Teams[name], (Fixtures[[#This Row],[userTeamID]] = Teams[teamID]), "N/A")</f>
        <v>N/A</v>
      </c>
      <c r="Y463" s="58" t="str" cm="1">
        <f t="array" ref="Y463">_xlfn._xlws.FILTER(Teams[teamType], (Fixtures[[#This Row],[userTeamID]] = Teams[teamID]), "N/A")</f>
        <v>N/A</v>
      </c>
      <c r="Z463" s="58" t="str" cm="1">
        <f t="array" ref="Z4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3" s="58" t="str">
        <f>IF(Fixtures[[#This Row],[userSide]] = "N/A", "N/A", IF(Fixtures[[#This Row],[userSide]] = "H", Fixtures[[#This Row],[awayTeam]], Fixtures[[#This Row],[homeTeam]]))</f>
        <v>N/A</v>
      </c>
      <c r="AB463" s="58" t="str" cm="1">
        <f t="array" ref="AB463">_xlfn._xlws.FILTER(Teams[teamID], Fixtures[[#This Row],[oppTeam]] = Teams[name], "N/A")</f>
        <v>N/A</v>
      </c>
      <c r="AC463" s="58" t="str" cm="1">
        <f t="array" ref="AC463">_xlfn._xlws.FILTER(Teams[teamType], Fixtures[[#This Row],[oppTeam]] = Teams[name], "N/A")</f>
        <v>N/A</v>
      </c>
      <c r="AD463" s="58" t="str">
        <f>IF(ISBLANK(Fixtures[[#This Row],[date]]), "N/A", IF(Fixtures[[#This Row],[userSide]]="H", Fixtures[[#This Row],[homeScore]], Fixtures[[#This Row],[awayScore]]))</f>
        <v>N/A</v>
      </c>
      <c r="AE463" s="58" t="str">
        <f>IF(ISBLANK(Fixtures[[#This Row],[date]]), "N/A", IF(Fixtures[[#This Row],[userScore]] = Fixtures[[#This Row],[homeScore]], Fixtures[[#This Row],[awayScore]], Fixtures[[#This Row],[homeScore]]))</f>
        <v>N/A</v>
      </c>
      <c r="AF463" s="58" t="b">
        <f>NOT(AND(ISBLANK(Fixtures[[#This Row],[homePens]]), ISBLANK(Fixtures[[#This Row],[awayPens]])))</f>
        <v>0</v>
      </c>
      <c r="AG463" s="58" t="str">
        <f>IF(Fixtures[[#This Row],[penalties]], IF(Fixtures[[#This Row],[userSide]]="H", Fixtures[[#This Row],[homePens]], Fixtures[[#This Row],[awayPens]]), "N/A")</f>
        <v>N/A</v>
      </c>
      <c r="AH463" s="58" t="str">
        <f>IF(Fixtures[[#This Row],[penalties]], IF(Fixtures[[#This Row],[userPens]]=Fixtures[[#This Row],[homePens]],Fixtures[[#This Row],[awayPens]],Fixtures[[#This Row],[homePens]]), "N/A")</f>
        <v>N/A</v>
      </c>
      <c r="AI463" s="58" t="b">
        <f>COUNTBLANK(Fixtures[[#This Row],[G]:[MOTM]]) = 0</f>
        <v>0</v>
      </c>
      <c r="AJ463" s="58" t="str">
        <f>IF(Fixtures[[#This Row],[APP]], Fixtures[[#This Row],[G]]+Fixtures[[#This Row],[A]], "N/A")</f>
        <v>N/A</v>
      </c>
      <c r="AK4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4" spans="1:39" ht="13">
      <c r="A464" s="55"/>
      <c r="B464" s="61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7"/>
      <c r="R464" s="56"/>
      <c r="S464" s="58" t="str" cm="1">
        <f t="array" ref="S464">_xlfn._xlws.FILTER(Competitions[compType], (Fixtures[[#This Row],[competition]] = Competitions[name]), "N/A")</f>
        <v>N/A</v>
      </c>
      <c r="T464" s="58" t="str" cm="1">
        <f t="array" ref="T464">_xlfn._xlws.FILTER(Competitions[exhibition], (Fixtures[[#This Row],[competition]] = Competitions[name]), "N/A")</f>
        <v>N/A</v>
      </c>
      <c r="U464" s="58" t="str" cm="1">
        <f t="array" ref="U464">_xlfn._xlws.FILTER(Competitions[compID], (Fixtures[[#This Row],[competition]] = Competitions[name]), "N/A")</f>
        <v>N/A</v>
      </c>
      <c r="V4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4" s="58" t="str" cm="1">
        <f t="array" ref="W4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4" s="58" t="str" cm="1">
        <f t="array" ref="X464">_xlfn._xlws.FILTER(Teams[name], (Fixtures[[#This Row],[userTeamID]] = Teams[teamID]), "N/A")</f>
        <v>N/A</v>
      </c>
      <c r="Y464" s="58" t="str" cm="1">
        <f t="array" ref="Y464">_xlfn._xlws.FILTER(Teams[teamType], (Fixtures[[#This Row],[userTeamID]] = Teams[teamID]), "N/A")</f>
        <v>N/A</v>
      </c>
      <c r="Z464" s="58" t="str" cm="1">
        <f t="array" ref="Z4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4" s="58" t="str">
        <f>IF(Fixtures[[#This Row],[userSide]] = "N/A", "N/A", IF(Fixtures[[#This Row],[userSide]] = "H", Fixtures[[#This Row],[awayTeam]], Fixtures[[#This Row],[homeTeam]]))</f>
        <v>N/A</v>
      </c>
      <c r="AB464" s="58" t="str" cm="1">
        <f t="array" ref="AB464">_xlfn._xlws.FILTER(Teams[teamID], Fixtures[[#This Row],[oppTeam]] = Teams[name], "N/A")</f>
        <v>N/A</v>
      </c>
      <c r="AC464" s="58" t="str" cm="1">
        <f t="array" ref="AC464">_xlfn._xlws.FILTER(Teams[teamType], Fixtures[[#This Row],[oppTeam]] = Teams[name], "N/A")</f>
        <v>N/A</v>
      </c>
      <c r="AD464" s="58" t="str">
        <f>IF(ISBLANK(Fixtures[[#This Row],[date]]), "N/A", IF(Fixtures[[#This Row],[userSide]]="H", Fixtures[[#This Row],[homeScore]], Fixtures[[#This Row],[awayScore]]))</f>
        <v>N/A</v>
      </c>
      <c r="AE464" s="58" t="str">
        <f>IF(ISBLANK(Fixtures[[#This Row],[date]]), "N/A", IF(Fixtures[[#This Row],[userScore]] = Fixtures[[#This Row],[homeScore]], Fixtures[[#This Row],[awayScore]], Fixtures[[#This Row],[homeScore]]))</f>
        <v>N/A</v>
      </c>
      <c r="AF464" s="58" t="b">
        <f>NOT(AND(ISBLANK(Fixtures[[#This Row],[homePens]]), ISBLANK(Fixtures[[#This Row],[awayPens]])))</f>
        <v>0</v>
      </c>
      <c r="AG464" s="58" t="str">
        <f>IF(Fixtures[[#This Row],[penalties]], IF(Fixtures[[#This Row],[userSide]]="H", Fixtures[[#This Row],[homePens]], Fixtures[[#This Row],[awayPens]]), "N/A")</f>
        <v>N/A</v>
      </c>
      <c r="AH464" s="58" t="str">
        <f>IF(Fixtures[[#This Row],[penalties]], IF(Fixtures[[#This Row],[userPens]]=Fixtures[[#This Row],[homePens]],Fixtures[[#This Row],[awayPens]],Fixtures[[#This Row],[homePens]]), "N/A")</f>
        <v>N/A</v>
      </c>
      <c r="AI464" s="58" t="b">
        <f>COUNTBLANK(Fixtures[[#This Row],[G]:[MOTM]]) = 0</f>
        <v>0</v>
      </c>
      <c r="AJ464" s="58" t="str">
        <f>IF(Fixtures[[#This Row],[APP]], Fixtures[[#This Row],[G]]+Fixtures[[#This Row],[A]], "N/A")</f>
        <v>N/A</v>
      </c>
      <c r="AK4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5" spans="1:39" ht="13">
      <c r="A465" s="55"/>
      <c r="B465" s="61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7"/>
      <c r="R465" s="56"/>
      <c r="S465" s="58" t="str" cm="1">
        <f t="array" ref="S465">_xlfn._xlws.FILTER(Competitions[compType], (Fixtures[[#This Row],[competition]] = Competitions[name]), "N/A")</f>
        <v>N/A</v>
      </c>
      <c r="T465" s="58" t="str" cm="1">
        <f t="array" ref="T465">_xlfn._xlws.FILTER(Competitions[exhibition], (Fixtures[[#This Row],[competition]] = Competitions[name]), "N/A")</f>
        <v>N/A</v>
      </c>
      <c r="U465" s="58" t="str" cm="1">
        <f t="array" ref="U465">_xlfn._xlws.FILTER(Competitions[compID], (Fixtures[[#This Row],[competition]] = Competitions[name]), "N/A")</f>
        <v>N/A</v>
      </c>
      <c r="V4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5" s="58" t="str" cm="1">
        <f t="array" ref="W4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5" s="58" t="str" cm="1">
        <f t="array" ref="X465">_xlfn._xlws.FILTER(Teams[name], (Fixtures[[#This Row],[userTeamID]] = Teams[teamID]), "N/A")</f>
        <v>N/A</v>
      </c>
      <c r="Y465" s="58" t="str" cm="1">
        <f t="array" ref="Y465">_xlfn._xlws.FILTER(Teams[teamType], (Fixtures[[#This Row],[userTeamID]] = Teams[teamID]), "N/A")</f>
        <v>N/A</v>
      </c>
      <c r="Z465" s="58" t="str" cm="1">
        <f t="array" ref="Z4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5" s="58" t="str">
        <f>IF(Fixtures[[#This Row],[userSide]] = "N/A", "N/A", IF(Fixtures[[#This Row],[userSide]] = "H", Fixtures[[#This Row],[awayTeam]], Fixtures[[#This Row],[homeTeam]]))</f>
        <v>N/A</v>
      </c>
      <c r="AB465" s="58" t="str" cm="1">
        <f t="array" ref="AB465">_xlfn._xlws.FILTER(Teams[teamID], Fixtures[[#This Row],[oppTeam]] = Teams[name], "N/A")</f>
        <v>N/A</v>
      </c>
      <c r="AC465" s="58" t="str" cm="1">
        <f t="array" ref="AC465">_xlfn._xlws.FILTER(Teams[teamType], Fixtures[[#This Row],[oppTeam]] = Teams[name], "N/A")</f>
        <v>N/A</v>
      </c>
      <c r="AD465" s="58" t="str">
        <f>IF(ISBLANK(Fixtures[[#This Row],[date]]), "N/A", IF(Fixtures[[#This Row],[userSide]]="H", Fixtures[[#This Row],[homeScore]], Fixtures[[#This Row],[awayScore]]))</f>
        <v>N/A</v>
      </c>
      <c r="AE465" s="58" t="str">
        <f>IF(ISBLANK(Fixtures[[#This Row],[date]]), "N/A", IF(Fixtures[[#This Row],[userScore]] = Fixtures[[#This Row],[homeScore]], Fixtures[[#This Row],[awayScore]], Fixtures[[#This Row],[homeScore]]))</f>
        <v>N/A</v>
      </c>
      <c r="AF465" s="58" t="b">
        <f>NOT(AND(ISBLANK(Fixtures[[#This Row],[homePens]]), ISBLANK(Fixtures[[#This Row],[awayPens]])))</f>
        <v>0</v>
      </c>
      <c r="AG465" s="58" t="str">
        <f>IF(Fixtures[[#This Row],[penalties]], IF(Fixtures[[#This Row],[userSide]]="H", Fixtures[[#This Row],[homePens]], Fixtures[[#This Row],[awayPens]]), "N/A")</f>
        <v>N/A</v>
      </c>
      <c r="AH465" s="58" t="str">
        <f>IF(Fixtures[[#This Row],[penalties]], IF(Fixtures[[#This Row],[userPens]]=Fixtures[[#This Row],[homePens]],Fixtures[[#This Row],[awayPens]],Fixtures[[#This Row],[homePens]]), "N/A")</f>
        <v>N/A</v>
      </c>
      <c r="AI465" s="58" t="b">
        <f>COUNTBLANK(Fixtures[[#This Row],[G]:[MOTM]]) = 0</f>
        <v>0</v>
      </c>
      <c r="AJ465" s="58" t="str">
        <f>IF(Fixtures[[#This Row],[APP]], Fixtures[[#This Row],[G]]+Fixtures[[#This Row],[A]], "N/A")</f>
        <v>N/A</v>
      </c>
      <c r="AK4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6" spans="1:39" ht="13">
      <c r="A466" s="55"/>
      <c r="B466" s="61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7"/>
      <c r="R466" s="56"/>
      <c r="S466" s="58" t="str" cm="1">
        <f t="array" ref="S466">_xlfn._xlws.FILTER(Competitions[compType], (Fixtures[[#This Row],[competition]] = Competitions[name]), "N/A")</f>
        <v>N/A</v>
      </c>
      <c r="T466" s="58" t="str" cm="1">
        <f t="array" ref="T466">_xlfn._xlws.FILTER(Competitions[exhibition], (Fixtures[[#This Row],[competition]] = Competitions[name]), "N/A")</f>
        <v>N/A</v>
      </c>
      <c r="U466" s="58" t="str" cm="1">
        <f t="array" ref="U466">_xlfn._xlws.FILTER(Competitions[compID], (Fixtures[[#This Row],[competition]] = Competitions[name]), "N/A")</f>
        <v>N/A</v>
      </c>
      <c r="V4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6" s="58" t="str" cm="1">
        <f t="array" ref="W4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6" s="58" t="str" cm="1">
        <f t="array" ref="X466">_xlfn._xlws.FILTER(Teams[name], (Fixtures[[#This Row],[userTeamID]] = Teams[teamID]), "N/A")</f>
        <v>N/A</v>
      </c>
      <c r="Y466" s="58" t="str" cm="1">
        <f t="array" ref="Y466">_xlfn._xlws.FILTER(Teams[teamType], (Fixtures[[#This Row],[userTeamID]] = Teams[teamID]), "N/A")</f>
        <v>N/A</v>
      </c>
      <c r="Z466" s="58" t="str" cm="1">
        <f t="array" ref="Z4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6" s="58" t="str">
        <f>IF(Fixtures[[#This Row],[userSide]] = "N/A", "N/A", IF(Fixtures[[#This Row],[userSide]] = "H", Fixtures[[#This Row],[awayTeam]], Fixtures[[#This Row],[homeTeam]]))</f>
        <v>N/A</v>
      </c>
      <c r="AB466" s="58" t="str" cm="1">
        <f t="array" ref="AB466">_xlfn._xlws.FILTER(Teams[teamID], Fixtures[[#This Row],[oppTeam]] = Teams[name], "N/A")</f>
        <v>N/A</v>
      </c>
      <c r="AC466" s="58" t="str" cm="1">
        <f t="array" ref="AC466">_xlfn._xlws.FILTER(Teams[teamType], Fixtures[[#This Row],[oppTeam]] = Teams[name], "N/A")</f>
        <v>N/A</v>
      </c>
      <c r="AD466" s="58" t="str">
        <f>IF(ISBLANK(Fixtures[[#This Row],[date]]), "N/A", IF(Fixtures[[#This Row],[userSide]]="H", Fixtures[[#This Row],[homeScore]], Fixtures[[#This Row],[awayScore]]))</f>
        <v>N/A</v>
      </c>
      <c r="AE466" s="58" t="str">
        <f>IF(ISBLANK(Fixtures[[#This Row],[date]]), "N/A", IF(Fixtures[[#This Row],[userScore]] = Fixtures[[#This Row],[homeScore]], Fixtures[[#This Row],[awayScore]], Fixtures[[#This Row],[homeScore]]))</f>
        <v>N/A</v>
      </c>
      <c r="AF466" s="58" t="b">
        <f>NOT(AND(ISBLANK(Fixtures[[#This Row],[homePens]]), ISBLANK(Fixtures[[#This Row],[awayPens]])))</f>
        <v>0</v>
      </c>
      <c r="AG466" s="58" t="str">
        <f>IF(Fixtures[[#This Row],[penalties]], IF(Fixtures[[#This Row],[userSide]]="H", Fixtures[[#This Row],[homePens]], Fixtures[[#This Row],[awayPens]]), "N/A")</f>
        <v>N/A</v>
      </c>
      <c r="AH466" s="58" t="str">
        <f>IF(Fixtures[[#This Row],[penalties]], IF(Fixtures[[#This Row],[userPens]]=Fixtures[[#This Row],[homePens]],Fixtures[[#This Row],[awayPens]],Fixtures[[#This Row],[homePens]]), "N/A")</f>
        <v>N/A</v>
      </c>
      <c r="AI466" s="58" t="b">
        <f>COUNTBLANK(Fixtures[[#This Row],[G]:[MOTM]]) = 0</f>
        <v>0</v>
      </c>
      <c r="AJ466" s="58" t="str">
        <f>IF(Fixtures[[#This Row],[APP]], Fixtures[[#This Row],[G]]+Fixtures[[#This Row],[A]], "N/A")</f>
        <v>N/A</v>
      </c>
      <c r="AK4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7" spans="1:39" ht="13">
      <c r="A467" s="55"/>
      <c r="B467" s="61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7"/>
      <c r="R467" s="56"/>
      <c r="S467" s="58" t="str" cm="1">
        <f t="array" ref="S467">_xlfn._xlws.FILTER(Competitions[compType], (Fixtures[[#This Row],[competition]] = Competitions[name]), "N/A")</f>
        <v>N/A</v>
      </c>
      <c r="T467" s="58" t="str" cm="1">
        <f t="array" ref="T467">_xlfn._xlws.FILTER(Competitions[exhibition], (Fixtures[[#This Row],[competition]] = Competitions[name]), "N/A")</f>
        <v>N/A</v>
      </c>
      <c r="U467" s="58" t="str" cm="1">
        <f t="array" ref="U467">_xlfn._xlws.FILTER(Competitions[compID], (Fixtures[[#This Row],[competition]] = Competitions[name]), "N/A")</f>
        <v>N/A</v>
      </c>
      <c r="V4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7" s="58" t="str" cm="1">
        <f t="array" ref="W4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7" s="58" t="str" cm="1">
        <f t="array" ref="X467">_xlfn._xlws.FILTER(Teams[name], (Fixtures[[#This Row],[userTeamID]] = Teams[teamID]), "N/A")</f>
        <v>N/A</v>
      </c>
      <c r="Y467" s="58" t="str" cm="1">
        <f t="array" ref="Y467">_xlfn._xlws.FILTER(Teams[teamType], (Fixtures[[#This Row],[userTeamID]] = Teams[teamID]), "N/A")</f>
        <v>N/A</v>
      </c>
      <c r="Z467" s="58" t="str" cm="1">
        <f t="array" ref="Z4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7" s="58" t="str">
        <f>IF(Fixtures[[#This Row],[userSide]] = "N/A", "N/A", IF(Fixtures[[#This Row],[userSide]] = "H", Fixtures[[#This Row],[awayTeam]], Fixtures[[#This Row],[homeTeam]]))</f>
        <v>N/A</v>
      </c>
      <c r="AB467" s="58" t="str" cm="1">
        <f t="array" ref="AB467">_xlfn._xlws.FILTER(Teams[teamID], Fixtures[[#This Row],[oppTeam]] = Teams[name], "N/A")</f>
        <v>N/A</v>
      </c>
      <c r="AC467" s="58" t="str" cm="1">
        <f t="array" ref="AC467">_xlfn._xlws.FILTER(Teams[teamType], Fixtures[[#This Row],[oppTeam]] = Teams[name], "N/A")</f>
        <v>N/A</v>
      </c>
      <c r="AD467" s="58" t="str">
        <f>IF(ISBLANK(Fixtures[[#This Row],[date]]), "N/A", IF(Fixtures[[#This Row],[userSide]]="H", Fixtures[[#This Row],[homeScore]], Fixtures[[#This Row],[awayScore]]))</f>
        <v>N/A</v>
      </c>
      <c r="AE467" s="58" t="str">
        <f>IF(ISBLANK(Fixtures[[#This Row],[date]]), "N/A", IF(Fixtures[[#This Row],[userScore]] = Fixtures[[#This Row],[homeScore]], Fixtures[[#This Row],[awayScore]], Fixtures[[#This Row],[homeScore]]))</f>
        <v>N/A</v>
      </c>
      <c r="AF467" s="58" t="b">
        <f>NOT(AND(ISBLANK(Fixtures[[#This Row],[homePens]]), ISBLANK(Fixtures[[#This Row],[awayPens]])))</f>
        <v>0</v>
      </c>
      <c r="AG467" s="58" t="str">
        <f>IF(Fixtures[[#This Row],[penalties]], IF(Fixtures[[#This Row],[userSide]]="H", Fixtures[[#This Row],[homePens]], Fixtures[[#This Row],[awayPens]]), "N/A")</f>
        <v>N/A</v>
      </c>
      <c r="AH467" s="58" t="str">
        <f>IF(Fixtures[[#This Row],[penalties]], IF(Fixtures[[#This Row],[userPens]]=Fixtures[[#This Row],[homePens]],Fixtures[[#This Row],[awayPens]],Fixtures[[#This Row],[homePens]]), "N/A")</f>
        <v>N/A</v>
      </c>
      <c r="AI467" s="58" t="b">
        <f>COUNTBLANK(Fixtures[[#This Row],[G]:[MOTM]]) = 0</f>
        <v>0</v>
      </c>
      <c r="AJ467" s="58" t="str">
        <f>IF(Fixtures[[#This Row],[APP]], Fixtures[[#This Row],[G]]+Fixtures[[#This Row],[A]], "N/A")</f>
        <v>N/A</v>
      </c>
      <c r="AK4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8" spans="1:39" ht="13">
      <c r="A468" s="55"/>
      <c r="B468" s="61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7"/>
      <c r="R468" s="56"/>
      <c r="S468" s="58" t="str" cm="1">
        <f t="array" ref="S468">_xlfn._xlws.FILTER(Competitions[compType], (Fixtures[[#This Row],[competition]] = Competitions[name]), "N/A")</f>
        <v>N/A</v>
      </c>
      <c r="T468" s="58" t="str" cm="1">
        <f t="array" ref="T468">_xlfn._xlws.FILTER(Competitions[exhibition], (Fixtures[[#This Row],[competition]] = Competitions[name]), "N/A")</f>
        <v>N/A</v>
      </c>
      <c r="U468" s="58" t="str" cm="1">
        <f t="array" ref="U468">_xlfn._xlws.FILTER(Competitions[compID], (Fixtures[[#This Row],[competition]] = Competitions[name]), "N/A")</f>
        <v>N/A</v>
      </c>
      <c r="V4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8" s="58" t="str" cm="1">
        <f t="array" ref="W4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8" s="58" t="str" cm="1">
        <f t="array" ref="X468">_xlfn._xlws.FILTER(Teams[name], (Fixtures[[#This Row],[userTeamID]] = Teams[teamID]), "N/A")</f>
        <v>N/A</v>
      </c>
      <c r="Y468" s="58" t="str" cm="1">
        <f t="array" ref="Y468">_xlfn._xlws.FILTER(Teams[teamType], (Fixtures[[#This Row],[userTeamID]] = Teams[teamID]), "N/A")</f>
        <v>N/A</v>
      </c>
      <c r="Z468" s="58" t="str" cm="1">
        <f t="array" ref="Z4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8" s="58" t="str">
        <f>IF(Fixtures[[#This Row],[userSide]] = "N/A", "N/A", IF(Fixtures[[#This Row],[userSide]] = "H", Fixtures[[#This Row],[awayTeam]], Fixtures[[#This Row],[homeTeam]]))</f>
        <v>N/A</v>
      </c>
      <c r="AB468" s="58" t="str" cm="1">
        <f t="array" ref="AB468">_xlfn._xlws.FILTER(Teams[teamID], Fixtures[[#This Row],[oppTeam]] = Teams[name], "N/A")</f>
        <v>N/A</v>
      </c>
      <c r="AC468" s="58" t="str" cm="1">
        <f t="array" ref="AC468">_xlfn._xlws.FILTER(Teams[teamType], Fixtures[[#This Row],[oppTeam]] = Teams[name], "N/A")</f>
        <v>N/A</v>
      </c>
      <c r="AD468" s="58" t="str">
        <f>IF(ISBLANK(Fixtures[[#This Row],[date]]), "N/A", IF(Fixtures[[#This Row],[userSide]]="H", Fixtures[[#This Row],[homeScore]], Fixtures[[#This Row],[awayScore]]))</f>
        <v>N/A</v>
      </c>
      <c r="AE468" s="58" t="str">
        <f>IF(ISBLANK(Fixtures[[#This Row],[date]]), "N/A", IF(Fixtures[[#This Row],[userScore]] = Fixtures[[#This Row],[homeScore]], Fixtures[[#This Row],[awayScore]], Fixtures[[#This Row],[homeScore]]))</f>
        <v>N/A</v>
      </c>
      <c r="AF468" s="58" t="b">
        <f>NOT(AND(ISBLANK(Fixtures[[#This Row],[homePens]]), ISBLANK(Fixtures[[#This Row],[awayPens]])))</f>
        <v>0</v>
      </c>
      <c r="AG468" s="58" t="str">
        <f>IF(Fixtures[[#This Row],[penalties]], IF(Fixtures[[#This Row],[userSide]]="H", Fixtures[[#This Row],[homePens]], Fixtures[[#This Row],[awayPens]]), "N/A")</f>
        <v>N/A</v>
      </c>
      <c r="AH468" s="58" t="str">
        <f>IF(Fixtures[[#This Row],[penalties]], IF(Fixtures[[#This Row],[userPens]]=Fixtures[[#This Row],[homePens]],Fixtures[[#This Row],[awayPens]],Fixtures[[#This Row],[homePens]]), "N/A")</f>
        <v>N/A</v>
      </c>
      <c r="AI468" s="58" t="b">
        <f>COUNTBLANK(Fixtures[[#This Row],[G]:[MOTM]]) = 0</f>
        <v>0</v>
      </c>
      <c r="AJ468" s="58" t="str">
        <f>IF(Fixtures[[#This Row],[APP]], Fixtures[[#This Row],[G]]+Fixtures[[#This Row],[A]], "N/A")</f>
        <v>N/A</v>
      </c>
      <c r="AK4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69" spans="1:39" ht="13">
      <c r="A469" s="55"/>
      <c r="B469" s="61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7"/>
      <c r="R469" s="56"/>
      <c r="S469" s="58" t="str" cm="1">
        <f t="array" ref="S469">_xlfn._xlws.FILTER(Competitions[compType], (Fixtures[[#This Row],[competition]] = Competitions[name]), "N/A")</f>
        <v>N/A</v>
      </c>
      <c r="T469" s="58" t="str" cm="1">
        <f t="array" ref="T469">_xlfn._xlws.FILTER(Competitions[exhibition], (Fixtures[[#This Row],[competition]] = Competitions[name]), "N/A")</f>
        <v>N/A</v>
      </c>
      <c r="U469" s="58" t="str" cm="1">
        <f t="array" ref="U469">_xlfn._xlws.FILTER(Competitions[compID], (Fixtures[[#This Row],[competition]] = Competitions[name]), "N/A")</f>
        <v>N/A</v>
      </c>
      <c r="V4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69" s="58" t="str" cm="1">
        <f t="array" ref="W4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69" s="58" t="str" cm="1">
        <f t="array" ref="X469">_xlfn._xlws.FILTER(Teams[name], (Fixtures[[#This Row],[userTeamID]] = Teams[teamID]), "N/A")</f>
        <v>N/A</v>
      </c>
      <c r="Y469" s="58" t="str" cm="1">
        <f t="array" ref="Y469">_xlfn._xlws.FILTER(Teams[teamType], (Fixtures[[#This Row],[userTeamID]] = Teams[teamID]), "N/A")</f>
        <v>N/A</v>
      </c>
      <c r="Z469" s="58" t="str" cm="1">
        <f t="array" ref="Z4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69" s="58" t="str">
        <f>IF(Fixtures[[#This Row],[userSide]] = "N/A", "N/A", IF(Fixtures[[#This Row],[userSide]] = "H", Fixtures[[#This Row],[awayTeam]], Fixtures[[#This Row],[homeTeam]]))</f>
        <v>N/A</v>
      </c>
      <c r="AB469" s="58" t="str" cm="1">
        <f t="array" ref="AB469">_xlfn._xlws.FILTER(Teams[teamID], Fixtures[[#This Row],[oppTeam]] = Teams[name], "N/A")</f>
        <v>N/A</v>
      </c>
      <c r="AC469" s="58" t="str" cm="1">
        <f t="array" ref="AC469">_xlfn._xlws.FILTER(Teams[teamType], Fixtures[[#This Row],[oppTeam]] = Teams[name], "N/A")</f>
        <v>N/A</v>
      </c>
      <c r="AD469" s="58" t="str">
        <f>IF(ISBLANK(Fixtures[[#This Row],[date]]), "N/A", IF(Fixtures[[#This Row],[userSide]]="H", Fixtures[[#This Row],[homeScore]], Fixtures[[#This Row],[awayScore]]))</f>
        <v>N/A</v>
      </c>
      <c r="AE469" s="58" t="str">
        <f>IF(ISBLANK(Fixtures[[#This Row],[date]]), "N/A", IF(Fixtures[[#This Row],[userScore]] = Fixtures[[#This Row],[homeScore]], Fixtures[[#This Row],[awayScore]], Fixtures[[#This Row],[homeScore]]))</f>
        <v>N/A</v>
      </c>
      <c r="AF469" s="58" t="b">
        <f>NOT(AND(ISBLANK(Fixtures[[#This Row],[homePens]]), ISBLANK(Fixtures[[#This Row],[awayPens]])))</f>
        <v>0</v>
      </c>
      <c r="AG469" s="58" t="str">
        <f>IF(Fixtures[[#This Row],[penalties]], IF(Fixtures[[#This Row],[userSide]]="H", Fixtures[[#This Row],[homePens]], Fixtures[[#This Row],[awayPens]]), "N/A")</f>
        <v>N/A</v>
      </c>
      <c r="AH469" s="58" t="str">
        <f>IF(Fixtures[[#This Row],[penalties]], IF(Fixtures[[#This Row],[userPens]]=Fixtures[[#This Row],[homePens]],Fixtures[[#This Row],[awayPens]],Fixtures[[#This Row],[homePens]]), "N/A")</f>
        <v>N/A</v>
      </c>
      <c r="AI469" s="58" t="b">
        <f>COUNTBLANK(Fixtures[[#This Row],[G]:[MOTM]]) = 0</f>
        <v>0</v>
      </c>
      <c r="AJ469" s="58" t="str">
        <f>IF(Fixtures[[#This Row],[APP]], Fixtures[[#This Row],[G]]+Fixtures[[#This Row],[A]], "N/A")</f>
        <v>N/A</v>
      </c>
      <c r="AK4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0" spans="1:39" ht="13">
      <c r="A470" s="55"/>
      <c r="B470" s="61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7"/>
      <c r="R470" s="56"/>
      <c r="S470" s="58" t="str" cm="1">
        <f t="array" ref="S470">_xlfn._xlws.FILTER(Competitions[compType], (Fixtures[[#This Row],[competition]] = Competitions[name]), "N/A")</f>
        <v>N/A</v>
      </c>
      <c r="T470" s="58" t="str" cm="1">
        <f t="array" ref="T470">_xlfn._xlws.FILTER(Competitions[exhibition], (Fixtures[[#This Row],[competition]] = Competitions[name]), "N/A")</f>
        <v>N/A</v>
      </c>
      <c r="U470" s="58" t="str" cm="1">
        <f t="array" ref="U470">_xlfn._xlws.FILTER(Competitions[compID], (Fixtures[[#This Row],[competition]] = Competitions[name]), "N/A")</f>
        <v>N/A</v>
      </c>
      <c r="V4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0" s="58" t="str" cm="1">
        <f t="array" ref="W4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0" s="58" t="str" cm="1">
        <f t="array" ref="X470">_xlfn._xlws.FILTER(Teams[name], (Fixtures[[#This Row],[userTeamID]] = Teams[teamID]), "N/A")</f>
        <v>N/A</v>
      </c>
      <c r="Y470" s="58" t="str" cm="1">
        <f t="array" ref="Y470">_xlfn._xlws.FILTER(Teams[teamType], (Fixtures[[#This Row],[userTeamID]] = Teams[teamID]), "N/A")</f>
        <v>N/A</v>
      </c>
      <c r="Z470" s="58" t="str" cm="1">
        <f t="array" ref="Z4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0" s="58" t="str">
        <f>IF(Fixtures[[#This Row],[userSide]] = "N/A", "N/A", IF(Fixtures[[#This Row],[userSide]] = "H", Fixtures[[#This Row],[awayTeam]], Fixtures[[#This Row],[homeTeam]]))</f>
        <v>N/A</v>
      </c>
      <c r="AB470" s="58" t="str" cm="1">
        <f t="array" ref="AB470">_xlfn._xlws.FILTER(Teams[teamID], Fixtures[[#This Row],[oppTeam]] = Teams[name], "N/A")</f>
        <v>N/A</v>
      </c>
      <c r="AC470" s="58" t="str" cm="1">
        <f t="array" ref="AC470">_xlfn._xlws.FILTER(Teams[teamType], Fixtures[[#This Row],[oppTeam]] = Teams[name], "N/A")</f>
        <v>N/A</v>
      </c>
      <c r="AD470" s="58" t="str">
        <f>IF(ISBLANK(Fixtures[[#This Row],[date]]), "N/A", IF(Fixtures[[#This Row],[userSide]]="H", Fixtures[[#This Row],[homeScore]], Fixtures[[#This Row],[awayScore]]))</f>
        <v>N/A</v>
      </c>
      <c r="AE470" s="58" t="str">
        <f>IF(ISBLANK(Fixtures[[#This Row],[date]]), "N/A", IF(Fixtures[[#This Row],[userScore]] = Fixtures[[#This Row],[homeScore]], Fixtures[[#This Row],[awayScore]], Fixtures[[#This Row],[homeScore]]))</f>
        <v>N/A</v>
      </c>
      <c r="AF470" s="58" t="b">
        <f>NOT(AND(ISBLANK(Fixtures[[#This Row],[homePens]]), ISBLANK(Fixtures[[#This Row],[awayPens]])))</f>
        <v>0</v>
      </c>
      <c r="AG470" s="58" t="str">
        <f>IF(Fixtures[[#This Row],[penalties]], IF(Fixtures[[#This Row],[userSide]]="H", Fixtures[[#This Row],[homePens]], Fixtures[[#This Row],[awayPens]]), "N/A")</f>
        <v>N/A</v>
      </c>
      <c r="AH470" s="58" t="str">
        <f>IF(Fixtures[[#This Row],[penalties]], IF(Fixtures[[#This Row],[userPens]]=Fixtures[[#This Row],[homePens]],Fixtures[[#This Row],[awayPens]],Fixtures[[#This Row],[homePens]]), "N/A")</f>
        <v>N/A</v>
      </c>
      <c r="AI470" s="58" t="b">
        <f>COUNTBLANK(Fixtures[[#This Row],[G]:[MOTM]]) = 0</f>
        <v>0</v>
      </c>
      <c r="AJ470" s="58" t="str">
        <f>IF(Fixtures[[#This Row],[APP]], Fixtures[[#This Row],[G]]+Fixtures[[#This Row],[A]], "N/A")</f>
        <v>N/A</v>
      </c>
      <c r="AK4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1" spans="1:39" ht="13">
      <c r="A471" s="55"/>
      <c r="B471" s="61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7"/>
      <c r="R471" s="56"/>
      <c r="S471" s="58" t="str" cm="1">
        <f t="array" ref="S471">_xlfn._xlws.FILTER(Competitions[compType], (Fixtures[[#This Row],[competition]] = Competitions[name]), "N/A")</f>
        <v>N/A</v>
      </c>
      <c r="T471" s="58" t="str" cm="1">
        <f t="array" ref="T471">_xlfn._xlws.FILTER(Competitions[exhibition], (Fixtures[[#This Row],[competition]] = Competitions[name]), "N/A")</f>
        <v>N/A</v>
      </c>
      <c r="U471" s="58" t="str" cm="1">
        <f t="array" ref="U471">_xlfn._xlws.FILTER(Competitions[compID], (Fixtures[[#This Row],[competition]] = Competitions[name]), "N/A")</f>
        <v>N/A</v>
      </c>
      <c r="V4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1" s="58" t="str" cm="1">
        <f t="array" ref="W4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1" s="58" t="str" cm="1">
        <f t="array" ref="X471">_xlfn._xlws.FILTER(Teams[name], (Fixtures[[#This Row],[userTeamID]] = Teams[teamID]), "N/A")</f>
        <v>N/A</v>
      </c>
      <c r="Y471" s="58" t="str" cm="1">
        <f t="array" ref="Y471">_xlfn._xlws.FILTER(Teams[teamType], (Fixtures[[#This Row],[userTeamID]] = Teams[teamID]), "N/A")</f>
        <v>N/A</v>
      </c>
      <c r="Z471" s="58" t="str" cm="1">
        <f t="array" ref="Z4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1" s="58" t="str">
        <f>IF(Fixtures[[#This Row],[userSide]] = "N/A", "N/A", IF(Fixtures[[#This Row],[userSide]] = "H", Fixtures[[#This Row],[awayTeam]], Fixtures[[#This Row],[homeTeam]]))</f>
        <v>N/A</v>
      </c>
      <c r="AB471" s="58" t="str" cm="1">
        <f t="array" ref="AB471">_xlfn._xlws.FILTER(Teams[teamID], Fixtures[[#This Row],[oppTeam]] = Teams[name], "N/A")</f>
        <v>N/A</v>
      </c>
      <c r="AC471" s="58" t="str" cm="1">
        <f t="array" ref="AC471">_xlfn._xlws.FILTER(Teams[teamType], Fixtures[[#This Row],[oppTeam]] = Teams[name], "N/A")</f>
        <v>N/A</v>
      </c>
      <c r="AD471" s="58" t="str">
        <f>IF(ISBLANK(Fixtures[[#This Row],[date]]), "N/A", IF(Fixtures[[#This Row],[userSide]]="H", Fixtures[[#This Row],[homeScore]], Fixtures[[#This Row],[awayScore]]))</f>
        <v>N/A</v>
      </c>
      <c r="AE471" s="58" t="str">
        <f>IF(ISBLANK(Fixtures[[#This Row],[date]]), "N/A", IF(Fixtures[[#This Row],[userScore]] = Fixtures[[#This Row],[homeScore]], Fixtures[[#This Row],[awayScore]], Fixtures[[#This Row],[homeScore]]))</f>
        <v>N/A</v>
      </c>
      <c r="AF471" s="58" t="b">
        <f>NOT(AND(ISBLANK(Fixtures[[#This Row],[homePens]]), ISBLANK(Fixtures[[#This Row],[awayPens]])))</f>
        <v>0</v>
      </c>
      <c r="AG471" s="58" t="str">
        <f>IF(Fixtures[[#This Row],[penalties]], IF(Fixtures[[#This Row],[userSide]]="H", Fixtures[[#This Row],[homePens]], Fixtures[[#This Row],[awayPens]]), "N/A")</f>
        <v>N/A</v>
      </c>
      <c r="AH471" s="58" t="str">
        <f>IF(Fixtures[[#This Row],[penalties]], IF(Fixtures[[#This Row],[userPens]]=Fixtures[[#This Row],[homePens]],Fixtures[[#This Row],[awayPens]],Fixtures[[#This Row],[homePens]]), "N/A")</f>
        <v>N/A</v>
      </c>
      <c r="AI471" s="58" t="b">
        <f>COUNTBLANK(Fixtures[[#This Row],[G]:[MOTM]]) = 0</f>
        <v>0</v>
      </c>
      <c r="AJ471" s="58" t="str">
        <f>IF(Fixtures[[#This Row],[APP]], Fixtures[[#This Row],[G]]+Fixtures[[#This Row],[A]], "N/A")</f>
        <v>N/A</v>
      </c>
      <c r="AK4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2" spans="1:39" ht="13">
      <c r="A472" s="55"/>
      <c r="B472" s="61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7"/>
      <c r="R472" s="56"/>
      <c r="S472" s="58" t="str" cm="1">
        <f t="array" ref="S472">_xlfn._xlws.FILTER(Competitions[compType], (Fixtures[[#This Row],[competition]] = Competitions[name]), "N/A")</f>
        <v>N/A</v>
      </c>
      <c r="T472" s="58" t="str" cm="1">
        <f t="array" ref="T472">_xlfn._xlws.FILTER(Competitions[exhibition], (Fixtures[[#This Row],[competition]] = Competitions[name]), "N/A")</f>
        <v>N/A</v>
      </c>
      <c r="U472" s="58" t="str" cm="1">
        <f t="array" ref="U472">_xlfn._xlws.FILTER(Competitions[compID], (Fixtures[[#This Row],[competition]] = Competitions[name]), "N/A")</f>
        <v>N/A</v>
      </c>
      <c r="V4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2" s="58" t="str" cm="1">
        <f t="array" ref="W4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2" s="58" t="str" cm="1">
        <f t="array" ref="X472">_xlfn._xlws.FILTER(Teams[name], (Fixtures[[#This Row],[userTeamID]] = Teams[teamID]), "N/A")</f>
        <v>N/A</v>
      </c>
      <c r="Y472" s="58" t="str" cm="1">
        <f t="array" ref="Y472">_xlfn._xlws.FILTER(Teams[teamType], (Fixtures[[#This Row],[userTeamID]] = Teams[teamID]), "N/A")</f>
        <v>N/A</v>
      </c>
      <c r="Z472" s="58" t="str" cm="1">
        <f t="array" ref="Z4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2" s="58" t="str">
        <f>IF(Fixtures[[#This Row],[userSide]] = "N/A", "N/A", IF(Fixtures[[#This Row],[userSide]] = "H", Fixtures[[#This Row],[awayTeam]], Fixtures[[#This Row],[homeTeam]]))</f>
        <v>N/A</v>
      </c>
      <c r="AB472" s="58" t="str" cm="1">
        <f t="array" ref="AB472">_xlfn._xlws.FILTER(Teams[teamID], Fixtures[[#This Row],[oppTeam]] = Teams[name], "N/A")</f>
        <v>N/A</v>
      </c>
      <c r="AC472" s="58" t="str" cm="1">
        <f t="array" ref="AC472">_xlfn._xlws.FILTER(Teams[teamType], Fixtures[[#This Row],[oppTeam]] = Teams[name], "N/A")</f>
        <v>N/A</v>
      </c>
      <c r="AD472" s="58" t="str">
        <f>IF(ISBLANK(Fixtures[[#This Row],[date]]), "N/A", IF(Fixtures[[#This Row],[userSide]]="H", Fixtures[[#This Row],[homeScore]], Fixtures[[#This Row],[awayScore]]))</f>
        <v>N/A</v>
      </c>
      <c r="AE472" s="58" t="str">
        <f>IF(ISBLANK(Fixtures[[#This Row],[date]]), "N/A", IF(Fixtures[[#This Row],[userScore]] = Fixtures[[#This Row],[homeScore]], Fixtures[[#This Row],[awayScore]], Fixtures[[#This Row],[homeScore]]))</f>
        <v>N/A</v>
      </c>
      <c r="AF472" s="58" t="b">
        <f>NOT(AND(ISBLANK(Fixtures[[#This Row],[homePens]]), ISBLANK(Fixtures[[#This Row],[awayPens]])))</f>
        <v>0</v>
      </c>
      <c r="AG472" s="58" t="str">
        <f>IF(Fixtures[[#This Row],[penalties]], IF(Fixtures[[#This Row],[userSide]]="H", Fixtures[[#This Row],[homePens]], Fixtures[[#This Row],[awayPens]]), "N/A")</f>
        <v>N/A</v>
      </c>
      <c r="AH472" s="58" t="str">
        <f>IF(Fixtures[[#This Row],[penalties]], IF(Fixtures[[#This Row],[userPens]]=Fixtures[[#This Row],[homePens]],Fixtures[[#This Row],[awayPens]],Fixtures[[#This Row],[homePens]]), "N/A")</f>
        <v>N/A</v>
      </c>
      <c r="AI472" s="58" t="b">
        <f>COUNTBLANK(Fixtures[[#This Row],[G]:[MOTM]]) = 0</f>
        <v>0</v>
      </c>
      <c r="AJ472" s="58" t="str">
        <f>IF(Fixtures[[#This Row],[APP]], Fixtures[[#This Row],[G]]+Fixtures[[#This Row],[A]], "N/A")</f>
        <v>N/A</v>
      </c>
      <c r="AK4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3" spans="1:39" ht="13">
      <c r="A473" s="55"/>
      <c r="B473" s="61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7"/>
      <c r="R473" s="56"/>
      <c r="S473" s="58" t="str" cm="1">
        <f t="array" ref="S473">_xlfn._xlws.FILTER(Competitions[compType], (Fixtures[[#This Row],[competition]] = Competitions[name]), "N/A")</f>
        <v>N/A</v>
      </c>
      <c r="T473" s="58" t="str" cm="1">
        <f t="array" ref="T473">_xlfn._xlws.FILTER(Competitions[exhibition], (Fixtures[[#This Row],[competition]] = Competitions[name]), "N/A")</f>
        <v>N/A</v>
      </c>
      <c r="U473" s="58" t="str" cm="1">
        <f t="array" ref="U473">_xlfn._xlws.FILTER(Competitions[compID], (Fixtures[[#This Row],[competition]] = Competitions[name]), "N/A")</f>
        <v>N/A</v>
      </c>
      <c r="V4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3" s="58" t="str" cm="1">
        <f t="array" ref="W4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3" s="58" t="str" cm="1">
        <f t="array" ref="X473">_xlfn._xlws.FILTER(Teams[name], (Fixtures[[#This Row],[userTeamID]] = Teams[teamID]), "N/A")</f>
        <v>N/A</v>
      </c>
      <c r="Y473" s="58" t="str" cm="1">
        <f t="array" ref="Y473">_xlfn._xlws.FILTER(Teams[teamType], (Fixtures[[#This Row],[userTeamID]] = Teams[teamID]), "N/A")</f>
        <v>N/A</v>
      </c>
      <c r="Z473" s="58" t="str" cm="1">
        <f t="array" ref="Z4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3" s="58" t="str">
        <f>IF(Fixtures[[#This Row],[userSide]] = "N/A", "N/A", IF(Fixtures[[#This Row],[userSide]] = "H", Fixtures[[#This Row],[awayTeam]], Fixtures[[#This Row],[homeTeam]]))</f>
        <v>N/A</v>
      </c>
      <c r="AB473" s="58" t="str" cm="1">
        <f t="array" ref="AB473">_xlfn._xlws.FILTER(Teams[teamID], Fixtures[[#This Row],[oppTeam]] = Teams[name], "N/A")</f>
        <v>N/A</v>
      </c>
      <c r="AC473" s="58" t="str" cm="1">
        <f t="array" ref="AC473">_xlfn._xlws.FILTER(Teams[teamType], Fixtures[[#This Row],[oppTeam]] = Teams[name], "N/A")</f>
        <v>N/A</v>
      </c>
      <c r="AD473" s="58" t="str">
        <f>IF(ISBLANK(Fixtures[[#This Row],[date]]), "N/A", IF(Fixtures[[#This Row],[userSide]]="H", Fixtures[[#This Row],[homeScore]], Fixtures[[#This Row],[awayScore]]))</f>
        <v>N/A</v>
      </c>
      <c r="AE473" s="58" t="str">
        <f>IF(ISBLANK(Fixtures[[#This Row],[date]]), "N/A", IF(Fixtures[[#This Row],[userScore]] = Fixtures[[#This Row],[homeScore]], Fixtures[[#This Row],[awayScore]], Fixtures[[#This Row],[homeScore]]))</f>
        <v>N/A</v>
      </c>
      <c r="AF473" s="58" t="b">
        <f>NOT(AND(ISBLANK(Fixtures[[#This Row],[homePens]]), ISBLANK(Fixtures[[#This Row],[awayPens]])))</f>
        <v>0</v>
      </c>
      <c r="AG473" s="58" t="str">
        <f>IF(Fixtures[[#This Row],[penalties]], IF(Fixtures[[#This Row],[userSide]]="H", Fixtures[[#This Row],[homePens]], Fixtures[[#This Row],[awayPens]]), "N/A")</f>
        <v>N/A</v>
      </c>
      <c r="AH473" s="58" t="str">
        <f>IF(Fixtures[[#This Row],[penalties]], IF(Fixtures[[#This Row],[userPens]]=Fixtures[[#This Row],[homePens]],Fixtures[[#This Row],[awayPens]],Fixtures[[#This Row],[homePens]]), "N/A")</f>
        <v>N/A</v>
      </c>
      <c r="AI473" s="58" t="b">
        <f>COUNTBLANK(Fixtures[[#This Row],[G]:[MOTM]]) = 0</f>
        <v>0</v>
      </c>
      <c r="AJ473" s="58" t="str">
        <f>IF(Fixtures[[#This Row],[APP]], Fixtures[[#This Row],[G]]+Fixtures[[#This Row],[A]], "N/A")</f>
        <v>N/A</v>
      </c>
      <c r="AK4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4" spans="1:39" ht="13">
      <c r="A474" s="55"/>
      <c r="B474" s="61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7"/>
      <c r="R474" s="56"/>
      <c r="S474" s="58" t="str" cm="1">
        <f t="array" ref="S474">_xlfn._xlws.FILTER(Competitions[compType], (Fixtures[[#This Row],[competition]] = Competitions[name]), "N/A")</f>
        <v>N/A</v>
      </c>
      <c r="T474" s="58" t="str" cm="1">
        <f t="array" ref="T474">_xlfn._xlws.FILTER(Competitions[exhibition], (Fixtures[[#This Row],[competition]] = Competitions[name]), "N/A")</f>
        <v>N/A</v>
      </c>
      <c r="U474" s="58" t="str" cm="1">
        <f t="array" ref="U474">_xlfn._xlws.FILTER(Competitions[compID], (Fixtures[[#This Row],[competition]] = Competitions[name]), "N/A")</f>
        <v>N/A</v>
      </c>
      <c r="V4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4" s="58" t="str" cm="1">
        <f t="array" ref="W4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4" s="58" t="str" cm="1">
        <f t="array" ref="X474">_xlfn._xlws.FILTER(Teams[name], (Fixtures[[#This Row],[userTeamID]] = Teams[teamID]), "N/A")</f>
        <v>N/A</v>
      </c>
      <c r="Y474" s="58" t="str" cm="1">
        <f t="array" ref="Y474">_xlfn._xlws.FILTER(Teams[teamType], (Fixtures[[#This Row],[userTeamID]] = Teams[teamID]), "N/A")</f>
        <v>N/A</v>
      </c>
      <c r="Z474" s="58" t="str" cm="1">
        <f t="array" ref="Z4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4" s="58" t="str">
        <f>IF(Fixtures[[#This Row],[userSide]] = "N/A", "N/A", IF(Fixtures[[#This Row],[userSide]] = "H", Fixtures[[#This Row],[awayTeam]], Fixtures[[#This Row],[homeTeam]]))</f>
        <v>N/A</v>
      </c>
      <c r="AB474" s="58" t="str" cm="1">
        <f t="array" ref="AB474">_xlfn._xlws.FILTER(Teams[teamID], Fixtures[[#This Row],[oppTeam]] = Teams[name], "N/A")</f>
        <v>N/A</v>
      </c>
      <c r="AC474" s="58" t="str" cm="1">
        <f t="array" ref="AC474">_xlfn._xlws.FILTER(Teams[teamType], Fixtures[[#This Row],[oppTeam]] = Teams[name], "N/A")</f>
        <v>N/A</v>
      </c>
      <c r="AD474" s="58" t="str">
        <f>IF(ISBLANK(Fixtures[[#This Row],[date]]), "N/A", IF(Fixtures[[#This Row],[userSide]]="H", Fixtures[[#This Row],[homeScore]], Fixtures[[#This Row],[awayScore]]))</f>
        <v>N/A</v>
      </c>
      <c r="AE474" s="58" t="str">
        <f>IF(ISBLANK(Fixtures[[#This Row],[date]]), "N/A", IF(Fixtures[[#This Row],[userScore]] = Fixtures[[#This Row],[homeScore]], Fixtures[[#This Row],[awayScore]], Fixtures[[#This Row],[homeScore]]))</f>
        <v>N/A</v>
      </c>
      <c r="AF474" s="58" t="b">
        <f>NOT(AND(ISBLANK(Fixtures[[#This Row],[homePens]]), ISBLANK(Fixtures[[#This Row],[awayPens]])))</f>
        <v>0</v>
      </c>
      <c r="AG474" s="58" t="str">
        <f>IF(Fixtures[[#This Row],[penalties]], IF(Fixtures[[#This Row],[userSide]]="H", Fixtures[[#This Row],[homePens]], Fixtures[[#This Row],[awayPens]]), "N/A")</f>
        <v>N/A</v>
      </c>
      <c r="AH474" s="58" t="str">
        <f>IF(Fixtures[[#This Row],[penalties]], IF(Fixtures[[#This Row],[userPens]]=Fixtures[[#This Row],[homePens]],Fixtures[[#This Row],[awayPens]],Fixtures[[#This Row],[homePens]]), "N/A")</f>
        <v>N/A</v>
      </c>
      <c r="AI474" s="58" t="b">
        <f>COUNTBLANK(Fixtures[[#This Row],[G]:[MOTM]]) = 0</f>
        <v>0</v>
      </c>
      <c r="AJ474" s="58" t="str">
        <f>IF(Fixtures[[#This Row],[APP]], Fixtures[[#This Row],[G]]+Fixtures[[#This Row],[A]], "N/A")</f>
        <v>N/A</v>
      </c>
      <c r="AK4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5" spans="1:39" ht="13">
      <c r="A475" s="55"/>
      <c r="B475" s="61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7"/>
      <c r="R475" s="56"/>
      <c r="S475" s="58" t="str" cm="1">
        <f t="array" ref="S475">_xlfn._xlws.FILTER(Competitions[compType], (Fixtures[[#This Row],[competition]] = Competitions[name]), "N/A")</f>
        <v>N/A</v>
      </c>
      <c r="T475" s="58" t="str" cm="1">
        <f t="array" ref="T475">_xlfn._xlws.FILTER(Competitions[exhibition], (Fixtures[[#This Row],[competition]] = Competitions[name]), "N/A")</f>
        <v>N/A</v>
      </c>
      <c r="U475" s="58" t="str" cm="1">
        <f t="array" ref="U475">_xlfn._xlws.FILTER(Competitions[compID], (Fixtures[[#This Row],[competition]] = Competitions[name]), "N/A")</f>
        <v>N/A</v>
      </c>
      <c r="V4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5" s="58" t="str" cm="1">
        <f t="array" ref="W4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5" s="58" t="str" cm="1">
        <f t="array" ref="X475">_xlfn._xlws.FILTER(Teams[name], (Fixtures[[#This Row],[userTeamID]] = Teams[teamID]), "N/A")</f>
        <v>N/A</v>
      </c>
      <c r="Y475" s="58" t="str" cm="1">
        <f t="array" ref="Y475">_xlfn._xlws.FILTER(Teams[teamType], (Fixtures[[#This Row],[userTeamID]] = Teams[teamID]), "N/A")</f>
        <v>N/A</v>
      </c>
      <c r="Z475" s="58" t="str" cm="1">
        <f t="array" ref="Z4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5" s="58" t="str">
        <f>IF(Fixtures[[#This Row],[userSide]] = "N/A", "N/A", IF(Fixtures[[#This Row],[userSide]] = "H", Fixtures[[#This Row],[awayTeam]], Fixtures[[#This Row],[homeTeam]]))</f>
        <v>N/A</v>
      </c>
      <c r="AB475" s="58" t="str" cm="1">
        <f t="array" ref="AB475">_xlfn._xlws.FILTER(Teams[teamID], Fixtures[[#This Row],[oppTeam]] = Teams[name], "N/A")</f>
        <v>N/A</v>
      </c>
      <c r="AC475" s="58" t="str" cm="1">
        <f t="array" ref="AC475">_xlfn._xlws.FILTER(Teams[teamType], Fixtures[[#This Row],[oppTeam]] = Teams[name], "N/A")</f>
        <v>N/A</v>
      </c>
      <c r="AD475" s="58" t="str">
        <f>IF(ISBLANK(Fixtures[[#This Row],[date]]), "N/A", IF(Fixtures[[#This Row],[userSide]]="H", Fixtures[[#This Row],[homeScore]], Fixtures[[#This Row],[awayScore]]))</f>
        <v>N/A</v>
      </c>
      <c r="AE475" s="58" t="str">
        <f>IF(ISBLANK(Fixtures[[#This Row],[date]]), "N/A", IF(Fixtures[[#This Row],[userScore]] = Fixtures[[#This Row],[homeScore]], Fixtures[[#This Row],[awayScore]], Fixtures[[#This Row],[homeScore]]))</f>
        <v>N/A</v>
      </c>
      <c r="AF475" s="58" t="b">
        <f>NOT(AND(ISBLANK(Fixtures[[#This Row],[homePens]]), ISBLANK(Fixtures[[#This Row],[awayPens]])))</f>
        <v>0</v>
      </c>
      <c r="AG475" s="58" t="str">
        <f>IF(Fixtures[[#This Row],[penalties]], IF(Fixtures[[#This Row],[userSide]]="H", Fixtures[[#This Row],[homePens]], Fixtures[[#This Row],[awayPens]]), "N/A")</f>
        <v>N/A</v>
      </c>
      <c r="AH475" s="58" t="str">
        <f>IF(Fixtures[[#This Row],[penalties]], IF(Fixtures[[#This Row],[userPens]]=Fixtures[[#This Row],[homePens]],Fixtures[[#This Row],[awayPens]],Fixtures[[#This Row],[homePens]]), "N/A")</f>
        <v>N/A</v>
      </c>
      <c r="AI475" s="58" t="b">
        <f>COUNTBLANK(Fixtures[[#This Row],[G]:[MOTM]]) = 0</f>
        <v>0</v>
      </c>
      <c r="AJ475" s="58" t="str">
        <f>IF(Fixtures[[#This Row],[APP]], Fixtures[[#This Row],[G]]+Fixtures[[#This Row],[A]], "N/A")</f>
        <v>N/A</v>
      </c>
      <c r="AK4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6" spans="1:39" ht="13">
      <c r="A476" s="55"/>
      <c r="B476" s="61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7"/>
      <c r="R476" s="56"/>
      <c r="S476" s="58" t="str" cm="1">
        <f t="array" ref="S476">_xlfn._xlws.FILTER(Competitions[compType], (Fixtures[[#This Row],[competition]] = Competitions[name]), "N/A")</f>
        <v>N/A</v>
      </c>
      <c r="T476" s="58" t="str" cm="1">
        <f t="array" ref="T476">_xlfn._xlws.FILTER(Competitions[exhibition], (Fixtures[[#This Row],[competition]] = Competitions[name]), "N/A")</f>
        <v>N/A</v>
      </c>
      <c r="U476" s="58" t="str" cm="1">
        <f t="array" ref="U476">_xlfn._xlws.FILTER(Competitions[compID], (Fixtures[[#This Row],[competition]] = Competitions[name]), "N/A")</f>
        <v>N/A</v>
      </c>
      <c r="V4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6" s="58" t="str" cm="1">
        <f t="array" ref="W4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6" s="58" t="str" cm="1">
        <f t="array" ref="X476">_xlfn._xlws.FILTER(Teams[name], (Fixtures[[#This Row],[userTeamID]] = Teams[teamID]), "N/A")</f>
        <v>N/A</v>
      </c>
      <c r="Y476" s="58" t="str" cm="1">
        <f t="array" ref="Y476">_xlfn._xlws.FILTER(Teams[teamType], (Fixtures[[#This Row],[userTeamID]] = Teams[teamID]), "N/A")</f>
        <v>N/A</v>
      </c>
      <c r="Z476" s="58" t="str" cm="1">
        <f t="array" ref="Z4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6" s="58" t="str">
        <f>IF(Fixtures[[#This Row],[userSide]] = "N/A", "N/A", IF(Fixtures[[#This Row],[userSide]] = "H", Fixtures[[#This Row],[awayTeam]], Fixtures[[#This Row],[homeTeam]]))</f>
        <v>N/A</v>
      </c>
      <c r="AB476" s="58" t="str" cm="1">
        <f t="array" ref="AB476">_xlfn._xlws.FILTER(Teams[teamID], Fixtures[[#This Row],[oppTeam]] = Teams[name], "N/A")</f>
        <v>N/A</v>
      </c>
      <c r="AC476" s="58" t="str" cm="1">
        <f t="array" ref="AC476">_xlfn._xlws.FILTER(Teams[teamType], Fixtures[[#This Row],[oppTeam]] = Teams[name], "N/A")</f>
        <v>N/A</v>
      </c>
      <c r="AD476" s="58" t="str">
        <f>IF(ISBLANK(Fixtures[[#This Row],[date]]), "N/A", IF(Fixtures[[#This Row],[userSide]]="H", Fixtures[[#This Row],[homeScore]], Fixtures[[#This Row],[awayScore]]))</f>
        <v>N/A</v>
      </c>
      <c r="AE476" s="58" t="str">
        <f>IF(ISBLANK(Fixtures[[#This Row],[date]]), "N/A", IF(Fixtures[[#This Row],[userScore]] = Fixtures[[#This Row],[homeScore]], Fixtures[[#This Row],[awayScore]], Fixtures[[#This Row],[homeScore]]))</f>
        <v>N/A</v>
      </c>
      <c r="AF476" s="58" t="b">
        <f>NOT(AND(ISBLANK(Fixtures[[#This Row],[homePens]]), ISBLANK(Fixtures[[#This Row],[awayPens]])))</f>
        <v>0</v>
      </c>
      <c r="AG476" s="58" t="str">
        <f>IF(Fixtures[[#This Row],[penalties]], IF(Fixtures[[#This Row],[userSide]]="H", Fixtures[[#This Row],[homePens]], Fixtures[[#This Row],[awayPens]]), "N/A")</f>
        <v>N/A</v>
      </c>
      <c r="AH476" s="58" t="str">
        <f>IF(Fixtures[[#This Row],[penalties]], IF(Fixtures[[#This Row],[userPens]]=Fixtures[[#This Row],[homePens]],Fixtures[[#This Row],[awayPens]],Fixtures[[#This Row],[homePens]]), "N/A")</f>
        <v>N/A</v>
      </c>
      <c r="AI476" s="58" t="b">
        <f>COUNTBLANK(Fixtures[[#This Row],[G]:[MOTM]]) = 0</f>
        <v>0</v>
      </c>
      <c r="AJ476" s="58" t="str">
        <f>IF(Fixtures[[#This Row],[APP]], Fixtures[[#This Row],[G]]+Fixtures[[#This Row],[A]], "N/A")</f>
        <v>N/A</v>
      </c>
      <c r="AK4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7" spans="1:39" ht="13">
      <c r="A477" s="55"/>
      <c r="B477" s="61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7"/>
      <c r="R477" s="56"/>
      <c r="S477" s="58" t="str" cm="1">
        <f t="array" ref="S477">_xlfn._xlws.FILTER(Competitions[compType], (Fixtures[[#This Row],[competition]] = Competitions[name]), "N/A")</f>
        <v>N/A</v>
      </c>
      <c r="T477" s="58" t="str" cm="1">
        <f t="array" ref="T477">_xlfn._xlws.FILTER(Competitions[exhibition], (Fixtures[[#This Row],[competition]] = Competitions[name]), "N/A")</f>
        <v>N/A</v>
      </c>
      <c r="U477" s="58" t="str" cm="1">
        <f t="array" ref="U477">_xlfn._xlws.FILTER(Competitions[compID], (Fixtures[[#This Row],[competition]] = Competitions[name]), "N/A")</f>
        <v>N/A</v>
      </c>
      <c r="V4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7" s="58" t="str" cm="1">
        <f t="array" ref="W4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7" s="58" t="str" cm="1">
        <f t="array" ref="X477">_xlfn._xlws.FILTER(Teams[name], (Fixtures[[#This Row],[userTeamID]] = Teams[teamID]), "N/A")</f>
        <v>N/A</v>
      </c>
      <c r="Y477" s="58" t="str" cm="1">
        <f t="array" ref="Y477">_xlfn._xlws.FILTER(Teams[teamType], (Fixtures[[#This Row],[userTeamID]] = Teams[teamID]), "N/A")</f>
        <v>N/A</v>
      </c>
      <c r="Z477" s="58" t="str" cm="1">
        <f t="array" ref="Z4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7" s="58" t="str">
        <f>IF(Fixtures[[#This Row],[userSide]] = "N/A", "N/A", IF(Fixtures[[#This Row],[userSide]] = "H", Fixtures[[#This Row],[awayTeam]], Fixtures[[#This Row],[homeTeam]]))</f>
        <v>N/A</v>
      </c>
      <c r="AB477" s="58" t="str" cm="1">
        <f t="array" ref="AB477">_xlfn._xlws.FILTER(Teams[teamID], Fixtures[[#This Row],[oppTeam]] = Teams[name], "N/A")</f>
        <v>N/A</v>
      </c>
      <c r="AC477" s="58" t="str" cm="1">
        <f t="array" ref="AC477">_xlfn._xlws.FILTER(Teams[teamType], Fixtures[[#This Row],[oppTeam]] = Teams[name], "N/A")</f>
        <v>N/A</v>
      </c>
      <c r="AD477" s="58" t="str">
        <f>IF(ISBLANK(Fixtures[[#This Row],[date]]), "N/A", IF(Fixtures[[#This Row],[userSide]]="H", Fixtures[[#This Row],[homeScore]], Fixtures[[#This Row],[awayScore]]))</f>
        <v>N/A</v>
      </c>
      <c r="AE477" s="58" t="str">
        <f>IF(ISBLANK(Fixtures[[#This Row],[date]]), "N/A", IF(Fixtures[[#This Row],[userScore]] = Fixtures[[#This Row],[homeScore]], Fixtures[[#This Row],[awayScore]], Fixtures[[#This Row],[homeScore]]))</f>
        <v>N/A</v>
      </c>
      <c r="AF477" s="58" t="b">
        <f>NOT(AND(ISBLANK(Fixtures[[#This Row],[homePens]]), ISBLANK(Fixtures[[#This Row],[awayPens]])))</f>
        <v>0</v>
      </c>
      <c r="AG477" s="58" t="str">
        <f>IF(Fixtures[[#This Row],[penalties]], IF(Fixtures[[#This Row],[userSide]]="H", Fixtures[[#This Row],[homePens]], Fixtures[[#This Row],[awayPens]]), "N/A")</f>
        <v>N/A</v>
      </c>
      <c r="AH477" s="58" t="str">
        <f>IF(Fixtures[[#This Row],[penalties]], IF(Fixtures[[#This Row],[userPens]]=Fixtures[[#This Row],[homePens]],Fixtures[[#This Row],[awayPens]],Fixtures[[#This Row],[homePens]]), "N/A")</f>
        <v>N/A</v>
      </c>
      <c r="AI477" s="58" t="b">
        <f>COUNTBLANK(Fixtures[[#This Row],[G]:[MOTM]]) = 0</f>
        <v>0</v>
      </c>
      <c r="AJ477" s="58" t="str">
        <f>IF(Fixtures[[#This Row],[APP]], Fixtures[[#This Row],[G]]+Fixtures[[#This Row],[A]], "N/A")</f>
        <v>N/A</v>
      </c>
      <c r="AK4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8" spans="1:39" ht="13">
      <c r="A478" s="55"/>
      <c r="B478" s="61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7"/>
      <c r="R478" s="56"/>
      <c r="S478" s="58" t="str" cm="1">
        <f t="array" ref="S478">_xlfn._xlws.FILTER(Competitions[compType], (Fixtures[[#This Row],[competition]] = Competitions[name]), "N/A")</f>
        <v>N/A</v>
      </c>
      <c r="T478" s="58" t="str" cm="1">
        <f t="array" ref="T478">_xlfn._xlws.FILTER(Competitions[exhibition], (Fixtures[[#This Row],[competition]] = Competitions[name]), "N/A")</f>
        <v>N/A</v>
      </c>
      <c r="U478" s="58" t="str" cm="1">
        <f t="array" ref="U478">_xlfn._xlws.FILTER(Competitions[compID], (Fixtures[[#This Row],[competition]] = Competitions[name]), "N/A")</f>
        <v>N/A</v>
      </c>
      <c r="V4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8" s="58" t="str" cm="1">
        <f t="array" ref="W4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8" s="58" t="str" cm="1">
        <f t="array" ref="X478">_xlfn._xlws.FILTER(Teams[name], (Fixtures[[#This Row],[userTeamID]] = Teams[teamID]), "N/A")</f>
        <v>N/A</v>
      </c>
      <c r="Y478" s="58" t="str" cm="1">
        <f t="array" ref="Y478">_xlfn._xlws.FILTER(Teams[teamType], (Fixtures[[#This Row],[userTeamID]] = Teams[teamID]), "N/A")</f>
        <v>N/A</v>
      </c>
      <c r="Z478" s="58" t="str" cm="1">
        <f t="array" ref="Z4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8" s="58" t="str">
        <f>IF(Fixtures[[#This Row],[userSide]] = "N/A", "N/A", IF(Fixtures[[#This Row],[userSide]] = "H", Fixtures[[#This Row],[awayTeam]], Fixtures[[#This Row],[homeTeam]]))</f>
        <v>N/A</v>
      </c>
      <c r="AB478" s="58" t="str" cm="1">
        <f t="array" ref="AB478">_xlfn._xlws.FILTER(Teams[teamID], Fixtures[[#This Row],[oppTeam]] = Teams[name], "N/A")</f>
        <v>N/A</v>
      </c>
      <c r="AC478" s="58" t="str" cm="1">
        <f t="array" ref="AC478">_xlfn._xlws.FILTER(Teams[teamType], Fixtures[[#This Row],[oppTeam]] = Teams[name], "N/A")</f>
        <v>N/A</v>
      </c>
      <c r="AD478" s="58" t="str">
        <f>IF(ISBLANK(Fixtures[[#This Row],[date]]), "N/A", IF(Fixtures[[#This Row],[userSide]]="H", Fixtures[[#This Row],[homeScore]], Fixtures[[#This Row],[awayScore]]))</f>
        <v>N/A</v>
      </c>
      <c r="AE478" s="58" t="str">
        <f>IF(ISBLANK(Fixtures[[#This Row],[date]]), "N/A", IF(Fixtures[[#This Row],[userScore]] = Fixtures[[#This Row],[homeScore]], Fixtures[[#This Row],[awayScore]], Fixtures[[#This Row],[homeScore]]))</f>
        <v>N/A</v>
      </c>
      <c r="AF478" s="58" t="b">
        <f>NOT(AND(ISBLANK(Fixtures[[#This Row],[homePens]]), ISBLANK(Fixtures[[#This Row],[awayPens]])))</f>
        <v>0</v>
      </c>
      <c r="AG478" s="58" t="str">
        <f>IF(Fixtures[[#This Row],[penalties]], IF(Fixtures[[#This Row],[userSide]]="H", Fixtures[[#This Row],[homePens]], Fixtures[[#This Row],[awayPens]]), "N/A")</f>
        <v>N/A</v>
      </c>
      <c r="AH478" s="58" t="str">
        <f>IF(Fixtures[[#This Row],[penalties]], IF(Fixtures[[#This Row],[userPens]]=Fixtures[[#This Row],[homePens]],Fixtures[[#This Row],[awayPens]],Fixtures[[#This Row],[homePens]]), "N/A")</f>
        <v>N/A</v>
      </c>
      <c r="AI478" s="58" t="b">
        <f>COUNTBLANK(Fixtures[[#This Row],[G]:[MOTM]]) = 0</f>
        <v>0</v>
      </c>
      <c r="AJ478" s="58" t="str">
        <f>IF(Fixtures[[#This Row],[APP]], Fixtures[[#This Row],[G]]+Fixtures[[#This Row],[A]], "N/A")</f>
        <v>N/A</v>
      </c>
      <c r="AK4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79" spans="1:39" ht="13">
      <c r="A479" s="55"/>
      <c r="B479" s="61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7"/>
      <c r="R479" s="56"/>
      <c r="S479" s="58" t="str" cm="1">
        <f t="array" ref="S479">_xlfn._xlws.FILTER(Competitions[compType], (Fixtures[[#This Row],[competition]] = Competitions[name]), "N/A")</f>
        <v>N/A</v>
      </c>
      <c r="T479" s="58" t="str" cm="1">
        <f t="array" ref="T479">_xlfn._xlws.FILTER(Competitions[exhibition], (Fixtures[[#This Row],[competition]] = Competitions[name]), "N/A")</f>
        <v>N/A</v>
      </c>
      <c r="U479" s="58" t="str" cm="1">
        <f t="array" ref="U479">_xlfn._xlws.FILTER(Competitions[compID], (Fixtures[[#This Row],[competition]] = Competitions[name]), "N/A")</f>
        <v>N/A</v>
      </c>
      <c r="V4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79" s="58" t="str" cm="1">
        <f t="array" ref="W4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79" s="58" t="str" cm="1">
        <f t="array" ref="X479">_xlfn._xlws.FILTER(Teams[name], (Fixtures[[#This Row],[userTeamID]] = Teams[teamID]), "N/A")</f>
        <v>N/A</v>
      </c>
      <c r="Y479" s="58" t="str" cm="1">
        <f t="array" ref="Y479">_xlfn._xlws.FILTER(Teams[teamType], (Fixtures[[#This Row],[userTeamID]] = Teams[teamID]), "N/A")</f>
        <v>N/A</v>
      </c>
      <c r="Z479" s="58" t="str" cm="1">
        <f t="array" ref="Z4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79" s="58" t="str">
        <f>IF(Fixtures[[#This Row],[userSide]] = "N/A", "N/A", IF(Fixtures[[#This Row],[userSide]] = "H", Fixtures[[#This Row],[awayTeam]], Fixtures[[#This Row],[homeTeam]]))</f>
        <v>N/A</v>
      </c>
      <c r="AB479" s="58" t="str" cm="1">
        <f t="array" ref="AB479">_xlfn._xlws.FILTER(Teams[teamID], Fixtures[[#This Row],[oppTeam]] = Teams[name], "N/A")</f>
        <v>N/A</v>
      </c>
      <c r="AC479" s="58" t="str" cm="1">
        <f t="array" ref="AC479">_xlfn._xlws.FILTER(Teams[teamType], Fixtures[[#This Row],[oppTeam]] = Teams[name], "N/A")</f>
        <v>N/A</v>
      </c>
      <c r="AD479" s="58" t="str">
        <f>IF(ISBLANK(Fixtures[[#This Row],[date]]), "N/A", IF(Fixtures[[#This Row],[userSide]]="H", Fixtures[[#This Row],[homeScore]], Fixtures[[#This Row],[awayScore]]))</f>
        <v>N/A</v>
      </c>
      <c r="AE479" s="58" t="str">
        <f>IF(ISBLANK(Fixtures[[#This Row],[date]]), "N/A", IF(Fixtures[[#This Row],[userScore]] = Fixtures[[#This Row],[homeScore]], Fixtures[[#This Row],[awayScore]], Fixtures[[#This Row],[homeScore]]))</f>
        <v>N/A</v>
      </c>
      <c r="AF479" s="58" t="b">
        <f>NOT(AND(ISBLANK(Fixtures[[#This Row],[homePens]]), ISBLANK(Fixtures[[#This Row],[awayPens]])))</f>
        <v>0</v>
      </c>
      <c r="AG479" s="58" t="str">
        <f>IF(Fixtures[[#This Row],[penalties]], IF(Fixtures[[#This Row],[userSide]]="H", Fixtures[[#This Row],[homePens]], Fixtures[[#This Row],[awayPens]]), "N/A")</f>
        <v>N/A</v>
      </c>
      <c r="AH479" s="58" t="str">
        <f>IF(Fixtures[[#This Row],[penalties]], IF(Fixtures[[#This Row],[userPens]]=Fixtures[[#This Row],[homePens]],Fixtures[[#This Row],[awayPens]],Fixtures[[#This Row],[homePens]]), "N/A")</f>
        <v>N/A</v>
      </c>
      <c r="AI479" s="58" t="b">
        <f>COUNTBLANK(Fixtures[[#This Row],[G]:[MOTM]]) = 0</f>
        <v>0</v>
      </c>
      <c r="AJ479" s="58" t="str">
        <f>IF(Fixtures[[#This Row],[APP]], Fixtures[[#This Row],[G]]+Fixtures[[#This Row],[A]], "N/A")</f>
        <v>N/A</v>
      </c>
      <c r="AK4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0" spans="1:39" ht="13">
      <c r="A480" s="55"/>
      <c r="B480" s="61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7"/>
      <c r="R480" s="56"/>
      <c r="S480" s="58" t="str" cm="1">
        <f t="array" ref="S480">_xlfn._xlws.FILTER(Competitions[compType], (Fixtures[[#This Row],[competition]] = Competitions[name]), "N/A")</f>
        <v>N/A</v>
      </c>
      <c r="T480" s="58" t="str" cm="1">
        <f t="array" ref="T480">_xlfn._xlws.FILTER(Competitions[exhibition], (Fixtures[[#This Row],[competition]] = Competitions[name]), "N/A")</f>
        <v>N/A</v>
      </c>
      <c r="U480" s="58" t="str" cm="1">
        <f t="array" ref="U480">_xlfn._xlws.FILTER(Competitions[compID], (Fixtures[[#This Row],[competition]] = Competitions[name]), "N/A")</f>
        <v>N/A</v>
      </c>
      <c r="V4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0" s="58" t="str" cm="1">
        <f t="array" ref="W4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0" s="58" t="str" cm="1">
        <f t="array" ref="X480">_xlfn._xlws.FILTER(Teams[name], (Fixtures[[#This Row],[userTeamID]] = Teams[teamID]), "N/A")</f>
        <v>N/A</v>
      </c>
      <c r="Y480" s="58" t="str" cm="1">
        <f t="array" ref="Y480">_xlfn._xlws.FILTER(Teams[teamType], (Fixtures[[#This Row],[userTeamID]] = Teams[teamID]), "N/A")</f>
        <v>N/A</v>
      </c>
      <c r="Z480" s="58" t="str" cm="1">
        <f t="array" ref="Z4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0" s="58" t="str">
        <f>IF(Fixtures[[#This Row],[userSide]] = "N/A", "N/A", IF(Fixtures[[#This Row],[userSide]] = "H", Fixtures[[#This Row],[awayTeam]], Fixtures[[#This Row],[homeTeam]]))</f>
        <v>N/A</v>
      </c>
      <c r="AB480" s="58" t="str" cm="1">
        <f t="array" ref="AB480">_xlfn._xlws.FILTER(Teams[teamID], Fixtures[[#This Row],[oppTeam]] = Teams[name], "N/A")</f>
        <v>N/A</v>
      </c>
      <c r="AC480" s="58" t="str" cm="1">
        <f t="array" ref="AC480">_xlfn._xlws.FILTER(Teams[teamType], Fixtures[[#This Row],[oppTeam]] = Teams[name], "N/A")</f>
        <v>N/A</v>
      </c>
      <c r="AD480" s="58" t="str">
        <f>IF(ISBLANK(Fixtures[[#This Row],[date]]), "N/A", IF(Fixtures[[#This Row],[userSide]]="H", Fixtures[[#This Row],[homeScore]], Fixtures[[#This Row],[awayScore]]))</f>
        <v>N/A</v>
      </c>
      <c r="AE480" s="58" t="str">
        <f>IF(ISBLANK(Fixtures[[#This Row],[date]]), "N/A", IF(Fixtures[[#This Row],[userScore]] = Fixtures[[#This Row],[homeScore]], Fixtures[[#This Row],[awayScore]], Fixtures[[#This Row],[homeScore]]))</f>
        <v>N/A</v>
      </c>
      <c r="AF480" s="58" t="b">
        <f>NOT(AND(ISBLANK(Fixtures[[#This Row],[homePens]]), ISBLANK(Fixtures[[#This Row],[awayPens]])))</f>
        <v>0</v>
      </c>
      <c r="AG480" s="58" t="str">
        <f>IF(Fixtures[[#This Row],[penalties]], IF(Fixtures[[#This Row],[userSide]]="H", Fixtures[[#This Row],[homePens]], Fixtures[[#This Row],[awayPens]]), "N/A")</f>
        <v>N/A</v>
      </c>
      <c r="AH480" s="58" t="str">
        <f>IF(Fixtures[[#This Row],[penalties]], IF(Fixtures[[#This Row],[userPens]]=Fixtures[[#This Row],[homePens]],Fixtures[[#This Row],[awayPens]],Fixtures[[#This Row],[homePens]]), "N/A")</f>
        <v>N/A</v>
      </c>
      <c r="AI480" s="58" t="b">
        <f>COUNTBLANK(Fixtures[[#This Row],[G]:[MOTM]]) = 0</f>
        <v>0</v>
      </c>
      <c r="AJ480" s="58" t="str">
        <f>IF(Fixtures[[#This Row],[APP]], Fixtures[[#This Row],[G]]+Fixtures[[#This Row],[A]], "N/A")</f>
        <v>N/A</v>
      </c>
      <c r="AK4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1" spans="1:39" ht="13">
      <c r="A481" s="55"/>
      <c r="B481" s="61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7"/>
      <c r="R481" s="56"/>
      <c r="S481" s="58" t="str" cm="1">
        <f t="array" ref="S481">_xlfn._xlws.FILTER(Competitions[compType], (Fixtures[[#This Row],[competition]] = Competitions[name]), "N/A")</f>
        <v>N/A</v>
      </c>
      <c r="T481" s="58" t="str" cm="1">
        <f t="array" ref="T481">_xlfn._xlws.FILTER(Competitions[exhibition], (Fixtures[[#This Row],[competition]] = Competitions[name]), "N/A")</f>
        <v>N/A</v>
      </c>
      <c r="U481" s="58" t="str" cm="1">
        <f t="array" ref="U481">_xlfn._xlws.FILTER(Competitions[compID], (Fixtures[[#This Row],[competition]] = Competitions[name]), "N/A")</f>
        <v>N/A</v>
      </c>
      <c r="V4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1" s="58" t="str" cm="1">
        <f t="array" ref="W4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1" s="58" t="str" cm="1">
        <f t="array" ref="X481">_xlfn._xlws.FILTER(Teams[name], (Fixtures[[#This Row],[userTeamID]] = Teams[teamID]), "N/A")</f>
        <v>N/A</v>
      </c>
      <c r="Y481" s="58" t="str" cm="1">
        <f t="array" ref="Y481">_xlfn._xlws.FILTER(Teams[teamType], (Fixtures[[#This Row],[userTeamID]] = Teams[teamID]), "N/A")</f>
        <v>N/A</v>
      </c>
      <c r="Z481" s="58" t="str" cm="1">
        <f t="array" ref="Z4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1" s="58" t="str">
        <f>IF(Fixtures[[#This Row],[userSide]] = "N/A", "N/A", IF(Fixtures[[#This Row],[userSide]] = "H", Fixtures[[#This Row],[awayTeam]], Fixtures[[#This Row],[homeTeam]]))</f>
        <v>N/A</v>
      </c>
      <c r="AB481" s="58" t="str" cm="1">
        <f t="array" ref="AB481">_xlfn._xlws.FILTER(Teams[teamID], Fixtures[[#This Row],[oppTeam]] = Teams[name], "N/A")</f>
        <v>N/A</v>
      </c>
      <c r="AC481" s="58" t="str" cm="1">
        <f t="array" ref="AC481">_xlfn._xlws.FILTER(Teams[teamType], Fixtures[[#This Row],[oppTeam]] = Teams[name], "N/A")</f>
        <v>N/A</v>
      </c>
      <c r="AD481" s="58" t="str">
        <f>IF(ISBLANK(Fixtures[[#This Row],[date]]), "N/A", IF(Fixtures[[#This Row],[userSide]]="H", Fixtures[[#This Row],[homeScore]], Fixtures[[#This Row],[awayScore]]))</f>
        <v>N/A</v>
      </c>
      <c r="AE481" s="58" t="str">
        <f>IF(ISBLANK(Fixtures[[#This Row],[date]]), "N/A", IF(Fixtures[[#This Row],[userScore]] = Fixtures[[#This Row],[homeScore]], Fixtures[[#This Row],[awayScore]], Fixtures[[#This Row],[homeScore]]))</f>
        <v>N/A</v>
      </c>
      <c r="AF481" s="58" t="b">
        <f>NOT(AND(ISBLANK(Fixtures[[#This Row],[homePens]]), ISBLANK(Fixtures[[#This Row],[awayPens]])))</f>
        <v>0</v>
      </c>
      <c r="AG481" s="58" t="str">
        <f>IF(Fixtures[[#This Row],[penalties]], IF(Fixtures[[#This Row],[userSide]]="H", Fixtures[[#This Row],[homePens]], Fixtures[[#This Row],[awayPens]]), "N/A")</f>
        <v>N/A</v>
      </c>
      <c r="AH481" s="58" t="str">
        <f>IF(Fixtures[[#This Row],[penalties]], IF(Fixtures[[#This Row],[userPens]]=Fixtures[[#This Row],[homePens]],Fixtures[[#This Row],[awayPens]],Fixtures[[#This Row],[homePens]]), "N/A")</f>
        <v>N/A</v>
      </c>
      <c r="AI481" s="58" t="b">
        <f>COUNTBLANK(Fixtures[[#This Row],[G]:[MOTM]]) = 0</f>
        <v>0</v>
      </c>
      <c r="AJ481" s="58" t="str">
        <f>IF(Fixtures[[#This Row],[APP]], Fixtures[[#This Row],[G]]+Fixtures[[#This Row],[A]], "N/A")</f>
        <v>N/A</v>
      </c>
      <c r="AK4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2" spans="1:39" ht="13">
      <c r="A482" s="55"/>
      <c r="B482" s="61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7"/>
      <c r="R482" s="56"/>
      <c r="S482" s="58" t="str" cm="1">
        <f t="array" ref="S482">_xlfn._xlws.FILTER(Competitions[compType], (Fixtures[[#This Row],[competition]] = Competitions[name]), "N/A")</f>
        <v>N/A</v>
      </c>
      <c r="T482" s="58" t="str" cm="1">
        <f t="array" ref="T482">_xlfn._xlws.FILTER(Competitions[exhibition], (Fixtures[[#This Row],[competition]] = Competitions[name]), "N/A")</f>
        <v>N/A</v>
      </c>
      <c r="U482" s="58" t="str" cm="1">
        <f t="array" ref="U482">_xlfn._xlws.FILTER(Competitions[compID], (Fixtures[[#This Row],[competition]] = Competitions[name]), "N/A")</f>
        <v>N/A</v>
      </c>
      <c r="V4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2" s="58" t="str" cm="1">
        <f t="array" ref="W4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2" s="58" t="str" cm="1">
        <f t="array" ref="X482">_xlfn._xlws.FILTER(Teams[name], (Fixtures[[#This Row],[userTeamID]] = Teams[teamID]), "N/A")</f>
        <v>N/A</v>
      </c>
      <c r="Y482" s="58" t="str" cm="1">
        <f t="array" ref="Y482">_xlfn._xlws.FILTER(Teams[teamType], (Fixtures[[#This Row],[userTeamID]] = Teams[teamID]), "N/A")</f>
        <v>N/A</v>
      </c>
      <c r="Z482" s="58" t="str" cm="1">
        <f t="array" ref="Z4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2" s="58" t="str">
        <f>IF(Fixtures[[#This Row],[userSide]] = "N/A", "N/A", IF(Fixtures[[#This Row],[userSide]] = "H", Fixtures[[#This Row],[awayTeam]], Fixtures[[#This Row],[homeTeam]]))</f>
        <v>N/A</v>
      </c>
      <c r="AB482" s="58" t="str" cm="1">
        <f t="array" ref="AB482">_xlfn._xlws.FILTER(Teams[teamID], Fixtures[[#This Row],[oppTeam]] = Teams[name], "N/A")</f>
        <v>N/A</v>
      </c>
      <c r="AC482" s="58" t="str" cm="1">
        <f t="array" ref="AC482">_xlfn._xlws.FILTER(Teams[teamType], Fixtures[[#This Row],[oppTeam]] = Teams[name], "N/A")</f>
        <v>N/A</v>
      </c>
      <c r="AD482" s="58" t="str">
        <f>IF(ISBLANK(Fixtures[[#This Row],[date]]), "N/A", IF(Fixtures[[#This Row],[userSide]]="H", Fixtures[[#This Row],[homeScore]], Fixtures[[#This Row],[awayScore]]))</f>
        <v>N/A</v>
      </c>
      <c r="AE482" s="58" t="str">
        <f>IF(ISBLANK(Fixtures[[#This Row],[date]]), "N/A", IF(Fixtures[[#This Row],[userScore]] = Fixtures[[#This Row],[homeScore]], Fixtures[[#This Row],[awayScore]], Fixtures[[#This Row],[homeScore]]))</f>
        <v>N/A</v>
      </c>
      <c r="AF482" s="58" t="b">
        <f>NOT(AND(ISBLANK(Fixtures[[#This Row],[homePens]]), ISBLANK(Fixtures[[#This Row],[awayPens]])))</f>
        <v>0</v>
      </c>
      <c r="AG482" s="58" t="str">
        <f>IF(Fixtures[[#This Row],[penalties]], IF(Fixtures[[#This Row],[userSide]]="H", Fixtures[[#This Row],[homePens]], Fixtures[[#This Row],[awayPens]]), "N/A")</f>
        <v>N/A</v>
      </c>
      <c r="AH482" s="58" t="str">
        <f>IF(Fixtures[[#This Row],[penalties]], IF(Fixtures[[#This Row],[userPens]]=Fixtures[[#This Row],[homePens]],Fixtures[[#This Row],[awayPens]],Fixtures[[#This Row],[homePens]]), "N/A")</f>
        <v>N/A</v>
      </c>
      <c r="AI482" s="58" t="b">
        <f>COUNTBLANK(Fixtures[[#This Row],[G]:[MOTM]]) = 0</f>
        <v>0</v>
      </c>
      <c r="AJ482" s="58" t="str">
        <f>IF(Fixtures[[#This Row],[APP]], Fixtures[[#This Row],[G]]+Fixtures[[#This Row],[A]], "N/A")</f>
        <v>N/A</v>
      </c>
      <c r="AK4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3" spans="1:39" ht="13">
      <c r="A483" s="55"/>
      <c r="B483" s="61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7"/>
      <c r="R483" s="56"/>
      <c r="S483" s="58" t="str" cm="1">
        <f t="array" ref="S483">_xlfn._xlws.FILTER(Competitions[compType], (Fixtures[[#This Row],[competition]] = Competitions[name]), "N/A")</f>
        <v>N/A</v>
      </c>
      <c r="T483" s="58" t="str" cm="1">
        <f t="array" ref="T483">_xlfn._xlws.FILTER(Competitions[exhibition], (Fixtures[[#This Row],[competition]] = Competitions[name]), "N/A")</f>
        <v>N/A</v>
      </c>
      <c r="U483" s="58" t="str" cm="1">
        <f t="array" ref="U483">_xlfn._xlws.FILTER(Competitions[compID], (Fixtures[[#This Row],[competition]] = Competitions[name]), "N/A")</f>
        <v>N/A</v>
      </c>
      <c r="V4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3" s="58" t="str" cm="1">
        <f t="array" ref="W4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3" s="58" t="str" cm="1">
        <f t="array" ref="X483">_xlfn._xlws.FILTER(Teams[name], (Fixtures[[#This Row],[userTeamID]] = Teams[teamID]), "N/A")</f>
        <v>N/A</v>
      </c>
      <c r="Y483" s="58" t="str" cm="1">
        <f t="array" ref="Y483">_xlfn._xlws.FILTER(Teams[teamType], (Fixtures[[#This Row],[userTeamID]] = Teams[teamID]), "N/A")</f>
        <v>N/A</v>
      </c>
      <c r="Z483" s="58" t="str" cm="1">
        <f t="array" ref="Z4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3" s="58" t="str">
        <f>IF(Fixtures[[#This Row],[userSide]] = "N/A", "N/A", IF(Fixtures[[#This Row],[userSide]] = "H", Fixtures[[#This Row],[awayTeam]], Fixtures[[#This Row],[homeTeam]]))</f>
        <v>N/A</v>
      </c>
      <c r="AB483" s="58" t="str" cm="1">
        <f t="array" ref="AB483">_xlfn._xlws.FILTER(Teams[teamID], Fixtures[[#This Row],[oppTeam]] = Teams[name], "N/A")</f>
        <v>N/A</v>
      </c>
      <c r="AC483" s="58" t="str" cm="1">
        <f t="array" ref="AC483">_xlfn._xlws.FILTER(Teams[teamType], Fixtures[[#This Row],[oppTeam]] = Teams[name], "N/A")</f>
        <v>N/A</v>
      </c>
      <c r="AD483" s="58" t="str">
        <f>IF(ISBLANK(Fixtures[[#This Row],[date]]), "N/A", IF(Fixtures[[#This Row],[userSide]]="H", Fixtures[[#This Row],[homeScore]], Fixtures[[#This Row],[awayScore]]))</f>
        <v>N/A</v>
      </c>
      <c r="AE483" s="58" t="str">
        <f>IF(ISBLANK(Fixtures[[#This Row],[date]]), "N/A", IF(Fixtures[[#This Row],[userScore]] = Fixtures[[#This Row],[homeScore]], Fixtures[[#This Row],[awayScore]], Fixtures[[#This Row],[homeScore]]))</f>
        <v>N/A</v>
      </c>
      <c r="AF483" s="58" t="b">
        <f>NOT(AND(ISBLANK(Fixtures[[#This Row],[homePens]]), ISBLANK(Fixtures[[#This Row],[awayPens]])))</f>
        <v>0</v>
      </c>
      <c r="AG483" s="58" t="str">
        <f>IF(Fixtures[[#This Row],[penalties]], IF(Fixtures[[#This Row],[userSide]]="H", Fixtures[[#This Row],[homePens]], Fixtures[[#This Row],[awayPens]]), "N/A")</f>
        <v>N/A</v>
      </c>
      <c r="AH483" s="58" t="str">
        <f>IF(Fixtures[[#This Row],[penalties]], IF(Fixtures[[#This Row],[userPens]]=Fixtures[[#This Row],[homePens]],Fixtures[[#This Row],[awayPens]],Fixtures[[#This Row],[homePens]]), "N/A")</f>
        <v>N/A</v>
      </c>
      <c r="AI483" s="58" t="b">
        <f>COUNTBLANK(Fixtures[[#This Row],[G]:[MOTM]]) = 0</f>
        <v>0</v>
      </c>
      <c r="AJ483" s="58" t="str">
        <f>IF(Fixtures[[#This Row],[APP]], Fixtures[[#This Row],[G]]+Fixtures[[#This Row],[A]], "N/A")</f>
        <v>N/A</v>
      </c>
      <c r="AK4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4" spans="1:39" ht="13">
      <c r="A484" s="55"/>
      <c r="B484" s="61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7"/>
      <c r="R484" s="56"/>
      <c r="S484" s="58" t="str" cm="1">
        <f t="array" ref="S484">_xlfn._xlws.FILTER(Competitions[compType], (Fixtures[[#This Row],[competition]] = Competitions[name]), "N/A")</f>
        <v>N/A</v>
      </c>
      <c r="T484" s="58" t="str" cm="1">
        <f t="array" ref="T484">_xlfn._xlws.FILTER(Competitions[exhibition], (Fixtures[[#This Row],[competition]] = Competitions[name]), "N/A")</f>
        <v>N/A</v>
      </c>
      <c r="U484" s="58" t="str" cm="1">
        <f t="array" ref="U484">_xlfn._xlws.FILTER(Competitions[compID], (Fixtures[[#This Row],[competition]] = Competitions[name]), "N/A")</f>
        <v>N/A</v>
      </c>
      <c r="V4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4" s="58" t="str" cm="1">
        <f t="array" ref="W4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4" s="58" t="str" cm="1">
        <f t="array" ref="X484">_xlfn._xlws.FILTER(Teams[name], (Fixtures[[#This Row],[userTeamID]] = Teams[teamID]), "N/A")</f>
        <v>N/A</v>
      </c>
      <c r="Y484" s="58" t="str" cm="1">
        <f t="array" ref="Y484">_xlfn._xlws.FILTER(Teams[teamType], (Fixtures[[#This Row],[userTeamID]] = Teams[teamID]), "N/A")</f>
        <v>N/A</v>
      </c>
      <c r="Z484" s="58" t="str" cm="1">
        <f t="array" ref="Z4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4" s="58" t="str">
        <f>IF(Fixtures[[#This Row],[userSide]] = "N/A", "N/A", IF(Fixtures[[#This Row],[userSide]] = "H", Fixtures[[#This Row],[awayTeam]], Fixtures[[#This Row],[homeTeam]]))</f>
        <v>N/A</v>
      </c>
      <c r="AB484" s="58" t="str" cm="1">
        <f t="array" ref="AB484">_xlfn._xlws.FILTER(Teams[teamID], Fixtures[[#This Row],[oppTeam]] = Teams[name], "N/A")</f>
        <v>N/A</v>
      </c>
      <c r="AC484" s="58" t="str" cm="1">
        <f t="array" ref="AC484">_xlfn._xlws.FILTER(Teams[teamType], Fixtures[[#This Row],[oppTeam]] = Teams[name], "N/A")</f>
        <v>N/A</v>
      </c>
      <c r="AD484" s="58" t="str">
        <f>IF(ISBLANK(Fixtures[[#This Row],[date]]), "N/A", IF(Fixtures[[#This Row],[userSide]]="H", Fixtures[[#This Row],[homeScore]], Fixtures[[#This Row],[awayScore]]))</f>
        <v>N/A</v>
      </c>
      <c r="AE484" s="58" t="str">
        <f>IF(ISBLANK(Fixtures[[#This Row],[date]]), "N/A", IF(Fixtures[[#This Row],[userScore]] = Fixtures[[#This Row],[homeScore]], Fixtures[[#This Row],[awayScore]], Fixtures[[#This Row],[homeScore]]))</f>
        <v>N/A</v>
      </c>
      <c r="AF484" s="58" t="b">
        <f>NOT(AND(ISBLANK(Fixtures[[#This Row],[homePens]]), ISBLANK(Fixtures[[#This Row],[awayPens]])))</f>
        <v>0</v>
      </c>
      <c r="AG484" s="58" t="str">
        <f>IF(Fixtures[[#This Row],[penalties]], IF(Fixtures[[#This Row],[userSide]]="H", Fixtures[[#This Row],[homePens]], Fixtures[[#This Row],[awayPens]]), "N/A")</f>
        <v>N/A</v>
      </c>
      <c r="AH484" s="58" t="str">
        <f>IF(Fixtures[[#This Row],[penalties]], IF(Fixtures[[#This Row],[userPens]]=Fixtures[[#This Row],[homePens]],Fixtures[[#This Row],[awayPens]],Fixtures[[#This Row],[homePens]]), "N/A")</f>
        <v>N/A</v>
      </c>
      <c r="AI484" s="58" t="b">
        <f>COUNTBLANK(Fixtures[[#This Row],[G]:[MOTM]]) = 0</f>
        <v>0</v>
      </c>
      <c r="AJ484" s="58" t="str">
        <f>IF(Fixtures[[#This Row],[APP]], Fixtures[[#This Row],[G]]+Fixtures[[#This Row],[A]], "N/A")</f>
        <v>N/A</v>
      </c>
      <c r="AK4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5" spans="1:39" ht="13">
      <c r="A485" s="55"/>
      <c r="B485" s="61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7"/>
      <c r="R485" s="56"/>
      <c r="S485" s="58" t="str" cm="1">
        <f t="array" ref="S485">_xlfn._xlws.FILTER(Competitions[compType], (Fixtures[[#This Row],[competition]] = Competitions[name]), "N/A")</f>
        <v>N/A</v>
      </c>
      <c r="T485" s="58" t="str" cm="1">
        <f t="array" ref="T485">_xlfn._xlws.FILTER(Competitions[exhibition], (Fixtures[[#This Row],[competition]] = Competitions[name]), "N/A")</f>
        <v>N/A</v>
      </c>
      <c r="U485" s="58" t="str" cm="1">
        <f t="array" ref="U485">_xlfn._xlws.FILTER(Competitions[compID], (Fixtures[[#This Row],[competition]] = Competitions[name]), "N/A")</f>
        <v>N/A</v>
      </c>
      <c r="V4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5" s="58" t="str" cm="1">
        <f t="array" ref="W4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5" s="58" t="str" cm="1">
        <f t="array" ref="X485">_xlfn._xlws.FILTER(Teams[name], (Fixtures[[#This Row],[userTeamID]] = Teams[teamID]), "N/A")</f>
        <v>N/A</v>
      </c>
      <c r="Y485" s="58" t="str" cm="1">
        <f t="array" ref="Y485">_xlfn._xlws.FILTER(Teams[teamType], (Fixtures[[#This Row],[userTeamID]] = Teams[teamID]), "N/A")</f>
        <v>N/A</v>
      </c>
      <c r="Z485" s="58" t="str" cm="1">
        <f t="array" ref="Z4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5" s="58" t="str">
        <f>IF(Fixtures[[#This Row],[userSide]] = "N/A", "N/A", IF(Fixtures[[#This Row],[userSide]] = "H", Fixtures[[#This Row],[awayTeam]], Fixtures[[#This Row],[homeTeam]]))</f>
        <v>N/A</v>
      </c>
      <c r="AB485" s="58" t="str" cm="1">
        <f t="array" ref="AB485">_xlfn._xlws.FILTER(Teams[teamID], Fixtures[[#This Row],[oppTeam]] = Teams[name], "N/A")</f>
        <v>N/A</v>
      </c>
      <c r="AC485" s="58" t="str" cm="1">
        <f t="array" ref="AC485">_xlfn._xlws.FILTER(Teams[teamType], Fixtures[[#This Row],[oppTeam]] = Teams[name], "N/A")</f>
        <v>N/A</v>
      </c>
      <c r="AD485" s="58" t="str">
        <f>IF(ISBLANK(Fixtures[[#This Row],[date]]), "N/A", IF(Fixtures[[#This Row],[userSide]]="H", Fixtures[[#This Row],[homeScore]], Fixtures[[#This Row],[awayScore]]))</f>
        <v>N/A</v>
      </c>
      <c r="AE485" s="58" t="str">
        <f>IF(ISBLANK(Fixtures[[#This Row],[date]]), "N/A", IF(Fixtures[[#This Row],[userScore]] = Fixtures[[#This Row],[homeScore]], Fixtures[[#This Row],[awayScore]], Fixtures[[#This Row],[homeScore]]))</f>
        <v>N/A</v>
      </c>
      <c r="AF485" s="58" t="b">
        <f>NOT(AND(ISBLANK(Fixtures[[#This Row],[homePens]]), ISBLANK(Fixtures[[#This Row],[awayPens]])))</f>
        <v>0</v>
      </c>
      <c r="AG485" s="58" t="str">
        <f>IF(Fixtures[[#This Row],[penalties]], IF(Fixtures[[#This Row],[userSide]]="H", Fixtures[[#This Row],[homePens]], Fixtures[[#This Row],[awayPens]]), "N/A")</f>
        <v>N/A</v>
      </c>
      <c r="AH485" s="58" t="str">
        <f>IF(Fixtures[[#This Row],[penalties]], IF(Fixtures[[#This Row],[userPens]]=Fixtures[[#This Row],[homePens]],Fixtures[[#This Row],[awayPens]],Fixtures[[#This Row],[homePens]]), "N/A")</f>
        <v>N/A</v>
      </c>
      <c r="AI485" s="58" t="b">
        <f>COUNTBLANK(Fixtures[[#This Row],[G]:[MOTM]]) = 0</f>
        <v>0</v>
      </c>
      <c r="AJ485" s="58" t="str">
        <f>IF(Fixtures[[#This Row],[APP]], Fixtures[[#This Row],[G]]+Fixtures[[#This Row],[A]], "N/A")</f>
        <v>N/A</v>
      </c>
      <c r="AK4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6" spans="1:39" ht="13">
      <c r="A486" s="55"/>
      <c r="B486" s="61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7"/>
      <c r="R486" s="56"/>
      <c r="S486" s="58" t="str" cm="1">
        <f t="array" ref="S486">_xlfn._xlws.FILTER(Competitions[compType], (Fixtures[[#This Row],[competition]] = Competitions[name]), "N/A")</f>
        <v>N/A</v>
      </c>
      <c r="T486" s="58" t="str" cm="1">
        <f t="array" ref="T486">_xlfn._xlws.FILTER(Competitions[exhibition], (Fixtures[[#This Row],[competition]] = Competitions[name]), "N/A")</f>
        <v>N/A</v>
      </c>
      <c r="U486" s="58" t="str" cm="1">
        <f t="array" ref="U486">_xlfn._xlws.FILTER(Competitions[compID], (Fixtures[[#This Row],[competition]] = Competitions[name]), "N/A")</f>
        <v>N/A</v>
      </c>
      <c r="V4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6" s="58" t="str" cm="1">
        <f t="array" ref="W4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6" s="58" t="str" cm="1">
        <f t="array" ref="X486">_xlfn._xlws.FILTER(Teams[name], (Fixtures[[#This Row],[userTeamID]] = Teams[teamID]), "N/A")</f>
        <v>N/A</v>
      </c>
      <c r="Y486" s="58" t="str" cm="1">
        <f t="array" ref="Y486">_xlfn._xlws.FILTER(Teams[teamType], (Fixtures[[#This Row],[userTeamID]] = Teams[teamID]), "N/A")</f>
        <v>N/A</v>
      </c>
      <c r="Z486" s="58" t="str" cm="1">
        <f t="array" ref="Z4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6" s="58" t="str">
        <f>IF(Fixtures[[#This Row],[userSide]] = "N/A", "N/A", IF(Fixtures[[#This Row],[userSide]] = "H", Fixtures[[#This Row],[awayTeam]], Fixtures[[#This Row],[homeTeam]]))</f>
        <v>N/A</v>
      </c>
      <c r="AB486" s="58" t="str" cm="1">
        <f t="array" ref="AB486">_xlfn._xlws.FILTER(Teams[teamID], Fixtures[[#This Row],[oppTeam]] = Teams[name], "N/A")</f>
        <v>N/A</v>
      </c>
      <c r="AC486" s="58" t="str" cm="1">
        <f t="array" ref="AC486">_xlfn._xlws.FILTER(Teams[teamType], Fixtures[[#This Row],[oppTeam]] = Teams[name], "N/A")</f>
        <v>N/A</v>
      </c>
      <c r="AD486" s="58" t="str">
        <f>IF(ISBLANK(Fixtures[[#This Row],[date]]), "N/A", IF(Fixtures[[#This Row],[userSide]]="H", Fixtures[[#This Row],[homeScore]], Fixtures[[#This Row],[awayScore]]))</f>
        <v>N/A</v>
      </c>
      <c r="AE486" s="58" t="str">
        <f>IF(ISBLANK(Fixtures[[#This Row],[date]]), "N/A", IF(Fixtures[[#This Row],[userScore]] = Fixtures[[#This Row],[homeScore]], Fixtures[[#This Row],[awayScore]], Fixtures[[#This Row],[homeScore]]))</f>
        <v>N/A</v>
      </c>
      <c r="AF486" s="58" t="b">
        <f>NOT(AND(ISBLANK(Fixtures[[#This Row],[homePens]]), ISBLANK(Fixtures[[#This Row],[awayPens]])))</f>
        <v>0</v>
      </c>
      <c r="AG486" s="58" t="str">
        <f>IF(Fixtures[[#This Row],[penalties]], IF(Fixtures[[#This Row],[userSide]]="H", Fixtures[[#This Row],[homePens]], Fixtures[[#This Row],[awayPens]]), "N/A")</f>
        <v>N/A</v>
      </c>
      <c r="AH486" s="58" t="str">
        <f>IF(Fixtures[[#This Row],[penalties]], IF(Fixtures[[#This Row],[userPens]]=Fixtures[[#This Row],[homePens]],Fixtures[[#This Row],[awayPens]],Fixtures[[#This Row],[homePens]]), "N/A")</f>
        <v>N/A</v>
      </c>
      <c r="AI486" s="58" t="b">
        <f>COUNTBLANK(Fixtures[[#This Row],[G]:[MOTM]]) = 0</f>
        <v>0</v>
      </c>
      <c r="AJ486" s="58" t="str">
        <f>IF(Fixtures[[#This Row],[APP]], Fixtures[[#This Row],[G]]+Fixtures[[#This Row],[A]], "N/A")</f>
        <v>N/A</v>
      </c>
      <c r="AK4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7" spans="1:39" ht="13">
      <c r="A487" s="55"/>
      <c r="B487" s="61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7"/>
      <c r="R487" s="56"/>
      <c r="S487" s="58" t="str" cm="1">
        <f t="array" ref="S487">_xlfn._xlws.FILTER(Competitions[compType], (Fixtures[[#This Row],[competition]] = Competitions[name]), "N/A")</f>
        <v>N/A</v>
      </c>
      <c r="T487" s="58" t="str" cm="1">
        <f t="array" ref="T487">_xlfn._xlws.FILTER(Competitions[exhibition], (Fixtures[[#This Row],[competition]] = Competitions[name]), "N/A")</f>
        <v>N/A</v>
      </c>
      <c r="U487" s="58" t="str" cm="1">
        <f t="array" ref="U487">_xlfn._xlws.FILTER(Competitions[compID], (Fixtures[[#This Row],[competition]] = Competitions[name]), "N/A")</f>
        <v>N/A</v>
      </c>
      <c r="V4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7" s="58" t="str" cm="1">
        <f t="array" ref="W4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7" s="58" t="str" cm="1">
        <f t="array" ref="X487">_xlfn._xlws.FILTER(Teams[name], (Fixtures[[#This Row],[userTeamID]] = Teams[teamID]), "N/A")</f>
        <v>N/A</v>
      </c>
      <c r="Y487" s="58" t="str" cm="1">
        <f t="array" ref="Y487">_xlfn._xlws.FILTER(Teams[teamType], (Fixtures[[#This Row],[userTeamID]] = Teams[teamID]), "N/A")</f>
        <v>N/A</v>
      </c>
      <c r="Z487" s="58" t="str" cm="1">
        <f t="array" ref="Z4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7" s="58" t="str">
        <f>IF(Fixtures[[#This Row],[userSide]] = "N/A", "N/A", IF(Fixtures[[#This Row],[userSide]] = "H", Fixtures[[#This Row],[awayTeam]], Fixtures[[#This Row],[homeTeam]]))</f>
        <v>N/A</v>
      </c>
      <c r="AB487" s="58" t="str" cm="1">
        <f t="array" ref="AB487">_xlfn._xlws.FILTER(Teams[teamID], Fixtures[[#This Row],[oppTeam]] = Teams[name], "N/A")</f>
        <v>N/A</v>
      </c>
      <c r="AC487" s="58" t="str" cm="1">
        <f t="array" ref="AC487">_xlfn._xlws.FILTER(Teams[teamType], Fixtures[[#This Row],[oppTeam]] = Teams[name], "N/A")</f>
        <v>N/A</v>
      </c>
      <c r="AD487" s="58" t="str">
        <f>IF(ISBLANK(Fixtures[[#This Row],[date]]), "N/A", IF(Fixtures[[#This Row],[userSide]]="H", Fixtures[[#This Row],[homeScore]], Fixtures[[#This Row],[awayScore]]))</f>
        <v>N/A</v>
      </c>
      <c r="AE487" s="58" t="str">
        <f>IF(ISBLANK(Fixtures[[#This Row],[date]]), "N/A", IF(Fixtures[[#This Row],[userScore]] = Fixtures[[#This Row],[homeScore]], Fixtures[[#This Row],[awayScore]], Fixtures[[#This Row],[homeScore]]))</f>
        <v>N/A</v>
      </c>
      <c r="AF487" s="58" t="b">
        <f>NOT(AND(ISBLANK(Fixtures[[#This Row],[homePens]]), ISBLANK(Fixtures[[#This Row],[awayPens]])))</f>
        <v>0</v>
      </c>
      <c r="AG487" s="58" t="str">
        <f>IF(Fixtures[[#This Row],[penalties]], IF(Fixtures[[#This Row],[userSide]]="H", Fixtures[[#This Row],[homePens]], Fixtures[[#This Row],[awayPens]]), "N/A")</f>
        <v>N/A</v>
      </c>
      <c r="AH487" s="58" t="str">
        <f>IF(Fixtures[[#This Row],[penalties]], IF(Fixtures[[#This Row],[userPens]]=Fixtures[[#This Row],[homePens]],Fixtures[[#This Row],[awayPens]],Fixtures[[#This Row],[homePens]]), "N/A")</f>
        <v>N/A</v>
      </c>
      <c r="AI487" s="58" t="b">
        <f>COUNTBLANK(Fixtures[[#This Row],[G]:[MOTM]]) = 0</f>
        <v>0</v>
      </c>
      <c r="AJ487" s="58" t="str">
        <f>IF(Fixtures[[#This Row],[APP]], Fixtures[[#This Row],[G]]+Fixtures[[#This Row],[A]], "N/A")</f>
        <v>N/A</v>
      </c>
      <c r="AK4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8" spans="1:39" ht="13">
      <c r="A488" s="55"/>
      <c r="B488" s="61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7"/>
      <c r="R488" s="56"/>
      <c r="S488" s="58" t="str" cm="1">
        <f t="array" ref="S488">_xlfn._xlws.FILTER(Competitions[compType], (Fixtures[[#This Row],[competition]] = Competitions[name]), "N/A")</f>
        <v>N/A</v>
      </c>
      <c r="T488" s="58" t="str" cm="1">
        <f t="array" ref="T488">_xlfn._xlws.FILTER(Competitions[exhibition], (Fixtures[[#This Row],[competition]] = Competitions[name]), "N/A")</f>
        <v>N/A</v>
      </c>
      <c r="U488" s="58" t="str" cm="1">
        <f t="array" ref="U488">_xlfn._xlws.FILTER(Competitions[compID], (Fixtures[[#This Row],[competition]] = Competitions[name]), "N/A")</f>
        <v>N/A</v>
      </c>
      <c r="V4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8" s="58" t="str" cm="1">
        <f t="array" ref="W4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8" s="58" t="str" cm="1">
        <f t="array" ref="X488">_xlfn._xlws.FILTER(Teams[name], (Fixtures[[#This Row],[userTeamID]] = Teams[teamID]), "N/A")</f>
        <v>N/A</v>
      </c>
      <c r="Y488" s="58" t="str" cm="1">
        <f t="array" ref="Y488">_xlfn._xlws.FILTER(Teams[teamType], (Fixtures[[#This Row],[userTeamID]] = Teams[teamID]), "N/A")</f>
        <v>N/A</v>
      </c>
      <c r="Z488" s="58" t="str" cm="1">
        <f t="array" ref="Z4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8" s="58" t="str">
        <f>IF(Fixtures[[#This Row],[userSide]] = "N/A", "N/A", IF(Fixtures[[#This Row],[userSide]] = "H", Fixtures[[#This Row],[awayTeam]], Fixtures[[#This Row],[homeTeam]]))</f>
        <v>N/A</v>
      </c>
      <c r="AB488" s="58" t="str" cm="1">
        <f t="array" ref="AB488">_xlfn._xlws.FILTER(Teams[teamID], Fixtures[[#This Row],[oppTeam]] = Teams[name], "N/A")</f>
        <v>N/A</v>
      </c>
      <c r="AC488" s="58" t="str" cm="1">
        <f t="array" ref="AC488">_xlfn._xlws.FILTER(Teams[teamType], Fixtures[[#This Row],[oppTeam]] = Teams[name], "N/A")</f>
        <v>N/A</v>
      </c>
      <c r="AD488" s="58" t="str">
        <f>IF(ISBLANK(Fixtures[[#This Row],[date]]), "N/A", IF(Fixtures[[#This Row],[userSide]]="H", Fixtures[[#This Row],[homeScore]], Fixtures[[#This Row],[awayScore]]))</f>
        <v>N/A</v>
      </c>
      <c r="AE488" s="58" t="str">
        <f>IF(ISBLANK(Fixtures[[#This Row],[date]]), "N/A", IF(Fixtures[[#This Row],[userScore]] = Fixtures[[#This Row],[homeScore]], Fixtures[[#This Row],[awayScore]], Fixtures[[#This Row],[homeScore]]))</f>
        <v>N/A</v>
      </c>
      <c r="AF488" s="58" t="b">
        <f>NOT(AND(ISBLANK(Fixtures[[#This Row],[homePens]]), ISBLANK(Fixtures[[#This Row],[awayPens]])))</f>
        <v>0</v>
      </c>
      <c r="AG488" s="58" t="str">
        <f>IF(Fixtures[[#This Row],[penalties]], IF(Fixtures[[#This Row],[userSide]]="H", Fixtures[[#This Row],[homePens]], Fixtures[[#This Row],[awayPens]]), "N/A")</f>
        <v>N/A</v>
      </c>
      <c r="AH488" s="58" t="str">
        <f>IF(Fixtures[[#This Row],[penalties]], IF(Fixtures[[#This Row],[userPens]]=Fixtures[[#This Row],[homePens]],Fixtures[[#This Row],[awayPens]],Fixtures[[#This Row],[homePens]]), "N/A")</f>
        <v>N/A</v>
      </c>
      <c r="AI488" s="58" t="b">
        <f>COUNTBLANK(Fixtures[[#This Row],[G]:[MOTM]]) = 0</f>
        <v>0</v>
      </c>
      <c r="AJ488" s="58" t="str">
        <f>IF(Fixtures[[#This Row],[APP]], Fixtures[[#This Row],[G]]+Fixtures[[#This Row],[A]], "N/A")</f>
        <v>N/A</v>
      </c>
      <c r="AK4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89" spans="1:39" ht="13">
      <c r="A489" s="55"/>
      <c r="B489" s="61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7"/>
      <c r="R489" s="56"/>
      <c r="S489" s="58" t="str" cm="1">
        <f t="array" ref="S489">_xlfn._xlws.FILTER(Competitions[compType], (Fixtures[[#This Row],[competition]] = Competitions[name]), "N/A")</f>
        <v>N/A</v>
      </c>
      <c r="T489" s="58" t="str" cm="1">
        <f t="array" ref="T489">_xlfn._xlws.FILTER(Competitions[exhibition], (Fixtures[[#This Row],[competition]] = Competitions[name]), "N/A")</f>
        <v>N/A</v>
      </c>
      <c r="U489" s="58" t="str" cm="1">
        <f t="array" ref="U489">_xlfn._xlws.FILTER(Competitions[compID], (Fixtures[[#This Row],[competition]] = Competitions[name]), "N/A")</f>
        <v>N/A</v>
      </c>
      <c r="V4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89" s="58" t="str" cm="1">
        <f t="array" ref="W4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89" s="58" t="str" cm="1">
        <f t="array" ref="X489">_xlfn._xlws.FILTER(Teams[name], (Fixtures[[#This Row],[userTeamID]] = Teams[teamID]), "N/A")</f>
        <v>N/A</v>
      </c>
      <c r="Y489" s="58" t="str" cm="1">
        <f t="array" ref="Y489">_xlfn._xlws.FILTER(Teams[teamType], (Fixtures[[#This Row],[userTeamID]] = Teams[teamID]), "N/A")</f>
        <v>N/A</v>
      </c>
      <c r="Z489" s="58" t="str" cm="1">
        <f t="array" ref="Z4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89" s="58" t="str">
        <f>IF(Fixtures[[#This Row],[userSide]] = "N/A", "N/A", IF(Fixtures[[#This Row],[userSide]] = "H", Fixtures[[#This Row],[awayTeam]], Fixtures[[#This Row],[homeTeam]]))</f>
        <v>N/A</v>
      </c>
      <c r="AB489" s="58" t="str" cm="1">
        <f t="array" ref="AB489">_xlfn._xlws.FILTER(Teams[teamID], Fixtures[[#This Row],[oppTeam]] = Teams[name], "N/A")</f>
        <v>N/A</v>
      </c>
      <c r="AC489" s="58" t="str" cm="1">
        <f t="array" ref="AC489">_xlfn._xlws.FILTER(Teams[teamType], Fixtures[[#This Row],[oppTeam]] = Teams[name], "N/A")</f>
        <v>N/A</v>
      </c>
      <c r="AD489" s="58" t="str">
        <f>IF(ISBLANK(Fixtures[[#This Row],[date]]), "N/A", IF(Fixtures[[#This Row],[userSide]]="H", Fixtures[[#This Row],[homeScore]], Fixtures[[#This Row],[awayScore]]))</f>
        <v>N/A</v>
      </c>
      <c r="AE489" s="58" t="str">
        <f>IF(ISBLANK(Fixtures[[#This Row],[date]]), "N/A", IF(Fixtures[[#This Row],[userScore]] = Fixtures[[#This Row],[homeScore]], Fixtures[[#This Row],[awayScore]], Fixtures[[#This Row],[homeScore]]))</f>
        <v>N/A</v>
      </c>
      <c r="AF489" s="58" t="b">
        <f>NOT(AND(ISBLANK(Fixtures[[#This Row],[homePens]]), ISBLANK(Fixtures[[#This Row],[awayPens]])))</f>
        <v>0</v>
      </c>
      <c r="AG489" s="58" t="str">
        <f>IF(Fixtures[[#This Row],[penalties]], IF(Fixtures[[#This Row],[userSide]]="H", Fixtures[[#This Row],[homePens]], Fixtures[[#This Row],[awayPens]]), "N/A")</f>
        <v>N/A</v>
      </c>
      <c r="AH489" s="58" t="str">
        <f>IF(Fixtures[[#This Row],[penalties]], IF(Fixtures[[#This Row],[userPens]]=Fixtures[[#This Row],[homePens]],Fixtures[[#This Row],[awayPens]],Fixtures[[#This Row],[homePens]]), "N/A")</f>
        <v>N/A</v>
      </c>
      <c r="AI489" s="58" t="b">
        <f>COUNTBLANK(Fixtures[[#This Row],[G]:[MOTM]]) = 0</f>
        <v>0</v>
      </c>
      <c r="AJ489" s="58" t="str">
        <f>IF(Fixtures[[#This Row],[APP]], Fixtures[[#This Row],[G]]+Fixtures[[#This Row],[A]], "N/A")</f>
        <v>N/A</v>
      </c>
      <c r="AK4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0" spans="1:39" ht="13">
      <c r="A490" s="55"/>
      <c r="B490" s="61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7"/>
      <c r="R490" s="56"/>
      <c r="S490" s="58" t="str" cm="1">
        <f t="array" ref="S490">_xlfn._xlws.FILTER(Competitions[compType], (Fixtures[[#This Row],[competition]] = Competitions[name]), "N/A")</f>
        <v>N/A</v>
      </c>
      <c r="T490" s="58" t="str" cm="1">
        <f t="array" ref="T490">_xlfn._xlws.FILTER(Competitions[exhibition], (Fixtures[[#This Row],[competition]] = Competitions[name]), "N/A")</f>
        <v>N/A</v>
      </c>
      <c r="U490" s="58" t="str" cm="1">
        <f t="array" ref="U490">_xlfn._xlws.FILTER(Competitions[compID], (Fixtures[[#This Row],[competition]] = Competitions[name]), "N/A")</f>
        <v>N/A</v>
      </c>
      <c r="V4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0" s="58" t="str" cm="1">
        <f t="array" ref="W4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0" s="58" t="str" cm="1">
        <f t="array" ref="X490">_xlfn._xlws.FILTER(Teams[name], (Fixtures[[#This Row],[userTeamID]] = Teams[teamID]), "N/A")</f>
        <v>N/A</v>
      </c>
      <c r="Y490" s="58" t="str" cm="1">
        <f t="array" ref="Y490">_xlfn._xlws.FILTER(Teams[teamType], (Fixtures[[#This Row],[userTeamID]] = Teams[teamID]), "N/A")</f>
        <v>N/A</v>
      </c>
      <c r="Z490" s="58" t="str" cm="1">
        <f t="array" ref="Z4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0" s="58" t="str">
        <f>IF(Fixtures[[#This Row],[userSide]] = "N/A", "N/A", IF(Fixtures[[#This Row],[userSide]] = "H", Fixtures[[#This Row],[awayTeam]], Fixtures[[#This Row],[homeTeam]]))</f>
        <v>N/A</v>
      </c>
      <c r="AB490" s="58" t="str" cm="1">
        <f t="array" ref="AB490">_xlfn._xlws.FILTER(Teams[teamID], Fixtures[[#This Row],[oppTeam]] = Teams[name], "N/A")</f>
        <v>N/A</v>
      </c>
      <c r="AC490" s="58" t="str" cm="1">
        <f t="array" ref="AC490">_xlfn._xlws.FILTER(Teams[teamType], Fixtures[[#This Row],[oppTeam]] = Teams[name], "N/A")</f>
        <v>N/A</v>
      </c>
      <c r="AD490" s="58" t="str">
        <f>IF(ISBLANK(Fixtures[[#This Row],[date]]), "N/A", IF(Fixtures[[#This Row],[userSide]]="H", Fixtures[[#This Row],[homeScore]], Fixtures[[#This Row],[awayScore]]))</f>
        <v>N/A</v>
      </c>
      <c r="AE490" s="58" t="str">
        <f>IF(ISBLANK(Fixtures[[#This Row],[date]]), "N/A", IF(Fixtures[[#This Row],[userScore]] = Fixtures[[#This Row],[homeScore]], Fixtures[[#This Row],[awayScore]], Fixtures[[#This Row],[homeScore]]))</f>
        <v>N/A</v>
      </c>
      <c r="AF490" s="58" t="b">
        <f>NOT(AND(ISBLANK(Fixtures[[#This Row],[homePens]]), ISBLANK(Fixtures[[#This Row],[awayPens]])))</f>
        <v>0</v>
      </c>
      <c r="AG490" s="58" t="str">
        <f>IF(Fixtures[[#This Row],[penalties]], IF(Fixtures[[#This Row],[userSide]]="H", Fixtures[[#This Row],[homePens]], Fixtures[[#This Row],[awayPens]]), "N/A")</f>
        <v>N/A</v>
      </c>
      <c r="AH490" s="58" t="str">
        <f>IF(Fixtures[[#This Row],[penalties]], IF(Fixtures[[#This Row],[userPens]]=Fixtures[[#This Row],[homePens]],Fixtures[[#This Row],[awayPens]],Fixtures[[#This Row],[homePens]]), "N/A")</f>
        <v>N/A</v>
      </c>
      <c r="AI490" s="58" t="b">
        <f>COUNTBLANK(Fixtures[[#This Row],[G]:[MOTM]]) = 0</f>
        <v>0</v>
      </c>
      <c r="AJ490" s="58" t="str">
        <f>IF(Fixtures[[#This Row],[APP]], Fixtures[[#This Row],[G]]+Fixtures[[#This Row],[A]], "N/A")</f>
        <v>N/A</v>
      </c>
      <c r="AK4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1" spans="1:39" ht="13">
      <c r="A491" s="55"/>
      <c r="B491" s="61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7"/>
      <c r="R491" s="56"/>
      <c r="S491" s="58" t="str" cm="1">
        <f t="array" ref="S491">_xlfn._xlws.FILTER(Competitions[compType], (Fixtures[[#This Row],[competition]] = Competitions[name]), "N/A")</f>
        <v>N/A</v>
      </c>
      <c r="T491" s="58" t="str" cm="1">
        <f t="array" ref="T491">_xlfn._xlws.FILTER(Competitions[exhibition], (Fixtures[[#This Row],[competition]] = Competitions[name]), "N/A")</f>
        <v>N/A</v>
      </c>
      <c r="U491" s="58" t="str" cm="1">
        <f t="array" ref="U491">_xlfn._xlws.FILTER(Competitions[compID], (Fixtures[[#This Row],[competition]] = Competitions[name]), "N/A")</f>
        <v>N/A</v>
      </c>
      <c r="V4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1" s="58" t="str" cm="1">
        <f t="array" ref="W4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1" s="58" t="str" cm="1">
        <f t="array" ref="X491">_xlfn._xlws.FILTER(Teams[name], (Fixtures[[#This Row],[userTeamID]] = Teams[teamID]), "N/A")</f>
        <v>N/A</v>
      </c>
      <c r="Y491" s="58" t="str" cm="1">
        <f t="array" ref="Y491">_xlfn._xlws.FILTER(Teams[teamType], (Fixtures[[#This Row],[userTeamID]] = Teams[teamID]), "N/A")</f>
        <v>N/A</v>
      </c>
      <c r="Z491" s="58" t="str" cm="1">
        <f t="array" ref="Z4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1" s="58" t="str">
        <f>IF(Fixtures[[#This Row],[userSide]] = "N/A", "N/A", IF(Fixtures[[#This Row],[userSide]] = "H", Fixtures[[#This Row],[awayTeam]], Fixtures[[#This Row],[homeTeam]]))</f>
        <v>N/A</v>
      </c>
      <c r="AB491" s="58" t="str" cm="1">
        <f t="array" ref="AB491">_xlfn._xlws.FILTER(Teams[teamID], Fixtures[[#This Row],[oppTeam]] = Teams[name], "N/A")</f>
        <v>N/A</v>
      </c>
      <c r="AC491" s="58" t="str" cm="1">
        <f t="array" ref="AC491">_xlfn._xlws.FILTER(Teams[teamType], Fixtures[[#This Row],[oppTeam]] = Teams[name], "N/A")</f>
        <v>N/A</v>
      </c>
      <c r="AD491" s="58" t="str">
        <f>IF(ISBLANK(Fixtures[[#This Row],[date]]), "N/A", IF(Fixtures[[#This Row],[userSide]]="H", Fixtures[[#This Row],[homeScore]], Fixtures[[#This Row],[awayScore]]))</f>
        <v>N/A</v>
      </c>
      <c r="AE491" s="58" t="str">
        <f>IF(ISBLANK(Fixtures[[#This Row],[date]]), "N/A", IF(Fixtures[[#This Row],[userScore]] = Fixtures[[#This Row],[homeScore]], Fixtures[[#This Row],[awayScore]], Fixtures[[#This Row],[homeScore]]))</f>
        <v>N/A</v>
      </c>
      <c r="AF491" s="58" t="b">
        <f>NOT(AND(ISBLANK(Fixtures[[#This Row],[homePens]]), ISBLANK(Fixtures[[#This Row],[awayPens]])))</f>
        <v>0</v>
      </c>
      <c r="AG491" s="58" t="str">
        <f>IF(Fixtures[[#This Row],[penalties]], IF(Fixtures[[#This Row],[userSide]]="H", Fixtures[[#This Row],[homePens]], Fixtures[[#This Row],[awayPens]]), "N/A")</f>
        <v>N/A</v>
      </c>
      <c r="AH491" s="58" t="str">
        <f>IF(Fixtures[[#This Row],[penalties]], IF(Fixtures[[#This Row],[userPens]]=Fixtures[[#This Row],[homePens]],Fixtures[[#This Row],[awayPens]],Fixtures[[#This Row],[homePens]]), "N/A")</f>
        <v>N/A</v>
      </c>
      <c r="AI491" s="58" t="b">
        <f>COUNTBLANK(Fixtures[[#This Row],[G]:[MOTM]]) = 0</f>
        <v>0</v>
      </c>
      <c r="AJ491" s="58" t="str">
        <f>IF(Fixtures[[#This Row],[APP]], Fixtures[[#This Row],[G]]+Fixtures[[#This Row],[A]], "N/A")</f>
        <v>N/A</v>
      </c>
      <c r="AK4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2" spans="1:39" ht="13">
      <c r="A492" s="55"/>
      <c r="B492" s="61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7"/>
      <c r="R492" s="56"/>
      <c r="S492" s="58" t="str" cm="1">
        <f t="array" ref="S492">_xlfn._xlws.FILTER(Competitions[compType], (Fixtures[[#This Row],[competition]] = Competitions[name]), "N/A")</f>
        <v>N/A</v>
      </c>
      <c r="T492" s="58" t="str" cm="1">
        <f t="array" ref="T492">_xlfn._xlws.FILTER(Competitions[exhibition], (Fixtures[[#This Row],[competition]] = Competitions[name]), "N/A")</f>
        <v>N/A</v>
      </c>
      <c r="U492" s="58" t="str" cm="1">
        <f t="array" ref="U492">_xlfn._xlws.FILTER(Competitions[compID], (Fixtures[[#This Row],[competition]] = Competitions[name]), "N/A")</f>
        <v>N/A</v>
      </c>
      <c r="V4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2" s="58" t="str" cm="1">
        <f t="array" ref="W4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2" s="58" t="str" cm="1">
        <f t="array" ref="X492">_xlfn._xlws.FILTER(Teams[name], (Fixtures[[#This Row],[userTeamID]] = Teams[teamID]), "N/A")</f>
        <v>N/A</v>
      </c>
      <c r="Y492" s="58" t="str" cm="1">
        <f t="array" ref="Y492">_xlfn._xlws.FILTER(Teams[teamType], (Fixtures[[#This Row],[userTeamID]] = Teams[teamID]), "N/A")</f>
        <v>N/A</v>
      </c>
      <c r="Z492" s="58" t="str" cm="1">
        <f t="array" ref="Z4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2" s="58" t="str">
        <f>IF(Fixtures[[#This Row],[userSide]] = "N/A", "N/A", IF(Fixtures[[#This Row],[userSide]] = "H", Fixtures[[#This Row],[awayTeam]], Fixtures[[#This Row],[homeTeam]]))</f>
        <v>N/A</v>
      </c>
      <c r="AB492" s="58" t="str" cm="1">
        <f t="array" ref="AB492">_xlfn._xlws.FILTER(Teams[teamID], Fixtures[[#This Row],[oppTeam]] = Teams[name], "N/A")</f>
        <v>N/A</v>
      </c>
      <c r="AC492" s="58" t="str" cm="1">
        <f t="array" ref="AC492">_xlfn._xlws.FILTER(Teams[teamType], Fixtures[[#This Row],[oppTeam]] = Teams[name], "N/A")</f>
        <v>N/A</v>
      </c>
      <c r="AD492" s="58" t="str">
        <f>IF(ISBLANK(Fixtures[[#This Row],[date]]), "N/A", IF(Fixtures[[#This Row],[userSide]]="H", Fixtures[[#This Row],[homeScore]], Fixtures[[#This Row],[awayScore]]))</f>
        <v>N/A</v>
      </c>
      <c r="AE492" s="58" t="str">
        <f>IF(ISBLANK(Fixtures[[#This Row],[date]]), "N/A", IF(Fixtures[[#This Row],[userScore]] = Fixtures[[#This Row],[homeScore]], Fixtures[[#This Row],[awayScore]], Fixtures[[#This Row],[homeScore]]))</f>
        <v>N/A</v>
      </c>
      <c r="AF492" s="58" t="b">
        <f>NOT(AND(ISBLANK(Fixtures[[#This Row],[homePens]]), ISBLANK(Fixtures[[#This Row],[awayPens]])))</f>
        <v>0</v>
      </c>
      <c r="AG492" s="58" t="str">
        <f>IF(Fixtures[[#This Row],[penalties]], IF(Fixtures[[#This Row],[userSide]]="H", Fixtures[[#This Row],[homePens]], Fixtures[[#This Row],[awayPens]]), "N/A")</f>
        <v>N/A</v>
      </c>
      <c r="AH492" s="58" t="str">
        <f>IF(Fixtures[[#This Row],[penalties]], IF(Fixtures[[#This Row],[userPens]]=Fixtures[[#This Row],[homePens]],Fixtures[[#This Row],[awayPens]],Fixtures[[#This Row],[homePens]]), "N/A")</f>
        <v>N/A</v>
      </c>
      <c r="AI492" s="58" t="b">
        <f>COUNTBLANK(Fixtures[[#This Row],[G]:[MOTM]]) = 0</f>
        <v>0</v>
      </c>
      <c r="AJ492" s="58" t="str">
        <f>IF(Fixtures[[#This Row],[APP]], Fixtures[[#This Row],[G]]+Fixtures[[#This Row],[A]], "N/A")</f>
        <v>N/A</v>
      </c>
      <c r="AK4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3" spans="1:39" ht="13">
      <c r="A493" s="55"/>
      <c r="B493" s="61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7"/>
      <c r="R493" s="56"/>
      <c r="S493" s="58" t="str" cm="1">
        <f t="array" ref="S493">_xlfn._xlws.FILTER(Competitions[compType], (Fixtures[[#This Row],[competition]] = Competitions[name]), "N/A")</f>
        <v>N/A</v>
      </c>
      <c r="T493" s="58" t="str" cm="1">
        <f t="array" ref="T493">_xlfn._xlws.FILTER(Competitions[exhibition], (Fixtures[[#This Row],[competition]] = Competitions[name]), "N/A")</f>
        <v>N/A</v>
      </c>
      <c r="U493" s="58" t="str" cm="1">
        <f t="array" ref="U493">_xlfn._xlws.FILTER(Competitions[compID], (Fixtures[[#This Row],[competition]] = Competitions[name]), "N/A")</f>
        <v>N/A</v>
      </c>
      <c r="V4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3" s="58" t="str" cm="1">
        <f t="array" ref="W4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3" s="58" t="str" cm="1">
        <f t="array" ref="X493">_xlfn._xlws.FILTER(Teams[name], (Fixtures[[#This Row],[userTeamID]] = Teams[teamID]), "N/A")</f>
        <v>N/A</v>
      </c>
      <c r="Y493" s="58" t="str" cm="1">
        <f t="array" ref="Y493">_xlfn._xlws.FILTER(Teams[teamType], (Fixtures[[#This Row],[userTeamID]] = Teams[teamID]), "N/A")</f>
        <v>N/A</v>
      </c>
      <c r="Z493" s="58" t="str" cm="1">
        <f t="array" ref="Z4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3" s="58" t="str">
        <f>IF(Fixtures[[#This Row],[userSide]] = "N/A", "N/A", IF(Fixtures[[#This Row],[userSide]] = "H", Fixtures[[#This Row],[awayTeam]], Fixtures[[#This Row],[homeTeam]]))</f>
        <v>N/A</v>
      </c>
      <c r="AB493" s="58" t="str" cm="1">
        <f t="array" ref="AB493">_xlfn._xlws.FILTER(Teams[teamID], Fixtures[[#This Row],[oppTeam]] = Teams[name], "N/A")</f>
        <v>N/A</v>
      </c>
      <c r="AC493" s="58" t="str" cm="1">
        <f t="array" ref="AC493">_xlfn._xlws.FILTER(Teams[teamType], Fixtures[[#This Row],[oppTeam]] = Teams[name], "N/A")</f>
        <v>N/A</v>
      </c>
      <c r="AD493" s="58" t="str">
        <f>IF(ISBLANK(Fixtures[[#This Row],[date]]), "N/A", IF(Fixtures[[#This Row],[userSide]]="H", Fixtures[[#This Row],[homeScore]], Fixtures[[#This Row],[awayScore]]))</f>
        <v>N/A</v>
      </c>
      <c r="AE493" s="58" t="str">
        <f>IF(ISBLANK(Fixtures[[#This Row],[date]]), "N/A", IF(Fixtures[[#This Row],[userScore]] = Fixtures[[#This Row],[homeScore]], Fixtures[[#This Row],[awayScore]], Fixtures[[#This Row],[homeScore]]))</f>
        <v>N/A</v>
      </c>
      <c r="AF493" s="58" t="b">
        <f>NOT(AND(ISBLANK(Fixtures[[#This Row],[homePens]]), ISBLANK(Fixtures[[#This Row],[awayPens]])))</f>
        <v>0</v>
      </c>
      <c r="AG493" s="58" t="str">
        <f>IF(Fixtures[[#This Row],[penalties]], IF(Fixtures[[#This Row],[userSide]]="H", Fixtures[[#This Row],[homePens]], Fixtures[[#This Row],[awayPens]]), "N/A")</f>
        <v>N/A</v>
      </c>
      <c r="AH493" s="58" t="str">
        <f>IF(Fixtures[[#This Row],[penalties]], IF(Fixtures[[#This Row],[userPens]]=Fixtures[[#This Row],[homePens]],Fixtures[[#This Row],[awayPens]],Fixtures[[#This Row],[homePens]]), "N/A")</f>
        <v>N/A</v>
      </c>
      <c r="AI493" s="58" t="b">
        <f>COUNTBLANK(Fixtures[[#This Row],[G]:[MOTM]]) = 0</f>
        <v>0</v>
      </c>
      <c r="AJ493" s="58" t="str">
        <f>IF(Fixtures[[#This Row],[APP]], Fixtures[[#This Row],[G]]+Fixtures[[#This Row],[A]], "N/A")</f>
        <v>N/A</v>
      </c>
      <c r="AK4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4" spans="1:39" ht="13">
      <c r="A494" s="55"/>
      <c r="B494" s="61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7"/>
      <c r="R494" s="56"/>
      <c r="S494" s="58" t="str" cm="1">
        <f t="array" ref="S494">_xlfn._xlws.FILTER(Competitions[compType], (Fixtures[[#This Row],[competition]] = Competitions[name]), "N/A")</f>
        <v>N/A</v>
      </c>
      <c r="T494" s="58" t="str" cm="1">
        <f t="array" ref="T494">_xlfn._xlws.FILTER(Competitions[exhibition], (Fixtures[[#This Row],[competition]] = Competitions[name]), "N/A")</f>
        <v>N/A</v>
      </c>
      <c r="U494" s="58" t="str" cm="1">
        <f t="array" ref="U494">_xlfn._xlws.FILTER(Competitions[compID], (Fixtures[[#This Row],[competition]] = Competitions[name]), "N/A")</f>
        <v>N/A</v>
      </c>
      <c r="V4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4" s="58" t="str" cm="1">
        <f t="array" ref="W4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4" s="58" t="str" cm="1">
        <f t="array" ref="X494">_xlfn._xlws.FILTER(Teams[name], (Fixtures[[#This Row],[userTeamID]] = Teams[teamID]), "N/A")</f>
        <v>N/A</v>
      </c>
      <c r="Y494" s="58" t="str" cm="1">
        <f t="array" ref="Y494">_xlfn._xlws.FILTER(Teams[teamType], (Fixtures[[#This Row],[userTeamID]] = Teams[teamID]), "N/A")</f>
        <v>N/A</v>
      </c>
      <c r="Z494" s="58" t="str" cm="1">
        <f t="array" ref="Z4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4" s="58" t="str">
        <f>IF(Fixtures[[#This Row],[userSide]] = "N/A", "N/A", IF(Fixtures[[#This Row],[userSide]] = "H", Fixtures[[#This Row],[awayTeam]], Fixtures[[#This Row],[homeTeam]]))</f>
        <v>N/A</v>
      </c>
      <c r="AB494" s="58" t="str" cm="1">
        <f t="array" ref="AB494">_xlfn._xlws.FILTER(Teams[teamID], Fixtures[[#This Row],[oppTeam]] = Teams[name], "N/A")</f>
        <v>N/A</v>
      </c>
      <c r="AC494" s="58" t="str" cm="1">
        <f t="array" ref="AC494">_xlfn._xlws.FILTER(Teams[teamType], Fixtures[[#This Row],[oppTeam]] = Teams[name], "N/A")</f>
        <v>N/A</v>
      </c>
      <c r="AD494" s="58" t="str">
        <f>IF(ISBLANK(Fixtures[[#This Row],[date]]), "N/A", IF(Fixtures[[#This Row],[userSide]]="H", Fixtures[[#This Row],[homeScore]], Fixtures[[#This Row],[awayScore]]))</f>
        <v>N/A</v>
      </c>
      <c r="AE494" s="58" t="str">
        <f>IF(ISBLANK(Fixtures[[#This Row],[date]]), "N/A", IF(Fixtures[[#This Row],[userScore]] = Fixtures[[#This Row],[homeScore]], Fixtures[[#This Row],[awayScore]], Fixtures[[#This Row],[homeScore]]))</f>
        <v>N/A</v>
      </c>
      <c r="AF494" s="58" t="b">
        <f>NOT(AND(ISBLANK(Fixtures[[#This Row],[homePens]]), ISBLANK(Fixtures[[#This Row],[awayPens]])))</f>
        <v>0</v>
      </c>
      <c r="AG494" s="58" t="str">
        <f>IF(Fixtures[[#This Row],[penalties]], IF(Fixtures[[#This Row],[userSide]]="H", Fixtures[[#This Row],[homePens]], Fixtures[[#This Row],[awayPens]]), "N/A")</f>
        <v>N/A</v>
      </c>
      <c r="AH494" s="58" t="str">
        <f>IF(Fixtures[[#This Row],[penalties]], IF(Fixtures[[#This Row],[userPens]]=Fixtures[[#This Row],[homePens]],Fixtures[[#This Row],[awayPens]],Fixtures[[#This Row],[homePens]]), "N/A")</f>
        <v>N/A</v>
      </c>
      <c r="AI494" s="58" t="b">
        <f>COUNTBLANK(Fixtures[[#This Row],[G]:[MOTM]]) = 0</f>
        <v>0</v>
      </c>
      <c r="AJ494" s="58" t="str">
        <f>IF(Fixtures[[#This Row],[APP]], Fixtures[[#This Row],[G]]+Fixtures[[#This Row],[A]], "N/A")</f>
        <v>N/A</v>
      </c>
      <c r="AK4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5" spans="1:39" ht="13">
      <c r="A495" s="55"/>
      <c r="B495" s="61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7"/>
      <c r="R495" s="56"/>
      <c r="S495" s="58" t="str" cm="1">
        <f t="array" ref="S495">_xlfn._xlws.FILTER(Competitions[compType], (Fixtures[[#This Row],[competition]] = Competitions[name]), "N/A")</f>
        <v>N/A</v>
      </c>
      <c r="T495" s="58" t="str" cm="1">
        <f t="array" ref="T495">_xlfn._xlws.FILTER(Competitions[exhibition], (Fixtures[[#This Row],[competition]] = Competitions[name]), "N/A")</f>
        <v>N/A</v>
      </c>
      <c r="U495" s="58" t="str" cm="1">
        <f t="array" ref="U495">_xlfn._xlws.FILTER(Competitions[compID], (Fixtures[[#This Row],[competition]] = Competitions[name]), "N/A")</f>
        <v>N/A</v>
      </c>
      <c r="V4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5" s="58" t="str" cm="1">
        <f t="array" ref="W4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5" s="58" t="str" cm="1">
        <f t="array" ref="X495">_xlfn._xlws.FILTER(Teams[name], (Fixtures[[#This Row],[userTeamID]] = Teams[teamID]), "N/A")</f>
        <v>N/A</v>
      </c>
      <c r="Y495" s="58" t="str" cm="1">
        <f t="array" ref="Y495">_xlfn._xlws.FILTER(Teams[teamType], (Fixtures[[#This Row],[userTeamID]] = Teams[teamID]), "N/A")</f>
        <v>N/A</v>
      </c>
      <c r="Z495" s="58" t="str" cm="1">
        <f t="array" ref="Z4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5" s="58" t="str">
        <f>IF(Fixtures[[#This Row],[userSide]] = "N/A", "N/A", IF(Fixtures[[#This Row],[userSide]] = "H", Fixtures[[#This Row],[awayTeam]], Fixtures[[#This Row],[homeTeam]]))</f>
        <v>N/A</v>
      </c>
      <c r="AB495" s="58" t="str" cm="1">
        <f t="array" ref="AB495">_xlfn._xlws.FILTER(Teams[teamID], Fixtures[[#This Row],[oppTeam]] = Teams[name], "N/A")</f>
        <v>N/A</v>
      </c>
      <c r="AC495" s="58" t="str" cm="1">
        <f t="array" ref="AC495">_xlfn._xlws.FILTER(Teams[teamType], Fixtures[[#This Row],[oppTeam]] = Teams[name], "N/A")</f>
        <v>N/A</v>
      </c>
      <c r="AD495" s="58" t="str">
        <f>IF(ISBLANK(Fixtures[[#This Row],[date]]), "N/A", IF(Fixtures[[#This Row],[userSide]]="H", Fixtures[[#This Row],[homeScore]], Fixtures[[#This Row],[awayScore]]))</f>
        <v>N/A</v>
      </c>
      <c r="AE495" s="58" t="str">
        <f>IF(ISBLANK(Fixtures[[#This Row],[date]]), "N/A", IF(Fixtures[[#This Row],[userScore]] = Fixtures[[#This Row],[homeScore]], Fixtures[[#This Row],[awayScore]], Fixtures[[#This Row],[homeScore]]))</f>
        <v>N/A</v>
      </c>
      <c r="AF495" s="58" t="b">
        <f>NOT(AND(ISBLANK(Fixtures[[#This Row],[homePens]]), ISBLANK(Fixtures[[#This Row],[awayPens]])))</f>
        <v>0</v>
      </c>
      <c r="AG495" s="58" t="str">
        <f>IF(Fixtures[[#This Row],[penalties]], IF(Fixtures[[#This Row],[userSide]]="H", Fixtures[[#This Row],[homePens]], Fixtures[[#This Row],[awayPens]]), "N/A")</f>
        <v>N/A</v>
      </c>
      <c r="AH495" s="58" t="str">
        <f>IF(Fixtures[[#This Row],[penalties]], IF(Fixtures[[#This Row],[userPens]]=Fixtures[[#This Row],[homePens]],Fixtures[[#This Row],[awayPens]],Fixtures[[#This Row],[homePens]]), "N/A")</f>
        <v>N/A</v>
      </c>
      <c r="AI495" s="58" t="b">
        <f>COUNTBLANK(Fixtures[[#This Row],[G]:[MOTM]]) = 0</f>
        <v>0</v>
      </c>
      <c r="AJ495" s="58" t="str">
        <f>IF(Fixtures[[#This Row],[APP]], Fixtures[[#This Row],[G]]+Fixtures[[#This Row],[A]], "N/A")</f>
        <v>N/A</v>
      </c>
      <c r="AK4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6" spans="1:39" ht="13">
      <c r="A496" s="55"/>
      <c r="B496" s="61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7"/>
      <c r="R496" s="56"/>
      <c r="S496" s="58" t="str" cm="1">
        <f t="array" ref="S496">_xlfn._xlws.FILTER(Competitions[compType], (Fixtures[[#This Row],[competition]] = Competitions[name]), "N/A")</f>
        <v>N/A</v>
      </c>
      <c r="T496" s="58" t="str" cm="1">
        <f t="array" ref="T496">_xlfn._xlws.FILTER(Competitions[exhibition], (Fixtures[[#This Row],[competition]] = Competitions[name]), "N/A")</f>
        <v>N/A</v>
      </c>
      <c r="U496" s="58" t="str" cm="1">
        <f t="array" ref="U496">_xlfn._xlws.FILTER(Competitions[compID], (Fixtures[[#This Row],[competition]] = Competitions[name]), "N/A")</f>
        <v>N/A</v>
      </c>
      <c r="V4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6" s="58" t="str" cm="1">
        <f t="array" ref="W4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6" s="58" t="str" cm="1">
        <f t="array" ref="X496">_xlfn._xlws.FILTER(Teams[name], (Fixtures[[#This Row],[userTeamID]] = Teams[teamID]), "N/A")</f>
        <v>N/A</v>
      </c>
      <c r="Y496" s="58" t="str" cm="1">
        <f t="array" ref="Y496">_xlfn._xlws.FILTER(Teams[teamType], (Fixtures[[#This Row],[userTeamID]] = Teams[teamID]), "N/A")</f>
        <v>N/A</v>
      </c>
      <c r="Z496" s="58" t="str" cm="1">
        <f t="array" ref="Z4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6" s="58" t="str">
        <f>IF(Fixtures[[#This Row],[userSide]] = "N/A", "N/A", IF(Fixtures[[#This Row],[userSide]] = "H", Fixtures[[#This Row],[awayTeam]], Fixtures[[#This Row],[homeTeam]]))</f>
        <v>N/A</v>
      </c>
      <c r="AB496" s="58" t="str" cm="1">
        <f t="array" ref="AB496">_xlfn._xlws.FILTER(Teams[teamID], Fixtures[[#This Row],[oppTeam]] = Teams[name], "N/A")</f>
        <v>N/A</v>
      </c>
      <c r="AC496" s="58" t="str" cm="1">
        <f t="array" ref="AC496">_xlfn._xlws.FILTER(Teams[teamType], Fixtures[[#This Row],[oppTeam]] = Teams[name], "N/A")</f>
        <v>N/A</v>
      </c>
      <c r="AD496" s="58" t="str">
        <f>IF(ISBLANK(Fixtures[[#This Row],[date]]), "N/A", IF(Fixtures[[#This Row],[userSide]]="H", Fixtures[[#This Row],[homeScore]], Fixtures[[#This Row],[awayScore]]))</f>
        <v>N/A</v>
      </c>
      <c r="AE496" s="58" t="str">
        <f>IF(ISBLANK(Fixtures[[#This Row],[date]]), "N/A", IF(Fixtures[[#This Row],[userScore]] = Fixtures[[#This Row],[homeScore]], Fixtures[[#This Row],[awayScore]], Fixtures[[#This Row],[homeScore]]))</f>
        <v>N/A</v>
      </c>
      <c r="AF496" s="58" t="b">
        <f>NOT(AND(ISBLANK(Fixtures[[#This Row],[homePens]]), ISBLANK(Fixtures[[#This Row],[awayPens]])))</f>
        <v>0</v>
      </c>
      <c r="AG496" s="58" t="str">
        <f>IF(Fixtures[[#This Row],[penalties]], IF(Fixtures[[#This Row],[userSide]]="H", Fixtures[[#This Row],[homePens]], Fixtures[[#This Row],[awayPens]]), "N/A")</f>
        <v>N/A</v>
      </c>
      <c r="AH496" s="58" t="str">
        <f>IF(Fixtures[[#This Row],[penalties]], IF(Fixtures[[#This Row],[userPens]]=Fixtures[[#This Row],[homePens]],Fixtures[[#This Row],[awayPens]],Fixtures[[#This Row],[homePens]]), "N/A")</f>
        <v>N/A</v>
      </c>
      <c r="AI496" s="58" t="b">
        <f>COUNTBLANK(Fixtures[[#This Row],[G]:[MOTM]]) = 0</f>
        <v>0</v>
      </c>
      <c r="AJ496" s="58" t="str">
        <f>IF(Fixtures[[#This Row],[APP]], Fixtures[[#This Row],[G]]+Fixtures[[#This Row],[A]], "N/A")</f>
        <v>N/A</v>
      </c>
      <c r="AK4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7" spans="1:39" ht="13">
      <c r="A497" s="55"/>
      <c r="B497" s="61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7"/>
      <c r="R497" s="56"/>
      <c r="S497" s="58" t="str" cm="1">
        <f t="array" ref="S497">_xlfn._xlws.FILTER(Competitions[compType], (Fixtures[[#This Row],[competition]] = Competitions[name]), "N/A")</f>
        <v>N/A</v>
      </c>
      <c r="T497" s="58" t="str" cm="1">
        <f t="array" ref="T497">_xlfn._xlws.FILTER(Competitions[exhibition], (Fixtures[[#This Row],[competition]] = Competitions[name]), "N/A")</f>
        <v>N/A</v>
      </c>
      <c r="U497" s="58" t="str" cm="1">
        <f t="array" ref="U497">_xlfn._xlws.FILTER(Competitions[compID], (Fixtures[[#This Row],[competition]] = Competitions[name]), "N/A")</f>
        <v>N/A</v>
      </c>
      <c r="V4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7" s="58" t="str" cm="1">
        <f t="array" ref="W4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7" s="58" t="str" cm="1">
        <f t="array" ref="X497">_xlfn._xlws.FILTER(Teams[name], (Fixtures[[#This Row],[userTeamID]] = Teams[teamID]), "N/A")</f>
        <v>N/A</v>
      </c>
      <c r="Y497" s="58" t="str" cm="1">
        <f t="array" ref="Y497">_xlfn._xlws.FILTER(Teams[teamType], (Fixtures[[#This Row],[userTeamID]] = Teams[teamID]), "N/A")</f>
        <v>N/A</v>
      </c>
      <c r="Z497" s="58" t="str" cm="1">
        <f t="array" ref="Z4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7" s="58" t="str">
        <f>IF(Fixtures[[#This Row],[userSide]] = "N/A", "N/A", IF(Fixtures[[#This Row],[userSide]] = "H", Fixtures[[#This Row],[awayTeam]], Fixtures[[#This Row],[homeTeam]]))</f>
        <v>N/A</v>
      </c>
      <c r="AB497" s="58" t="str" cm="1">
        <f t="array" ref="AB497">_xlfn._xlws.FILTER(Teams[teamID], Fixtures[[#This Row],[oppTeam]] = Teams[name], "N/A")</f>
        <v>N/A</v>
      </c>
      <c r="AC497" s="58" t="str" cm="1">
        <f t="array" ref="AC497">_xlfn._xlws.FILTER(Teams[teamType], Fixtures[[#This Row],[oppTeam]] = Teams[name], "N/A")</f>
        <v>N/A</v>
      </c>
      <c r="AD497" s="58" t="str">
        <f>IF(ISBLANK(Fixtures[[#This Row],[date]]), "N/A", IF(Fixtures[[#This Row],[userSide]]="H", Fixtures[[#This Row],[homeScore]], Fixtures[[#This Row],[awayScore]]))</f>
        <v>N/A</v>
      </c>
      <c r="AE497" s="58" t="str">
        <f>IF(ISBLANK(Fixtures[[#This Row],[date]]), "N/A", IF(Fixtures[[#This Row],[userScore]] = Fixtures[[#This Row],[homeScore]], Fixtures[[#This Row],[awayScore]], Fixtures[[#This Row],[homeScore]]))</f>
        <v>N/A</v>
      </c>
      <c r="AF497" s="58" t="b">
        <f>NOT(AND(ISBLANK(Fixtures[[#This Row],[homePens]]), ISBLANK(Fixtures[[#This Row],[awayPens]])))</f>
        <v>0</v>
      </c>
      <c r="AG497" s="58" t="str">
        <f>IF(Fixtures[[#This Row],[penalties]], IF(Fixtures[[#This Row],[userSide]]="H", Fixtures[[#This Row],[homePens]], Fixtures[[#This Row],[awayPens]]), "N/A")</f>
        <v>N/A</v>
      </c>
      <c r="AH497" s="58" t="str">
        <f>IF(Fixtures[[#This Row],[penalties]], IF(Fixtures[[#This Row],[userPens]]=Fixtures[[#This Row],[homePens]],Fixtures[[#This Row],[awayPens]],Fixtures[[#This Row],[homePens]]), "N/A")</f>
        <v>N/A</v>
      </c>
      <c r="AI497" s="58" t="b">
        <f>COUNTBLANK(Fixtures[[#This Row],[G]:[MOTM]]) = 0</f>
        <v>0</v>
      </c>
      <c r="AJ497" s="58" t="str">
        <f>IF(Fixtures[[#This Row],[APP]], Fixtures[[#This Row],[G]]+Fixtures[[#This Row],[A]], "N/A")</f>
        <v>N/A</v>
      </c>
      <c r="AK4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8" spans="1:39" ht="13">
      <c r="A498" s="55"/>
      <c r="B498" s="61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7"/>
      <c r="R498" s="56"/>
      <c r="S498" s="58" t="str" cm="1">
        <f t="array" ref="S498">_xlfn._xlws.FILTER(Competitions[compType], (Fixtures[[#This Row],[competition]] = Competitions[name]), "N/A")</f>
        <v>N/A</v>
      </c>
      <c r="T498" s="58" t="str" cm="1">
        <f t="array" ref="T498">_xlfn._xlws.FILTER(Competitions[exhibition], (Fixtures[[#This Row],[competition]] = Competitions[name]), "N/A")</f>
        <v>N/A</v>
      </c>
      <c r="U498" s="58" t="str" cm="1">
        <f t="array" ref="U498">_xlfn._xlws.FILTER(Competitions[compID], (Fixtures[[#This Row],[competition]] = Competitions[name]), "N/A")</f>
        <v>N/A</v>
      </c>
      <c r="V4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8" s="58" t="str" cm="1">
        <f t="array" ref="W4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8" s="58" t="str" cm="1">
        <f t="array" ref="X498">_xlfn._xlws.FILTER(Teams[name], (Fixtures[[#This Row],[userTeamID]] = Teams[teamID]), "N/A")</f>
        <v>N/A</v>
      </c>
      <c r="Y498" s="58" t="str" cm="1">
        <f t="array" ref="Y498">_xlfn._xlws.FILTER(Teams[teamType], (Fixtures[[#This Row],[userTeamID]] = Teams[teamID]), "N/A")</f>
        <v>N/A</v>
      </c>
      <c r="Z498" s="58" t="str" cm="1">
        <f t="array" ref="Z4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8" s="58" t="str">
        <f>IF(Fixtures[[#This Row],[userSide]] = "N/A", "N/A", IF(Fixtures[[#This Row],[userSide]] = "H", Fixtures[[#This Row],[awayTeam]], Fixtures[[#This Row],[homeTeam]]))</f>
        <v>N/A</v>
      </c>
      <c r="AB498" s="58" t="str" cm="1">
        <f t="array" ref="AB498">_xlfn._xlws.FILTER(Teams[teamID], Fixtures[[#This Row],[oppTeam]] = Teams[name], "N/A")</f>
        <v>N/A</v>
      </c>
      <c r="AC498" s="58" t="str" cm="1">
        <f t="array" ref="AC498">_xlfn._xlws.FILTER(Teams[teamType], Fixtures[[#This Row],[oppTeam]] = Teams[name], "N/A")</f>
        <v>N/A</v>
      </c>
      <c r="AD498" s="58" t="str">
        <f>IF(ISBLANK(Fixtures[[#This Row],[date]]), "N/A", IF(Fixtures[[#This Row],[userSide]]="H", Fixtures[[#This Row],[homeScore]], Fixtures[[#This Row],[awayScore]]))</f>
        <v>N/A</v>
      </c>
      <c r="AE498" s="58" t="str">
        <f>IF(ISBLANK(Fixtures[[#This Row],[date]]), "N/A", IF(Fixtures[[#This Row],[userScore]] = Fixtures[[#This Row],[homeScore]], Fixtures[[#This Row],[awayScore]], Fixtures[[#This Row],[homeScore]]))</f>
        <v>N/A</v>
      </c>
      <c r="AF498" s="58" t="b">
        <f>NOT(AND(ISBLANK(Fixtures[[#This Row],[homePens]]), ISBLANK(Fixtures[[#This Row],[awayPens]])))</f>
        <v>0</v>
      </c>
      <c r="AG498" s="58" t="str">
        <f>IF(Fixtures[[#This Row],[penalties]], IF(Fixtures[[#This Row],[userSide]]="H", Fixtures[[#This Row],[homePens]], Fixtures[[#This Row],[awayPens]]), "N/A")</f>
        <v>N/A</v>
      </c>
      <c r="AH498" s="58" t="str">
        <f>IF(Fixtures[[#This Row],[penalties]], IF(Fixtures[[#This Row],[userPens]]=Fixtures[[#This Row],[homePens]],Fixtures[[#This Row],[awayPens]],Fixtures[[#This Row],[homePens]]), "N/A")</f>
        <v>N/A</v>
      </c>
      <c r="AI498" s="58" t="b">
        <f>COUNTBLANK(Fixtures[[#This Row],[G]:[MOTM]]) = 0</f>
        <v>0</v>
      </c>
      <c r="AJ498" s="58" t="str">
        <f>IF(Fixtures[[#This Row],[APP]], Fixtures[[#This Row],[G]]+Fixtures[[#This Row],[A]], "N/A")</f>
        <v>N/A</v>
      </c>
      <c r="AK4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499" spans="1:39" ht="13">
      <c r="A499" s="55"/>
      <c r="B499" s="61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7"/>
      <c r="R499" s="56"/>
      <c r="S499" s="58" t="str" cm="1">
        <f t="array" ref="S499">_xlfn._xlws.FILTER(Competitions[compType], (Fixtures[[#This Row],[competition]] = Competitions[name]), "N/A")</f>
        <v>N/A</v>
      </c>
      <c r="T499" s="58" t="str" cm="1">
        <f t="array" ref="T499">_xlfn._xlws.FILTER(Competitions[exhibition], (Fixtures[[#This Row],[competition]] = Competitions[name]), "N/A")</f>
        <v>N/A</v>
      </c>
      <c r="U499" s="58" t="str" cm="1">
        <f t="array" ref="U499">_xlfn._xlws.FILTER(Competitions[compID], (Fixtures[[#This Row],[competition]] = Competitions[name]), "N/A")</f>
        <v>N/A</v>
      </c>
      <c r="V4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499" s="58" t="str" cm="1">
        <f t="array" ref="W4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499" s="58" t="str" cm="1">
        <f t="array" ref="X499">_xlfn._xlws.FILTER(Teams[name], (Fixtures[[#This Row],[userTeamID]] = Teams[teamID]), "N/A")</f>
        <v>N/A</v>
      </c>
      <c r="Y499" s="58" t="str" cm="1">
        <f t="array" ref="Y499">_xlfn._xlws.FILTER(Teams[teamType], (Fixtures[[#This Row],[userTeamID]] = Teams[teamID]), "N/A")</f>
        <v>N/A</v>
      </c>
      <c r="Z499" s="58" t="str" cm="1">
        <f t="array" ref="Z4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499" s="58" t="str">
        <f>IF(Fixtures[[#This Row],[userSide]] = "N/A", "N/A", IF(Fixtures[[#This Row],[userSide]] = "H", Fixtures[[#This Row],[awayTeam]], Fixtures[[#This Row],[homeTeam]]))</f>
        <v>N/A</v>
      </c>
      <c r="AB499" s="58" t="str" cm="1">
        <f t="array" ref="AB499">_xlfn._xlws.FILTER(Teams[teamID], Fixtures[[#This Row],[oppTeam]] = Teams[name], "N/A")</f>
        <v>N/A</v>
      </c>
      <c r="AC499" s="58" t="str" cm="1">
        <f t="array" ref="AC499">_xlfn._xlws.FILTER(Teams[teamType], Fixtures[[#This Row],[oppTeam]] = Teams[name], "N/A")</f>
        <v>N/A</v>
      </c>
      <c r="AD499" s="58" t="str">
        <f>IF(ISBLANK(Fixtures[[#This Row],[date]]), "N/A", IF(Fixtures[[#This Row],[userSide]]="H", Fixtures[[#This Row],[homeScore]], Fixtures[[#This Row],[awayScore]]))</f>
        <v>N/A</v>
      </c>
      <c r="AE499" s="58" t="str">
        <f>IF(ISBLANK(Fixtures[[#This Row],[date]]), "N/A", IF(Fixtures[[#This Row],[userScore]] = Fixtures[[#This Row],[homeScore]], Fixtures[[#This Row],[awayScore]], Fixtures[[#This Row],[homeScore]]))</f>
        <v>N/A</v>
      </c>
      <c r="AF499" s="58" t="b">
        <f>NOT(AND(ISBLANK(Fixtures[[#This Row],[homePens]]), ISBLANK(Fixtures[[#This Row],[awayPens]])))</f>
        <v>0</v>
      </c>
      <c r="AG499" s="58" t="str">
        <f>IF(Fixtures[[#This Row],[penalties]], IF(Fixtures[[#This Row],[userSide]]="H", Fixtures[[#This Row],[homePens]], Fixtures[[#This Row],[awayPens]]), "N/A")</f>
        <v>N/A</v>
      </c>
      <c r="AH499" s="58" t="str">
        <f>IF(Fixtures[[#This Row],[penalties]], IF(Fixtures[[#This Row],[userPens]]=Fixtures[[#This Row],[homePens]],Fixtures[[#This Row],[awayPens]],Fixtures[[#This Row],[homePens]]), "N/A")</f>
        <v>N/A</v>
      </c>
      <c r="AI499" s="58" t="b">
        <f>COUNTBLANK(Fixtures[[#This Row],[G]:[MOTM]]) = 0</f>
        <v>0</v>
      </c>
      <c r="AJ499" s="58" t="str">
        <f>IF(Fixtures[[#This Row],[APP]], Fixtures[[#This Row],[G]]+Fixtures[[#This Row],[A]], "N/A")</f>
        <v>N/A</v>
      </c>
      <c r="AK4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4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4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0" spans="1:39" ht="13">
      <c r="A500" s="55"/>
      <c r="B500" s="61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7"/>
      <c r="R500" s="56"/>
      <c r="S500" s="58" t="str" cm="1">
        <f t="array" ref="S500">_xlfn._xlws.FILTER(Competitions[compType], (Fixtures[[#This Row],[competition]] = Competitions[name]), "N/A")</f>
        <v>N/A</v>
      </c>
      <c r="T500" s="58" t="str" cm="1">
        <f t="array" ref="T500">_xlfn._xlws.FILTER(Competitions[exhibition], (Fixtures[[#This Row],[competition]] = Competitions[name]), "N/A")</f>
        <v>N/A</v>
      </c>
      <c r="U500" s="58" t="str" cm="1">
        <f t="array" ref="U500">_xlfn._xlws.FILTER(Competitions[compID], (Fixtures[[#This Row],[competition]] = Competitions[name]), "N/A")</f>
        <v>N/A</v>
      </c>
      <c r="V5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0" s="58" t="str" cm="1">
        <f t="array" ref="W5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0" s="58" t="str" cm="1">
        <f t="array" ref="X500">_xlfn._xlws.FILTER(Teams[name], (Fixtures[[#This Row],[userTeamID]] = Teams[teamID]), "N/A")</f>
        <v>N/A</v>
      </c>
      <c r="Y500" s="58" t="str" cm="1">
        <f t="array" ref="Y500">_xlfn._xlws.FILTER(Teams[teamType], (Fixtures[[#This Row],[userTeamID]] = Teams[teamID]), "N/A")</f>
        <v>N/A</v>
      </c>
      <c r="Z500" s="58" t="str" cm="1">
        <f t="array" ref="Z5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0" s="58" t="str">
        <f>IF(Fixtures[[#This Row],[userSide]] = "N/A", "N/A", IF(Fixtures[[#This Row],[userSide]] = "H", Fixtures[[#This Row],[awayTeam]], Fixtures[[#This Row],[homeTeam]]))</f>
        <v>N/A</v>
      </c>
      <c r="AB500" s="58" t="str" cm="1">
        <f t="array" ref="AB500">_xlfn._xlws.FILTER(Teams[teamID], Fixtures[[#This Row],[oppTeam]] = Teams[name], "N/A")</f>
        <v>N/A</v>
      </c>
      <c r="AC500" s="58" t="str" cm="1">
        <f t="array" ref="AC500">_xlfn._xlws.FILTER(Teams[teamType], Fixtures[[#This Row],[oppTeam]] = Teams[name], "N/A")</f>
        <v>N/A</v>
      </c>
      <c r="AD500" s="58" t="str">
        <f>IF(ISBLANK(Fixtures[[#This Row],[date]]), "N/A", IF(Fixtures[[#This Row],[userSide]]="H", Fixtures[[#This Row],[homeScore]], Fixtures[[#This Row],[awayScore]]))</f>
        <v>N/A</v>
      </c>
      <c r="AE500" s="58" t="str">
        <f>IF(ISBLANK(Fixtures[[#This Row],[date]]), "N/A", IF(Fixtures[[#This Row],[userScore]] = Fixtures[[#This Row],[homeScore]], Fixtures[[#This Row],[awayScore]], Fixtures[[#This Row],[homeScore]]))</f>
        <v>N/A</v>
      </c>
      <c r="AF500" s="58" t="b">
        <f>NOT(AND(ISBLANK(Fixtures[[#This Row],[homePens]]), ISBLANK(Fixtures[[#This Row],[awayPens]])))</f>
        <v>0</v>
      </c>
      <c r="AG500" s="58" t="str">
        <f>IF(Fixtures[[#This Row],[penalties]], IF(Fixtures[[#This Row],[userSide]]="H", Fixtures[[#This Row],[homePens]], Fixtures[[#This Row],[awayPens]]), "N/A")</f>
        <v>N/A</v>
      </c>
      <c r="AH500" s="58" t="str">
        <f>IF(Fixtures[[#This Row],[penalties]], IF(Fixtures[[#This Row],[userPens]]=Fixtures[[#This Row],[homePens]],Fixtures[[#This Row],[awayPens]],Fixtures[[#This Row],[homePens]]), "N/A")</f>
        <v>N/A</v>
      </c>
      <c r="AI500" s="58" t="b">
        <f>COUNTBLANK(Fixtures[[#This Row],[G]:[MOTM]]) = 0</f>
        <v>0</v>
      </c>
      <c r="AJ500" s="58" t="str">
        <f>IF(Fixtures[[#This Row],[APP]], Fixtures[[#This Row],[G]]+Fixtures[[#This Row],[A]], "N/A")</f>
        <v>N/A</v>
      </c>
      <c r="AK5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1" spans="1:39" ht="13">
      <c r="A501" s="55"/>
      <c r="B501" s="61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7"/>
      <c r="R501" s="56"/>
      <c r="S501" s="58" t="str" cm="1">
        <f t="array" ref="S501">_xlfn._xlws.FILTER(Competitions[compType], (Fixtures[[#This Row],[competition]] = Competitions[name]), "N/A")</f>
        <v>N/A</v>
      </c>
      <c r="T501" s="58" t="str" cm="1">
        <f t="array" ref="T501">_xlfn._xlws.FILTER(Competitions[exhibition], (Fixtures[[#This Row],[competition]] = Competitions[name]), "N/A")</f>
        <v>N/A</v>
      </c>
      <c r="U501" s="58" t="str" cm="1">
        <f t="array" ref="U501">_xlfn._xlws.FILTER(Competitions[compID], (Fixtures[[#This Row],[competition]] = Competitions[name]), "N/A")</f>
        <v>N/A</v>
      </c>
      <c r="V5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1" s="58" t="str" cm="1">
        <f t="array" ref="W5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1" s="58" t="str" cm="1">
        <f t="array" ref="X501">_xlfn._xlws.FILTER(Teams[name], (Fixtures[[#This Row],[userTeamID]] = Teams[teamID]), "N/A")</f>
        <v>N/A</v>
      </c>
      <c r="Y501" s="58" t="str" cm="1">
        <f t="array" ref="Y501">_xlfn._xlws.FILTER(Teams[teamType], (Fixtures[[#This Row],[userTeamID]] = Teams[teamID]), "N/A")</f>
        <v>N/A</v>
      </c>
      <c r="Z501" s="58" t="str" cm="1">
        <f t="array" ref="Z5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1" s="58" t="str">
        <f>IF(Fixtures[[#This Row],[userSide]] = "N/A", "N/A", IF(Fixtures[[#This Row],[userSide]] = "H", Fixtures[[#This Row],[awayTeam]], Fixtures[[#This Row],[homeTeam]]))</f>
        <v>N/A</v>
      </c>
      <c r="AB501" s="58" t="str" cm="1">
        <f t="array" ref="AB501">_xlfn._xlws.FILTER(Teams[teamID], Fixtures[[#This Row],[oppTeam]] = Teams[name], "N/A")</f>
        <v>N/A</v>
      </c>
      <c r="AC501" s="58" t="str" cm="1">
        <f t="array" ref="AC501">_xlfn._xlws.FILTER(Teams[teamType], Fixtures[[#This Row],[oppTeam]] = Teams[name], "N/A")</f>
        <v>N/A</v>
      </c>
      <c r="AD501" s="58" t="str">
        <f>IF(ISBLANK(Fixtures[[#This Row],[date]]), "N/A", IF(Fixtures[[#This Row],[userSide]]="H", Fixtures[[#This Row],[homeScore]], Fixtures[[#This Row],[awayScore]]))</f>
        <v>N/A</v>
      </c>
      <c r="AE501" s="58" t="str">
        <f>IF(ISBLANK(Fixtures[[#This Row],[date]]), "N/A", IF(Fixtures[[#This Row],[userScore]] = Fixtures[[#This Row],[homeScore]], Fixtures[[#This Row],[awayScore]], Fixtures[[#This Row],[homeScore]]))</f>
        <v>N/A</v>
      </c>
      <c r="AF501" s="58" t="b">
        <f>NOT(AND(ISBLANK(Fixtures[[#This Row],[homePens]]), ISBLANK(Fixtures[[#This Row],[awayPens]])))</f>
        <v>0</v>
      </c>
      <c r="AG501" s="58" t="str">
        <f>IF(Fixtures[[#This Row],[penalties]], IF(Fixtures[[#This Row],[userSide]]="H", Fixtures[[#This Row],[homePens]], Fixtures[[#This Row],[awayPens]]), "N/A")</f>
        <v>N/A</v>
      </c>
      <c r="AH501" s="58" t="str">
        <f>IF(Fixtures[[#This Row],[penalties]], IF(Fixtures[[#This Row],[userPens]]=Fixtures[[#This Row],[homePens]],Fixtures[[#This Row],[awayPens]],Fixtures[[#This Row],[homePens]]), "N/A")</f>
        <v>N/A</v>
      </c>
      <c r="AI501" s="58" t="b">
        <f>COUNTBLANK(Fixtures[[#This Row],[G]:[MOTM]]) = 0</f>
        <v>0</v>
      </c>
      <c r="AJ501" s="58" t="str">
        <f>IF(Fixtures[[#This Row],[APP]], Fixtures[[#This Row],[G]]+Fixtures[[#This Row],[A]], "N/A")</f>
        <v>N/A</v>
      </c>
      <c r="AK5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2" spans="1:39" ht="13">
      <c r="A502" s="55"/>
      <c r="B502" s="61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7"/>
      <c r="R502" s="56"/>
      <c r="S502" s="58" t="str" cm="1">
        <f t="array" ref="S502">_xlfn._xlws.FILTER(Competitions[compType], (Fixtures[[#This Row],[competition]] = Competitions[name]), "N/A")</f>
        <v>N/A</v>
      </c>
      <c r="T502" s="58" t="str" cm="1">
        <f t="array" ref="T502">_xlfn._xlws.FILTER(Competitions[exhibition], (Fixtures[[#This Row],[competition]] = Competitions[name]), "N/A")</f>
        <v>N/A</v>
      </c>
      <c r="U502" s="58" t="str" cm="1">
        <f t="array" ref="U502">_xlfn._xlws.FILTER(Competitions[compID], (Fixtures[[#This Row],[competition]] = Competitions[name]), "N/A")</f>
        <v>N/A</v>
      </c>
      <c r="V5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2" s="58" t="str" cm="1">
        <f t="array" ref="W5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2" s="58" t="str" cm="1">
        <f t="array" ref="X502">_xlfn._xlws.FILTER(Teams[name], (Fixtures[[#This Row],[userTeamID]] = Teams[teamID]), "N/A")</f>
        <v>N/A</v>
      </c>
      <c r="Y502" s="58" t="str" cm="1">
        <f t="array" ref="Y502">_xlfn._xlws.FILTER(Teams[teamType], (Fixtures[[#This Row],[userTeamID]] = Teams[teamID]), "N/A")</f>
        <v>N/A</v>
      </c>
      <c r="Z502" s="58" t="str" cm="1">
        <f t="array" ref="Z5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2" s="58" t="str">
        <f>IF(Fixtures[[#This Row],[userSide]] = "N/A", "N/A", IF(Fixtures[[#This Row],[userSide]] = "H", Fixtures[[#This Row],[awayTeam]], Fixtures[[#This Row],[homeTeam]]))</f>
        <v>N/A</v>
      </c>
      <c r="AB502" s="58" t="str" cm="1">
        <f t="array" ref="AB502">_xlfn._xlws.FILTER(Teams[teamID], Fixtures[[#This Row],[oppTeam]] = Teams[name], "N/A")</f>
        <v>N/A</v>
      </c>
      <c r="AC502" s="58" t="str" cm="1">
        <f t="array" ref="AC502">_xlfn._xlws.FILTER(Teams[teamType], Fixtures[[#This Row],[oppTeam]] = Teams[name], "N/A")</f>
        <v>N/A</v>
      </c>
      <c r="AD502" s="58" t="str">
        <f>IF(ISBLANK(Fixtures[[#This Row],[date]]), "N/A", IF(Fixtures[[#This Row],[userSide]]="H", Fixtures[[#This Row],[homeScore]], Fixtures[[#This Row],[awayScore]]))</f>
        <v>N/A</v>
      </c>
      <c r="AE502" s="58" t="str">
        <f>IF(ISBLANK(Fixtures[[#This Row],[date]]), "N/A", IF(Fixtures[[#This Row],[userScore]] = Fixtures[[#This Row],[homeScore]], Fixtures[[#This Row],[awayScore]], Fixtures[[#This Row],[homeScore]]))</f>
        <v>N/A</v>
      </c>
      <c r="AF502" s="58" t="b">
        <f>NOT(AND(ISBLANK(Fixtures[[#This Row],[homePens]]), ISBLANK(Fixtures[[#This Row],[awayPens]])))</f>
        <v>0</v>
      </c>
      <c r="AG502" s="58" t="str">
        <f>IF(Fixtures[[#This Row],[penalties]], IF(Fixtures[[#This Row],[userSide]]="H", Fixtures[[#This Row],[homePens]], Fixtures[[#This Row],[awayPens]]), "N/A")</f>
        <v>N/A</v>
      </c>
      <c r="AH502" s="58" t="str">
        <f>IF(Fixtures[[#This Row],[penalties]], IF(Fixtures[[#This Row],[userPens]]=Fixtures[[#This Row],[homePens]],Fixtures[[#This Row],[awayPens]],Fixtures[[#This Row],[homePens]]), "N/A")</f>
        <v>N/A</v>
      </c>
      <c r="AI502" s="58" t="b">
        <f>COUNTBLANK(Fixtures[[#This Row],[G]:[MOTM]]) = 0</f>
        <v>0</v>
      </c>
      <c r="AJ502" s="58" t="str">
        <f>IF(Fixtures[[#This Row],[APP]], Fixtures[[#This Row],[G]]+Fixtures[[#This Row],[A]], "N/A")</f>
        <v>N/A</v>
      </c>
      <c r="AK5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3" spans="1:39" ht="13">
      <c r="A503" s="55"/>
      <c r="B503" s="61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7"/>
      <c r="R503" s="56"/>
      <c r="S503" s="58" t="str" cm="1">
        <f t="array" ref="S503">_xlfn._xlws.FILTER(Competitions[compType], (Fixtures[[#This Row],[competition]] = Competitions[name]), "N/A")</f>
        <v>N/A</v>
      </c>
      <c r="T503" s="58" t="str" cm="1">
        <f t="array" ref="T503">_xlfn._xlws.FILTER(Competitions[exhibition], (Fixtures[[#This Row],[competition]] = Competitions[name]), "N/A")</f>
        <v>N/A</v>
      </c>
      <c r="U503" s="58" t="str" cm="1">
        <f t="array" ref="U503">_xlfn._xlws.FILTER(Competitions[compID], (Fixtures[[#This Row],[competition]] = Competitions[name]), "N/A")</f>
        <v>N/A</v>
      </c>
      <c r="V5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3" s="58" t="str" cm="1">
        <f t="array" ref="W5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3" s="58" t="str" cm="1">
        <f t="array" ref="X503">_xlfn._xlws.FILTER(Teams[name], (Fixtures[[#This Row],[userTeamID]] = Teams[teamID]), "N/A")</f>
        <v>N/A</v>
      </c>
      <c r="Y503" s="58" t="str" cm="1">
        <f t="array" ref="Y503">_xlfn._xlws.FILTER(Teams[teamType], (Fixtures[[#This Row],[userTeamID]] = Teams[teamID]), "N/A")</f>
        <v>N/A</v>
      </c>
      <c r="Z503" s="58" t="str" cm="1">
        <f t="array" ref="Z5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3" s="58" t="str">
        <f>IF(Fixtures[[#This Row],[userSide]] = "N/A", "N/A", IF(Fixtures[[#This Row],[userSide]] = "H", Fixtures[[#This Row],[awayTeam]], Fixtures[[#This Row],[homeTeam]]))</f>
        <v>N/A</v>
      </c>
      <c r="AB503" s="58" t="str" cm="1">
        <f t="array" ref="AB503">_xlfn._xlws.FILTER(Teams[teamID], Fixtures[[#This Row],[oppTeam]] = Teams[name], "N/A")</f>
        <v>N/A</v>
      </c>
      <c r="AC503" s="58" t="str" cm="1">
        <f t="array" ref="AC503">_xlfn._xlws.FILTER(Teams[teamType], Fixtures[[#This Row],[oppTeam]] = Teams[name], "N/A")</f>
        <v>N/A</v>
      </c>
      <c r="AD503" s="58" t="str">
        <f>IF(ISBLANK(Fixtures[[#This Row],[date]]), "N/A", IF(Fixtures[[#This Row],[userSide]]="H", Fixtures[[#This Row],[homeScore]], Fixtures[[#This Row],[awayScore]]))</f>
        <v>N/A</v>
      </c>
      <c r="AE503" s="58" t="str">
        <f>IF(ISBLANK(Fixtures[[#This Row],[date]]), "N/A", IF(Fixtures[[#This Row],[userScore]] = Fixtures[[#This Row],[homeScore]], Fixtures[[#This Row],[awayScore]], Fixtures[[#This Row],[homeScore]]))</f>
        <v>N/A</v>
      </c>
      <c r="AF503" s="58" t="b">
        <f>NOT(AND(ISBLANK(Fixtures[[#This Row],[homePens]]), ISBLANK(Fixtures[[#This Row],[awayPens]])))</f>
        <v>0</v>
      </c>
      <c r="AG503" s="58" t="str">
        <f>IF(Fixtures[[#This Row],[penalties]], IF(Fixtures[[#This Row],[userSide]]="H", Fixtures[[#This Row],[homePens]], Fixtures[[#This Row],[awayPens]]), "N/A")</f>
        <v>N/A</v>
      </c>
      <c r="AH503" s="58" t="str">
        <f>IF(Fixtures[[#This Row],[penalties]], IF(Fixtures[[#This Row],[userPens]]=Fixtures[[#This Row],[homePens]],Fixtures[[#This Row],[awayPens]],Fixtures[[#This Row],[homePens]]), "N/A")</f>
        <v>N/A</v>
      </c>
      <c r="AI503" s="58" t="b">
        <f>COUNTBLANK(Fixtures[[#This Row],[G]:[MOTM]]) = 0</f>
        <v>0</v>
      </c>
      <c r="AJ503" s="58" t="str">
        <f>IF(Fixtures[[#This Row],[APP]], Fixtures[[#This Row],[G]]+Fixtures[[#This Row],[A]], "N/A")</f>
        <v>N/A</v>
      </c>
      <c r="AK5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4" spans="1:39" ht="13">
      <c r="A504" s="55"/>
      <c r="B504" s="61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7"/>
      <c r="R504" s="56"/>
      <c r="S504" s="58" t="str" cm="1">
        <f t="array" ref="S504">_xlfn._xlws.FILTER(Competitions[compType], (Fixtures[[#This Row],[competition]] = Competitions[name]), "N/A")</f>
        <v>N/A</v>
      </c>
      <c r="T504" s="58" t="str" cm="1">
        <f t="array" ref="T504">_xlfn._xlws.FILTER(Competitions[exhibition], (Fixtures[[#This Row],[competition]] = Competitions[name]), "N/A")</f>
        <v>N/A</v>
      </c>
      <c r="U504" s="58" t="str" cm="1">
        <f t="array" ref="U504">_xlfn._xlws.FILTER(Competitions[compID], (Fixtures[[#This Row],[competition]] = Competitions[name]), "N/A")</f>
        <v>N/A</v>
      </c>
      <c r="V5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4" s="58" t="str" cm="1">
        <f t="array" ref="W5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4" s="58" t="str" cm="1">
        <f t="array" ref="X504">_xlfn._xlws.FILTER(Teams[name], (Fixtures[[#This Row],[userTeamID]] = Teams[teamID]), "N/A")</f>
        <v>N/A</v>
      </c>
      <c r="Y504" s="58" t="str" cm="1">
        <f t="array" ref="Y504">_xlfn._xlws.FILTER(Teams[teamType], (Fixtures[[#This Row],[userTeamID]] = Teams[teamID]), "N/A")</f>
        <v>N/A</v>
      </c>
      <c r="Z504" s="58" t="str" cm="1">
        <f t="array" ref="Z5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4" s="58" t="str">
        <f>IF(Fixtures[[#This Row],[userSide]] = "N/A", "N/A", IF(Fixtures[[#This Row],[userSide]] = "H", Fixtures[[#This Row],[awayTeam]], Fixtures[[#This Row],[homeTeam]]))</f>
        <v>N/A</v>
      </c>
      <c r="AB504" s="58" t="str" cm="1">
        <f t="array" ref="AB504">_xlfn._xlws.FILTER(Teams[teamID], Fixtures[[#This Row],[oppTeam]] = Teams[name], "N/A")</f>
        <v>N/A</v>
      </c>
      <c r="AC504" s="58" t="str" cm="1">
        <f t="array" ref="AC504">_xlfn._xlws.FILTER(Teams[teamType], Fixtures[[#This Row],[oppTeam]] = Teams[name], "N/A")</f>
        <v>N/A</v>
      </c>
      <c r="AD504" s="58" t="str">
        <f>IF(ISBLANK(Fixtures[[#This Row],[date]]), "N/A", IF(Fixtures[[#This Row],[userSide]]="H", Fixtures[[#This Row],[homeScore]], Fixtures[[#This Row],[awayScore]]))</f>
        <v>N/A</v>
      </c>
      <c r="AE504" s="58" t="str">
        <f>IF(ISBLANK(Fixtures[[#This Row],[date]]), "N/A", IF(Fixtures[[#This Row],[userScore]] = Fixtures[[#This Row],[homeScore]], Fixtures[[#This Row],[awayScore]], Fixtures[[#This Row],[homeScore]]))</f>
        <v>N/A</v>
      </c>
      <c r="AF504" s="58" t="b">
        <f>NOT(AND(ISBLANK(Fixtures[[#This Row],[homePens]]), ISBLANK(Fixtures[[#This Row],[awayPens]])))</f>
        <v>0</v>
      </c>
      <c r="AG504" s="58" t="str">
        <f>IF(Fixtures[[#This Row],[penalties]], IF(Fixtures[[#This Row],[userSide]]="H", Fixtures[[#This Row],[homePens]], Fixtures[[#This Row],[awayPens]]), "N/A")</f>
        <v>N/A</v>
      </c>
      <c r="AH504" s="58" t="str">
        <f>IF(Fixtures[[#This Row],[penalties]], IF(Fixtures[[#This Row],[userPens]]=Fixtures[[#This Row],[homePens]],Fixtures[[#This Row],[awayPens]],Fixtures[[#This Row],[homePens]]), "N/A")</f>
        <v>N/A</v>
      </c>
      <c r="AI504" s="58" t="b">
        <f>COUNTBLANK(Fixtures[[#This Row],[G]:[MOTM]]) = 0</f>
        <v>0</v>
      </c>
      <c r="AJ504" s="58" t="str">
        <f>IF(Fixtures[[#This Row],[APP]], Fixtures[[#This Row],[G]]+Fixtures[[#This Row],[A]], "N/A")</f>
        <v>N/A</v>
      </c>
      <c r="AK5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5" spans="1:39" ht="13">
      <c r="A505" s="55"/>
      <c r="B505" s="61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7"/>
      <c r="R505" s="56"/>
      <c r="S505" s="58" t="str" cm="1">
        <f t="array" ref="S505">_xlfn._xlws.FILTER(Competitions[compType], (Fixtures[[#This Row],[competition]] = Competitions[name]), "N/A")</f>
        <v>N/A</v>
      </c>
      <c r="T505" s="58" t="str" cm="1">
        <f t="array" ref="T505">_xlfn._xlws.FILTER(Competitions[exhibition], (Fixtures[[#This Row],[competition]] = Competitions[name]), "N/A")</f>
        <v>N/A</v>
      </c>
      <c r="U505" s="58" t="str" cm="1">
        <f t="array" ref="U505">_xlfn._xlws.FILTER(Competitions[compID], (Fixtures[[#This Row],[competition]] = Competitions[name]), "N/A")</f>
        <v>N/A</v>
      </c>
      <c r="V5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5" s="58" t="str" cm="1">
        <f t="array" ref="W5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5" s="58" t="str" cm="1">
        <f t="array" ref="X505">_xlfn._xlws.FILTER(Teams[name], (Fixtures[[#This Row],[userTeamID]] = Teams[teamID]), "N/A")</f>
        <v>N/A</v>
      </c>
      <c r="Y505" s="58" t="str" cm="1">
        <f t="array" ref="Y505">_xlfn._xlws.FILTER(Teams[teamType], (Fixtures[[#This Row],[userTeamID]] = Teams[teamID]), "N/A")</f>
        <v>N/A</v>
      </c>
      <c r="Z505" s="58" t="str" cm="1">
        <f t="array" ref="Z5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5" s="58" t="str">
        <f>IF(Fixtures[[#This Row],[userSide]] = "N/A", "N/A", IF(Fixtures[[#This Row],[userSide]] = "H", Fixtures[[#This Row],[awayTeam]], Fixtures[[#This Row],[homeTeam]]))</f>
        <v>N/A</v>
      </c>
      <c r="AB505" s="58" t="str" cm="1">
        <f t="array" ref="AB505">_xlfn._xlws.FILTER(Teams[teamID], Fixtures[[#This Row],[oppTeam]] = Teams[name], "N/A")</f>
        <v>N/A</v>
      </c>
      <c r="AC505" s="58" t="str" cm="1">
        <f t="array" ref="AC505">_xlfn._xlws.FILTER(Teams[teamType], Fixtures[[#This Row],[oppTeam]] = Teams[name], "N/A")</f>
        <v>N/A</v>
      </c>
      <c r="AD505" s="58" t="str">
        <f>IF(ISBLANK(Fixtures[[#This Row],[date]]), "N/A", IF(Fixtures[[#This Row],[userSide]]="H", Fixtures[[#This Row],[homeScore]], Fixtures[[#This Row],[awayScore]]))</f>
        <v>N/A</v>
      </c>
      <c r="AE505" s="58" t="str">
        <f>IF(ISBLANK(Fixtures[[#This Row],[date]]), "N/A", IF(Fixtures[[#This Row],[userScore]] = Fixtures[[#This Row],[homeScore]], Fixtures[[#This Row],[awayScore]], Fixtures[[#This Row],[homeScore]]))</f>
        <v>N/A</v>
      </c>
      <c r="AF505" s="58" t="b">
        <f>NOT(AND(ISBLANK(Fixtures[[#This Row],[homePens]]), ISBLANK(Fixtures[[#This Row],[awayPens]])))</f>
        <v>0</v>
      </c>
      <c r="AG505" s="58" t="str">
        <f>IF(Fixtures[[#This Row],[penalties]], IF(Fixtures[[#This Row],[userSide]]="H", Fixtures[[#This Row],[homePens]], Fixtures[[#This Row],[awayPens]]), "N/A")</f>
        <v>N/A</v>
      </c>
      <c r="AH505" s="58" t="str">
        <f>IF(Fixtures[[#This Row],[penalties]], IF(Fixtures[[#This Row],[userPens]]=Fixtures[[#This Row],[homePens]],Fixtures[[#This Row],[awayPens]],Fixtures[[#This Row],[homePens]]), "N/A")</f>
        <v>N/A</v>
      </c>
      <c r="AI505" s="58" t="b">
        <f>COUNTBLANK(Fixtures[[#This Row],[G]:[MOTM]]) = 0</f>
        <v>0</v>
      </c>
      <c r="AJ505" s="58" t="str">
        <f>IF(Fixtures[[#This Row],[APP]], Fixtures[[#This Row],[G]]+Fixtures[[#This Row],[A]], "N/A")</f>
        <v>N/A</v>
      </c>
      <c r="AK5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6" spans="1:39" ht="13">
      <c r="A506" s="55"/>
      <c r="B506" s="61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7"/>
      <c r="R506" s="56"/>
      <c r="S506" s="58" t="str" cm="1">
        <f t="array" ref="S506">_xlfn._xlws.FILTER(Competitions[compType], (Fixtures[[#This Row],[competition]] = Competitions[name]), "N/A")</f>
        <v>N/A</v>
      </c>
      <c r="T506" s="58" t="str" cm="1">
        <f t="array" ref="T506">_xlfn._xlws.FILTER(Competitions[exhibition], (Fixtures[[#This Row],[competition]] = Competitions[name]), "N/A")</f>
        <v>N/A</v>
      </c>
      <c r="U506" s="58" t="str" cm="1">
        <f t="array" ref="U506">_xlfn._xlws.FILTER(Competitions[compID], (Fixtures[[#This Row],[competition]] = Competitions[name]), "N/A")</f>
        <v>N/A</v>
      </c>
      <c r="V5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6" s="58" t="str" cm="1">
        <f t="array" ref="W5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6" s="58" t="str" cm="1">
        <f t="array" ref="X506">_xlfn._xlws.FILTER(Teams[name], (Fixtures[[#This Row],[userTeamID]] = Teams[teamID]), "N/A")</f>
        <v>N/A</v>
      </c>
      <c r="Y506" s="58" t="str" cm="1">
        <f t="array" ref="Y506">_xlfn._xlws.FILTER(Teams[teamType], (Fixtures[[#This Row],[userTeamID]] = Teams[teamID]), "N/A")</f>
        <v>N/A</v>
      </c>
      <c r="Z506" s="58" t="str" cm="1">
        <f t="array" ref="Z5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6" s="58" t="str">
        <f>IF(Fixtures[[#This Row],[userSide]] = "N/A", "N/A", IF(Fixtures[[#This Row],[userSide]] = "H", Fixtures[[#This Row],[awayTeam]], Fixtures[[#This Row],[homeTeam]]))</f>
        <v>N/A</v>
      </c>
      <c r="AB506" s="58" t="str" cm="1">
        <f t="array" ref="AB506">_xlfn._xlws.FILTER(Teams[teamID], Fixtures[[#This Row],[oppTeam]] = Teams[name], "N/A")</f>
        <v>N/A</v>
      </c>
      <c r="AC506" s="58" t="str" cm="1">
        <f t="array" ref="AC506">_xlfn._xlws.FILTER(Teams[teamType], Fixtures[[#This Row],[oppTeam]] = Teams[name], "N/A")</f>
        <v>N/A</v>
      </c>
      <c r="AD506" s="58" t="str">
        <f>IF(ISBLANK(Fixtures[[#This Row],[date]]), "N/A", IF(Fixtures[[#This Row],[userSide]]="H", Fixtures[[#This Row],[homeScore]], Fixtures[[#This Row],[awayScore]]))</f>
        <v>N/A</v>
      </c>
      <c r="AE506" s="58" t="str">
        <f>IF(ISBLANK(Fixtures[[#This Row],[date]]), "N/A", IF(Fixtures[[#This Row],[userScore]] = Fixtures[[#This Row],[homeScore]], Fixtures[[#This Row],[awayScore]], Fixtures[[#This Row],[homeScore]]))</f>
        <v>N/A</v>
      </c>
      <c r="AF506" s="58" t="b">
        <f>NOT(AND(ISBLANK(Fixtures[[#This Row],[homePens]]), ISBLANK(Fixtures[[#This Row],[awayPens]])))</f>
        <v>0</v>
      </c>
      <c r="AG506" s="58" t="str">
        <f>IF(Fixtures[[#This Row],[penalties]], IF(Fixtures[[#This Row],[userSide]]="H", Fixtures[[#This Row],[homePens]], Fixtures[[#This Row],[awayPens]]), "N/A")</f>
        <v>N/A</v>
      </c>
      <c r="AH506" s="58" t="str">
        <f>IF(Fixtures[[#This Row],[penalties]], IF(Fixtures[[#This Row],[userPens]]=Fixtures[[#This Row],[homePens]],Fixtures[[#This Row],[awayPens]],Fixtures[[#This Row],[homePens]]), "N/A")</f>
        <v>N/A</v>
      </c>
      <c r="AI506" s="58" t="b">
        <f>COUNTBLANK(Fixtures[[#This Row],[G]:[MOTM]]) = 0</f>
        <v>0</v>
      </c>
      <c r="AJ506" s="58" t="str">
        <f>IF(Fixtures[[#This Row],[APP]], Fixtures[[#This Row],[G]]+Fixtures[[#This Row],[A]], "N/A")</f>
        <v>N/A</v>
      </c>
      <c r="AK5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7" spans="1:39" ht="13">
      <c r="A507" s="55"/>
      <c r="B507" s="61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7"/>
      <c r="R507" s="56"/>
      <c r="S507" s="58" t="str" cm="1">
        <f t="array" ref="S507">_xlfn._xlws.FILTER(Competitions[compType], (Fixtures[[#This Row],[competition]] = Competitions[name]), "N/A")</f>
        <v>N/A</v>
      </c>
      <c r="T507" s="58" t="str" cm="1">
        <f t="array" ref="T507">_xlfn._xlws.FILTER(Competitions[exhibition], (Fixtures[[#This Row],[competition]] = Competitions[name]), "N/A")</f>
        <v>N/A</v>
      </c>
      <c r="U507" s="58" t="str" cm="1">
        <f t="array" ref="U507">_xlfn._xlws.FILTER(Competitions[compID], (Fixtures[[#This Row],[competition]] = Competitions[name]), "N/A")</f>
        <v>N/A</v>
      </c>
      <c r="V5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7" s="58" t="str" cm="1">
        <f t="array" ref="W5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7" s="58" t="str" cm="1">
        <f t="array" ref="X507">_xlfn._xlws.FILTER(Teams[name], (Fixtures[[#This Row],[userTeamID]] = Teams[teamID]), "N/A")</f>
        <v>N/A</v>
      </c>
      <c r="Y507" s="58" t="str" cm="1">
        <f t="array" ref="Y507">_xlfn._xlws.FILTER(Teams[teamType], (Fixtures[[#This Row],[userTeamID]] = Teams[teamID]), "N/A")</f>
        <v>N/A</v>
      </c>
      <c r="Z507" s="58" t="str" cm="1">
        <f t="array" ref="Z5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7" s="58" t="str">
        <f>IF(Fixtures[[#This Row],[userSide]] = "N/A", "N/A", IF(Fixtures[[#This Row],[userSide]] = "H", Fixtures[[#This Row],[awayTeam]], Fixtures[[#This Row],[homeTeam]]))</f>
        <v>N/A</v>
      </c>
      <c r="AB507" s="58" t="str" cm="1">
        <f t="array" ref="AB507">_xlfn._xlws.FILTER(Teams[teamID], Fixtures[[#This Row],[oppTeam]] = Teams[name], "N/A")</f>
        <v>N/A</v>
      </c>
      <c r="AC507" s="58" t="str" cm="1">
        <f t="array" ref="AC507">_xlfn._xlws.FILTER(Teams[teamType], Fixtures[[#This Row],[oppTeam]] = Teams[name], "N/A")</f>
        <v>N/A</v>
      </c>
      <c r="AD507" s="58" t="str">
        <f>IF(ISBLANK(Fixtures[[#This Row],[date]]), "N/A", IF(Fixtures[[#This Row],[userSide]]="H", Fixtures[[#This Row],[homeScore]], Fixtures[[#This Row],[awayScore]]))</f>
        <v>N/A</v>
      </c>
      <c r="AE507" s="58" t="str">
        <f>IF(ISBLANK(Fixtures[[#This Row],[date]]), "N/A", IF(Fixtures[[#This Row],[userScore]] = Fixtures[[#This Row],[homeScore]], Fixtures[[#This Row],[awayScore]], Fixtures[[#This Row],[homeScore]]))</f>
        <v>N/A</v>
      </c>
      <c r="AF507" s="58" t="b">
        <f>NOT(AND(ISBLANK(Fixtures[[#This Row],[homePens]]), ISBLANK(Fixtures[[#This Row],[awayPens]])))</f>
        <v>0</v>
      </c>
      <c r="AG507" s="58" t="str">
        <f>IF(Fixtures[[#This Row],[penalties]], IF(Fixtures[[#This Row],[userSide]]="H", Fixtures[[#This Row],[homePens]], Fixtures[[#This Row],[awayPens]]), "N/A")</f>
        <v>N/A</v>
      </c>
      <c r="AH507" s="58" t="str">
        <f>IF(Fixtures[[#This Row],[penalties]], IF(Fixtures[[#This Row],[userPens]]=Fixtures[[#This Row],[homePens]],Fixtures[[#This Row],[awayPens]],Fixtures[[#This Row],[homePens]]), "N/A")</f>
        <v>N/A</v>
      </c>
      <c r="AI507" s="58" t="b">
        <f>COUNTBLANK(Fixtures[[#This Row],[G]:[MOTM]]) = 0</f>
        <v>0</v>
      </c>
      <c r="AJ507" s="58" t="str">
        <f>IF(Fixtures[[#This Row],[APP]], Fixtures[[#This Row],[G]]+Fixtures[[#This Row],[A]], "N/A")</f>
        <v>N/A</v>
      </c>
      <c r="AK5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8" spans="1:39" ht="13">
      <c r="A508" s="55"/>
      <c r="B508" s="61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7"/>
      <c r="R508" s="56"/>
      <c r="S508" s="58" t="str" cm="1">
        <f t="array" ref="S508">_xlfn._xlws.FILTER(Competitions[compType], (Fixtures[[#This Row],[competition]] = Competitions[name]), "N/A")</f>
        <v>N/A</v>
      </c>
      <c r="T508" s="58" t="str" cm="1">
        <f t="array" ref="T508">_xlfn._xlws.FILTER(Competitions[exhibition], (Fixtures[[#This Row],[competition]] = Competitions[name]), "N/A")</f>
        <v>N/A</v>
      </c>
      <c r="U508" s="58" t="str" cm="1">
        <f t="array" ref="U508">_xlfn._xlws.FILTER(Competitions[compID], (Fixtures[[#This Row],[competition]] = Competitions[name]), "N/A")</f>
        <v>N/A</v>
      </c>
      <c r="V5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8" s="58" t="str" cm="1">
        <f t="array" ref="W5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8" s="58" t="str" cm="1">
        <f t="array" ref="X508">_xlfn._xlws.FILTER(Teams[name], (Fixtures[[#This Row],[userTeamID]] = Teams[teamID]), "N/A")</f>
        <v>N/A</v>
      </c>
      <c r="Y508" s="58" t="str" cm="1">
        <f t="array" ref="Y508">_xlfn._xlws.FILTER(Teams[teamType], (Fixtures[[#This Row],[userTeamID]] = Teams[teamID]), "N/A")</f>
        <v>N/A</v>
      </c>
      <c r="Z508" s="58" t="str" cm="1">
        <f t="array" ref="Z5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8" s="58" t="str">
        <f>IF(Fixtures[[#This Row],[userSide]] = "N/A", "N/A", IF(Fixtures[[#This Row],[userSide]] = "H", Fixtures[[#This Row],[awayTeam]], Fixtures[[#This Row],[homeTeam]]))</f>
        <v>N/A</v>
      </c>
      <c r="AB508" s="58" t="str" cm="1">
        <f t="array" ref="AB508">_xlfn._xlws.FILTER(Teams[teamID], Fixtures[[#This Row],[oppTeam]] = Teams[name], "N/A")</f>
        <v>N/A</v>
      </c>
      <c r="AC508" s="58" t="str" cm="1">
        <f t="array" ref="AC508">_xlfn._xlws.FILTER(Teams[teamType], Fixtures[[#This Row],[oppTeam]] = Teams[name], "N/A")</f>
        <v>N/A</v>
      </c>
      <c r="AD508" s="58" t="str">
        <f>IF(ISBLANK(Fixtures[[#This Row],[date]]), "N/A", IF(Fixtures[[#This Row],[userSide]]="H", Fixtures[[#This Row],[homeScore]], Fixtures[[#This Row],[awayScore]]))</f>
        <v>N/A</v>
      </c>
      <c r="AE508" s="58" t="str">
        <f>IF(ISBLANK(Fixtures[[#This Row],[date]]), "N/A", IF(Fixtures[[#This Row],[userScore]] = Fixtures[[#This Row],[homeScore]], Fixtures[[#This Row],[awayScore]], Fixtures[[#This Row],[homeScore]]))</f>
        <v>N/A</v>
      </c>
      <c r="AF508" s="58" t="b">
        <f>NOT(AND(ISBLANK(Fixtures[[#This Row],[homePens]]), ISBLANK(Fixtures[[#This Row],[awayPens]])))</f>
        <v>0</v>
      </c>
      <c r="AG508" s="58" t="str">
        <f>IF(Fixtures[[#This Row],[penalties]], IF(Fixtures[[#This Row],[userSide]]="H", Fixtures[[#This Row],[homePens]], Fixtures[[#This Row],[awayPens]]), "N/A")</f>
        <v>N/A</v>
      </c>
      <c r="AH508" s="58" t="str">
        <f>IF(Fixtures[[#This Row],[penalties]], IF(Fixtures[[#This Row],[userPens]]=Fixtures[[#This Row],[homePens]],Fixtures[[#This Row],[awayPens]],Fixtures[[#This Row],[homePens]]), "N/A")</f>
        <v>N/A</v>
      </c>
      <c r="AI508" s="58" t="b">
        <f>COUNTBLANK(Fixtures[[#This Row],[G]:[MOTM]]) = 0</f>
        <v>0</v>
      </c>
      <c r="AJ508" s="58" t="str">
        <f>IF(Fixtures[[#This Row],[APP]], Fixtures[[#This Row],[G]]+Fixtures[[#This Row],[A]], "N/A")</f>
        <v>N/A</v>
      </c>
      <c r="AK5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09" spans="1:39" ht="13">
      <c r="A509" s="55"/>
      <c r="B509" s="61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7"/>
      <c r="R509" s="56"/>
      <c r="S509" s="58" t="str" cm="1">
        <f t="array" ref="S509">_xlfn._xlws.FILTER(Competitions[compType], (Fixtures[[#This Row],[competition]] = Competitions[name]), "N/A")</f>
        <v>N/A</v>
      </c>
      <c r="T509" s="58" t="str" cm="1">
        <f t="array" ref="T509">_xlfn._xlws.FILTER(Competitions[exhibition], (Fixtures[[#This Row],[competition]] = Competitions[name]), "N/A")</f>
        <v>N/A</v>
      </c>
      <c r="U509" s="58" t="str" cm="1">
        <f t="array" ref="U509">_xlfn._xlws.FILTER(Competitions[compID], (Fixtures[[#This Row],[competition]] = Competitions[name]), "N/A")</f>
        <v>N/A</v>
      </c>
      <c r="V5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09" s="58" t="str" cm="1">
        <f t="array" ref="W5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09" s="58" t="str" cm="1">
        <f t="array" ref="X509">_xlfn._xlws.FILTER(Teams[name], (Fixtures[[#This Row],[userTeamID]] = Teams[teamID]), "N/A")</f>
        <v>N/A</v>
      </c>
      <c r="Y509" s="58" t="str" cm="1">
        <f t="array" ref="Y509">_xlfn._xlws.FILTER(Teams[teamType], (Fixtures[[#This Row],[userTeamID]] = Teams[teamID]), "N/A")</f>
        <v>N/A</v>
      </c>
      <c r="Z509" s="58" t="str" cm="1">
        <f t="array" ref="Z5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09" s="58" t="str">
        <f>IF(Fixtures[[#This Row],[userSide]] = "N/A", "N/A", IF(Fixtures[[#This Row],[userSide]] = "H", Fixtures[[#This Row],[awayTeam]], Fixtures[[#This Row],[homeTeam]]))</f>
        <v>N/A</v>
      </c>
      <c r="AB509" s="58" t="str" cm="1">
        <f t="array" ref="AB509">_xlfn._xlws.FILTER(Teams[teamID], Fixtures[[#This Row],[oppTeam]] = Teams[name], "N/A")</f>
        <v>N/A</v>
      </c>
      <c r="AC509" s="58" t="str" cm="1">
        <f t="array" ref="AC509">_xlfn._xlws.FILTER(Teams[teamType], Fixtures[[#This Row],[oppTeam]] = Teams[name], "N/A")</f>
        <v>N/A</v>
      </c>
      <c r="AD509" s="58" t="str">
        <f>IF(ISBLANK(Fixtures[[#This Row],[date]]), "N/A", IF(Fixtures[[#This Row],[userSide]]="H", Fixtures[[#This Row],[homeScore]], Fixtures[[#This Row],[awayScore]]))</f>
        <v>N/A</v>
      </c>
      <c r="AE509" s="58" t="str">
        <f>IF(ISBLANK(Fixtures[[#This Row],[date]]), "N/A", IF(Fixtures[[#This Row],[userScore]] = Fixtures[[#This Row],[homeScore]], Fixtures[[#This Row],[awayScore]], Fixtures[[#This Row],[homeScore]]))</f>
        <v>N/A</v>
      </c>
      <c r="AF509" s="58" t="b">
        <f>NOT(AND(ISBLANK(Fixtures[[#This Row],[homePens]]), ISBLANK(Fixtures[[#This Row],[awayPens]])))</f>
        <v>0</v>
      </c>
      <c r="AG509" s="58" t="str">
        <f>IF(Fixtures[[#This Row],[penalties]], IF(Fixtures[[#This Row],[userSide]]="H", Fixtures[[#This Row],[homePens]], Fixtures[[#This Row],[awayPens]]), "N/A")</f>
        <v>N/A</v>
      </c>
      <c r="AH509" s="58" t="str">
        <f>IF(Fixtures[[#This Row],[penalties]], IF(Fixtures[[#This Row],[userPens]]=Fixtures[[#This Row],[homePens]],Fixtures[[#This Row],[awayPens]],Fixtures[[#This Row],[homePens]]), "N/A")</f>
        <v>N/A</v>
      </c>
      <c r="AI509" s="58" t="b">
        <f>COUNTBLANK(Fixtures[[#This Row],[G]:[MOTM]]) = 0</f>
        <v>0</v>
      </c>
      <c r="AJ509" s="58" t="str">
        <f>IF(Fixtures[[#This Row],[APP]], Fixtures[[#This Row],[G]]+Fixtures[[#This Row],[A]], "N/A")</f>
        <v>N/A</v>
      </c>
      <c r="AK5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0" spans="1:39" ht="13">
      <c r="A510" s="55"/>
      <c r="B510" s="61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7"/>
      <c r="R510" s="56"/>
      <c r="S510" s="58" t="str" cm="1">
        <f t="array" ref="S510">_xlfn._xlws.FILTER(Competitions[compType], (Fixtures[[#This Row],[competition]] = Competitions[name]), "N/A")</f>
        <v>N/A</v>
      </c>
      <c r="T510" s="58" t="str" cm="1">
        <f t="array" ref="T510">_xlfn._xlws.FILTER(Competitions[exhibition], (Fixtures[[#This Row],[competition]] = Competitions[name]), "N/A")</f>
        <v>N/A</v>
      </c>
      <c r="U510" s="58" t="str" cm="1">
        <f t="array" ref="U510">_xlfn._xlws.FILTER(Competitions[compID], (Fixtures[[#This Row],[competition]] = Competitions[name]), "N/A")</f>
        <v>N/A</v>
      </c>
      <c r="V5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0" s="58" t="str" cm="1">
        <f t="array" ref="W5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0" s="58" t="str" cm="1">
        <f t="array" ref="X510">_xlfn._xlws.FILTER(Teams[name], (Fixtures[[#This Row],[userTeamID]] = Teams[teamID]), "N/A")</f>
        <v>N/A</v>
      </c>
      <c r="Y510" s="58" t="str" cm="1">
        <f t="array" ref="Y510">_xlfn._xlws.FILTER(Teams[teamType], (Fixtures[[#This Row],[userTeamID]] = Teams[teamID]), "N/A")</f>
        <v>N/A</v>
      </c>
      <c r="Z510" s="58" t="str" cm="1">
        <f t="array" ref="Z5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0" s="58" t="str">
        <f>IF(Fixtures[[#This Row],[userSide]] = "N/A", "N/A", IF(Fixtures[[#This Row],[userSide]] = "H", Fixtures[[#This Row],[awayTeam]], Fixtures[[#This Row],[homeTeam]]))</f>
        <v>N/A</v>
      </c>
      <c r="AB510" s="58" t="str" cm="1">
        <f t="array" ref="AB510">_xlfn._xlws.FILTER(Teams[teamID], Fixtures[[#This Row],[oppTeam]] = Teams[name], "N/A")</f>
        <v>N/A</v>
      </c>
      <c r="AC510" s="58" t="str" cm="1">
        <f t="array" ref="AC510">_xlfn._xlws.FILTER(Teams[teamType], Fixtures[[#This Row],[oppTeam]] = Teams[name], "N/A")</f>
        <v>N/A</v>
      </c>
      <c r="AD510" s="58" t="str">
        <f>IF(ISBLANK(Fixtures[[#This Row],[date]]), "N/A", IF(Fixtures[[#This Row],[userSide]]="H", Fixtures[[#This Row],[homeScore]], Fixtures[[#This Row],[awayScore]]))</f>
        <v>N/A</v>
      </c>
      <c r="AE510" s="58" t="str">
        <f>IF(ISBLANK(Fixtures[[#This Row],[date]]), "N/A", IF(Fixtures[[#This Row],[userScore]] = Fixtures[[#This Row],[homeScore]], Fixtures[[#This Row],[awayScore]], Fixtures[[#This Row],[homeScore]]))</f>
        <v>N/A</v>
      </c>
      <c r="AF510" s="58" t="b">
        <f>NOT(AND(ISBLANK(Fixtures[[#This Row],[homePens]]), ISBLANK(Fixtures[[#This Row],[awayPens]])))</f>
        <v>0</v>
      </c>
      <c r="AG510" s="58" t="str">
        <f>IF(Fixtures[[#This Row],[penalties]], IF(Fixtures[[#This Row],[userSide]]="H", Fixtures[[#This Row],[homePens]], Fixtures[[#This Row],[awayPens]]), "N/A")</f>
        <v>N/A</v>
      </c>
      <c r="AH510" s="58" t="str">
        <f>IF(Fixtures[[#This Row],[penalties]], IF(Fixtures[[#This Row],[userPens]]=Fixtures[[#This Row],[homePens]],Fixtures[[#This Row],[awayPens]],Fixtures[[#This Row],[homePens]]), "N/A")</f>
        <v>N/A</v>
      </c>
      <c r="AI510" s="58" t="b">
        <f>COUNTBLANK(Fixtures[[#This Row],[G]:[MOTM]]) = 0</f>
        <v>0</v>
      </c>
      <c r="AJ510" s="58" t="str">
        <f>IF(Fixtures[[#This Row],[APP]], Fixtures[[#This Row],[G]]+Fixtures[[#This Row],[A]], "N/A")</f>
        <v>N/A</v>
      </c>
      <c r="AK5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1" spans="1:39" ht="13">
      <c r="A511" s="55"/>
      <c r="B511" s="61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7"/>
      <c r="R511" s="56"/>
      <c r="S511" s="58" t="str" cm="1">
        <f t="array" ref="S511">_xlfn._xlws.FILTER(Competitions[compType], (Fixtures[[#This Row],[competition]] = Competitions[name]), "N/A")</f>
        <v>N/A</v>
      </c>
      <c r="T511" s="58" t="str" cm="1">
        <f t="array" ref="T511">_xlfn._xlws.FILTER(Competitions[exhibition], (Fixtures[[#This Row],[competition]] = Competitions[name]), "N/A")</f>
        <v>N/A</v>
      </c>
      <c r="U511" s="58" t="str" cm="1">
        <f t="array" ref="U511">_xlfn._xlws.FILTER(Competitions[compID], (Fixtures[[#This Row],[competition]] = Competitions[name]), "N/A")</f>
        <v>N/A</v>
      </c>
      <c r="V5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1" s="58" t="str" cm="1">
        <f t="array" ref="W5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1" s="58" t="str" cm="1">
        <f t="array" ref="X511">_xlfn._xlws.FILTER(Teams[name], (Fixtures[[#This Row],[userTeamID]] = Teams[teamID]), "N/A")</f>
        <v>N/A</v>
      </c>
      <c r="Y511" s="58" t="str" cm="1">
        <f t="array" ref="Y511">_xlfn._xlws.FILTER(Teams[teamType], (Fixtures[[#This Row],[userTeamID]] = Teams[teamID]), "N/A")</f>
        <v>N/A</v>
      </c>
      <c r="Z511" s="58" t="str" cm="1">
        <f t="array" ref="Z5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1" s="58" t="str">
        <f>IF(Fixtures[[#This Row],[userSide]] = "N/A", "N/A", IF(Fixtures[[#This Row],[userSide]] = "H", Fixtures[[#This Row],[awayTeam]], Fixtures[[#This Row],[homeTeam]]))</f>
        <v>N/A</v>
      </c>
      <c r="AB511" s="58" t="str" cm="1">
        <f t="array" ref="AB511">_xlfn._xlws.FILTER(Teams[teamID], Fixtures[[#This Row],[oppTeam]] = Teams[name], "N/A")</f>
        <v>N/A</v>
      </c>
      <c r="AC511" s="58" t="str" cm="1">
        <f t="array" ref="AC511">_xlfn._xlws.FILTER(Teams[teamType], Fixtures[[#This Row],[oppTeam]] = Teams[name], "N/A")</f>
        <v>N/A</v>
      </c>
      <c r="AD511" s="58" t="str">
        <f>IF(ISBLANK(Fixtures[[#This Row],[date]]), "N/A", IF(Fixtures[[#This Row],[userSide]]="H", Fixtures[[#This Row],[homeScore]], Fixtures[[#This Row],[awayScore]]))</f>
        <v>N/A</v>
      </c>
      <c r="AE511" s="58" t="str">
        <f>IF(ISBLANK(Fixtures[[#This Row],[date]]), "N/A", IF(Fixtures[[#This Row],[userScore]] = Fixtures[[#This Row],[homeScore]], Fixtures[[#This Row],[awayScore]], Fixtures[[#This Row],[homeScore]]))</f>
        <v>N/A</v>
      </c>
      <c r="AF511" s="58" t="b">
        <f>NOT(AND(ISBLANK(Fixtures[[#This Row],[homePens]]), ISBLANK(Fixtures[[#This Row],[awayPens]])))</f>
        <v>0</v>
      </c>
      <c r="AG511" s="58" t="str">
        <f>IF(Fixtures[[#This Row],[penalties]], IF(Fixtures[[#This Row],[userSide]]="H", Fixtures[[#This Row],[homePens]], Fixtures[[#This Row],[awayPens]]), "N/A")</f>
        <v>N/A</v>
      </c>
      <c r="AH511" s="58" t="str">
        <f>IF(Fixtures[[#This Row],[penalties]], IF(Fixtures[[#This Row],[userPens]]=Fixtures[[#This Row],[homePens]],Fixtures[[#This Row],[awayPens]],Fixtures[[#This Row],[homePens]]), "N/A")</f>
        <v>N/A</v>
      </c>
      <c r="AI511" s="58" t="b">
        <f>COUNTBLANK(Fixtures[[#This Row],[G]:[MOTM]]) = 0</f>
        <v>0</v>
      </c>
      <c r="AJ511" s="58" t="str">
        <f>IF(Fixtures[[#This Row],[APP]], Fixtures[[#This Row],[G]]+Fixtures[[#This Row],[A]], "N/A")</f>
        <v>N/A</v>
      </c>
      <c r="AK5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2" spans="1:39" ht="13">
      <c r="A512" s="55"/>
      <c r="B512" s="61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7"/>
      <c r="R512" s="56"/>
      <c r="S512" s="58" t="str" cm="1">
        <f t="array" ref="S512">_xlfn._xlws.FILTER(Competitions[compType], (Fixtures[[#This Row],[competition]] = Competitions[name]), "N/A")</f>
        <v>N/A</v>
      </c>
      <c r="T512" s="58" t="str" cm="1">
        <f t="array" ref="T512">_xlfn._xlws.FILTER(Competitions[exhibition], (Fixtures[[#This Row],[competition]] = Competitions[name]), "N/A")</f>
        <v>N/A</v>
      </c>
      <c r="U512" s="58" t="str" cm="1">
        <f t="array" ref="U512">_xlfn._xlws.FILTER(Competitions[compID], (Fixtures[[#This Row],[competition]] = Competitions[name]), "N/A")</f>
        <v>N/A</v>
      </c>
      <c r="V5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2" s="58" t="str" cm="1">
        <f t="array" ref="W5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2" s="58" t="str" cm="1">
        <f t="array" ref="X512">_xlfn._xlws.FILTER(Teams[name], (Fixtures[[#This Row],[userTeamID]] = Teams[teamID]), "N/A")</f>
        <v>N/A</v>
      </c>
      <c r="Y512" s="58" t="str" cm="1">
        <f t="array" ref="Y512">_xlfn._xlws.FILTER(Teams[teamType], (Fixtures[[#This Row],[userTeamID]] = Teams[teamID]), "N/A")</f>
        <v>N/A</v>
      </c>
      <c r="Z512" s="58" t="str" cm="1">
        <f t="array" ref="Z5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2" s="58" t="str">
        <f>IF(Fixtures[[#This Row],[userSide]] = "N/A", "N/A", IF(Fixtures[[#This Row],[userSide]] = "H", Fixtures[[#This Row],[awayTeam]], Fixtures[[#This Row],[homeTeam]]))</f>
        <v>N/A</v>
      </c>
      <c r="AB512" s="58" t="str" cm="1">
        <f t="array" ref="AB512">_xlfn._xlws.FILTER(Teams[teamID], Fixtures[[#This Row],[oppTeam]] = Teams[name], "N/A")</f>
        <v>N/A</v>
      </c>
      <c r="AC512" s="58" t="str" cm="1">
        <f t="array" ref="AC512">_xlfn._xlws.FILTER(Teams[teamType], Fixtures[[#This Row],[oppTeam]] = Teams[name], "N/A")</f>
        <v>N/A</v>
      </c>
      <c r="AD512" s="58" t="str">
        <f>IF(ISBLANK(Fixtures[[#This Row],[date]]), "N/A", IF(Fixtures[[#This Row],[userSide]]="H", Fixtures[[#This Row],[homeScore]], Fixtures[[#This Row],[awayScore]]))</f>
        <v>N/A</v>
      </c>
      <c r="AE512" s="58" t="str">
        <f>IF(ISBLANK(Fixtures[[#This Row],[date]]), "N/A", IF(Fixtures[[#This Row],[userScore]] = Fixtures[[#This Row],[homeScore]], Fixtures[[#This Row],[awayScore]], Fixtures[[#This Row],[homeScore]]))</f>
        <v>N/A</v>
      </c>
      <c r="AF512" s="58" t="b">
        <f>NOT(AND(ISBLANK(Fixtures[[#This Row],[homePens]]), ISBLANK(Fixtures[[#This Row],[awayPens]])))</f>
        <v>0</v>
      </c>
      <c r="AG512" s="58" t="str">
        <f>IF(Fixtures[[#This Row],[penalties]], IF(Fixtures[[#This Row],[userSide]]="H", Fixtures[[#This Row],[homePens]], Fixtures[[#This Row],[awayPens]]), "N/A")</f>
        <v>N/A</v>
      </c>
      <c r="AH512" s="58" t="str">
        <f>IF(Fixtures[[#This Row],[penalties]], IF(Fixtures[[#This Row],[userPens]]=Fixtures[[#This Row],[homePens]],Fixtures[[#This Row],[awayPens]],Fixtures[[#This Row],[homePens]]), "N/A")</f>
        <v>N/A</v>
      </c>
      <c r="AI512" s="58" t="b">
        <f>COUNTBLANK(Fixtures[[#This Row],[G]:[MOTM]]) = 0</f>
        <v>0</v>
      </c>
      <c r="AJ512" s="58" t="str">
        <f>IF(Fixtures[[#This Row],[APP]], Fixtures[[#This Row],[G]]+Fixtures[[#This Row],[A]], "N/A")</f>
        <v>N/A</v>
      </c>
      <c r="AK5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3" spans="1:39" ht="13">
      <c r="A513" s="55"/>
      <c r="B513" s="61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7"/>
      <c r="R513" s="56"/>
      <c r="S513" s="58" t="str" cm="1">
        <f t="array" ref="S513">_xlfn._xlws.FILTER(Competitions[compType], (Fixtures[[#This Row],[competition]] = Competitions[name]), "N/A")</f>
        <v>N/A</v>
      </c>
      <c r="T513" s="58" t="str" cm="1">
        <f t="array" ref="T513">_xlfn._xlws.FILTER(Competitions[exhibition], (Fixtures[[#This Row],[competition]] = Competitions[name]), "N/A")</f>
        <v>N/A</v>
      </c>
      <c r="U513" s="58" t="str" cm="1">
        <f t="array" ref="U513">_xlfn._xlws.FILTER(Competitions[compID], (Fixtures[[#This Row],[competition]] = Competitions[name]), "N/A")</f>
        <v>N/A</v>
      </c>
      <c r="V5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3" s="58" t="str" cm="1">
        <f t="array" ref="W5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3" s="58" t="str" cm="1">
        <f t="array" ref="X513">_xlfn._xlws.FILTER(Teams[name], (Fixtures[[#This Row],[userTeamID]] = Teams[teamID]), "N/A")</f>
        <v>N/A</v>
      </c>
      <c r="Y513" s="58" t="str" cm="1">
        <f t="array" ref="Y513">_xlfn._xlws.FILTER(Teams[teamType], (Fixtures[[#This Row],[userTeamID]] = Teams[teamID]), "N/A")</f>
        <v>N/A</v>
      </c>
      <c r="Z513" s="58" t="str" cm="1">
        <f t="array" ref="Z5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3" s="58" t="str">
        <f>IF(Fixtures[[#This Row],[userSide]] = "N/A", "N/A", IF(Fixtures[[#This Row],[userSide]] = "H", Fixtures[[#This Row],[awayTeam]], Fixtures[[#This Row],[homeTeam]]))</f>
        <v>N/A</v>
      </c>
      <c r="AB513" s="58" t="str" cm="1">
        <f t="array" ref="AB513">_xlfn._xlws.FILTER(Teams[teamID], Fixtures[[#This Row],[oppTeam]] = Teams[name], "N/A")</f>
        <v>N/A</v>
      </c>
      <c r="AC513" s="58" t="str" cm="1">
        <f t="array" ref="AC513">_xlfn._xlws.FILTER(Teams[teamType], Fixtures[[#This Row],[oppTeam]] = Teams[name], "N/A")</f>
        <v>N/A</v>
      </c>
      <c r="AD513" s="58" t="str">
        <f>IF(ISBLANK(Fixtures[[#This Row],[date]]), "N/A", IF(Fixtures[[#This Row],[userSide]]="H", Fixtures[[#This Row],[homeScore]], Fixtures[[#This Row],[awayScore]]))</f>
        <v>N/A</v>
      </c>
      <c r="AE513" s="58" t="str">
        <f>IF(ISBLANK(Fixtures[[#This Row],[date]]), "N/A", IF(Fixtures[[#This Row],[userScore]] = Fixtures[[#This Row],[homeScore]], Fixtures[[#This Row],[awayScore]], Fixtures[[#This Row],[homeScore]]))</f>
        <v>N/A</v>
      </c>
      <c r="AF513" s="58" t="b">
        <f>NOT(AND(ISBLANK(Fixtures[[#This Row],[homePens]]), ISBLANK(Fixtures[[#This Row],[awayPens]])))</f>
        <v>0</v>
      </c>
      <c r="AG513" s="58" t="str">
        <f>IF(Fixtures[[#This Row],[penalties]], IF(Fixtures[[#This Row],[userSide]]="H", Fixtures[[#This Row],[homePens]], Fixtures[[#This Row],[awayPens]]), "N/A")</f>
        <v>N/A</v>
      </c>
      <c r="AH513" s="58" t="str">
        <f>IF(Fixtures[[#This Row],[penalties]], IF(Fixtures[[#This Row],[userPens]]=Fixtures[[#This Row],[homePens]],Fixtures[[#This Row],[awayPens]],Fixtures[[#This Row],[homePens]]), "N/A")</f>
        <v>N/A</v>
      </c>
      <c r="AI513" s="58" t="b">
        <f>COUNTBLANK(Fixtures[[#This Row],[G]:[MOTM]]) = 0</f>
        <v>0</v>
      </c>
      <c r="AJ513" s="58" t="str">
        <f>IF(Fixtures[[#This Row],[APP]], Fixtures[[#This Row],[G]]+Fixtures[[#This Row],[A]], "N/A")</f>
        <v>N/A</v>
      </c>
      <c r="AK5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4" spans="1:39" ht="13">
      <c r="A514" s="55"/>
      <c r="B514" s="61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7"/>
      <c r="R514" s="56"/>
      <c r="S514" s="58" t="str" cm="1">
        <f t="array" ref="S514">_xlfn._xlws.FILTER(Competitions[compType], (Fixtures[[#This Row],[competition]] = Competitions[name]), "N/A")</f>
        <v>N/A</v>
      </c>
      <c r="T514" s="58" t="str" cm="1">
        <f t="array" ref="T514">_xlfn._xlws.FILTER(Competitions[exhibition], (Fixtures[[#This Row],[competition]] = Competitions[name]), "N/A")</f>
        <v>N/A</v>
      </c>
      <c r="U514" s="58" t="str" cm="1">
        <f t="array" ref="U514">_xlfn._xlws.FILTER(Competitions[compID], (Fixtures[[#This Row],[competition]] = Competitions[name]), "N/A")</f>
        <v>N/A</v>
      </c>
      <c r="V5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4" s="58" t="str" cm="1">
        <f t="array" ref="W5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4" s="58" t="str" cm="1">
        <f t="array" ref="X514">_xlfn._xlws.FILTER(Teams[name], (Fixtures[[#This Row],[userTeamID]] = Teams[teamID]), "N/A")</f>
        <v>N/A</v>
      </c>
      <c r="Y514" s="58" t="str" cm="1">
        <f t="array" ref="Y514">_xlfn._xlws.FILTER(Teams[teamType], (Fixtures[[#This Row],[userTeamID]] = Teams[teamID]), "N/A")</f>
        <v>N/A</v>
      </c>
      <c r="Z514" s="58" t="str" cm="1">
        <f t="array" ref="Z5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4" s="58" t="str">
        <f>IF(Fixtures[[#This Row],[userSide]] = "N/A", "N/A", IF(Fixtures[[#This Row],[userSide]] = "H", Fixtures[[#This Row],[awayTeam]], Fixtures[[#This Row],[homeTeam]]))</f>
        <v>N/A</v>
      </c>
      <c r="AB514" s="58" t="str" cm="1">
        <f t="array" ref="AB514">_xlfn._xlws.FILTER(Teams[teamID], Fixtures[[#This Row],[oppTeam]] = Teams[name], "N/A")</f>
        <v>N/A</v>
      </c>
      <c r="AC514" s="58" t="str" cm="1">
        <f t="array" ref="AC514">_xlfn._xlws.FILTER(Teams[teamType], Fixtures[[#This Row],[oppTeam]] = Teams[name], "N/A")</f>
        <v>N/A</v>
      </c>
      <c r="AD514" s="58" t="str">
        <f>IF(ISBLANK(Fixtures[[#This Row],[date]]), "N/A", IF(Fixtures[[#This Row],[userSide]]="H", Fixtures[[#This Row],[homeScore]], Fixtures[[#This Row],[awayScore]]))</f>
        <v>N/A</v>
      </c>
      <c r="AE514" s="58" t="str">
        <f>IF(ISBLANK(Fixtures[[#This Row],[date]]), "N/A", IF(Fixtures[[#This Row],[userScore]] = Fixtures[[#This Row],[homeScore]], Fixtures[[#This Row],[awayScore]], Fixtures[[#This Row],[homeScore]]))</f>
        <v>N/A</v>
      </c>
      <c r="AF514" s="58" t="b">
        <f>NOT(AND(ISBLANK(Fixtures[[#This Row],[homePens]]), ISBLANK(Fixtures[[#This Row],[awayPens]])))</f>
        <v>0</v>
      </c>
      <c r="AG514" s="58" t="str">
        <f>IF(Fixtures[[#This Row],[penalties]], IF(Fixtures[[#This Row],[userSide]]="H", Fixtures[[#This Row],[homePens]], Fixtures[[#This Row],[awayPens]]), "N/A")</f>
        <v>N/A</v>
      </c>
      <c r="AH514" s="58" t="str">
        <f>IF(Fixtures[[#This Row],[penalties]], IF(Fixtures[[#This Row],[userPens]]=Fixtures[[#This Row],[homePens]],Fixtures[[#This Row],[awayPens]],Fixtures[[#This Row],[homePens]]), "N/A")</f>
        <v>N/A</v>
      </c>
      <c r="AI514" s="58" t="b">
        <f>COUNTBLANK(Fixtures[[#This Row],[G]:[MOTM]]) = 0</f>
        <v>0</v>
      </c>
      <c r="AJ514" s="58" t="str">
        <f>IF(Fixtures[[#This Row],[APP]], Fixtures[[#This Row],[G]]+Fixtures[[#This Row],[A]], "N/A")</f>
        <v>N/A</v>
      </c>
      <c r="AK5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5" spans="1:39" ht="13">
      <c r="A515" s="55"/>
      <c r="B515" s="61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7"/>
      <c r="R515" s="56"/>
      <c r="S515" s="58" t="str" cm="1">
        <f t="array" ref="S515">_xlfn._xlws.FILTER(Competitions[compType], (Fixtures[[#This Row],[competition]] = Competitions[name]), "N/A")</f>
        <v>N/A</v>
      </c>
      <c r="T515" s="58" t="str" cm="1">
        <f t="array" ref="T515">_xlfn._xlws.FILTER(Competitions[exhibition], (Fixtures[[#This Row],[competition]] = Competitions[name]), "N/A")</f>
        <v>N/A</v>
      </c>
      <c r="U515" s="58" t="str" cm="1">
        <f t="array" ref="U515">_xlfn._xlws.FILTER(Competitions[compID], (Fixtures[[#This Row],[competition]] = Competitions[name]), "N/A")</f>
        <v>N/A</v>
      </c>
      <c r="V5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5" s="58" t="str" cm="1">
        <f t="array" ref="W5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5" s="58" t="str" cm="1">
        <f t="array" ref="X515">_xlfn._xlws.FILTER(Teams[name], (Fixtures[[#This Row],[userTeamID]] = Teams[teamID]), "N/A")</f>
        <v>N/A</v>
      </c>
      <c r="Y515" s="58" t="str" cm="1">
        <f t="array" ref="Y515">_xlfn._xlws.FILTER(Teams[teamType], (Fixtures[[#This Row],[userTeamID]] = Teams[teamID]), "N/A")</f>
        <v>N/A</v>
      </c>
      <c r="Z515" s="58" t="str" cm="1">
        <f t="array" ref="Z5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5" s="58" t="str">
        <f>IF(Fixtures[[#This Row],[userSide]] = "N/A", "N/A", IF(Fixtures[[#This Row],[userSide]] = "H", Fixtures[[#This Row],[awayTeam]], Fixtures[[#This Row],[homeTeam]]))</f>
        <v>N/A</v>
      </c>
      <c r="AB515" s="58" t="str" cm="1">
        <f t="array" ref="AB515">_xlfn._xlws.FILTER(Teams[teamID], Fixtures[[#This Row],[oppTeam]] = Teams[name], "N/A")</f>
        <v>N/A</v>
      </c>
      <c r="AC515" s="58" t="str" cm="1">
        <f t="array" ref="AC515">_xlfn._xlws.FILTER(Teams[teamType], Fixtures[[#This Row],[oppTeam]] = Teams[name], "N/A")</f>
        <v>N/A</v>
      </c>
      <c r="AD515" s="58" t="str">
        <f>IF(ISBLANK(Fixtures[[#This Row],[date]]), "N/A", IF(Fixtures[[#This Row],[userSide]]="H", Fixtures[[#This Row],[homeScore]], Fixtures[[#This Row],[awayScore]]))</f>
        <v>N/A</v>
      </c>
      <c r="AE515" s="58" t="str">
        <f>IF(ISBLANK(Fixtures[[#This Row],[date]]), "N/A", IF(Fixtures[[#This Row],[userScore]] = Fixtures[[#This Row],[homeScore]], Fixtures[[#This Row],[awayScore]], Fixtures[[#This Row],[homeScore]]))</f>
        <v>N/A</v>
      </c>
      <c r="AF515" s="58" t="b">
        <f>NOT(AND(ISBLANK(Fixtures[[#This Row],[homePens]]), ISBLANK(Fixtures[[#This Row],[awayPens]])))</f>
        <v>0</v>
      </c>
      <c r="AG515" s="58" t="str">
        <f>IF(Fixtures[[#This Row],[penalties]], IF(Fixtures[[#This Row],[userSide]]="H", Fixtures[[#This Row],[homePens]], Fixtures[[#This Row],[awayPens]]), "N/A")</f>
        <v>N/A</v>
      </c>
      <c r="AH515" s="58" t="str">
        <f>IF(Fixtures[[#This Row],[penalties]], IF(Fixtures[[#This Row],[userPens]]=Fixtures[[#This Row],[homePens]],Fixtures[[#This Row],[awayPens]],Fixtures[[#This Row],[homePens]]), "N/A")</f>
        <v>N/A</v>
      </c>
      <c r="AI515" s="58" t="b">
        <f>COUNTBLANK(Fixtures[[#This Row],[G]:[MOTM]]) = 0</f>
        <v>0</v>
      </c>
      <c r="AJ515" s="58" t="str">
        <f>IF(Fixtures[[#This Row],[APP]], Fixtures[[#This Row],[G]]+Fixtures[[#This Row],[A]], "N/A")</f>
        <v>N/A</v>
      </c>
      <c r="AK5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6" spans="1:39" ht="13">
      <c r="A516" s="55"/>
      <c r="B516" s="61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7"/>
      <c r="R516" s="56"/>
      <c r="S516" s="58" t="str" cm="1">
        <f t="array" ref="S516">_xlfn._xlws.FILTER(Competitions[compType], (Fixtures[[#This Row],[competition]] = Competitions[name]), "N/A")</f>
        <v>N/A</v>
      </c>
      <c r="T516" s="58" t="str" cm="1">
        <f t="array" ref="T516">_xlfn._xlws.FILTER(Competitions[exhibition], (Fixtures[[#This Row],[competition]] = Competitions[name]), "N/A")</f>
        <v>N/A</v>
      </c>
      <c r="U516" s="58" t="str" cm="1">
        <f t="array" ref="U516">_xlfn._xlws.FILTER(Competitions[compID], (Fixtures[[#This Row],[competition]] = Competitions[name]), "N/A")</f>
        <v>N/A</v>
      </c>
      <c r="V5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6" s="58" t="str" cm="1">
        <f t="array" ref="W5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6" s="58" t="str" cm="1">
        <f t="array" ref="X516">_xlfn._xlws.FILTER(Teams[name], (Fixtures[[#This Row],[userTeamID]] = Teams[teamID]), "N/A")</f>
        <v>N/A</v>
      </c>
      <c r="Y516" s="58" t="str" cm="1">
        <f t="array" ref="Y516">_xlfn._xlws.FILTER(Teams[teamType], (Fixtures[[#This Row],[userTeamID]] = Teams[teamID]), "N/A")</f>
        <v>N/A</v>
      </c>
      <c r="Z516" s="58" t="str" cm="1">
        <f t="array" ref="Z5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6" s="58" t="str">
        <f>IF(Fixtures[[#This Row],[userSide]] = "N/A", "N/A", IF(Fixtures[[#This Row],[userSide]] = "H", Fixtures[[#This Row],[awayTeam]], Fixtures[[#This Row],[homeTeam]]))</f>
        <v>N/A</v>
      </c>
      <c r="AB516" s="58" t="str" cm="1">
        <f t="array" ref="AB516">_xlfn._xlws.FILTER(Teams[teamID], Fixtures[[#This Row],[oppTeam]] = Teams[name], "N/A")</f>
        <v>N/A</v>
      </c>
      <c r="AC516" s="58" t="str" cm="1">
        <f t="array" ref="AC516">_xlfn._xlws.FILTER(Teams[teamType], Fixtures[[#This Row],[oppTeam]] = Teams[name], "N/A")</f>
        <v>N/A</v>
      </c>
      <c r="AD516" s="58" t="str">
        <f>IF(ISBLANK(Fixtures[[#This Row],[date]]), "N/A", IF(Fixtures[[#This Row],[userSide]]="H", Fixtures[[#This Row],[homeScore]], Fixtures[[#This Row],[awayScore]]))</f>
        <v>N/A</v>
      </c>
      <c r="AE516" s="58" t="str">
        <f>IF(ISBLANK(Fixtures[[#This Row],[date]]), "N/A", IF(Fixtures[[#This Row],[userScore]] = Fixtures[[#This Row],[homeScore]], Fixtures[[#This Row],[awayScore]], Fixtures[[#This Row],[homeScore]]))</f>
        <v>N/A</v>
      </c>
      <c r="AF516" s="58" t="b">
        <f>NOT(AND(ISBLANK(Fixtures[[#This Row],[homePens]]), ISBLANK(Fixtures[[#This Row],[awayPens]])))</f>
        <v>0</v>
      </c>
      <c r="AG516" s="58" t="str">
        <f>IF(Fixtures[[#This Row],[penalties]], IF(Fixtures[[#This Row],[userSide]]="H", Fixtures[[#This Row],[homePens]], Fixtures[[#This Row],[awayPens]]), "N/A")</f>
        <v>N/A</v>
      </c>
      <c r="AH516" s="58" t="str">
        <f>IF(Fixtures[[#This Row],[penalties]], IF(Fixtures[[#This Row],[userPens]]=Fixtures[[#This Row],[homePens]],Fixtures[[#This Row],[awayPens]],Fixtures[[#This Row],[homePens]]), "N/A")</f>
        <v>N/A</v>
      </c>
      <c r="AI516" s="58" t="b">
        <f>COUNTBLANK(Fixtures[[#This Row],[G]:[MOTM]]) = 0</f>
        <v>0</v>
      </c>
      <c r="AJ516" s="58" t="str">
        <f>IF(Fixtures[[#This Row],[APP]], Fixtures[[#This Row],[G]]+Fixtures[[#This Row],[A]], "N/A")</f>
        <v>N/A</v>
      </c>
      <c r="AK5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7" spans="1:39" ht="13">
      <c r="A517" s="55"/>
      <c r="B517" s="61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7"/>
      <c r="R517" s="56"/>
      <c r="S517" s="58" t="str" cm="1">
        <f t="array" ref="S517">_xlfn._xlws.FILTER(Competitions[compType], (Fixtures[[#This Row],[competition]] = Competitions[name]), "N/A")</f>
        <v>N/A</v>
      </c>
      <c r="T517" s="58" t="str" cm="1">
        <f t="array" ref="T517">_xlfn._xlws.FILTER(Competitions[exhibition], (Fixtures[[#This Row],[competition]] = Competitions[name]), "N/A")</f>
        <v>N/A</v>
      </c>
      <c r="U517" s="58" t="str" cm="1">
        <f t="array" ref="U517">_xlfn._xlws.FILTER(Competitions[compID], (Fixtures[[#This Row],[competition]] = Competitions[name]), "N/A")</f>
        <v>N/A</v>
      </c>
      <c r="V5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7" s="58" t="str" cm="1">
        <f t="array" ref="W5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7" s="58" t="str" cm="1">
        <f t="array" ref="X517">_xlfn._xlws.FILTER(Teams[name], (Fixtures[[#This Row],[userTeamID]] = Teams[teamID]), "N/A")</f>
        <v>N/A</v>
      </c>
      <c r="Y517" s="58" t="str" cm="1">
        <f t="array" ref="Y517">_xlfn._xlws.FILTER(Teams[teamType], (Fixtures[[#This Row],[userTeamID]] = Teams[teamID]), "N/A")</f>
        <v>N/A</v>
      </c>
      <c r="Z517" s="58" t="str" cm="1">
        <f t="array" ref="Z5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7" s="58" t="str">
        <f>IF(Fixtures[[#This Row],[userSide]] = "N/A", "N/A", IF(Fixtures[[#This Row],[userSide]] = "H", Fixtures[[#This Row],[awayTeam]], Fixtures[[#This Row],[homeTeam]]))</f>
        <v>N/A</v>
      </c>
      <c r="AB517" s="58" t="str" cm="1">
        <f t="array" ref="AB517">_xlfn._xlws.FILTER(Teams[teamID], Fixtures[[#This Row],[oppTeam]] = Teams[name], "N/A")</f>
        <v>N/A</v>
      </c>
      <c r="AC517" s="58" t="str" cm="1">
        <f t="array" ref="AC517">_xlfn._xlws.FILTER(Teams[teamType], Fixtures[[#This Row],[oppTeam]] = Teams[name], "N/A")</f>
        <v>N/A</v>
      </c>
      <c r="AD517" s="58" t="str">
        <f>IF(ISBLANK(Fixtures[[#This Row],[date]]), "N/A", IF(Fixtures[[#This Row],[userSide]]="H", Fixtures[[#This Row],[homeScore]], Fixtures[[#This Row],[awayScore]]))</f>
        <v>N/A</v>
      </c>
      <c r="AE517" s="58" t="str">
        <f>IF(ISBLANK(Fixtures[[#This Row],[date]]), "N/A", IF(Fixtures[[#This Row],[userScore]] = Fixtures[[#This Row],[homeScore]], Fixtures[[#This Row],[awayScore]], Fixtures[[#This Row],[homeScore]]))</f>
        <v>N/A</v>
      </c>
      <c r="AF517" s="58" t="b">
        <f>NOT(AND(ISBLANK(Fixtures[[#This Row],[homePens]]), ISBLANK(Fixtures[[#This Row],[awayPens]])))</f>
        <v>0</v>
      </c>
      <c r="AG517" s="58" t="str">
        <f>IF(Fixtures[[#This Row],[penalties]], IF(Fixtures[[#This Row],[userSide]]="H", Fixtures[[#This Row],[homePens]], Fixtures[[#This Row],[awayPens]]), "N/A")</f>
        <v>N/A</v>
      </c>
      <c r="AH517" s="58" t="str">
        <f>IF(Fixtures[[#This Row],[penalties]], IF(Fixtures[[#This Row],[userPens]]=Fixtures[[#This Row],[homePens]],Fixtures[[#This Row],[awayPens]],Fixtures[[#This Row],[homePens]]), "N/A")</f>
        <v>N/A</v>
      </c>
      <c r="AI517" s="58" t="b">
        <f>COUNTBLANK(Fixtures[[#This Row],[G]:[MOTM]]) = 0</f>
        <v>0</v>
      </c>
      <c r="AJ517" s="58" t="str">
        <f>IF(Fixtures[[#This Row],[APP]], Fixtures[[#This Row],[G]]+Fixtures[[#This Row],[A]], "N/A")</f>
        <v>N/A</v>
      </c>
      <c r="AK5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8" spans="1:39" ht="13">
      <c r="A518" s="55"/>
      <c r="B518" s="61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7"/>
      <c r="R518" s="56"/>
      <c r="S518" s="58" t="str" cm="1">
        <f t="array" ref="S518">_xlfn._xlws.FILTER(Competitions[compType], (Fixtures[[#This Row],[competition]] = Competitions[name]), "N/A")</f>
        <v>N/A</v>
      </c>
      <c r="T518" s="58" t="str" cm="1">
        <f t="array" ref="T518">_xlfn._xlws.FILTER(Competitions[exhibition], (Fixtures[[#This Row],[competition]] = Competitions[name]), "N/A")</f>
        <v>N/A</v>
      </c>
      <c r="U518" s="58" t="str" cm="1">
        <f t="array" ref="U518">_xlfn._xlws.FILTER(Competitions[compID], (Fixtures[[#This Row],[competition]] = Competitions[name]), "N/A")</f>
        <v>N/A</v>
      </c>
      <c r="V5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8" s="58" t="str" cm="1">
        <f t="array" ref="W5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8" s="58" t="str" cm="1">
        <f t="array" ref="X518">_xlfn._xlws.FILTER(Teams[name], (Fixtures[[#This Row],[userTeamID]] = Teams[teamID]), "N/A")</f>
        <v>N/A</v>
      </c>
      <c r="Y518" s="58" t="str" cm="1">
        <f t="array" ref="Y518">_xlfn._xlws.FILTER(Teams[teamType], (Fixtures[[#This Row],[userTeamID]] = Teams[teamID]), "N/A")</f>
        <v>N/A</v>
      </c>
      <c r="Z518" s="58" t="str" cm="1">
        <f t="array" ref="Z5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8" s="58" t="str">
        <f>IF(Fixtures[[#This Row],[userSide]] = "N/A", "N/A", IF(Fixtures[[#This Row],[userSide]] = "H", Fixtures[[#This Row],[awayTeam]], Fixtures[[#This Row],[homeTeam]]))</f>
        <v>N/A</v>
      </c>
      <c r="AB518" s="58" t="str" cm="1">
        <f t="array" ref="AB518">_xlfn._xlws.FILTER(Teams[teamID], Fixtures[[#This Row],[oppTeam]] = Teams[name], "N/A")</f>
        <v>N/A</v>
      </c>
      <c r="AC518" s="58" t="str" cm="1">
        <f t="array" ref="AC518">_xlfn._xlws.FILTER(Teams[teamType], Fixtures[[#This Row],[oppTeam]] = Teams[name], "N/A")</f>
        <v>N/A</v>
      </c>
      <c r="AD518" s="58" t="str">
        <f>IF(ISBLANK(Fixtures[[#This Row],[date]]), "N/A", IF(Fixtures[[#This Row],[userSide]]="H", Fixtures[[#This Row],[homeScore]], Fixtures[[#This Row],[awayScore]]))</f>
        <v>N/A</v>
      </c>
      <c r="AE518" s="58" t="str">
        <f>IF(ISBLANK(Fixtures[[#This Row],[date]]), "N/A", IF(Fixtures[[#This Row],[userScore]] = Fixtures[[#This Row],[homeScore]], Fixtures[[#This Row],[awayScore]], Fixtures[[#This Row],[homeScore]]))</f>
        <v>N/A</v>
      </c>
      <c r="AF518" s="58" t="b">
        <f>NOT(AND(ISBLANK(Fixtures[[#This Row],[homePens]]), ISBLANK(Fixtures[[#This Row],[awayPens]])))</f>
        <v>0</v>
      </c>
      <c r="AG518" s="58" t="str">
        <f>IF(Fixtures[[#This Row],[penalties]], IF(Fixtures[[#This Row],[userSide]]="H", Fixtures[[#This Row],[homePens]], Fixtures[[#This Row],[awayPens]]), "N/A")</f>
        <v>N/A</v>
      </c>
      <c r="AH518" s="58" t="str">
        <f>IF(Fixtures[[#This Row],[penalties]], IF(Fixtures[[#This Row],[userPens]]=Fixtures[[#This Row],[homePens]],Fixtures[[#This Row],[awayPens]],Fixtures[[#This Row],[homePens]]), "N/A")</f>
        <v>N/A</v>
      </c>
      <c r="AI518" s="58" t="b">
        <f>COUNTBLANK(Fixtures[[#This Row],[G]:[MOTM]]) = 0</f>
        <v>0</v>
      </c>
      <c r="AJ518" s="58" t="str">
        <f>IF(Fixtures[[#This Row],[APP]], Fixtures[[#This Row],[G]]+Fixtures[[#This Row],[A]], "N/A")</f>
        <v>N/A</v>
      </c>
      <c r="AK5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19" spans="1:39" ht="13">
      <c r="A519" s="55"/>
      <c r="B519" s="61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7"/>
      <c r="R519" s="56"/>
      <c r="S519" s="58" t="str" cm="1">
        <f t="array" ref="S519">_xlfn._xlws.FILTER(Competitions[compType], (Fixtures[[#This Row],[competition]] = Competitions[name]), "N/A")</f>
        <v>N/A</v>
      </c>
      <c r="T519" s="58" t="str" cm="1">
        <f t="array" ref="T519">_xlfn._xlws.FILTER(Competitions[exhibition], (Fixtures[[#This Row],[competition]] = Competitions[name]), "N/A")</f>
        <v>N/A</v>
      </c>
      <c r="U519" s="58" t="str" cm="1">
        <f t="array" ref="U519">_xlfn._xlws.FILTER(Competitions[compID], (Fixtures[[#This Row],[competition]] = Competitions[name]), "N/A")</f>
        <v>N/A</v>
      </c>
      <c r="V5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19" s="58" t="str" cm="1">
        <f t="array" ref="W5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19" s="58" t="str" cm="1">
        <f t="array" ref="X519">_xlfn._xlws.FILTER(Teams[name], (Fixtures[[#This Row],[userTeamID]] = Teams[teamID]), "N/A")</f>
        <v>N/A</v>
      </c>
      <c r="Y519" s="58" t="str" cm="1">
        <f t="array" ref="Y519">_xlfn._xlws.FILTER(Teams[teamType], (Fixtures[[#This Row],[userTeamID]] = Teams[teamID]), "N/A")</f>
        <v>N/A</v>
      </c>
      <c r="Z519" s="58" t="str" cm="1">
        <f t="array" ref="Z5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19" s="58" t="str">
        <f>IF(Fixtures[[#This Row],[userSide]] = "N/A", "N/A", IF(Fixtures[[#This Row],[userSide]] = "H", Fixtures[[#This Row],[awayTeam]], Fixtures[[#This Row],[homeTeam]]))</f>
        <v>N/A</v>
      </c>
      <c r="AB519" s="58" t="str" cm="1">
        <f t="array" ref="AB519">_xlfn._xlws.FILTER(Teams[teamID], Fixtures[[#This Row],[oppTeam]] = Teams[name], "N/A")</f>
        <v>N/A</v>
      </c>
      <c r="AC519" s="58" t="str" cm="1">
        <f t="array" ref="AC519">_xlfn._xlws.FILTER(Teams[teamType], Fixtures[[#This Row],[oppTeam]] = Teams[name], "N/A")</f>
        <v>N/A</v>
      </c>
      <c r="AD519" s="58" t="str">
        <f>IF(ISBLANK(Fixtures[[#This Row],[date]]), "N/A", IF(Fixtures[[#This Row],[userSide]]="H", Fixtures[[#This Row],[homeScore]], Fixtures[[#This Row],[awayScore]]))</f>
        <v>N/A</v>
      </c>
      <c r="AE519" s="58" t="str">
        <f>IF(ISBLANK(Fixtures[[#This Row],[date]]), "N/A", IF(Fixtures[[#This Row],[userScore]] = Fixtures[[#This Row],[homeScore]], Fixtures[[#This Row],[awayScore]], Fixtures[[#This Row],[homeScore]]))</f>
        <v>N/A</v>
      </c>
      <c r="AF519" s="58" t="b">
        <f>NOT(AND(ISBLANK(Fixtures[[#This Row],[homePens]]), ISBLANK(Fixtures[[#This Row],[awayPens]])))</f>
        <v>0</v>
      </c>
      <c r="AG519" s="58" t="str">
        <f>IF(Fixtures[[#This Row],[penalties]], IF(Fixtures[[#This Row],[userSide]]="H", Fixtures[[#This Row],[homePens]], Fixtures[[#This Row],[awayPens]]), "N/A")</f>
        <v>N/A</v>
      </c>
      <c r="AH519" s="58" t="str">
        <f>IF(Fixtures[[#This Row],[penalties]], IF(Fixtures[[#This Row],[userPens]]=Fixtures[[#This Row],[homePens]],Fixtures[[#This Row],[awayPens]],Fixtures[[#This Row],[homePens]]), "N/A")</f>
        <v>N/A</v>
      </c>
      <c r="AI519" s="58" t="b">
        <f>COUNTBLANK(Fixtures[[#This Row],[G]:[MOTM]]) = 0</f>
        <v>0</v>
      </c>
      <c r="AJ519" s="58" t="str">
        <f>IF(Fixtures[[#This Row],[APP]], Fixtures[[#This Row],[G]]+Fixtures[[#This Row],[A]], "N/A")</f>
        <v>N/A</v>
      </c>
      <c r="AK5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0" spans="1:39" ht="13">
      <c r="A520" s="55"/>
      <c r="B520" s="61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7"/>
      <c r="R520" s="56"/>
      <c r="S520" s="58" t="str" cm="1">
        <f t="array" ref="S520">_xlfn._xlws.FILTER(Competitions[compType], (Fixtures[[#This Row],[competition]] = Competitions[name]), "N/A")</f>
        <v>N/A</v>
      </c>
      <c r="T520" s="58" t="str" cm="1">
        <f t="array" ref="T520">_xlfn._xlws.FILTER(Competitions[exhibition], (Fixtures[[#This Row],[competition]] = Competitions[name]), "N/A")</f>
        <v>N/A</v>
      </c>
      <c r="U520" s="58" t="str" cm="1">
        <f t="array" ref="U520">_xlfn._xlws.FILTER(Competitions[compID], (Fixtures[[#This Row],[competition]] = Competitions[name]), "N/A")</f>
        <v>N/A</v>
      </c>
      <c r="V5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0" s="58" t="str" cm="1">
        <f t="array" ref="W5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0" s="58" t="str" cm="1">
        <f t="array" ref="X520">_xlfn._xlws.FILTER(Teams[name], (Fixtures[[#This Row],[userTeamID]] = Teams[teamID]), "N/A")</f>
        <v>N/A</v>
      </c>
      <c r="Y520" s="58" t="str" cm="1">
        <f t="array" ref="Y520">_xlfn._xlws.FILTER(Teams[teamType], (Fixtures[[#This Row],[userTeamID]] = Teams[teamID]), "N/A")</f>
        <v>N/A</v>
      </c>
      <c r="Z520" s="58" t="str" cm="1">
        <f t="array" ref="Z5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0" s="58" t="str">
        <f>IF(Fixtures[[#This Row],[userSide]] = "N/A", "N/A", IF(Fixtures[[#This Row],[userSide]] = "H", Fixtures[[#This Row],[awayTeam]], Fixtures[[#This Row],[homeTeam]]))</f>
        <v>N/A</v>
      </c>
      <c r="AB520" s="58" t="str" cm="1">
        <f t="array" ref="AB520">_xlfn._xlws.FILTER(Teams[teamID], Fixtures[[#This Row],[oppTeam]] = Teams[name], "N/A")</f>
        <v>N/A</v>
      </c>
      <c r="AC520" s="58" t="str" cm="1">
        <f t="array" ref="AC520">_xlfn._xlws.FILTER(Teams[teamType], Fixtures[[#This Row],[oppTeam]] = Teams[name], "N/A")</f>
        <v>N/A</v>
      </c>
      <c r="AD520" s="58" t="str">
        <f>IF(ISBLANK(Fixtures[[#This Row],[date]]), "N/A", IF(Fixtures[[#This Row],[userSide]]="H", Fixtures[[#This Row],[homeScore]], Fixtures[[#This Row],[awayScore]]))</f>
        <v>N/A</v>
      </c>
      <c r="AE520" s="58" t="str">
        <f>IF(ISBLANK(Fixtures[[#This Row],[date]]), "N/A", IF(Fixtures[[#This Row],[userScore]] = Fixtures[[#This Row],[homeScore]], Fixtures[[#This Row],[awayScore]], Fixtures[[#This Row],[homeScore]]))</f>
        <v>N/A</v>
      </c>
      <c r="AF520" s="58" t="b">
        <f>NOT(AND(ISBLANK(Fixtures[[#This Row],[homePens]]), ISBLANK(Fixtures[[#This Row],[awayPens]])))</f>
        <v>0</v>
      </c>
      <c r="AG520" s="58" t="str">
        <f>IF(Fixtures[[#This Row],[penalties]], IF(Fixtures[[#This Row],[userSide]]="H", Fixtures[[#This Row],[homePens]], Fixtures[[#This Row],[awayPens]]), "N/A")</f>
        <v>N/A</v>
      </c>
      <c r="AH520" s="58" t="str">
        <f>IF(Fixtures[[#This Row],[penalties]], IF(Fixtures[[#This Row],[userPens]]=Fixtures[[#This Row],[homePens]],Fixtures[[#This Row],[awayPens]],Fixtures[[#This Row],[homePens]]), "N/A")</f>
        <v>N/A</v>
      </c>
      <c r="AI520" s="58" t="b">
        <f>COUNTBLANK(Fixtures[[#This Row],[G]:[MOTM]]) = 0</f>
        <v>0</v>
      </c>
      <c r="AJ520" s="58" t="str">
        <f>IF(Fixtures[[#This Row],[APP]], Fixtures[[#This Row],[G]]+Fixtures[[#This Row],[A]], "N/A")</f>
        <v>N/A</v>
      </c>
      <c r="AK5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1" spans="1:39" ht="13">
      <c r="A521" s="55"/>
      <c r="B521" s="61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7"/>
      <c r="R521" s="56"/>
      <c r="S521" s="58" t="str" cm="1">
        <f t="array" ref="S521">_xlfn._xlws.FILTER(Competitions[compType], (Fixtures[[#This Row],[competition]] = Competitions[name]), "N/A")</f>
        <v>N/A</v>
      </c>
      <c r="T521" s="58" t="str" cm="1">
        <f t="array" ref="T521">_xlfn._xlws.FILTER(Competitions[exhibition], (Fixtures[[#This Row],[competition]] = Competitions[name]), "N/A")</f>
        <v>N/A</v>
      </c>
      <c r="U521" s="58" t="str" cm="1">
        <f t="array" ref="U521">_xlfn._xlws.FILTER(Competitions[compID], (Fixtures[[#This Row],[competition]] = Competitions[name]), "N/A")</f>
        <v>N/A</v>
      </c>
      <c r="V5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1" s="58" t="str" cm="1">
        <f t="array" ref="W5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1" s="58" t="str" cm="1">
        <f t="array" ref="X521">_xlfn._xlws.FILTER(Teams[name], (Fixtures[[#This Row],[userTeamID]] = Teams[teamID]), "N/A")</f>
        <v>N/A</v>
      </c>
      <c r="Y521" s="58" t="str" cm="1">
        <f t="array" ref="Y521">_xlfn._xlws.FILTER(Teams[teamType], (Fixtures[[#This Row],[userTeamID]] = Teams[teamID]), "N/A")</f>
        <v>N/A</v>
      </c>
      <c r="Z521" s="58" t="str" cm="1">
        <f t="array" ref="Z5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1" s="58" t="str">
        <f>IF(Fixtures[[#This Row],[userSide]] = "N/A", "N/A", IF(Fixtures[[#This Row],[userSide]] = "H", Fixtures[[#This Row],[awayTeam]], Fixtures[[#This Row],[homeTeam]]))</f>
        <v>N/A</v>
      </c>
      <c r="AB521" s="58" t="str" cm="1">
        <f t="array" ref="AB521">_xlfn._xlws.FILTER(Teams[teamID], Fixtures[[#This Row],[oppTeam]] = Teams[name], "N/A")</f>
        <v>N/A</v>
      </c>
      <c r="AC521" s="58" t="str" cm="1">
        <f t="array" ref="AC521">_xlfn._xlws.FILTER(Teams[teamType], Fixtures[[#This Row],[oppTeam]] = Teams[name], "N/A")</f>
        <v>N/A</v>
      </c>
      <c r="AD521" s="58" t="str">
        <f>IF(ISBLANK(Fixtures[[#This Row],[date]]), "N/A", IF(Fixtures[[#This Row],[userSide]]="H", Fixtures[[#This Row],[homeScore]], Fixtures[[#This Row],[awayScore]]))</f>
        <v>N/A</v>
      </c>
      <c r="AE521" s="58" t="str">
        <f>IF(ISBLANK(Fixtures[[#This Row],[date]]), "N/A", IF(Fixtures[[#This Row],[userScore]] = Fixtures[[#This Row],[homeScore]], Fixtures[[#This Row],[awayScore]], Fixtures[[#This Row],[homeScore]]))</f>
        <v>N/A</v>
      </c>
      <c r="AF521" s="58" t="b">
        <f>NOT(AND(ISBLANK(Fixtures[[#This Row],[homePens]]), ISBLANK(Fixtures[[#This Row],[awayPens]])))</f>
        <v>0</v>
      </c>
      <c r="AG521" s="58" t="str">
        <f>IF(Fixtures[[#This Row],[penalties]], IF(Fixtures[[#This Row],[userSide]]="H", Fixtures[[#This Row],[homePens]], Fixtures[[#This Row],[awayPens]]), "N/A")</f>
        <v>N/A</v>
      </c>
      <c r="AH521" s="58" t="str">
        <f>IF(Fixtures[[#This Row],[penalties]], IF(Fixtures[[#This Row],[userPens]]=Fixtures[[#This Row],[homePens]],Fixtures[[#This Row],[awayPens]],Fixtures[[#This Row],[homePens]]), "N/A")</f>
        <v>N/A</v>
      </c>
      <c r="AI521" s="58" t="b">
        <f>COUNTBLANK(Fixtures[[#This Row],[G]:[MOTM]]) = 0</f>
        <v>0</v>
      </c>
      <c r="AJ521" s="58" t="str">
        <f>IF(Fixtures[[#This Row],[APP]], Fixtures[[#This Row],[G]]+Fixtures[[#This Row],[A]], "N/A")</f>
        <v>N/A</v>
      </c>
      <c r="AK5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2" spans="1:39" ht="13">
      <c r="A522" s="55"/>
      <c r="B522" s="61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7"/>
      <c r="R522" s="56"/>
      <c r="S522" s="58" t="str" cm="1">
        <f t="array" ref="S522">_xlfn._xlws.FILTER(Competitions[compType], (Fixtures[[#This Row],[competition]] = Competitions[name]), "N/A")</f>
        <v>N/A</v>
      </c>
      <c r="T522" s="58" t="str" cm="1">
        <f t="array" ref="T522">_xlfn._xlws.FILTER(Competitions[exhibition], (Fixtures[[#This Row],[competition]] = Competitions[name]), "N/A")</f>
        <v>N/A</v>
      </c>
      <c r="U522" s="58" t="str" cm="1">
        <f t="array" ref="U522">_xlfn._xlws.FILTER(Competitions[compID], (Fixtures[[#This Row],[competition]] = Competitions[name]), "N/A")</f>
        <v>N/A</v>
      </c>
      <c r="V5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2" s="58" t="str" cm="1">
        <f t="array" ref="W5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2" s="58" t="str" cm="1">
        <f t="array" ref="X522">_xlfn._xlws.FILTER(Teams[name], (Fixtures[[#This Row],[userTeamID]] = Teams[teamID]), "N/A")</f>
        <v>N/A</v>
      </c>
      <c r="Y522" s="58" t="str" cm="1">
        <f t="array" ref="Y522">_xlfn._xlws.FILTER(Teams[teamType], (Fixtures[[#This Row],[userTeamID]] = Teams[teamID]), "N/A")</f>
        <v>N/A</v>
      </c>
      <c r="Z522" s="58" t="str" cm="1">
        <f t="array" ref="Z5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2" s="58" t="str">
        <f>IF(Fixtures[[#This Row],[userSide]] = "N/A", "N/A", IF(Fixtures[[#This Row],[userSide]] = "H", Fixtures[[#This Row],[awayTeam]], Fixtures[[#This Row],[homeTeam]]))</f>
        <v>N/A</v>
      </c>
      <c r="AB522" s="58" t="str" cm="1">
        <f t="array" ref="AB522">_xlfn._xlws.FILTER(Teams[teamID], Fixtures[[#This Row],[oppTeam]] = Teams[name], "N/A")</f>
        <v>N/A</v>
      </c>
      <c r="AC522" s="58" t="str" cm="1">
        <f t="array" ref="AC522">_xlfn._xlws.FILTER(Teams[teamType], Fixtures[[#This Row],[oppTeam]] = Teams[name], "N/A")</f>
        <v>N/A</v>
      </c>
      <c r="AD522" s="58" t="str">
        <f>IF(ISBLANK(Fixtures[[#This Row],[date]]), "N/A", IF(Fixtures[[#This Row],[userSide]]="H", Fixtures[[#This Row],[homeScore]], Fixtures[[#This Row],[awayScore]]))</f>
        <v>N/A</v>
      </c>
      <c r="AE522" s="58" t="str">
        <f>IF(ISBLANK(Fixtures[[#This Row],[date]]), "N/A", IF(Fixtures[[#This Row],[userScore]] = Fixtures[[#This Row],[homeScore]], Fixtures[[#This Row],[awayScore]], Fixtures[[#This Row],[homeScore]]))</f>
        <v>N/A</v>
      </c>
      <c r="AF522" s="58" t="b">
        <f>NOT(AND(ISBLANK(Fixtures[[#This Row],[homePens]]), ISBLANK(Fixtures[[#This Row],[awayPens]])))</f>
        <v>0</v>
      </c>
      <c r="AG522" s="58" t="str">
        <f>IF(Fixtures[[#This Row],[penalties]], IF(Fixtures[[#This Row],[userSide]]="H", Fixtures[[#This Row],[homePens]], Fixtures[[#This Row],[awayPens]]), "N/A")</f>
        <v>N/A</v>
      </c>
      <c r="AH522" s="58" t="str">
        <f>IF(Fixtures[[#This Row],[penalties]], IF(Fixtures[[#This Row],[userPens]]=Fixtures[[#This Row],[homePens]],Fixtures[[#This Row],[awayPens]],Fixtures[[#This Row],[homePens]]), "N/A")</f>
        <v>N/A</v>
      </c>
      <c r="AI522" s="58" t="b">
        <f>COUNTBLANK(Fixtures[[#This Row],[G]:[MOTM]]) = 0</f>
        <v>0</v>
      </c>
      <c r="AJ522" s="58" t="str">
        <f>IF(Fixtures[[#This Row],[APP]], Fixtures[[#This Row],[G]]+Fixtures[[#This Row],[A]], "N/A")</f>
        <v>N/A</v>
      </c>
      <c r="AK5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3" spans="1:39" ht="13">
      <c r="A523" s="55"/>
      <c r="B523" s="61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7"/>
      <c r="R523" s="56"/>
      <c r="S523" s="58" t="str" cm="1">
        <f t="array" ref="S523">_xlfn._xlws.FILTER(Competitions[compType], (Fixtures[[#This Row],[competition]] = Competitions[name]), "N/A")</f>
        <v>N/A</v>
      </c>
      <c r="T523" s="58" t="str" cm="1">
        <f t="array" ref="T523">_xlfn._xlws.FILTER(Competitions[exhibition], (Fixtures[[#This Row],[competition]] = Competitions[name]), "N/A")</f>
        <v>N/A</v>
      </c>
      <c r="U523" s="58" t="str" cm="1">
        <f t="array" ref="U523">_xlfn._xlws.FILTER(Competitions[compID], (Fixtures[[#This Row],[competition]] = Competitions[name]), "N/A")</f>
        <v>N/A</v>
      </c>
      <c r="V5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3" s="58" t="str" cm="1">
        <f t="array" ref="W5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3" s="58" t="str" cm="1">
        <f t="array" ref="X523">_xlfn._xlws.FILTER(Teams[name], (Fixtures[[#This Row],[userTeamID]] = Teams[teamID]), "N/A")</f>
        <v>N/A</v>
      </c>
      <c r="Y523" s="58" t="str" cm="1">
        <f t="array" ref="Y523">_xlfn._xlws.FILTER(Teams[teamType], (Fixtures[[#This Row],[userTeamID]] = Teams[teamID]), "N/A")</f>
        <v>N/A</v>
      </c>
      <c r="Z523" s="58" t="str" cm="1">
        <f t="array" ref="Z5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3" s="58" t="str">
        <f>IF(Fixtures[[#This Row],[userSide]] = "N/A", "N/A", IF(Fixtures[[#This Row],[userSide]] = "H", Fixtures[[#This Row],[awayTeam]], Fixtures[[#This Row],[homeTeam]]))</f>
        <v>N/A</v>
      </c>
      <c r="AB523" s="58" t="str" cm="1">
        <f t="array" ref="AB523">_xlfn._xlws.FILTER(Teams[teamID], Fixtures[[#This Row],[oppTeam]] = Teams[name], "N/A")</f>
        <v>N/A</v>
      </c>
      <c r="AC523" s="58" t="str" cm="1">
        <f t="array" ref="AC523">_xlfn._xlws.FILTER(Teams[teamType], Fixtures[[#This Row],[oppTeam]] = Teams[name], "N/A")</f>
        <v>N/A</v>
      </c>
      <c r="AD523" s="58" t="str">
        <f>IF(ISBLANK(Fixtures[[#This Row],[date]]), "N/A", IF(Fixtures[[#This Row],[userSide]]="H", Fixtures[[#This Row],[homeScore]], Fixtures[[#This Row],[awayScore]]))</f>
        <v>N/A</v>
      </c>
      <c r="AE523" s="58" t="str">
        <f>IF(ISBLANK(Fixtures[[#This Row],[date]]), "N/A", IF(Fixtures[[#This Row],[userScore]] = Fixtures[[#This Row],[homeScore]], Fixtures[[#This Row],[awayScore]], Fixtures[[#This Row],[homeScore]]))</f>
        <v>N/A</v>
      </c>
      <c r="AF523" s="58" t="b">
        <f>NOT(AND(ISBLANK(Fixtures[[#This Row],[homePens]]), ISBLANK(Fixtures[[#This Row],[awayPens]])))</f>
        <v>0</v>
      </c>
      <c r="AG523" s="58" t="str">
        <f>IF(Fixtures[[#This Row],[penalties]], IF(Fixtures[[#This Row],[userSide]]="H", Fixtures[[#This Row],[homePens]], Fixtures[[#This Row],[awayPens]]), "N/A")</f>
        <v>N/A</v>
      </c>
      <c r="AH523" s="58" t="str">
        <f>IF(Fixtures[[#This Row],[penalties]], IF(Fixtures[[#This Row],[userPens]]=Fixtures[[#This Row],[homePens]],Fixtures[[#This Row],[awayPens]],Fixtures[[#This Row],[homePens]]), "N/A")</f>
        <v>N/A</v>
      </c>
      <c r="AI523" s="58" t="b">
        <f>COUNTBLANK(Fixtures[[#This Row],[G]:[MOTM]]) = 0</f>
        <v>0</v>
      </c>
      <c r="AJ523" s="58" t="str">
        <f>IF(Fixtures[[#This Row],[APP]], Fixtures[[#This Row],[G]]+Fixtures[[#This Row],[A]], "N/A")</f>
        <v>N/A</v>
      </c>
      <c r="AK5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4" spans="1:39" ht="13">
      <c r="A524" s="55"/>
      <c r="B524" s="61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7"/>
      <c r="R524" s="56"/>
      <c r="S524" s="58" t="str" cm="1">
        <f t="array" ref="S524">_xlfn._xlws.FILTER(Competitions[compType], (Fixtures[[#This Row],[competition]] = Competitions[name]), "N/A")</f>
        <v>N/A</v>
      </c>
      <c r="T524" s="58" t="str" cm="1">
        <f t="array" ref="T524">_xlfn._xlws.FILTER(Competitions[exhibition], (Fixtures[[#This Row],[competition]] = Competitions[name]), "N/A")</f>
        <v>N/A</v>
      </c>
      <c r="U524" s="58" t="str" cm="1">
        <f t="array" ref="U524">_xlfn._xlws.FILTER(Competitions[compID], (Fixtures[[#This Row],[competition]] = Competitions[name]), "N/A")</f>
        <v>N/A</v>
      </c>
      <c r="V5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4" s="58" t="str" cm="1">
        <f t="array" ref="W5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4" s="58" t="str" cm="1">
        <f t="array" ref="X524">_xlfn._xlws.FILTER(Teams[name], (Fixtures[[#This Row],[userTeamID]] = Teams[teamID]), "N/A")</f>
        <v>N/A</v>
      </c>
      <c r="Y524" s="58" t="str" cm="1">
        <f t="array" ref="Y524">_xlfn._xlws.FILTER(Teams[teamType], (Fixtures[[#This Row],[userTeamID]] = Teams[teamID]), "N/A")</f>
        <v>N/A</v>
      </c>
      <c r="Z524" s="58" t="str" cm="1">
        <f t="array" ref="Z5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4" s="58" t="str">
        <f>IF(Fixtures[[#This Row],[userSide]] = "N/A", "N/A", IF(Fixtures[[#This Row],[userSide]] = "H", Fixtures[[#This Row],[awayTeam]], Fixtures[[#This Row],[homeTeam]]))</f>
        <v>N/A</v>
      </c>
      <c r="AB524" s="58" t="str" cm="1">
        <f t="array" ref="AB524">_xlfn._xlws.FILTER(Teams[teamID], Fixtures[[#This Row],[oppTeam]] = Teams[name], "N/A")</f>
        <v>N/A</v>
      </c>
      <c r="AC524" s="58" t="str" cm="1">
        <f t="array" ref="AC524">_xlfn._xlws.FILTER(Teams[teamType], Fixtures[[#This Row],[oppTeam]] = Teams[name], "N/A")</f>
        <v>N/A</v>
      </c>
      <c r="AD524" s="58" t="str">
        <f>IF(ISBLANK(Fixtures[[#This Row],[date]]), "N/A", IF(Fixtures[[#This Row],[userSide]]="H", Fixtures[[#This Row],[homeScore]], Fixtures[[#This Row],[awayScore]]))</f>
        <v>N/A</v>
      </c>
      <c r="AE524" s="58" t="str">
        <f>IF(ISBLANK(Fixtures[[#This Row],[date]]), "N/A", IF(Fixtures[[#This Row],[userScore]] = Fixtures[[#This Row],[homeScore]], Fixtures[[#This Row],[awayScore]], Fixtures[[#This Row],[homeScore]]))</f>
        <v>N/A</v>
      </c>
      <c r="AF524" s="58" t="b">
        <f>NOT(AND(ISBLANK(Fixtures[[#This Row],[homePens]]), ISBLANK(Fixtures[[#This Row],[awayPens]])))</f>
        <v>0</v>
      </c>
      <c r="AG524" s="58" t="str">
        <f>IF(Fixtures[[#This Row],[penalties]], IF(Fixtures[[#This Row],[userSide]]="H", Fixtures[[#This Row],[homePens]], Fixtures[[#This Row],[awayPens]]), "N/A")</f>
        <v>N/A</v>
      </c>
      <c r="AH524" s="58" t="str">
        <f>IF(Fixtures[[#This Row],[penalties]], IF(Fixtures[[#This Row],[userPens]]=Fixtures[[#This Row],[homePens]],Fixtures[[#This Row],[awayPens]],Fixtures[[#This Row],[homePens]]), "N/A")</f>
        <v>N/A</v>
      </c>
      <c r="AI524" s="58" t="b">
        <f>COUNTBLANK(Fixtures[[#This Row],[G]:[MOTM]]) = 0</f>
        <v>0</v>
      </c>
      <c r="AJ524" s="58" t="str">
        <f>IF(Fixtures[[#This Row],[APP]], Fixtures[[#This Row],[G]]+Fixtures[[#This Row],[A]], "N/A")</f>
        <v>N/A</v>
      </c>
      <c r="AK5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5" spans="1:39" ht="13">
      <c r="A525" s="55"/>
      <c r="B525" s="61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7"/>
      <c r="R525" s="56"/>
      <c r="S525" s="58" t="str" cm="1">
        <f t="array" ref="S525">_xlfn._xlws.FILTER(Competitions[compType], (Fixtures[[#This Row],[competition]] = Competitions[name]), "N/A")</f>
        <v>N/A</v>
      </c>
      <c r="T525" s="58" t="str" cm="1">
        <f t="array" ref="T525">_xlfn._xlws.FILTER(Competitions[exhibition], (Fixtures[[#This Row],[competition]] = Competitions[name]), "N/A")</f>
        <v>N/A</v>
      </c>
      <c r="U525" s="58" t="str" cm="1">
        <f t="array" ref="U525">_xlfn._xlws.FILTER(Competitions[compID], (Fixtures[[#This Row],[competition]] = Competitions[name]), "N/A")</f>
        <v>N/A</v>
      </c>
      <c r="V5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5" s="58" t="str" cm="1">
        <f t="array" ref="W5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5" s="58" t="str" cm="1">
        <f t="array" ref="X525">_xlfn._xlws.FILTER(Teams[name], (Fixtures[[#This Row],[userTeamID]] = Teams[teamID]), "N/A")</f>
        <v>N/A</v>
      </c>
      <c r="Y525" s="58" t="str" cm="1">
        <f t="array" ref="Y525">_xlfn._xlws.FILTER(Teams[teamType], (Fixtures[[#This Row],[userTeamID]] = Teams[teamID]), "N/A")</f>
        <v>N/A</v>
      </c>
      <c r="Z525" s="58" t="str" cm="1">
        <f t="array" ref="Z5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5" s="58" t="str">
        <f>IF(Fixtures[[#This Row],[userSide]] = "N/A", "N/A", IF(Fixtures[[#This Row],[userSide]] = "H", Fixtures[[#This Row],[awayTeam]], Fixtures[[#This Row],[homeTeam]]))</f>
        <v>N/A</v>
      </c>
      <c r="AB525" s="58" t="str" cm="1">
        <f t="array" ref="AB525">_xlfn._xlws.FILTER(Teams[teamID], Fixtures[[#This Row],[oppTeam]] = Teams[name], "N/A")</f>
        <v>N/A</v>
      </c>
      <c r="AC525" s="58" t="str" cm="1">
        <f t="array" ref="AC525">_xlfn._xlws.FILTER(Teams[teamType], Fixtures[[#This Row],[oppTeam]] = Teams[name], "N/A")</f>
        <v>N/A</v>
      </c>
      <c r="AD525" s="58" t="str">
        <f>IF(ISBLANK(Fixtures[[#This Row],[date]]), "N/A", IF(Fixtures[[#This Row],[userSide]]="H", Fixtures[[#This Row],[homeScore]], Fixtures[[#This Row],[awayScore]]))</f>
        <v>N/A</v>
      </c>
      <c r="AE525" s="58" t="str">
        <f>IF(ISBLANK(Fixtures[[#This Row],[date]]), "N/A", IF(Fixtures[[#This Row],[userScore]] = Fixtures[[#This Row],[homeScore]], Fixtures[[#This Row],[awayScore]], Fixtures[[#This Row],[homeScore]]))</f>
        <v>N/A</v>
      </c>
      <c r="AF525" s="58" t="b">
        <f>NOT(AND(ISBLANK(Fixtures[[#This Row],[homePens]]), ISBLANK(Fixtures[[#This Row],[awayPens]])))</f>
        <v>0</v>
      </c>
      <c r="AG525" s="58" t="str">
        <f>IF(Fixtures[[#This Row],[penalties]], IF(Fixtures[[#This Row],[userSide]]="H", Fixtures[[#This Row],[homePens]], Fixtures[[#This Row],[awayPens]]), "N/A")</f>
        <v>N/A</v>
      </c>
      <c r="AH525" s="58" t="str">
        <f>IF(Fixtures[[#This Row],[penalties]], IF(Fixtures[[#This Row],[userPens]]=Fixtures[[#This Row],[homePens]],Fixtures[[#This Row],[awayPens]],Fixtures[[#This Row],[homePens]]), "N/A")</f>
        <v>N/A</v>
      </c>
      <c r="AI525" s="58" t="b">
        <f>COUNTBLANK(Fixtures[[#This Row],[G]:[MOTM]]) = 0</f>
        <v>0</v>
      </c>
      <c r="AJ525" s="58" t="str">
        <f>IF(Fixtures[[#This Row],[APP]], Fixtures[[#This Row],[G]]+Fixtures[[#This Row],[A]], "N/A")</f>
        <v>N/A</v>
      </c>
      <c r="AK5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6" spans="1:39" ht="13">
      <c r="A526" s="55"/>
      <c r="B526" s="61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7"/>
      <c r="R526" s="56"/>
      <c r="S526" s="58" t="str" cm="1">
        <f t="array" ref="S526">_xlfn._xlws.FILTER(Competitions[compType], (Fixtures[[#This Row],[competition]] = Competitions[name]), "N/A")</f>
        <v>N/A</v>
      </c>
      <c r="T526" s="58" t="str" cm="1">
        <f t="array" ref="T526">_xlfn._xlws.FILTER(Competitions[exhibition], (Fixtures[[#This Row],[competition]] = Competitions[name]), "N/A")</f>
        <v>N/A</v>
      </c>
      <c r="U526" s="58" t="str" cm="1">
        <f t="array" ref="U526">_xlfn._xlws.FILTER(Competitions[compID], (Fixtures[[#This Row],[competition]] = Competitions[name]), "N/A")</f>
        <v>N/A</v>
      </c>
      <c r="V5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6" s="58" t="str" cm="1">
        <f t="array" ref="W5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6" s="58" t="str" cm="1">
        <f t="array" ref="X526">_xlfn._xlws.FILTER(Teams[name], (Fixtures[[#This Row],[userTeamID]] = Teams[teamID]), "N/A")</f>
        <v>N/A</v>
      </c>
      <c r="Y526" s="58" t="str" cm="1">
        <f t="array" ref="Y526">_xlfn._xlws.FILTER(Teams[teamType], (Fixtures[[#This Row],[userTeamID]] = Teams[teamID]), "N/A")</f>
        <v>N/A</v>
      </c>
      <c r="Z526" s="58" t="str" cm="1">
        <f t="array" ref="Z5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6" s="58" t="str">
        <f>IF(Fixtures[[#This Row],[userSide]] = "N/A", "N/A", IF(Fixtures[[#This Row],[userSide]] = "H", Fixtures[[#This Row],[awayTeam]], Fixtures[[#This Row],[homeTeam]]))</f>
        <v>N/A</v>
      </c>
      <c r="AB526" s="58" t="str" cm="1">
        <f t="array" ref="AB526">_xlfn._xlws.FILTER(Teams[teamID], Fixtures[[#This Row],[oppTeam]] = Teams[name], "N/A")</f>
        <v>N/A</v>
      </c>
      <c r="AC526" s="58" t="str" cm="1">
        <f t="array" ref="AC526">_xlfn._xlws.FILTER(Teams[teamType], Fixtures[[#This Row],[oppTeam]] = Teams[name], "N/A")</f>
        <v>N/A</v>
      </c>
      <c r="AD526" s="58" t="str">
        <f>IF(ISBLANK(Fixtures[[#This Row],[date]]), "N/A", IF(Fixtures[[#This Row],[userSide]]="H", Fixtures[[#This Row],[homeScore]], Fixtures[[#This Row],[awayScore]]))</f>
        <v>N/A</v>
      </c>
      <c r="AE526" s="58" t="str">
        <f>IF(ISBLANK(Fixtures[[#This Row],[date]]), "N/A", IF(Fixtures[[#This Row],[userScore]] = Fixtures[[#This Row],[homeScore]], Fixtures[[#This Row],[awayScore]], Fixtures[[#This Row],[homeScore]]))</f>
        <v>N/A</v>
      </c>
      <c r="AF526" s="58" t="b">
        <f>NOT(AND(ISBLANK(Fixtures[[#This Row],[homePens]]), ISBLANK(Fixtures[[#This Row],[awayPens]])))</f>
        <v>0</v>
      </c>
      <c r="AG526" s="58" t="str">
        <f>IF(Fixtures[[#This Row],[penalties]], IF(Fixtures[[#This Row],[userSide]]="H", Fixtures[[#This Row],[homePens]], Fixtures[[#This Row],[awayPens]]), "N/A")</f>
        <v>N/A</v>
      </c>
      <c r="AH526" s="58" t="str">
        <f>IF(Fixtures[[#This Row],[penalties]], IF(Fixtures[[#This Row],[userPens]]=Fixtures[[#This Row],[homePens]],Fixtures[[#This Row],[awayPens]],Fixtures[[#This Row],[homePens]]), "N/A")</f>
        <v>N/A</v>
      </c>
      <c r="AI526" s="58" t="b">
        <f>COUNTBLANK(Fixtures[[#This Row],[G]:[MOTM]]) = 0</f>
        <v>0</v>
      </c>
      <c r="AJ526" s="58" t="str">
        <f>IF(Fixtures[[#This Row],[APP]], Fixtures[[#This Row],[G]]+Fixtures[[#This Row],[A]], "N/A")</f>
        <v>N/A</v>
      </c>
      <c r="AK5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7" spans="1:39" ht="13">
      <c r="A527" s="55"/>
      <c r="B527" s="61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7"/>
      <c r="R527" s="56"/>
      <c r="S527" s="58" t="str" cm="1">
        <f t="array" ref="S527">_xlfn._xlws.FILTER(Competitions[compType], (Fixtures[[#This Row],[competition]] = Competitions[name]), "N/A")</f>
        <v>N/A</v>
      </c>
      <c r="T527" s="58" t="str" cm="1">
        <f t="array" ref="T527">_xlfn._xlws.FILTER(Competitions[exhibition], (Fixtures[[#This Row],[competition]] = Competitions[name]), "N/A")</f>
        <v>N/A</v>
      </c>
      <c r="U527" s="58" t="str" cm="1">
        <f t="array" ref="U527">_xlfn._xlws.FILTER(Competitions[compID], (Fixtures[[#This Row],[competition]] = Competitions[name]), "N/A")</f>
        <v>N/A</v>
      </c>
      <c r="V5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7" s="58" t="str" cm="1">
        <f t="array" ref="W5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7" s="58" t="str" cm="1">
        <f t="array" ref="X527">_xlfn._xlws.FILTER(Teams[name], (Fixtures[[#This Row],[userTeamID]] = Teams[teamID]), "N/A")</f>
        <v>N/A</v>
      </c>
      <c r="Y527" s="58" t="str" cm="1">
        <f t="array" ref="Y527">_xlfn._xlws.FILTER(Teams[teamType], (Fixtures[[#This Row],[userTeamID]] = Teams[teamID]), "N/A")</f>
        <v>N/A</v>
      </c>
      <c r="Z527" s="58" t="str" cm="1">
        <f t="array" ref="Z5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7" s="58" t="str">
        <f>IF(Fixtures[[#This Row],[userSide]] = "N/A", "N/A", IF(Fixtures[[#This Row],[userSide]] = "H", Fixtures[[#This Row],[awayTeam]], Fixtures[[#This Row],[homeTeam]]))</f>
        <v>N/A</v>
      </c>
      <c r="AB527" s="58" t="str" cm="1">
        <f t="array" ref="AB527">_xlfn._xlws.FILTER(Teams[teamID], Fixtures[[#This Row],[oppTeam]] = Teams[name], "N/A")</f>
        <v>N/A</v>
      </c>
      <c r="AC527" s="58" t="str" cm="1">
        <f t="array" ref="AC527">_xlfn._xlws.FILTER(Teams[teamType], Fixtures[[#This Row],[oppTeam]] = Teams[name], "N/A")</f>
        <v>N/A</v>
      </c>
      <c r="AD527" s="58" t="str">
        <f>IF(ISBLANK(Fixtures[[#This Row],[date]]), "N/A", IF(Fixtures[[#This Row],[userSide]]="H", Fixtures[[#This Row],[homeScore]], Fixtures[[#This Row],[awayScore]]))</f>
        <v>N/A</v>
      </c>
      <c r="AE527" s="58" t="str">
        <f>IF(ISBLANK(Fixtures[[#This Row],[date]]), "N/A", IF(Fixtures[[#This Row],[userScore]] = Fixtures[[#This Row],[homeScore]], Fixtures[[#This Row],[awayScore]], Fixtures[[#This Row],[homeScore]]))</f>
        <v>N/A</v>
      </c>
      <c r="AF527" s="58" t="b">
        <f>NOT(AND(ISBLANK(Fixtures[[#This Row],[homePens]]), ISBLANK(Fixtures[[#This Row],[awayPens]])))</f>
        <v>0</v>
      </c>
      <c r="AG527" s="58" t="str">
        <f>IF(Fixtures[[#This Row],[penalties]], IF(Fixtures[[#This Row],[userSide]]="H", Fixtures[[#This Row],[homePens]], Fixtures[[#This Row],[awayPens]]), "N/A")</f>
        <v>N/A</v>
      </c>
      <c r="AH527" s="58" t="str">
        <f>IF(Fixtures[[#This Row],[penalties]], IF(Fixtures[[#This Row],[userPens]]=Fixtures[[#This Row],[homePens]],Fixtures[[#This Row],[awayPens]],Fixtures[[#This Row],[homePens]]), "N/A")</f>
        <v>N/A</v>
      </c>
      <c r="AI527" s="58" t="b">
        <f>COUNTBLANK(Fixtures[[#This Row],[G]:[MOTM]]) = 0</f>
        <v>0</v>
      </c>
      <c r="AJ527" s="58" t="str">
        <f>IF(Fixtures[[#This Row],[APP]], Fixtures[[#This Row],[G]]+Fixtures[[#This Row],[A]], "N/A")</f>
        <v>N/A</v>
      </c>
      <c r="AK5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8" spans="1:39" ht="13">
      <c r="A528" s="55"/>
      <c r="B528" s="61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7"/>
      <c r="R528" s="56"/>
      <c r="S528" s="58" t="str" cm="1">
        <f t="array" ref="S528">_xlfn._xlws.FILTER(Competitions[compType], (Fixtures[[#This Row],[competition]] = Competitions[name]), "N/A")</f>
        <v>N/A</v>
      </c>
      <c r="T528" s="58" t="str" cm="1">
        <f t="array" ref="T528">_xlfn._xlws.FILTER(Competitions[exhibition], (Fixtures[[#This Row],[competition]] = Competitions[name]), "N/A")</f>
        <v>N/A</v>
      </c>
      <c r="U528" s="58" t="str" cm="1">
        <f t="array" ref="U528">_xlfn._xlws.FILTER(Competitions[compID], (Fixtures[[#This Row],[competition]] = Competitions[name]), "N/A")</f>
        <v>N/A</v>
      </c>
      <c r="V5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8" s="58" t="str" cm="1">
        <f t="array" ref="W5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8" s="58" t="str" cm="1">
        <f t="array" ref="X528">_xlfn._xlws.FILTER(Teams[name], (Fixtures[[#This Row],[userTeamID]] = Teams[teamID]), "N/A")</f>
        <v>N/A</v>
      </c>
      <c r="Y528" s="58" t="str" cm="1">
        <f t="array" ref="Y528">_xlfn._xlws.FILTER(Teams[teamType], (Fixtures[[#This Row],[userTeamID]] = Teams[teamID]), "N/A")</f>
        <v>N/A</v>
      </c>
      <c r="Z528" s="58" t="str" cm="1">
        <f t="array" ref="Z5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8" s="58" t="str">
        <f>IF(Fixtures[[#This Row],[userSide]] = "N/A", "N/A", IF(Fixtures[[#This Row],[userSide]] = "H", Fixtures[[#This Row],[awayTeam]], Fixtures[[#This Row],[homeTeam]]))</f>
        <v>N/A</v>
      </c>
      <c r="AB528" s="58" t="str" cm="1">
        <f t="array" ref="AB528">_xlfn._xlws.FILTER(Teams[teamID], Fixtures[[#This Row],[oppTeam]] = Teams[name], "N/A")</f>
        <v>N/A</v>
      </c>
      <c r="AC528" s="58" t="str" cm="1">
        <f t="array" ref="AC528">_xlfn._xlws.FILTER(Teams[teamType], Fixtures[[#This Row],[oppTeam]] = Teams[name], "N/A")</f>
        <v>N/A</v>
      </c>
      <c r="AD528" s="58" t="str">
        <f>IF(ISBLANK(Fixtures[[#This Row],[date]]), "N/A", IF(Fixtures[[#This Row],[userSide]]="H", Fixtures[[#This Row],[homeScore]], Fixtures[[#This Row],[awayScore]]))</f>
        <v>N/A</v>
      </c>
      <c r="AE528" s="58" t="str">
        <f>IF(ISBLANK(Fixtures[[#This Row],[date]]), "N/A", IF(Fixtures[[#This Row],[userScore]] = Fixtures[[#This Row],[homeScore]], Fixtures[[#This Row],[awayScore]], Fixtures[[#This Row],[homeScore]]))</f>
        <v>N/A</v>
      </c>
      <c r="AF528" s="58" t="b">
        <f>NOT(AND(ISBLANK(Fixtures[[#This Row],[homePens]]), ISBLANK(Fixtures[[#This Row],[awayPens]])))</f>
        <v>0</v>
      </c>
      <c r="AG528" s="58" t="str">
        <f>IF(Fixtures[[#This Row],[penalties]], IF(Fixtures[[#This Row],[userSide]]="H", Fixtures[[#This Row],[homePens]], Fixtures[[#This Row],[awayPens]]), "N/A")</f>
        <v>N/A</v>
      </c>
      <c r="AH528" s="58" t="str">
        <f>IF(Fixtures[[#This Row],[penalties]], IF(Fixtures[[#This Row],[userPens]]=Fixtures[[#This Row],[homePens]],Fixtures[[#This Row],[awayPens]],Fixtures[[#This Row],[homePens]]), "N/A")</f>
        <v>N/A</v>
      </c>
      <c r="AI528" s="58" t="b">
        <f>COUNTBLANK(Fixtures[[#This Row],[G]:[MOTM]]) = 0</f>
        <v>0</v>
      </c>
      <c r="AJ528" s="58" t="str">
        <f>IF(Fixtures[[#This Row],[APP]], Fixtures[[#This Row],[G]]+Fixtures[[#This Row],[A]], "N/A")</f>
        <v>N/A</v>
      </c>
      <c r="AK5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29" spans="1:39" ht="13">
      <c r="A529" s="55"/>
      <c r="B529" s="61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7"/>
      <c r="R529" s="56"/>
      <c r="S529" s="58" t="str" cm="1">
        <f t="array" ref="S529">_xlfn._xlws.FILTER(Competitions[compType], (Fixtures[[#This Row],[competition]] = Competitions[name]), "N/A")</f>
        <v>N/A</v>
      </c>
      <c r="T529" s="58" t="str" cm="1">
        <f t="array" ref="T529">_xlfn._xlws.FILTER(Competitions[exhibition], (Fixtures[[#This Row],[competition]] = Competitions[name]), "N/A")</f>
        <v>N/A</v>
      </c>
      <c r="U529" s="58" t="str" cm="1">
        <f t="array" ref="U529">_xlfn._xlws.FILTER(Competitions[compID], (Fixtures[[#This Row],[competition]] = Competitions[name]), "N/A")</f>
        <v>N/A</v>
      </c>
      <c r="V5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29" s="58" t="str" cm="1">
        <f t="array" ref="W5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29" s="58" t="str" cm="1">
        <f t="array" ref="X529">_xlfn._xlws.FILTER(Teams[name], (Fixtures[[#This Row],[userTeamID]] = Teams[teamID]), "N/A")</f>
        <v>N/A</v>
      </c>
      <c r="Y529" s="58" t="str" cm="1">
        <f t="array" ref="Y529">_xlfn._xlws.FILTER(Teams[teamType], (Fixtures[[#This Row],[userTeamID]] = Teams[teamID]), "N/A")</f>
        <v>N/A</v>
      </c>
      <c r="Z529" s="58" t="str" cm="1">
        <f t="array" ref="Z5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29" s="58" t="str">
        <f>IF(Fixtures[[#This Row],[userSide]] = "N/A", "N/A", IF(Fixtures[[#This Row],[userSide]] = "H", Fixtures[[#This Row],[awayTeam]], Fixtures[[#This Row],[homeTeam]]))</f>
        <v>N/A</v>
      </c>
      <c r="AB529" s="58" t="str" cm="1">
        <f t="array" ref="AB529">_xlfn._xlws.FILTER(Teams[teamID], Fixtures[[#This Row],[oppTeam]] = Teams[name], "N/A")</f>
        <v>N/A</v>
      </c>
      <c r="AC529" s="58" t="str" cm="1">
        <f t="array" ref="AC529">_xlfn._xlws.FILTER(Teams[teamType], Fixtures[[#This Row],[oppTeam]] = Teams[name], "N/A")</f>
        <v>N/A</v>
      </c>
      <c r="AD529" s="58" t="str">
        <f>IF(ISBLANK(Fixtures[[#This Row],[date]]), "N/A", IF(Fixtures[[#This Row],[userSide]]="H", Fixtures[[#This Row],[homeScore]], Fixtures[[#This Row],[awayScore]]))</f>
        <v>N/A</v>
      </c>
      <c r="AE529" s="58" t="str">
        <f>IF(ISBLANK(Fixtures[[#This Row],[date]]), "N/A", IF(Fixtures[[#This Row],[userScore]] = Fixtures[[#This Row],[homeScore]], Fixtures[[#This Row],[awayScore]], Fixtures[[#This Row],[homeScore]]))</f>
        <v>N/A</v>
      </c>
      <c r="AF529" s="58" t="b">
        <f>NOT(AND(ISBLANK(Fixtures[[#This Row],[homePens]]), ISBLANK(Fixtures[[#This Row],[awayPens]])))</f>
        <v>0</v>
      </c>
      <c r="AG529" s="58" t="str">
        <f>IF(Fixtures[[#This Row],[penalties]], IF(Fixtures[[#This Row],[userSide]]="H", Fixtures[[#This Row],[homePens]], Fixtures[[#This Row],[awayPens]]), "N/A")</f>
        <v>N/A</v>
      </c>
      <c r="AH529" s="58" t="str">
        <f>IF(Fixtures[[#This Row],[penalties]], IF(Fixtures[[#This Row],[userPens]]=Fixtures[[#This Row],[homePens]],Fixtures[[#This Row],[awayPens]],Fixtures[[#This Row],[homePens]]), "N/A")</f>
        <v>N/A</v>
      </c>
      <c r="AI529" s="58" t="b">
        <f>COUNTBLANK(Fixtures[[#This Row],[G]:[MOTM]]) = 0</f>
        <v>0</v>
      </c>
      <c r="AJ529" s="58" t="str">
        <f>IF(Fixtures[[#This Row],[APP]], Fixtures[[#This Row],[G]]+Fixtures[[#This Row],[A]], "N/A")</f>
        <v>N/A</v>
      </c>
      <c r="AK5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0" spans="1:39" ht="13">
      <c r="A530" s="55"/>
      <c r="B530" s="61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7"/>
      <c r="R530" s="56"/>
      <c r="S530" s="58" t="str" cm="1">
        <f t="array" ref="S530">_xlfn._xlws.FILTER(Competitions[compType], (Fixtures[[#This Row],[competition]] = Competitions[name]), "N/A")</f>
        <v>N/A</v>
      </c>
      <c r="T530" s="58" t="str" cm="1">
        <f t="array" ref="T530">_xlfn._xlws.FILTER(Competitions[exhibition], (Fixtures[[#This Row],[competition]] = Competitions[name]), "N/A")</f>
        <v>N/A</v>
      </c>
      <c r="U530" s="58" t="str" cm="1">
        <f t="array" ref="U530">_xlfn._xlws.FILTER(Competitions[compID], (Fixtures[[#This Row],[competition]] = Competitions[name]), "N/A")</f>
        <v>N/A</v>
      </c>
      <c r="V5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0" s="58" t="str" cm="1">
        <f t="array" ref="W5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0" s="58" t="str" cm="1">
        <f t="array" ref="X530">_xlfn._xlws.FILTER(Teams[name], (Fixtures[[#This Row],[userTeamID]] = Teams[teamID]), "N/A")</f>
        <v>N/A</v>
      </c>
      <c r="Y530" s="58" t="str" cm="1">
        <f t="array" ref="Y530">_xlfn._xlws.FILTER(Teams[teamType], (Fixtures[[#This Row],[userTeamID]] = Teams[teamID]), "N/A")</f>
        <v>N/A</v>
      </c>
      <c r="Z530" s="58" t="str" cm="1">
        <f t="array" ref="Z5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0" s="58" t="str">
        <f>IF(Fixtures[[#This Row],[userSide]] = "N/A", "N/A", IF(Fixtures[[#This Row],[userSide]] = "H", Fixtures[[#This Row],[awayTeam]], Fixtures[[#This Row],[homeTeam]]))</f>
        <v>N/A</v>
      </c>
      <c r="AB530" s="58" t="str" cm="1">
        <f t="array" ref="AB530">_xlfn._xlws.FILTER(Teams[teamID], Fixtures[[#This Row],[oppTeam]] = Teams[name], "N/A")</f>
        <v>N/A</v>
      </c>
      <c r="AC530" s="58" t="str" cm="1">
        <f t="array" ref="AC530">_xlfn._xlws.FILTER(Teams[teamType], Fixtures[[#This Row],[oppTeam]] = Teams[name], "N/A")</f>
        <v>N/A</v>
      </c>
      <c r="AD530" s="58" t="str">
        <f>IF(ISBLANK(Fixtures[[#This Row],[date]]), "N/A", IF(Fixtures[[#This Row],[userSide]]="H", Fixtures[[#This Row],[homeScore]], Fixtures[[#This Row],[awayScore]]))</f>
        <v>N/A</v>
      </c>
      <c r="AE530" s="58" t="str">
        <f>IF(ISBLANK(Fixtures[[#This Row],[date]]), "N/A", IF(Fixtures[[#This Row],[userScore]] = Fixtures[[#This Row],[homeScore]], Fixtures[[#This Row],[awayScore]], Fixtures[[#This Row],[homeScore]]))</f>
        <v>N/A</v>
      </c>
      <c r="AF530" s="58" t="b">
        <f>NOT(AND(ISBLANK(Fixtures[[#This Row],[homePens]]), ISBLANK(Fixtures[[#This Row],[awayPens]])))</f>
        <v>0</v>
      </c>
      <c r="AG530" s="58" t="str">
        <f>IF(Fixtures[[#This Row],[penalties]], IF(Fixtures[[#This Row],[userSide]]="H", Fixtures[[#This Row],[homePens]], Fixtures[[#This Row],[awayPens]]), "N/A")</f>
        <v>N/A</v>
      </c>
      <c r="AH530" s="58" t="str">
        <f>IF(Fixtures[[#This Row],[penalties]], IF(Fixtures[[#This Row],[userPens]]=Fixtures[[#This Row],[homePens]],Fixtures[[#This Row],[awayPens]],Fixtures[[#This Row],[homePens]]), "N/A")</f>
        <v>N/A</v>
      </c>
      <c r="AI530" s="58" t="b">
        <f>COUNTBLANK(Fixtures[[#This Row],[G]:[MOTM]]) = 0</f>
        <v>0</v>
      </c>
      <c r="AJ530" s="58" t="str">
        <f>IF(Fixtures[[#This Row],[APP]], Fixtures[[#This Row],[G]]+Fixtures[[#This Row],[A]], "N/A")</f>
        <v>N/A</v>
      </c>
      <c r="AK5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1" spans="1:39" ht="13">
      <c r="A531" s="55"/>
      <c r="B531" s="61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7"/>
      <c r="R531" s="56"/>
      <c r="S531" s="58" t="str" cm="1">
        <f t="array" ref="S531">_xlfn._xlws.FILTER(Competitions[compType], (Fixtures[[#This Row],[competition]] = Competitions[name]), "N/A")</f>
        <v>N/A</v>
      </c>
      <c r="T531" s="58" t="str" cm="1">
        <f t="array" ref="T531">_xlfn._xlws.FILTER(Competitions[exhibition], (Fixtures[[#This Row],[competition]] = Competitions[name]), "N/A")</f>
        <v>N/A</v>
      </c>
      <c r="U531" s="58" t="str" cm="1">
        <f t="array" ref="U531">_xlfn._xlws.FILTER(Competitions[compID], (Fixtures[[#This Row],[competition]] = Competitions[name]), "N/A")</f>
        <v>N/A</v>
      </c>
      <c r="V5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1" s="58" t="str" cm="1">
        <f t="array" ref="W5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1" s="58" t="str" cm="1">
        <f t="array" ref="X531">_xlfn._xlws.FILTER(Teams[name], (Fixtures[[#This Row],[userTeamID]] = Teams[teamID]), "N/A")</f>
        <v>N/A</v>
      </c>
      <c r="Y531" s="58" t="str" cm="1">
        <f t="array" ref="Y531">_xlfn._xlws.FILTER(Teams[teamType], (Fixtures[[#This Row],[userTeamID]] = Teams[teamID]), "N/A")</f>
        <v>N/A</v>
      </c>
      <c r="Z531" s="58" t="str" cm="1">
        <f t="array" ref="Z5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1" s="58" t="str">
        <f>IF(Fixtures[[#This Row],[userSide]] = "N/A", "N/A", IF(Fixtures[[#This Row],[userSide]] = "H", Fixtures[[#This Row],[awayTeam]], Fixtures[[#This Row],[homeTeam]]))</f>
        <v>N/A</v>
      </c>
      <c r="AB531" s="58" t="str" cm="1">
        <f t="array" ref="AB531">_xlfn._xlws.FILTER(Teams[teamID], Fixtures[[#This Row],[oppTeam]] = Teams[name], "N/A")</f>
        <v>N/A</v>
      </c>
      <c r="AC531" s="58" t="str" cm="1">
        <f t="array" ref="AC531">_xlfn._xlws.FILTER(Teams[teamType], Fixtures[[#This Row],[oppTeam]] = Teams[name], "N/A")</f>
        <v>N/A</v>
      </c>
      <c r="AD531" s="58" t="str">
        <f>IF(ISBLANK(Fixtures[[#This Row],[date]]), "N/A", IF(Fixtures[[#This Row],[userSide]]="H", Fixtures[[#This Row],[homeScore]], Fixtures[[#This Row],[awayScore]]))</f>
        <v>N/A</v>
      </c>
      <c r="AE531" s="58" t="str">
        <f>IF(ISBLANK(Fixtures[[#This Row],[date]]), "N/A", IF(Fixtures[[#This Row],[userScore]] = Fixtures[[#This Row],[homeScore]], Fixtures[[#This Row],[awayScore]], Fixtures[[#This Row],[homeScore]]))</f>
        <v>N/A</v>
      </c>
      <c r="AF531" s="58" t="b">
        <f>NOT(AND(ISBLANK(Fixtures[[#This Row],[homePens]]), ISBLANK(Fixtures[[#This Row],[awayPens]])))</f>
        <v>0</v>
      </c>
      <c r="AG531" s="58" t="str">
        <f>IF(Fixtures[[#This Row],[penalties]], IF(Fixtures[[#This Row],[userSide]]="H", Fixtures[[#This Row],[homePens]], Fixtures[[#This Row],[awayPens]]), "N/A")</f>
        <v>N/A</v>
      </c>
      <c r="AH531" s="58" t="str">
        <f>IF(Fixtures[[#This Row],[penalties]], IF(Fixtures[[#This Row],[userPens]]=Fixtures[[#This Row],[homePens]],Fixtures[[#This Row],[awayPens]],Fixtures[[#This Row],[homePens]]), "N/A")</f>
        <v>N/A</v>
      </c>
      <c r="AI531" s="58" t="b">
        <f>COUNTBLANK(Fixtures[[#This Row],[G]:[MOTM]]) = 0</f>
        <v>0</v>
      </c>
      <c r="AJ531" s="58" t="str">
        <f>IF(Fixtures[[#This Row],[APP]], Fixtures[[#This Row],[G]]+Fixtures[[#This Row],[A]], "N/A")</f>
        <v>N/A</v>
      </c>
      <c r="AK5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2" spans="1:39" ht="13">
      <c r="A532" s="55"/>
      <c r="B532" s="61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7"/>
      <c r="R532" s="56"/>
      <c r="S532" s="58" t="str" cm="1">
        <f t="array" ref="S532">_xlfn._xlws.FILTER(Competitions[compType], (Fixtures[[#This Row],[competition]] = Competitions[name]), "N/A")</f>
        <v>N/A</v>
      </c>
      <c r="T532" s="58" t="str" cm="1">
        <f t="array" ref="T532">_xlfn._xlws.FILTER(Competitions[exhibition], (Fixtures[[#This Row],[competition]] = Competitions[name]), "N/A")</f>
        <v>N/A</v>
      </c>
      <c r="U532" s="58" t="str" cm="1">
        <f t="array" ref="U532">_xlfn._xlws.FILTER(Competitions[compID], (Fixtures[[#This Row],[competition]] = Competitions[name]), "N/A")</f>
        <v>N/A</v>
      </c>
      <c r="V5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2" s="58" t="str" cm="1">
        <f t="array" ref="W5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2" s="58" t="str" cm="1">
        <f t="array" ref="X532">_xlfn._xlws.FILTER(Teams[name], (Fixtures[[#This Row],[userTeamID]] = Teams[teamID]), "N/A")</f>
        <v>N/A</v>
      </c>
      <c r="Y532" s="58" t="str" cm="1">
        <f t="array" ref="Y532">_xlfn._xlws.FILTER(Teams[teamType], (Fixtures[[#This Row],[userTeamID]] = Teams[teamID]), "N/A")</f>
        <v>N/A</v>
      </c>
      <c r="Z532" s="58" t="str" cm="1">
        <f t="array" ref="Z5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2" s="58" t="str">
        <f>IF(Fixtures[[#This Row],[userSide]] = "N/A", "N/A", IF(Fixtures[[#This Row],[userSide]] = "H", Fixtures[[#This Row],[awayTeam]], Fixtures[[#This Row],[homeTeam]]))</f>
        <v>N/A</v>
      </c>
      <c r="AB532" s="58" t="str" cm="1">
        <f t="array" ref="AB532">_xlfn._xlws.FILTER(Teams[teamID], Fixtures[[#This Row],[oppTeam]] = Teams[name], "N/A")</f>
        <v>N/A</v>
      </c>
      <c r="AC532" s="58" t="str" cm="1">
        <f t="array" ref="AC532">_xlfn._xlws.FILTER(Teams[teamType], Fixtures[[#This Row],[oppTeam]] = Teams[name], "N/A")</f>
        <v>N/A</v>
      </c>
      <c r="AD532" s="58" t="str">
        <f>IF(ISBLANK(Fixtures[[#This Row],[date]]), "N/A", IF(Fixtures[[#This Row],[userSide]]="H", Fixtures[[#This Row],[homeScore]], Fixtures[[#This Row],[awayScore]]))</f>
        <v>N/A</v>
      </c>
      <c r="AE532" s="58" t="str">
        <f>IF(ISBLANK(Fixtures[[#This Row],[date]]), "N/A", IF(Fixtures[[#This Row],[userScore]] = Fixtures[[#This Row],[homeScore]], Fixtures[[#This Row],[awayScore]], Fixtures[[#This Row],[homeScore]]))</f>
        <v>N/A</v>
      </c>
      <c r="AF532" s="58" t="b">
        <f>NOT(AND(ISBLANK(Fixtures[[#This Row],[homePens]]), ISBLANK(Fixtures[[#This Row],[awayPens]])))</f>
        <v>0</v>
      </c>
      <c r="AG532" s="58" t="str">
        <f>IF(Fixtures[[#This Row],[penalties]], IF(Fixtures[[#This Row],[userSide]]="H", Fixtures[[#This Row],[homePens]], Fixtures[[#This Row],[awayPens]]), "N/A")</f>
        <v>N/A</v>
      </c>
      <c r="AH532" s="58" t="str">
        <f>IF(Fixtures[[#This Row],[penalties]], IF(Fixtures[[#This Row],[userPens]]=Fixtures[[#This Row],[homePens]],Fixtures[[#This Row],[awayPens]],Fixtures[[#This Row],[homePens]]), "N/A")</f>
        <v>N/A</v>
      </c>
      <c r="AI532" s="58" t="b">
        <f>COUNTBLANK(Fixtures[[#This Row],[G]:[MOTM]]) = 0</f>
        <v>0</v>
      </c>
      <c r="AJ532" s="58" t="str">
        <f>IF(Fixtures[[#This Row],[APP]], Fixtures[[#This Row],[G]]+Fixtures[[#This Row],[A]], "N/A")</f>
        <v>N/A</v>
      </c>
      <c r="AK5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3" spans="1:39" ht="13">
      <c r="A533" s="55"/>
      <c r="B533" s="61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7"/>
      <c r="R533" s="56"/>
      <c r="S533" s="58" t="str" cm="1">
        <f t="array" ref="S533">_xlfn._xlws.FILTER(Competitions[compType], (Fixtures[[#This Row],[competition]] = Competitions[name]), "N/A")</f>
        <v>N/A</v>
      </c>
      <c r="T533" s="58" t="str" cm="1">
        <f t="array" ref="T533">_xlfn._xlws.FILTER(Competitions[exhibition], (Fixtures[[#This Row],[competition]] = Competitions[name]), "N/A")</f>
        <v>N/A</v>
      </c>
      <c r="U533" s="58" t="str" cm="1">
        <f t="array" ref="U533">_xlfn._xlws.FILTER(Competitions[compID], (Fixtures[[#This Row],[competition]] = Competitions[name]), "N/A")</f>
        <v>N/A</v>
      </c>
      <c r="V5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3" s="58" t="str" cm="1">
        <f t="array" ref="W5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3" s="58" t="str" cm="1">
        <f t="array" ref="X533">_xlfn._xlws.FILTER(Teams[name], (Fixtures[[#This Row],[userTeamID]] = Teams[teamID]), "N/A")</f>
        <v>N/A</v>
      </c>
      <c r="Y533" s="58" t="str" cm="1">
        <f t="array" ref="Y533">_xlfn._xlws.FILTER(Teams[teamType], (Fixtures[[#This Row],[userTeamID]] = Teams[teamID]), "N/A")</f>
        <v>N/A</v>
      </c>
      <c r="Z533" s="58" t="str" cm="1">
        <f t="array" ref="Z5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3" s="58" t="str">
        <f>IF(Fixtures[[#This Row],[userSide]] = "N/A", "N/A", IF(Fixtures[[#This Row],[userSide]] = "H", Fixtures[[#This Row],[awayTeam]], Fixtures[[#This Row],[homeTeam]]))</f>
        <v>N/A</v>
      </c>
      <c r="AB533" s="58" t="str" cm="1">
        <f t="array" ref="AB533">_xlfn._xlws.FILTER(Teams[teamID], Fixtures[[#This Row],[oppTeam]] = Teams[name], "N/A")</f>
        <v>N/A</v>
      </c>
      <c r="AC533" s="58" t="str" cm="1">
        <f t="array" ref="AC533">_xlfn._xlws.FILTER(Teams[teamType], Fixtures[[#This Row],[oppTeam]] = Teams[name], "N/A")</f>
        <v>N/A</v>
      </c>
      <c r="AD533" s="58" t="str">
        <f>IF(ISBLANK(Fixtures[[#This Row],[date]]), "N/A", IF(Fixtures[[#This Row],[userSide]]="H", Fixtures[[#This Row],[homeScore]], Fixtures[[#This Row],[awayScore]]))</f>
        <v>N/A</v>
      </c>
      <c r="AE533" s="58" t="str">
        <f>IF(ISBLANK(Fixtures[[#This Row],[date]]), "N/A", IF(Fixtures[[#This Row],[userScore]] = Fixtures[[#This Row],[homeScore]], Fixtures[[#This Row],[awayScore]], Fixtures[[#This Row],[homeScore]]))</f>
        <v>N/A</v>
      </c>
      <c r="AF533" s="58" t="b">
        <f>NOT(AND(ISBLANK(Fixtures[[#This Row],[homePens]]), ISBLANK(Fixtures[[#This Row],[awayPens]])))</f>
        <v>0</v>
      </c>
      <c r="AG533" s="58" t="str">
        <f>IF(Fixtures[[#This Row],[penalties]], IF(Fixtures[[#This Row],[userSide]]="H", Fixtures[[#This Row],[homePens]], Fixtures[[#This Row],[awayPens]]), "N/A")</f>
        <v>N/A</v>
      </c>
      <c r="AH533" s="58" t="str">
        <f>IF(Fixtures[[#This Row],[penalties]], IF(Fixtures[[#This Row],[userPens]]=Fixtures[[#This Row],[homePens]],Fixtures[[#This Row],[awayPens]],Fixtures[[#This Row],[homePens]]), "N/A")</f>
        <v>N/A</v>
      </c>
      <c r="AI533" s="58" t="b">
        <f>COUNTBLANK(Fixtures[[#This Row],[G]:[MOTM]]) = 0</f>
        <v>0</v>
      </c>
      <c r="AJ533" s="58" t="str">
        <f>IF(Fixtures[[#This Row],[APP]], Fixtures[[#This Row],[G]]+Fixtures[[#This Row],[A]], "N/A")</f>
        <v>N/A</v>
      </c>
      <c r="AK5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4" spans="1:39" ht="13">
      <c r="A534" s="55"/>
      <c r="B534" s="61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7"/>
      <c r="R534" s="56"/>
      <c r="S534" s="58" t="str" cm="1">
        <f t="array" ref="S534">_xlfn._xlws.FILTER(Competitions[compType], (Fixtures[[#This Row],[competition]] = Competitions[name]), "N/A")</f>
        <v>N/A</v>
      </c>
      <c r="T534" s="58" t="str" cm="1">
        <f t="array" ref="T534">_xlfn._xlws.FILTER(Competitions[exhibition], (Fixtures[[#This Row],[competition]] = Competitions[name]), "N/A")</f>
        <v>N/A</v>
      </c>
      <c r="U534" s="58" t="str" cm="1">
        <f t="array" ref="U534">_xlfn._xlws.FILTER(Competitions[compID], (Fixtures[[#This Row],[competition]] = Competitions[name]), "N/A")</f>
        <v>N/A</v>
      </c>
      <c r="V5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4" s="58" t="str" cm="1">
        <f t="array" ref="W5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4" s="58" t="str" cm="1">
        <f t="array" ref="X534">_xlfn._xlws.FILTER(Teams[name], (Fixtures[[#This Row],[userTeamID]] = Teams[teamID]), "N/A")</f>
        <v>N/A</v>
      </c>
      <c r="Y534" s="58" t="str" cm="1">
        <f t="array" ref="Y534">_xlfn._xlws.FILTER(Teams[teamType], (Fixtures[[#This Row],[userTeamID]] = Teams[teamID]), "N/A")</f>
        <v>N/A</v>
      </c>
      <c r="Z534" s="58" t="str" cm="1">
        <f t="array" ref="Z5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4" s="58" t="str">
        <f>IF(Fixtures[[#This Row],[userSide]] = "N/A", "N/A", IF(Fixtures[[#This Row],[userSide]] = "H", Fixtures[[#This Row],[awayTeam]], Fixtures[[#This Row],[homeTeam]]))</f>
        <v>N/A</v>
      </c>
      <c r="AB534" s="58" t="str" cm="1">
        <f t="array" ref="AB534">_xlfn._xlws.FILTER(Teams[teamID], Fixtures[[#This Row],[oppTeam]] = Teams[name], "N/A")</f>
        <v>N/A</v>
      </c>
      <c r="AC534" s="58" t="str" cm="1">
        <f t="array" ref="AC534">_xlfn._xlws.FILTER(Teams[teamType], Fixtures[[#This Row],[oppTeam]] = Teams[name], "N/A")</f>
        <v>N/A</v>
      </c>
      <c r="AD534" s="58" t="str">
        <f>IF(ISBLANK(Fixtures[[#This Row],[date]]), "N/A", IF(Fixtures[[#This Row],[userSide]]="H", Fixtures[[#This Row],[homeScore]], Fixtures[[#This Row],[awayScore]]))</f>
        <v>N/A</v>
      </c>
      <c r="AE534" s="58" t="str">
        <f>IF(ISBLANK(Fixtures[[#This Row],[date]]), "N/A", IF(Fixtures[[#This Row],[userScore]] = Fixtures[[#This Row],[homeScore]], Fixtures[[#This Row],[awayScore]], Fixtures[[#This Row],[homeScore]]))</f>
        <v>N/A</v>
      </c>
      <c r="AF534" s="58" t="b">
        <f>NOT(AND(ISBLANK(Fixtures[[#This Row],[homePens]]), ISBLANK(Fixtures[[#This Row],[awayPens]])))</f>
        <v>0</v>
      </c>
      <c r="AG534" s="58" t="str">
        <f>IF(Fixtures[[#This Row],[penalties]], IF(Fixtures[[#This Row],[userSide]]="H", Fixtures[[#This Row],[homePens]], Fixtures[[#This Row],[awayPens]]), "N/A")</f>
        <v>N/A</v>
      </c>
      <c r="AH534" s="58" t="str">
        <f>IF(Fixtures[[#This Row],[penalties]], IF(Fixtures[[#This Row],[userPens]]=Fixtures[[#This Row],[homePens]],Fixtures[[#This Row],[awayPens]],Fixtures[[#This Row],[homePens]]), "N/A")</f>
        <v>N/A</v>
      </c>
      <c r="AI534" s="58" t="b">
        <f>COUNTBLANK(Fixtures[[#This Row],[G]:[MOTM]]) = 0</f>
        <v>0</v>
      </c>
      <c r="AJ534" s="58" t="str">
        <f>IF(Fixtures[[#This Row],[APP]], Fixtures[[#This Row],[G]]+Fixtures[[#This Row],[A]], "N/A")</f>
        <v>N/A</v>
      </c>
      <c r="AK5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5" spans="1:39" ht="13">
      <c r="A535" s="55"/>
      <c r="B535" s="61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7"/>
      <c r="R535" s="56"/>
      <c r="S535" s="58" t="str" cm="1">
        <f t="array" ref="S535">_xlfn._xlws.FILTER(Competitions[compType], (Fixtures[[#This Row],[competition]] = Competitions[name]), "N/A")</f>
        <v>N/A</v>
      </c>
      <c r="T535" s="58" t="str" cm="1">
        <f t="array" ref="T535">_xlfn._xlws.FILTER(Competitions[exhibition], (Fixtures[[#This Row],[competition]] = Competitions[name]), "N/A")</f>
        <v>N/A</v>
      </c>
      <c r="U535" s="58" t="str" cm="1">
        <f t="array" ref="U535">_xlfn._xlws.FILTER(Competitions[compID], (Fixtures[[#This Row],[competition]] = Competitions[name]), "N/A")</f>
        <v>N/A</v>
      </c>
      <c r="V5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5" s="58" t="str" cm="1">
        <f t="array" ref="W5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5" s="58" t="str" cm="1">
        <f t="array" ref="X535">_xlfn._xlws.FILTER(Teams[name], (Fixtures[[#This Row],[userTeamID]] = Teams[teamID]), "N/A")</f>
        <v>N/A</v>
      </c>
      <c r="Y535" s="58" t="str" cm="1">
        <f t="array" ref="Y535">_xlfn._xlws.FILTER(Teams[teamType], (Fixtures[[#This Row],[userTeamID]] = Teams[teamID]), "N/A")</f>
        <v>N/A</v>
      </c>
      <c r="Z535" s="58" t="str" cm="1">
        <f t="array" ref="Z5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5" s="58" t="str">
        <f>IF(Fixtures[[#This Row],[userSide]] = "N/A", "N/A", IF(Fixtures[[#This Row],[userSide]] = "H", Fixtures[[#This Row],[awayTeam]], Fixtures[[#This Row],[homeTeam]]))</f>
        <v>N/A</v>
      </c>
      <c r="AB535" s="58" t="str" cm="1">
        <f t="array" ref="AB535">_xlfn._xlws.FILTER(Teams[teamID], Fixtures[[#This Row],[oppTeam]] = Teams[name], "N/A")</f>
        <v>N/A</v>
      </c>
      <c r="AC535" s="58" t="str" cm="1">
        <f t="array" ref="AC535">_xlfn._xlws.FILTER(Teams[teamType], Fixtures[[#This Row],[oppTeam]] = Teams[name], "N/A")</f>
        <v>N/A</v>
      </c>
      <c r="AD535" s="58" t="str">
        <f>IF(ISBLANK(Fixtures[[#This Row],[date]]), "N/A", IF(Fixtures[[#This Row],[userSide]]="H", Fixtures[[#This Row],[homeScore]], Fixtures[[#This Row],[awayScore]]))</f>
        <v>N/A</v>
      </c>
      <c r="AE535" s="58" t="str">
        <f>IF(ISBLANK(Fixtures[[#This Row],[date]]), "N/A", IF(Fixtures[[#This Row],[userScore]] = Fixtures[[#This Row],[homeScore]], Fixtures[[#This Row],[awayScore]], Fixtures[[#This Row],[homeScore]]))</f>
        <v>N/A</v>
      </c>
      <c r="AF535" s="58" t="b">
        <f>NOT(AND(ISBLANK(Fixtures[[#This Row],[homePens]]), ISBLANK(Fixtures[[#This Row],[awayPens]])))</f>
        <v>0</v>
      </c>
      <c r="AG535" s="58" t="str">
        <f>IF(Fixtures[[#This Row],[penalties]], IF(Fixtures[[#This Row],[userSide]]="H", Fixtures[[#This Row],[homePens]], Fixtures[[#This Row],[awayPens]]), "N/A")</f>
        <v>N/A</v>
      </c>
      <c r="AH535" s="58" t="str">
        <f>IF(Fixtures[[#This Row],[penalties]], IF(Fixtures[[#This Row],[userPens]]=Fixtures[[#This Row],[homePens]],Fixtures[[#This Row],[awayPens]],Fixtures[[#This Row],[homePens]]), "N/A")</f>
        <v>N/A</v>
      </c>
      <c r="AI535" s="58" t="b">
        <f>COUNTBLANK(Fixtures[[#This Row],[G]:[MOTM]]) = 0</f>
        <v>0</v>
      </c>
      <c r="AJ535" s="58" t="str">
        <f>IF(Fixtures[[#This Row],[APP]], Fixtures[[#This Row],[G]]+Fixtures[[#This Row],[A]], "N/A")</f>
        <v>N/A</v>
      </c>
      <c r="AK5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6" spans="1:39" ht="13">
      <c r="A536" s="55"/>
      <c r="B536" s="61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7"/>
      <c r="R536" s="56"/>
      <c r="S536" s="58" t="str" cm="1">
        <f t="array" ref="S536">_xlfn._xlws.FILTER(Competitions[compType], (Fixtures[[#This Row],[competition]] = Competitions[name]), "N/A")</f>
        <v>N/A</v>
      </c>
      <c r="T536" s="58" t="str" cm="1">
        <f t="array" ref="T536">_xlfn._xlws.FILTER(Competitions[exhibition], (Fixtures[[#This Row],[competition]] = Competitions[name]), "N/A")</f>
        <v>N/A</v>
      </c>
      <c r="U536" s="58" t="str" cm="1">
        <f t="array" ref="U536">_xlfn._xlws.FILTER(Competitions[compID], (Fixtures[[#This Row],[competition]] = Competitions[name]), "N/A")</f>
        <v>N/A</v>
      </c>
      <c r="V5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6" s="58" t="str" cm="1">
        <f t="array" ref="W5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6" s="58" t="str" cm="1">
        <f t="array" ref="X536">_xlfn._xlws.FILTER(Teams[name], (Fixtures[[#This Row],[userTeamID]] = Teams[teamID]), "N/A")</f>
        <v>N/A</v>
      </c>
      <c r="Y536" s="58" t="str" cm="1">
        <f t="array" ref="Y536">_xlfn._xlws.FILTER(Teams[teamType], (Fixtures[[#This Row],[userTeamID]] = Teams[teamID]), "N/A")</f>
        <v>N/A</v>
      </c>
      <c r="Z536" s="58" t="str" cm="1">
        <f t="array" ref="Z5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6" s="58" t="str">
        <f>IF(Fixtures[[#This Row],[userSide]] = "N/A", "N/A", IF(Fixtures[[#This Row],[userSide]] = "H", Fixtures[[#This Row],[awayTeam]], Fixtures[[#This Row],[homeTeam]]))</f>
        <v>N/A</v>
      </c>
      <c r="AB536" s="58" t="str" cm="1">
        <f t="array" ref="AB536">_xlfn._xlws.FILTER(Teams[teamID], Fixtures[[#This Row],[oppTeam]] = Teams[name], "N/A")</f>
        <v>N/A</v>
      </c>
      <c r="AC536" s="58" t="str" cm="1">
        <f t="array" ref="AC536">_xlfn._xlws.FILTER(Teams[teamType], Fixtures[[#This Row],[oppTeam]] = Teams[name], "N/A")</f>
        <v>N/A</v>
      </c>
      <c r="AD536" s="58" t="str">
        <f>IF(ISBLANK(Fixtures[[#This Row],[date]]), "N/A", IF(Fixtures[[#This Row],[userSide]]="H", Fixtures[[#This Row],[homeScore]], Fixtures[[#This Row],[awayScore]]))</f>
        <v>N/A</v>
      </c>
      <c r="AE536" s="58" t="str">
        <f>IF(ISBLANK(Fixtures[[#This Row],[date]]), "N/A", IF(Fixtures[[#This Row],[userScore]] = Fixtures[[#This Row],[homeScore]], Fixtures[[#This Row],[awayScore]], Fixtures[[#This Row],[homeScore]]))</f>
        <v>N/A</v>
      </c>
      <c r="AF536" s="58" t="b">
        <f>NOT(AND(ISBLANK(Fixtures[[#This Row],[homePens]]), ISBLANK(Fixtures[[#This Row],[awayPens]])))</f>
        <v>0</v>
      </c>
      <c r="AG536" s="58" t="str">
        <f>IF(Fixtures[[#This Row],[penalties]], IF(Fixtures[[#This Row],[userSide]]="H", Fixtures[[#This Row],[homePens]], Fixtures[[#This Row],[awayPens]]), "N/A")</f>
        <v>N/A</v>
      </c>
      <c r="AH536" s="58" t="str">
        <f>IF(Fixtures[[#This Row],[penalties]], IF(Fixtures[[#This Row],[userPens]]=Fixtures[[#This Row],[homePens]],Fixtures[[#This Row],[awayPens]],Fixtures[[#This Row],[homePens]]), "N/A")</f>
        <v>N/A</v>
      </c>
      <c r="AI536" s="58" t="b">
        <f>COUNTBLANK(Fixtures[[#This Row],[G]:[MOTM]]) = 0</f>
        <v>0</v>
      </c>
      <c r="AJ536" s="58" t="str">
        <f>IF(Fixtures[[#This Row],[APP]], Fixtures[[#This Row],[G]]+Fixtures[[#This Row],[A]], "N/A")</f>
        <v>N/A</v>
      </c>
      <c r="AK5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7" spans="1:39" ht="13">
      <c r="A537" s="55"/>
      <c r="B537" s="61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7"/>
      <c r="R537" s="56"/>
      <c r="S537" s="58" t="str" cm="1">
        <f t="array" ref="S537">_xlfn._xlws.FILTER(Competitions[compType], (Fixtures[[#This Row],[competition]] = Competitions[name]), "N/A")</f>
        <v>N/A</v>
      </c>
      <c r="T537" s="58" t="str" cm="1">
        <f t="array" ref="T537">_xlfn._xlws.FILTER(Competitions[exhibition], (Fixtures[[#This Row],[competition]] = Competitions[name]), "N/A")</f>
        <v>N/A</v>
      </c>
      <c r="U537" s="58" t="str" cm="1">
        <f t="array" ref="U537">_xlfn._xlws.FILTER(Competitions[compID], (Fixtures[[#This Row],[competition]] = Competitions[name]), "N/A")</f>
        <v>N/A</v>
      </c>
      <c r="V5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7" s="58" t="str" cm="1">
        <f t="array" ref="W5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7" s="58" t="str" cm="1">
        <f t="array" ref="X537">_xlfn._xlws.FILTER(Teams[name], (Fixtures[[#This Row],[userTeamID]] = Teams[teamID]), "N/A")</f>
        <v>N/A</v>
      </c>
      <c r="Y537" s="58" t="str" cm="1">
        <f t="array" ref="Y537">_xlfn._xlws.FILTER(Teams[teamType], (Fixtures[[#This Row],[userTeamID]] = Teams[teamID]), "N/A")</f>
        <v>N/A</v>
      </c>
      <c r="Z537" s="58" t="str" cm="1">
        <f t="array" ref="Z5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7" s="58" t="str">
        <f>IF(Fixtures[[#This Row],[userSide]] = "N/A", "N/A", IF(Fixtures[[#This Row],[userSide]] = "H", Fixtures[[#This Row],[awayTeam]], Fixtures[[#This Row],[homeTeam]]))</f>
        <v>N/A</v>
      </c>
      <c r="AB537" s="58" t="str" cm="1">
        <f t="array" ref="AB537">_xlfn._xlws.FILTER(Teams[teamID], Fixtures[[#This Row],[oppTeam]] = Teams[name], "N/A")</f>
        <v>N/A</v>
      </c>
      <c r="AC537" s="58" t="str" cm="1">
        <f t="array" ref="AC537">_xlfn._xlws.FILTER(Teams[teamType], Fixtures[[#This Row],[oppTeam]] = Teams[name], "N/A")</f>
        <v>N/A</v>
      </c>
      <c r="AD537" s="58" t="str">
        <f>IF(ISBLANK(Fixtures[[#This Row],[date]]), "N/A", IF(Fixtures[[#This Row],[userSide]]="H", Fixtures[[#This Row],[homeScore]], Fixtures[[#This Row],[awayScore]]))</f>
        <v>N/A</v>
      </c>
      <c r="AE537" s="58" t="str">
        <f>IF(ISBLANK(Fixtures[[#This Row],[date]]), "N/A", IF(Fixtures[[#This Row],[userScore]] = Fixtures[[#This Row],[homeScore]], Fixtures[[#This Row],[awayScore]], Fixtures[[#This Row],[homeScore]]))</f>
        <v>N/A</v>
      </c>
      <c r="AF537" s="58" t="b">
        <f>NOT(AND(ISBLANK(Fixtures[[#This Row],[homePens]]), ISBLANK(Fixtures[[#This Row],[awayPens]])))</f>
        <v>0</v>
      </c>
      <c r="AG537" s="58" t="str">
        <f>IF(Fixtures[[#This Row],[penalties]], IF(Fixtures[[#This Row],[userSide]]="H", Fixtures[[#This Row],[homePens]], Fixtures[[#This Row],[awayPens]]), "N/A")</f>
        <v>N/A</v>
      </c>
      <c r="AH537" s="58" t="str">
        <f>IF(Fixtures[[#This Row],[penalties]], IF(Fixtures[[#This Row],[userPens]]=Fixtures[[#This Row],[homePens]],Fixtures[[#This Row],[awayPens]],Fixtures[[#This Row],[homePens]]), "N/A")</f>
        <v>N/A</v>
      </c>
      <c r="AI537" s="58" t="b">
        <f>COUNTBLANK(Fixtures[[#This Row],[G]:[MOTM]]) = 0</f>
        <v>0</v>
      </c>
      <c r="AJ537" s="58" t="str">
        <f>IF(Fixtures[[#This Row],[APP]], Fixtures[[#This Row],[G]]+Fixtures[[#This Row],[A]], "N/A")</f>
        <v>N/A</v>
      </c>
      <c r="AK5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8" spans="1:39" ht="13">
      <c r="A538" s="55"/>
      <c r="B538" s="61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7"/>
      <c r="R538" s="56"/>
      <c r="S538" s="58" t="str" cm="1">
        <f t="array" ref="S538">_xlfn._xlws.FILTER(Competitions[compType], (Fixtures[[#This Row],[competition]] = Competitions[name]), "N/A")</f>
        <v>N/A</v>
      </c>
      <c r="T538" s="58" t="str" cm="1">
        <f t="array" ref="T538">_xlfn._xlws.FILTER(Competitions[exhibition], (Fixtures[[#This Row],[competition]] = Competitions[name]), "N/A")</f>
        <v>N/A</v>
      </c>
      <c r="U538" s="58" t="str" cm="1">
        <f t="array" ref="U538">_xlfn._xlws.FILTER(Competitions[compID], (Fixtures[[#This Row],[competition]] = Competitions[name]), "N/A")</f>
        <v>N/A</v>
      </c>
      <c r="V5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8" s="58" t="str" cm="1">
        <f t="array" ref="W5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8" s="58" t="str" cm="1">
        <f t="array" ref="X538">_xlfn._xlws.FILTER(Teams[name], (Fixtures[[#This Row],[userTeamID]] = Teams[teamID]), "N/A")</f>
        <v>N/A</v>
      </c>
      <c r="Y538" s="58" t="str" cm="1">
        <f t="array" ref="Y538">_xlfn._xlws.FILTER(Teams[teamType], (Fixtures[[#This Row],[userTeamID]] = Teams[teamID]), "N/A")</f>
        <v>N/A</v>
      </c>
      <c r="Z538" s="58" t="str" cm="1">
        <f t="array" ref="Z5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8" s="58" t="str">
        <f>IF(Fixtures[[#This Row],[userSide]] = "N/A", "N/A", IF(Fixtures[[#This Row],[userSide]] = "H", Fixtures[[#This Row],[awayTeam]], Fixtures[[#This Row],[homeTeam]]))</f>
        <v>N/A</v>
      </c>
      <c r="AB538" s="58" t="str" cm="1">
        <f t="array" ref="AB538">_xlfn._xlws.FILTER(Teams[teamID], Fixtures[[#This Row],[oppTeam]] = Teams[name], "N/A")</f>
        <v>N/A</v>
      </c>
      <c r="AC538" s="58" t="str" cm="1">
        <f t="array" ref="AC538">_xlfn._xlws.FILTER(Teams[teamType], Fixtures[[#This Row],[oppTeam]] = Teams[name], "N/A")</f>
        <v>N/A</v>
      </c>
      <c r="AD538" s="58" t="str">
        <f>IF(ISBLANK(Fixtures[[#This Row],[date]]), "N/A", IF(Fixtures[[#This Row],[userSide]]="H", Fixtures[[#This Row],[homeScore]], Fixtures[[#This Row],[awayScore]]))</f>
        <v>N/A</v>
      </c>
      <c r="AE538" s="58" t="str">
        <f>IF(ISBLANK(Fixtures[[#This Row],[date]]), "N/A", IF(Fixtures[[#This Row],[userScore]] = Fixtures[[#This Row],[homeScore]], Fixtures[[#This Row],[awayScore]], Fixtures[[#This Row],[homeScore]]))</f>
        <v>N/A</v>
      </c>
      <c r="AF538" s="58" t="b">
        <f>NOT(AND(ISBLANK(Fixtures[[#This Row],[homePens]]), ISBLANK(Fixtures[[#This Row],[awayPens]])))</f>
        <v>0</v>
      </c>
      <c r="AG538" s="58" t="str">
        <f>IF(Fixtures[[#This Row],[penalties]], IF(Fixtures[[#This Row],[userSide]]="H", Fixtures[[#This Row],[homePens]], Fixtures[[#This Row],[awayPens]]), "N/A")</f>
        <v>N/A</v>
      </c>
      <c r="AH538" s="58" t="str">
        <f>IF(Fixtures[[#This Row],[penalties]], IF(Fixtures[[#This Row],[userPens]]=Fixtures[[#This Row],[homePens]],Fixtures[[#This Row],[awayPens]],Fixtures[[#This Row],[homePens]]), "N/A")</f>
        <v>N/A</v>
      </c>
      <c r="AI538" s="58" t="b">
        <f>COUNTBLANK(Fixtures[[#This Row],[G]:[MOTM]]) = 0</f>
        <v>0</v>
      </c>
      <c r="AJ538" s="58" t="str">
        <f>IF(Fixtures[[#This Row],[APP]], Fixtures[[#This Row],[G]]+Fixtures[[#This Row],[A]], "N/A")</f>
        <v>N/A</v>
      </c>
      <c r="AK5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39" spans="1:39" ht="13">
      <c r="A539" s="55"/>
      <c r="B539" s="61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7"/>
      <c r="R539" s="56"/>
      <c r="S539" s="58" t="str" cm="1">
        <f t="array" ref="S539">_xlfn._xlws.FILTER(Competitions[compType], (Fixtures[[#This Row],[competition]] = Competitions[name]), "N/A")</f>
        <v>N/A</v>
      </c>
      <c r="T539" s="58" t="str" cm="1">
        <f t="array" ref="T539">_xlfn._xlws.FILTER(Competitions[exhibition], (Fixtures[[#This Row],[competition]] = Competitions[name]), "N/A")</f>
        <v>N/A</v>
      </c>
      <c r="U539" s="58" t="str" cm="1">
        <f t="array" ref="U539">_xlfn._xlws.FILTER(Competitions[compID], (Fixtures[[#This Row],[competition]] = Competitions[name]), "N/A")</f>
        <v>N/A</v>
      </c>
      <c r="V5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39" s="58" t="str" cm="1">
        <f t="array" ref="W5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39" s="58" t="str" cm="1">
        <f t="array" ref="X539">_xlfn._xlws.FILTER(Teams[name], (Fixtures[[#This Row],[userTeamID]] = Teams[teamID]), "N/A")</f>
        <v>N/A</v>
      </c>
      <c r="Y539" s="58" t="str" cm="1">
        <f t="array" ref="Y539">_xlfn._xlws.FILTER(Teams[teamType], (Fixtures[[#This Row],[userTeamID]] = Teams[teamID]), "N/A")</f>
        <v>N/A</v>
      </c>
      <c r="Z539" s="58" t="str" cm="1">
        <f t="array" ref="Z5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39" s="58" t="str">
        <f>IF(Fixtures[[#This Row],[userSide]] = "N/A", "N/A", IF(Fixtures[[#This Row],[userSide]] = "H", Fixtures[[#This Row],[awayTeam]], Fixtures[[#This Row],[homeTeam]]))</f>
        <v>N/A</v>
      </c>
      <c r="AB539" s="58" t="str" cm="1">
        <f t="array" ref="AB539">_xlfn._xlws.FILTER(Teams[teamID], Fixtures[[#This Row],[oppTeam]] = Teams[name], "N/A")</f>
        <v>N/A</v>
      </c>
      <c r="AC539" s="58" t="str" cm="1">
        <f t="array" ref="AC539">_xlfn._xlws.FILTER(Teams[teamType], Fixtures[[#This Row],[oppTeam]] = Teams[name], "N/A")</f>
        <v>N/A</v>
      </c>
      <c r="AD539" s="58" t="str">
        <f>IF(ISBLANK(Fixtures[[#This Row],[date]]), "N/A", IF(Fixtures[[#This Row],[userSide]]="H", Fixtures[[#This Row],[homeScore]], Fixtures[[#This Row],[awayScore]]))</f>
        <v>N/A</v>
      </c>
      <c r="AE539" s="58" t="str">
        <f>IF(ISBLANK(Fixtures[[#This Row],[date]]), "N/A", IF(Fixtures[[#This Row],[userScore]] = Fixtures[[#This Row],[homeScore]], Fixtures[[#This Row],[awayScore]], Fixtures[[#This Row],[homeScore]]))</f>
        <v>N/A</v>
      </c>
      <c r="AF539" s="58" t="b">
        <f>NOT(AND(ISBLANK(Fixtures[[#This Row],[homePens]]), ISBLANK(Fixtures[[#This Row],[awayPens]])))</f>
        <v>0</v>
      </c>
      <c r="AG539" s="58" t="str">
        <f>IF(Fixtures[[#This Row],[penalties]], IF(Fixtures[[#This Row],[userSide]]="H", Fixtures[[#This Row],[homePens]], Fixtures[[#This Row],[awayPens]]), "N/A")</f>
        <v>N/A</v>
      </c>
      <c r="AH539" s="58" t="str">
        <f>IF(Fixtures[[#This Row],[penalties]], IF(Fixtures[[#This Row],[userPens]]=Fixtures[[#This Row],[homePens]],Fixtures[[#This Row],[awayPens]],Fixtures[[#This Row],[homePens]]), "N/A")</f>
        <v>N/A</v>
      </c>
      <c r="AI539" s="58" t="b">
        <f>COUNTBLANK(Fixtures[[#This Row],[G]:[MOTM]]) = 0</f>
        <v>0</v>
      </c>
      <c r="AJ539" s="58" t="str">
        <f>IF(Fixtures[[#This Row],[APP]], Fixtures[[#This Row],[G]]+Fixtures[[#This Row],[A]], "N/A")</f>
        <v>N/A</v>
      </c>
      <c r="AK5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0" spans="1:39" ht="13">
      <c r="A540" s="55"/>
      <c r="B540" s="61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7"/>
      <c r="R540" s="56"/>
      <c r="S540" s="58" t="str" cm="1">
        <f t="array" ref="S540">_xlfn._xlws.FILTER(Competitions[compType], (Fixtures[[#This Row],[competition]] = Competitions[name]), "N/A")</f>
        <v>N/A</v>
      </c>
      <c r="T540" s="58" t="str" cm="1">
        <f t="array" ref="T540">_xlfn._xlws.FILTER(Competitions[exhibition], (Fixtures[[#This Row],[competition]] = Competitions[name]), "N/A")</f>
        <v>N/A</v>
      </c>
      <c r="U540" s="58" t="str" cm="1">
        <f t="array" ref="U540">_xlfn._xlws.FILTER(Competitions[compID], (Fixtures[[#This Row],[competition]] = Competitions[name]), "N/A")</f>
        <v>N/A</v>
      </c>
      <c r="V5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0" s="58" t="str" cm="1">
        <f t="array" ref="W5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0" s="58" t="str" cm="1">
        <f t="array" ref="X540">_xlfn._xlws.FILTER(Teams[name], (Fixtures[[#This Row],[userTeamID]] = Teams[teamID]), "N/A")</f>
        <v>N/A</v>
      </c>
      <c r="Y540" s="58" t="str" cm="1">
        <f t="array" ref="Y540">_xlfn._xlws.FILTER(Teams[teamType], (Fixtures[[#This Row],[userTeamID]] = Teams[teamID]), "N/A")</f>
        <v>N/A</v>
      </c>
      <c r="Z540" s="58" t="str" cm="1">
        <f t="array" ref="Z5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0" s="58" t="str">
        <f>IF(Fixtures[[#This Row],[userSide]] = "N/A", "N/A", IF(Fixtures[[#This Row],[userSide]] = "H", Fixtures[[#This Row],[awayTeam]], Fixtures[[#This Row],[homeTeam]]))</f>
        <v>N/A</v>
      </c>
      <c r="AB540" s="58" t="str" cm="1">
        <f t="array" ref="AB540">_xlfn._xlws.FILTER(Teams[teamID], Fixtures[[#This Row],[oppTeam]] = Teams[name], "N/A")</f>
        <v>N/A</v>
      </c>
      <c r="AC540" s="58" t="str" cm="1">
        <f t="array" ref="AC540">_xlfn._xlws.FILTER(Teams[teamType], Fixtures[[#This Row],[oppTeam]] = Teams[name], "N/A")</f>
        <v>N/A</v>
      </c>
      <c r="AD540" s="58" t="str">
        <f>IF(ISBLANK(Fixtures[[#This Row],[date]]), "N/A", IF(Fixtures[[#This Row],[userSide]]="H", Fixtures[[#This Row],[homeScore]], Fixtures[[#This Row],[awayScore]]))</f>
        <v>N/A</v>
      </c>
      <c r="AE540" s="58" t="str">
        <f>IF(ISBLANK(Fixtures[[#This Row],[date]]), "N/A", IF(Fixtures[[#This Row],[userScore]] = Fixtures[[#This Row],[homeScore]], Fixtures[[#This Row],[awayScore]], Fixtures[[#This Row],[homeScore]]))</f>
        <v>N/A</v>
      </c>
      <c r="AF540" s="58" t="b">
        <f>NOT(AND(ISBLANK(Fixtures[[#This Row],[homePens]]), ISBLANK(Fixtures[[#This Row],[awayPens]])))</f>
        <v>0</v>
      </c>
      <c r="AG540" s="58" t="str">
        <f>IF(Fixtures[[#This Row],[penalties]], IF(Fixtures[[#This Row],[userSide]]="H", Fixtures[[#This Row],[homePens]], Fixtures[[#This Row],[awayPens]]), "N/A")</f>
        <v>N/A</v>
      </c>
      <c r="AH540" s="58" t="str">
        <f>IF(Fixtures[[#This Row],[penalties]], IF(Fixtures[[#This Row],[userPens]]=Fixtures[[#This Row],[homePens]],Fixtures[[#This Row],[awayPens]],Fixtures[[#This Row],[homePens]]), "N/A")</f>
        <v>N/A</v>
      </c>
      <c r="AI540" s="58" t="b">
        <f>COUNTBLANK(Fixtures[[#This Row],[G]:[MOTM]]) = 0</f>
        <v>0</v>
      </c>
      <c r="AJ540" s="58" t="str">
        <f>IF(Fixtures[[#This Row],[APP]], Fixtures[[#This Row],[G]]+Fixtures[[#This Row],[A]], "N/A")</f>
        <v>N/A</v>
      </c>
      <c r="AK5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1" spans="1:39" ht="13">
      <c r="A541" s="55"/>
      <c r="B541" s="61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7"/>
      <c r="R541" s="56"/>
      <c r="S541" s="58" t="str" cm="1">
        <f t="array" ref="S541">_xlfn._xlws.FILTER(Competitions[compType], (Fixtures[[#This Row],[competition]] = Competitions[name]), "N/A")</f>
        <v>N/A</v>
      </c>
      <c r="T541" s="58" t="str" cm="1">
        <f t="array" ref="T541">_xlfn._xlws.FILTER(Competitions[exhibition], (Fixtures[[#This Row],[competition]] = Competitions[name]), "N/A")</f>
        <v>N/A</v>
      </c>
      <c r="U541" s="58" t="str" cm="1">
        <f t="array" ref="U541">_xlfn._xlws.FILTER(Competitions[compID], (Fixtures[[#This Row],[competition]] = Competitions[name]), "N/A")</f>
        <v>N/A</v>
      </c>
      <c r="V5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1" s="58" t="str" cm="1">
        <f t="array" ref="W5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1" s="58" t="str" cm="1">
        <f t="array" ref="X541">_xlfn._xlws.FILTER(Teams[name], (Fixtures[[#This Row],[userTeamID]] = Teams[teamID]), "N/A")</f>
        <v>N/A</v>
      </c>
      <c r="Y541" s="58" t="str" cm="1">
        <f t="array" ref="Y541">_xlfn._xlws.FILTER(Teams[teamType], (Fixtures[[#This Row],[userTeamID]] = Teams[teamID]), "N/A")</f>
        <v>N/A</v>
      </c>
      <c r="Z541" s="58" t="str" cm="1">
        <f t="array" ref="Z5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1" s="58" t="str">
        <f>IF(Fixtures[[#This Row],[userSide]] = "N/A", "N/A", IF(Fixtures[[#This Row],[userSide]] = "H", Fixtures[[#This Row],[awayTeam]], Fixtures[[#This Row],[homeTeam]]))</f>
        <v>N/A</v>
      </c>
      <c r="AB541" s="58" t="str" cm="1">
        <f t="array" ref="AB541">_xlfn._xlws.FILTER(Teams[teamID], Fixtures[[#This Row],[oppTeam]] = Teams[name], "N/A")</f>
        <v>N/A</v>
      </c>
      <c r="AC541" s="58" t="str" cm="1">
        <f t="array" ref="AC541">_xlfn._xlws.FILTER(Teams[teamType], Fixtures[[#This Row],[oppTeam]] = Teams[name], "N/A")</f>
        <v>N/A</v>
      </c>
      <c r="AD541" s="58" t="str">
        <f>IF(ISBLANK(Fixtures[[#This Row],[date]]), "N/A", IF(Fixtures[[#This Row],[userSide]]="H", Fixtures[[#This Row],[homeScore]], Fixtures[[#This Row],[awayScore]]))</f>
        <v>N/A</v>
      </c>
      <c r="AE541" s="58" t="str">
        <f>IF(ISBLANK(Fixtures[[#This Row],[date]]), "N/A", IF(Fixtures[[#This Row],[userScore]] = Fixtures[[#This Row],[homeScore]], Fixtures[[#This Row],[awayScore]], Fixtures[[#This Row],[homeScore]]))</f>
        <v>N/A</v>
      </c>
      <c r="AF541" s="58" t="b">
        <f>NOT(AND(ISBLANK(Fixtures[[#This Row],[homePens]]), ISBLANK(Fixtures[[#This Row],[awayPens]])))</f>
        <v>0</v>
      </c>
      <c r="AG541" s="58" t="str">
        <f>IF(Fixtures[[#This Row],[penalties]], IF(Fixtures[[#This Row],[userSide]]="H", Fixtures[[#This Row],[homePens]], Fixtures[[#This Row],[awayPens]]), "N/A")</f>
        <v>N/A</v>
      </c>
      <c r="AH541" s="58" t="str">
        <f>IF(Fixtures[[#This Row],[penalties]], IF(Fixtures[[#This Row],[userPens]]=Fixtures[[#This Row],[homePens]],Fixtures[[#This Row],[awayPens]],Fixtures[[#This Row],[homePens]]), "N/A")</f>
        <v>N/A</v>
      </c>
      <c r="AI541" s="58" t="b">
        <f>COUNTBLANK(Fixtures[[#This Row],[G]:[MOTM]]) = 0</f>
        <v>0</v>
      </c>
      <c r="AJ541" s="58" t="str">
        <f>IF(Fixtures[[#This Row],[APP]], Fixtures[[#This Row],[G]]+Fixtures[[#This Row],[A]], "N/A")</f>
        <v>N/A</v>
      </c>
      <c r="AK5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2" spans="1:39" ht="13">
      <c r="A542" s="55"/>
      <c r="B542" s="61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7"/>
      <c r="R542" s="56"/>
      <c r="S542" s="58" t="str" cm="1">
        <f t="array" ref="S542">_xlfn._xlws.FILTER(Competitions[compType], (Fixtures[[#This Row],[competition]] = Competitions[name]), "N/A")</f>
        <v>N/A</v>
      </c>
      <c r="T542" s="58" t="str" cm="1">
        <f t="array" ref="T542">_xlfn._xlws.FILTER(Competitions[exhibition], (Fixtures[[#This Row],[competition]] = Competitions[name]), "N/A")</f>
        <v>N/A</v>
      </c>
      <c r="U542" s="58" t="str" cm="1">
        <f t="array" ref="U542">_xlfn._xlws.FILTER(Competitions[compID], (Fixtures[[#This Row],[competition]] = Competitions[name]), "N/A")</f>
        <v>N/A</v>
      </c>
      <c r="V5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2" s="58" t="str" cm="1">
        <f t="array" ref="W5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2" s="58" t="str" cm="1">
        <f t="array" ref="X542">_xlfn._xlws.FILTER(Teams[name], (Fixtures[[#This Row],[userTeamID]] = Teams[teamID]), "N/A")</f>
        <v>N/A</v>
      </c>
      <c r="Y542" s="58" t="str" cm="1">
        <f t="array" ref="Y542">_xlfn._xlws.FILTER(Teams[teamType], (Fixtures[[#This Row],[userTeamID]] = Teams[teamID]), "N/A")</f>
        <v>N/A</v>
      </c>
      <c r="Z542" s="58" t="str" cm="1">
        <f t="array" ref="Z5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2" s="58" t="str">
        <f>IF(Fixtures[[#This Row],[userSide]] = "N/A", "N/A", IF(Fixtures[[#This Row],[userSide]] = "H", Fixtures[[#This Row],[awayTeam]], Fixtures[[#This Row],[homeTeam]]))</f>
        <v>N/A</v>
      </c>
      <c r="AB542" s="58" t="str" cm="1">
        <f t="array" ref="AB542">_xlfn._xlws.FILTER(Teams[teamID], Fixtures[[#This Row],[oppTeam]] = Teams[name], "N/A")</f>
        <v>N/A</v>
      </c>
      <c r="AC542" s="58" t="str" cm="1">
        <f t="array" ref="AC542">_xlfn._xlws.FILTER(Teams[teamType], Fixtures[[#This Row],[oppTeam]] = Teams[name], "N/A")</f>
        <v>N/A</v>
      </c>
      <c r="AD542" s="58" t="str">
        <f>IF(ISBLANK(Fixtures[[#This Row],[date]]), "N/A", IF(Fixtures[[#This Row],[userSide]]="H", Fixtures[[#This Row],[homeScore]], Fixtures[[#This Row],[awayScore]]))</f>
        <v>N/A</v>
      </c>
      <c r="AE542" s="58" t="str">
        <f>IF(ISBLANK(Fixtures[[#This Row],[date]]), "N/A", IF(Fixtures[[#This Row],[userScore]] = Fixtures[[#This Row],[homeScore]], Fixtures[[#This Row],[awayScore]], Fixtures[[#This Row],[homeScore]]))</f>
        <v>N/A</v>
      </c>
      <c r="AF542" s="58" t="b">
        <f>NOT(AND(ISBLANK(Fixtures[[#This Row],[homePens]]), ISBLANK(Fixtures[[#This Row],[awayPens]])))</f>
        <v>0</v>
      </c>
      <c r="AG542" s="58" t="str">
        <f>IF(Fixtures[[#This Row],[penalties]], IF(Fixtures[[#This Row],[userSide]]="H", Fixtures[[#This Row],[homePens]], Fixtures[[#This Row],[awayPens]]), "N/A")</f>
        <v>N/A</v>
      </c>
      <c r="AH542" s="58" t="str">
        <f>IF(Fixtures[[#This Row],[penalties]], IF(Fixtures[[#This Row],[userPens]]=Fixtures[[#This Row],[homePens]],Fixtures[[#This Row],[awayPens]],Fixtures[[#This Row],[homePens]]), "N/A")</f>
        <v>N/A</v>
      </c>
      <c r="AI542" s="58" t="b">
        <f>COUNTBLANK(Fixtures[[#This Row],[G]:[MOTM]]) = 0</f>
        <v>0</v>
      </c>
      <c r="AJ542" s="58" t="str">
        <f>IF(Fixtures[[#This Row],[APP]], Fixtures[[#This Row],[G]]+Fixtures[[#This Row],[A]], "N/A")</f>
        <v>N/A</v>
      </c>
      <c r="AK5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3" spans="1:39" ht="13">
      <c r="A543" s="55"/>
      <c r="B543" s="61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7"/>
      <c r="R543" s="56"/>
      <c r="S543" s="58" t="str" cm="1">
        <f t="array" ref="S543">_xlfn._xlws.FILTER(Competitions[compType], (Fixtures[[#This Row],[competition]] = Competitions[name]), "N/A")</f>
        <v>N/A</v>
      </c>
      <c r="T543" s="58" t="str" cm="1">
        <f t="array" ref="T543">_xlfn._xlws.FILTER(Competitions[exhibition], (Fixtures[[#This Row],[competition]] = Competitions[name]), "N/A")</f>
        <v>N/A</v>
      </c>
      <c r="U543" s="58" t="str" cm="1">
        <f t="array" ref="U543">_xlfn._xlws.FILTER(Competitions[compID], (Fixtures[[#This Row],[competition]] = Competitions[name]), "N/A")</f>
        <v>N/A</v>
      </c>
      <c r="V5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3" s="58" t="str" cm="1">
        <f t="array" ref="W5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3" s="58" t="str" cm="1">
        <f t="array" ref="X543">_xlfn._xlws.FILTER(Teams[name], (Fixtures[[#This Row],[userTeamID]] = Teams[teamID]), "N/A")</f>
        <v>N/A</v>
      </c>
      <c r="Y543" s="58" t="str" cm="1">
        <f t="array" ref="Y543">_xlfn._xlws.FILTER(Teams[teamType], (Fixtures[[#This Row],[userTeamID]] = Teams[teamID]), "N/A")</f>
        <v>N/A</v>
      </c>
      <c r="Z543" s="58" t="str" cm="1">
        <f t="array" ref="Z5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3" s="58" t="str">
        <f>IF(Fixtures[[#This Row],[userSide]] = "N/A", "N/A", IF(Fixtures[[#This Row],[userSide]] = "H", Fixtures[[#This Row],[awayTeam]], Fixtures[[#This Row],[homeTeam]]))</f>
        <v>N/A</v>
      </c>
      <c r="AB543" s="58" t="str" cm="1">
        <f t="array" ref="AB543">_xlfn._xlws.FILTER(Teams[teamID], Fixtures[[#This Row],[oppTeam]] = Teams[name], "N/A")</f>
        <v>N/A</v>
      </c>
      <c r="AC543" s="58" t="str" cm="1">
        <f t="array" ref="AC543">_xlfn._xlws.FILTER(Teams[teamType], Fixtures[[#This Row],[oppTeam]] = Teams[name], "N/A")</f>
        <v>N/A</v>
      </c>
      <c r="AD543" s="58" t="str">
        <f>IF(ISBLANK(Fixtures[[#This Row],[date]]), "N/A", IF(Fixtures[[#This Row],[userSide]]="H", Fixtures[[#This Row],[homeScore]], Fixtures[[#This Row],[awayScore]]))</f>
        <v>N/A</v>
      </c>
      <c r="AE543" s="58" t="str">
        <f>IF(ISBLANK(Fixtures[[#This Row],[date]]), "N/A", IF(Fixtures[[#This Row],[userScore]] = Fixtures[[#This Row],[homeScore]], Fixtures[[#This Row],[awayScore]], Fixtures[[#This Row],[homeScore]]))</f>
        <v>N/A</v>
      </c>
      <c r="AF543" s="58" t="b">
        <f>NOT(AND(ISBLANK(Fixtures[[#This Row],[homePens]]), ISBLANK(Fixtures[[#This Row],[awayPens]])))</f>
        <v>0</v>
      </c>
      <c r="AG543" s="58" t="str">
        <f>IF(Fixtures[[#This Row],[penalties]], IF(Fixtures[[#This Row],[userSide]]="H", Fixtures[[#This Row],[homePens]], Fixtures[[#This Row],[awayPens]]), "N/A")</f>
        <v>N/A</v>
      </c>
      <c r="AH543" s="58" t="str">
        <f>IF(Fixtures[[#This Row],[penalties]], IF(Fixtures[[#This Row],[userPens]]=Fixtures[[#This Row],[homePens]],Fixtures[[#This Row],[awayPens]],Fixtures[[#This Row],[homePens]]), "N/A")</f>
        <v>N/A</v>
      </c>
      <c r="AI543" s="58" t="b">
        <f>COUNTBLANK(Fixtures[[#This Row],[G]:[MOTM]]) = 0</f>
        <v>0</v>
      </c>
      <c r="AJ543" s="58" t="str">
        <f>IF(Fixtures[[#This Row],[APP]], Fixtures[[#This Row],[G]]+Fixtures[[#This Row],[A]], "N/A")</f>
        <v>N/A</v>
      </c>
      <c r="AK5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4" spans="1:39" ht="13">
      <c r="A544" s="55"/>
      <c r="B544" s="61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7"/>
      <c r="R544" s="56"/>
      <c r="S544" s="58" t="str" cm="1">
        <f t="array" ref="S544">_xlfn._xlws.FILTER(Competitions[compType], (Fixtures[[#This Row],[competition]] = Competitions[name]), "N/A")</f>
        <v>N/A</v>
      </c>
      <c r="T544" s="58" t="str" cm="1">
        <f t="array" ref="T544">_xlfn._xlws.FILTER(Competitions[exhibition], (Fixtures[[#This Row],[competition]] = Competitions[name]), "N/A")</f>
        <v>N/A</v>
      </c>
      <c r="U544" s="58" t="str" cm="1">
        <f t="array" ref="U544">_xlfn._xlws.FILTER(Competitions[compID], (Fixtures[[#This Row],[competition]] = Competitions[name]), "N/A")</f>
        <v>N/A</v>
      </c>
      <c r="V5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4" s="58" t="str" cm="1">
        <f t="array" ref="W5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4" s="58" t="str" cm="1">
        <f t="array" ref="X544">_xlfn._xlws.FILTER(Teams[name], (Fixtures[[#This Row],[userTeamID]] = Teams[teamID]), "N/A")</f>
        <v>N/A</v>
      </c>
      <c r="Y544" s="58" t="str" cm="1">
        <f t="array" ref="Y544">_xlfn._xlws.FILTER(Teams[teamType], (Fixtures[[#This Row],[userTeamID]] = Teams[teamID]), "N/A")</f>
        <v>N/A</v>
      </c>
      <c r="Z544" s="58" t="str" cm="1">
        <f t="array" ref="Z5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4" s="58" t="str">
        <f>IF(Fixtures[[#This Row],[userSide]] = "N/A", "N/A", IF(Fixtures[[#This Row],[userSide]] = "H", Fixtures[[#This Row],[awayTeam]], Fixtures[[#This Row],[homeTeam]]))</f>
        <v>N/A</v>
      </c>
      <c r="AB544" s="58" t="str" cm="1">
        <f t="array" ref="AB544">_xlfn._xlws.FILTER(Teams[teamID], Fixtures[[#This Row],[oppTeam]] = Teams[name], "N/A")</f>
        <v>N/A</v>
      </c>
      <c r="AC544" s="58" t="str" cm="1">
        <f t="array" ref="AC544">_xlfn._xlws.FILTER(Teams[teamType], Fixtures[[#This Row],[oppTeam]] = Teams[name], "N/A")</f>
        <v>N/A</v>
      </c>
      <c r="AD544" s="58" t="str">
        <f>IF(ISBLANK(Fixtures[[#This Row],[date]]), "N/A", IF(Fixtures[[#This Row],[userSide]]="H", Fixtures[[#This Row],[homeScore]], Fixtures[[#This Row],[awayScore]]))</f>
        <v>N/A</v>
      </c>
      <c r="AE544" s="58" t="str">
        <f>IF(ISBLANK(Fixtures[[#This Row],[date]]), "N/A", IF(Fixtures[[#This Row],[userScore]] = Fixtures[[#This Row],[homeScore]], Fixtures[[#This Row],[awayScore]], Fixtures[[#This Row],[homeScore]]))</f>
        <v>N/A</v>
      </c>
      <c r="AF544" s="58" t="b">
        <f>NOT(AND(ISBLANK(Fixtures[[#This Row],[homePens]]), ISBLANK(Fixtures[[#This Row],[awayPens]])))</f>
        <v>0</v>
      </c>
      <c r="AG544" s="58" t="str">
        <f>IF(Fixtures[[#This Row],[penalties]], IF(Fixtures[[#This Row],[userSide]]="H", Fixtures[[#This Row],[homePens]], Fixtures[[#This Row],[awayPens]]), "N/A")</f>
        <v>N/A</v>
      </c>
      <c r="AH544" s="58" t="str">
        <f>IF(Fixtures[[#This Row],[penalties]], IF(Fixtures[[#This Row],[userPens]]=Fixtures[[#This Row],[homePens]],Fixtures[[#This Row],[awayPens]],Fixtures[[#This Row],[homePens]]), "N/A")</f>
        <v>N/A</v>
      </c>
      <c r="AI544" s="58" t="b">
        <f>COUNTBLANK(Fixtures[[#This Row],[G]:[MOTM]]) = 0</f>
        <v>0</v>
      </c>
      <c r="AJ544" s="58" t="str">
        <f>IF(Fixtures[[#This Row],[APP]], Fixtures[[#This Row],[G]]+Fixtures[[#This Row],[A]], "N/A")</f>
        <v>N/A</v>
      </c>
      <c r="AK5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5" spans="1:39" ht="13">
      <c r="A545" s="55"/>
      <c r="B545" s="61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7"/>
      <c r="R545" s="56"/>
      <c r="S545" s="58" t="str" cm="1">
        <f t="array" ref="S545">_xlfn._xlws.FILTER(Competitions[compType], (Fixtures[[#This Row],[competition]] = Competitions[name]), "N/A")</f>
        <v>N/A</v>
      </c>
      <c r="T545" s="58" t="str" cm="1">
        <f t="array" ref="T545">_xlfn._xlws.FILTER(Competitions[exhibition], (Fixtures[[#This Row],[competition]] = Competitions[name]), "N/A")</f>
        <v>N/A</v>
      </c>
      <c r="U545" s="58" t="str" cm="1">
        <f t="array" ref="U545">_xlfn._xlws.FILTER(Competitions[compID], (Fixtures[[#This Row],[competition]] = Competitions[name]), "N/A")</f>
        <v>N/A</v>
      </c>
      <c r="V5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5" s="58" t="str" cm="1">
        <f t="array" ref="W5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5" s="58" t="str" cm="1">
        <f t="array" ref="X545">_xlfn._xlws.FILTER(Teams[name], (Fixtures[[#This Row],[userTeamID]] = Teams[teamID]), "N/A")</f>
        <v>N/A</v>
      </c>
      <c r="Y545" s="58" t="str" cm="1">
        <f t="array" ref="Y545">_xlfn._xlws.FILTER(Teams[teamType], (Fixtures[[#This Row],[userTeamID]] = Teams[teamID]), "N/A")</f>
        <v>N/A</v>
      </c>
      <c r="Z545" s="58" t="str" cm="1">
        <f t="array" ref="Z5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5" s="58" t="str">
        <f>IF(Fixtures[[#This Row],[userSide]] = "N/A", "N/A", IF(Fixtures[[#This Row],[userSide]] = "H", Fixtures[[#This Row],[awayTeam]], Fixtures[[#This Row],[homeTeam]]))</f>
        <v>N/A</v>
      </c>
      <c r="AB545" s="58" t="str" cm="1">
        <f t="array" ref="AB545">_xlfn._xlws.FILTER(Teams[teamID], Fixtures[[#This Row],[oppTeam]] = Teams[name], "N/A")</f>
        <v>N/A</v>
      </c>
      <c r="AC545" s="58" t="str" cm="1">
        <f t="array" ref="AC545">_xlfn._xlws.FILTER(Teams[teamType], Fixtures[[#This Row],[oppTeam]] = Teams[name], "N/A")</f>
        <v>N/A</v>
      </c>
      <c r="AD545" s="58" t="str">
        <f>IF(ISBLANK(Fixtures[[#This Row],[date]]), "N/A", IF(Fixtures[[#This Row],[userSide]]="H", Fixtures[[#This Row],[homeScore]], Fixtures[[#This Row],[awayScore]]))</f>
        <v>N/A</v>
      </c>
      <c r="AE545" s="58" t="str">
        <f>IF(ISBLANK(Fixtures[[#This Row],[date]]), "N/A", IF(Fixtures[[#This Row],[userScore]] = Fixtures[[#This Row],[homeScore]], Fixtures[[#This Row],[awayScore]], Fixtures[[#This Row],[homeScore]]))</f>
        <v>N/A</v>
      </c>
      <c r="AF545" s="58" t="b">
        <f>NOT(AND(ISBLANK(Fixtures[[#This Row],[homePens]]), ISBLANK(Fixtures[[#This Row],[awayPens]])))</f>
        <v>0</v>
      </c>
      <c r="AG545" s="58" t="str">
        <f>IF(Fixtures[[#This Row],[penalties]], IF(Fixtures[[#This Row],[userSide]]="H", Fixtures[[#This Row],[homePens]], Fixtures[[#This Row],[awayPens]]), "N/A")</f>
        <v>N/A</v>
      </c>
      <c r="AH545" s="58" t="str">
        <f>IF(Fixtures[[#This Row],[penalties]], IF(Fixtures[[#This Row],[userPens]]=Fixtures[[#This Row],[homePens]],Fixtures[[#This Row],[awayPens]],Fixtures[[#This Row],[homePens]]), "N/A")</f>
        <v>N/A</v>
      </c>
      <c r="AI545" s="58" t="b">
        <f>COUNTBLANK(Fixtures[[#This Row],[G]:[MOTM]]) = 0</f>
        <v>0</v>
      </c>
      <c r="AJ545" s="58" t="str">
        <f>IF(Fixtures[[#This Row],[APP]], Fixtures[[#This Row],[G]]+Fixtures[[#This Row],[A]], "N/A")</f>
        <v>N/A</v>
      </c>
      <c r="AK5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6" spans="1:39" ht="13">
      <c r="A546" s="55"/>
      <c r="B546" s="61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7"/>
      <c r="R546" s="56"/>
      <c r="S546" s="58" t="str" cm="1">
        <f t="array" ref="S546">_xlfn._xlws.FILTER(Competitions[compType], (Fixtures[[#This Row],[competition]] = Competitions[name]), "N/A")</f>
        <v>N/A</v>
      </c>
      <c r="T546" s="58" t="str" cm="1">
        <f t="array" ref="T546">_xlfn._xlws.FILTER(Competitions[exhibition], (Fixtures[[#This Row],[competition]] = Competitions[name]), "N/A")</f>
        <v>N/A</v>
      </c>
      <c r="U546" s="58" t="str" cm="1">
        <f t="array" ref="U546">_xlfn._xlws.FILTER(Competitions[compID], (Fixtures[[#This Row],[competition]] = Competitions[name]), "N/A")</f>
        <v>N/A</v>
      </c>
      <c r="V5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6" s="58" t="str" cm="1">
        <f t="array" ref="W5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6" s="58" t="str" cm="1">
        <f t="array" ref="X546">_xlfn._xlws.FILTER(Teams[name], (Fixtures[[#This Row],[userTeamID]] = Teams[teamID]), "N/A")</f>
        <v>N/A</v>
      </c>
      <c r="Y546" s="58" t="str" cm="1">
        <f t="array" ref="Y546">_xlfn._xlws.FILTER(Teams[teamType], (Fixtures[[#This Row],[userTeamID]] = Teams[teamID]), "N/A")</f>
        <v>N/A</v>
      </c>
      <c r="Z546" s="58" t="str" cm="1">
        <f t="array" ref="Z5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6" s="58" t="str">
        <f>IF(Fixtures[[#This Row],[userSide]] = "N/A", "N/A", IF(Fixtures[[#This Row],[userSide]] = "H", Fixtures[[#This Row],[awayTeam]], Fixtures[[#This Row],[homeTeam]]))</f>
        <v>N/A</v>
      </c>
      <c r="AB546" s="58" t="str" cm="1">
        <f t="array" ref="AB546">_xlfn._xlws.FILTER(Teams[teamID], Fixtures[[#This Row],[oppTeam]] = Teams[name], "N/A")</f>
        <v>N/A</v>
      </c>
      <c r="AC546" s="58" t="str" cm="1">
        <f t="array" ref="AC546">_xlfn._xlws.FILTER(Teams[teamType], Fixtures[[#This Row],[oppTeam]] = Teams[name], "N/A")</f>
        <v>N/A</v>
      </c>
      <c r="AD546" s="58" t="str">
        <f>IF(ISBLANK(Fixtures[[#This Row],[date]]), "N/A", IF(Fixtures[[#This Row],[userSide]]="H", Fixtures[[#This Row],[homeScore]], Fixtures[[#This Row],[awayScore]]))</f>
        <v>N/A</v>
      </c>
      <c r="AE546" s="58" t="str">
        <f>IF(ISBLANK(Fixtures[[#This Row],[date]]), "N/A", IF(Fixtures[[#This Row],[userScore]] = Fixtures[[#This Row],[homeScore]], Fixtures[[#This Row],[awayScore]], Fixtures[[#This Row],[homeScore]]))</f>
        <v>N/A</v>
      </c>
      <c r="AF546" s="58" t="b">
        <f>NOT(AND(ISBLANK(Fixtures[[#This Row],[homePens]]), ISBLANK(Fixtures[[#This Row],[awayPens]])))</f>
        <v>0</v>
      </c>
      <c r="AG546" s="58" t="str">
        <f>IF(Fixtures[[#This Row],[penalties]], IF(Fixtures[[#This Row],[userSide]]="H", Fixtures[[#This Row],[homePens]], Fixtures[[#This Row],[awayPens]]), "N/A")</f>
        <v>N/A</v>
      </c>
      <c r="AH546" s="58" t="str">
        <f>IF(Fixtures[[#This Row],[penalties]], IF(Fixtures[[#This Row],[userPens]]=Fixtures[[#This Row],[homePens]],Fixtures[[#This Row],[awayPens]],Fixtures[[#This Row],[homePens]]), "N/A")</f>
        <v>N/A</v>
      </c>
      <c r="AI546" s="58" t="b">
        <f>COUNTBLANK(Fixtures[[#This Row],[G]:[MOTM]]) = 0</f>
        <v>0</v>
      </c>
      <c r="AJ546" s="58" t="str">
        <f>IF(Fixtures[[#This Row],[APP]], Fixtures[[#This Row],[G]]+Fixtures[[#This Row],[A]], "N/A")</f>
        <v>N/A</v>
      </c>
      <c r="AK5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7" spans="1:39" ht="13">
      <c r="A547" s="55"/>
      <c r="B547" s="61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7"/>
      <c r="R547" s="56"/>
      <c r="S547" s="58" t="str" cm="1">
        <f t="array" ref="S547">_xlfn._xlws.FILTER(Competitions[compType], (Fixtures[[#This Row],[competition]] = Competitions[name]), "N/A")</f>
        <v>N/A</v>
      </c>
      <c r="T547" s="58" t="str" cm="1">
        <f t="array" ref="T547">_xlfn._xlws.FILTER(Competitions[exhibition], (Fixtures[[#This Row],[competition]] = Competitions[name]), "N/A")</f>
        <v>N/A</v>
      </c>
      <c r="U547" s="58" t="str" cm="1">
        <f t="array" ref="U547">_xlfn._xlws.FILTER(Competitions[compID], (Fixtures[[#This Row],[competition]] = Competitions[name]), "N/A")</f>
        <v>N/A</v>
      </c>
      <c r="V5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7" s="58" t="str" cm="1">
        <f t="array" ref="W5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7" s="58" t="str" cm="1">
        <f t="array" ref="X547">_xlfn._xlws.FILTER(Teams[name], (Fixtures[[#This Row],[userTeamID]] = Teams[teamID]), "N/A")</f>
        <v>N/A</v>
      </c>
      <c r="Y547" s="58" t="str" cm="1">
        <f t="array" ref="Y547">_xlfn._xlws.FILTER(Teams[teamType], (Fixtures[[#This Row],[userTeamID]] = Teams[teamID]), "N/A")</f>
        <v>N/A</v>
      </c>
      <c r="Z547" s="58" t="str" cm="1">
        <f t="array" ref="Z5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7" s="58" t="str">
        <f>IF(Fixtures[[#This Row],[userSide]] = "N/A", "N/A", IF(Fixtures[[#This Row],[userSide]] = "H", Fixtures[[#This Row],[awayTeam]], Fixtures[[#This Row],[homeTeam]]))</f>
        <v>N/A</v>
      </c>
      <c r="AB547" s="58" t="str" cm="1">
        <f t="array" ref="AB547">_xlfn._xlws.FILTER(Teams[teamID], Fixtures[[#This Row],[oppTeam]] = Teams[name], "N/A")</f>
        <v>N/A</v>
      </c>
      <c r="AC547" s="58" t="str" cm="1">
        <f t="array" ref="AC547">_xlfn._xlws.FILTER(Teams[teamType], Fixtures[[#This Row],[oppTeam]] = Teams[name], "N/A")</f>
        <v>N/A</v>
      </c>
      <c r="AD547" s="58" t="str">
        <f>IF(ISBLANK(Fixtures[[#This Row],[date]]), "N/A", IF(Fixtures[[#This Row],[userSide]]="H", Fixtures[[#This Row],[homeScore]], Fixtures[[#This Row],[awayScore]]))</f>
        <v>N/A</v>
      </c>
      <c r="AE547" s="58" t="str">
        <f>IF(ISBLANK(Fixtures[[#This Row],[date]]), "N/A", IF(Fixtures[[#This Row],[userScore]] = Fixtures[[#This Row],[homeScore]], Fixtures[[#This Row],[awayScore]], Fixtures[[#This Row],[homeScore]]))</f>
        <v>N/A</v>
      </c>
      <c r="AF547" s="58" t="b">
        <f>NOT(AND(ISBLANK(Fixtures[[#This Row],[homePens]]), ISBLANK(Fixtures[[#This Row],[awayPens]])))</f>
        <v>0</v>
      </c>
      <c r="AG547" s="58" t="str">
        <f>IF(Fixtures[[#This Row],[penalties]], IF(Fixtures[[#This Row],[userSide]]="H", Fixtures[[#This Row],[homePens]], Fixtures[[#This Row],[awayPens]]), "N/A")</f>
        <v>N/A</v>
      </c>
      <c r="AH547" s="58" t="str">
        <f>IF(Fixtures[[#This Row],[penalties]], IF(Fixtures[[#This Row],[userPens]]=Fixtures[[#This Row],[homePens]],Fixtures[[#This Row],[awayPens]],Fixtures[[#This Row],[homePens]]), "N/A")</f>
        <v>N/A</v>
      </c>
      <c r="AI547" s="58" t="b">
        <f>COUNTBLANK(Fixtures[[#This Row],[G]:[MOTM]]) = 0</f>
        <v>0</v>
      </c>
      <c r="AJ547" s="58" t="str">
        <f>IF(Fixtures[[#This Row],[APP]], Fixtures[[#This Row],[G]]+Fixtures[[#This Row],[A]], "N/A")</f>
        <v>N/A</v>
      </c>
      <c r="AK5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8" spans="1:39" ht="13">
      <c r="A548" s="55"/>
      <c r="B548" s="61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7"/>
      <c r="R548" s="56"/>
      <c r="S548" s="58" t="str" cm="1">
        <f t="array" ref="S548">_xlfn._xlws.FILTER(Competitions[compType], (Fixtures[[#This Row],[competition]] = Competitions[name]), "N/A")</f>
        <v>N/A</v>
      </c>
      <c r="T548" s="58" t="str" cm="1">
        <f t="array" ref="T548">_xlfn._xlws.FILTER(Competitions[exhibition], (Fixtures[[#This Row],[competition]] = Competitions[name]), "N/A")</f>
        <v>N/A</v>
      </c>
      <c r="U548" s="58" t="str" cm="1">
        <f t="array" ref="U548">_xlfn._xlws.FILTER(Competitions[compID], (Fixtures[[#This Row],[competition]] = Competitions[name]), "N/A")</f>
        <v>N/A</v>
      </c>
      <c r="V5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8" s="58" t="str" cm="1">
        <f t="array" ref="W5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8" s="58" t="str" cm="1">
        <f t="array" ref="X548">_xlfn._xlws.FILTER(Teams[name], (Fixtures[[#This Row],[userTeamID]] = Teams[teamID]), "N/A")</f>
        <v>N/A</v>
      </c>
      <c r="Y548" s="58" t="str" cm="1">
        <f t="array" ref="Y548">_xlfn._xlws.FILTER(Teams[teamType], (Fixtures[[#This Row],[userTeamID]] = Teams[teamID]), "N/A")</f>
        <v>N/A</v>
      </c>
      <c r="Z548" s="58" t="str" cm="1">
        <f t="array" ref="Z5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8" s="58" t="str">
        <f>IF(Fixtures[[#This Row],[userSide]] = "N/A", "N/A", IF(Fixtures[[#This Row],[userSide]] = "H", Fixtures[[#This Row],[awayTeam]], Fixtures[[#This Row],[homeTeam]]))</f>
        <v>N/A</v>
      </c>
      <c r="AB548" s="58" t="str" cm="1">
        <f t="array" ref="AB548">_xlfn._xlws.FILTER(Teams[teamID], Fixtures[[#This Row],[oppTeam]] = Teams[name], "N/A")</f>
        <v>N/A</v>
      </c>
      <c r="AC548" s="58" t="str" cm="1">
        <f t="array" ref="AC548">_xlfn._xlws.FILTER(Teams[teamType], Fixtures[[#This Row],[oppTeam]] = Teams[name], "N/A")</f>
        <v>N/A</v>
      </c>
      <c r="AD548" s="58" t="str">
        <f>IF(ISBLANK(Fixtures[[#This Row],[date]]), "N/A", IF(Fixtures[[#This Row],[userSide]]="H", Fixtures[[#This Row],[homeScore]], Fixtures[[#This Row],[awayScore]]))</f>
        <v>N/A</v>
      </c>
      <c r="AE548" s="58" t="str">
        <f>IF(ISBLANK(Fixtures[[#This Row],[date]]), "N/A", IF(Fixtures[[#This Row],[userScore]] = Fixtures[[#This Row],[homeScore]], Fixtures[[#This Row],[awayScore]], Fixtures[[#This Row],[homeScore]]))</f>
        <v>N/A</v>
      </c>
      <c r="AF548" s="58" t="b">
        <f>NOT(AND(ISBLANK(Fixtures[[#This Row],[homePens]]), ISBLANK(Fixtures[[#This Row],[awayPens]])))</f>
        <v>0</v>
      </c>
      <c r="AG548" s="58" t="str">
        <f>IF(Fixtures[[#This Row],[penalties]], IF(Fixtures[[#This Row],[userSide]]="H", Fixtures[[#This Row],[homePens]], Fixtures[[#This Row],[awayPens]]), "N/A")</f>
        <v>N/A</v>
      </c>
      <c r="AH548" s="58" t="str">
        <f>IF(Fixtures[[#This Row],[penalties]], IF(Fixtures[[#This Row],[userPens]]=Fixtures[[#This Row],[homePens]],Fixtures[[#This Row],[awayPens]],Fixtures[[#This Row],[homePens]]), "N/A")</f>
        <v>N/A</v>
      </c>
      <c r="AI548" s="58" t="b">
        <f>COUNTBLANK(Fixtures[[#This Row],[G]:[MOTM]]) = 0</f>
        <v>0</v>
      </c>
      <c r="AJ548" s="58" t="str">
        <f>IF(Fixtures[[#This Row],[APP]], Fixtures[[#This Row],[G]]+Fixtures[[#This Row],[A]], "N/A")</f>
        <v>N/A</v>
      </c>
      <c r="AK5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49" spans="1:39" ht="13">
      <c r="A549" s="55"/>
      <c r="B549" s="61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7"/>
      <c r="R549" s="56"/>
      <c r="S549" s="58" t="str" cm="1">
        <f t="array" ref="S549">_xlfn._xlws.FILTER(Competitions[compType], (Fixtures[[#This Row],[competition]] = Competitions[name]), "N/A")</f>
        <v>N/A</v>
      </c>
      <c r="T549" s="58" t="str" cm="1">
        <f t="array" ref="T549">_xlfn._xlws.FILTER(Competitions[exhibition], (Fixtures[[#This Row],[competition]] = Competitions[name]), "N/A")</f>
        <v>N/A</v>
      </c>
      <c r="U549" s="58" t="str" cm="1">
        <f t="array" ref="U549">_xlfn._xlws.FILTER(Competitions[compID], (Fixtures[[#This Row],[competition]] = Competitions[name]), "N/A")</f>
        <v>N/A</v>
      </c>
      <c r="V5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49" s="58" t="str" cm="1">
        <f t="array" ref="W5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49" s="58" t="str" cm="1">
        <f t="array" ref="X549">_xlfn._xlws.FILTER(Teams[name], (Fixtures[[#This Row],[userTeamID]] = Teams[teamID]), "N/A")</f>
        <v>N/A</v>
      </c>
      <c r="Y549" s="58" t="str" cm="1">
        <f t="array" ref="Y549">_xlfn._xlws.FILTER(Teams[teamType], (Fixtures[[#This Row],[userTeamID]] = Teams[teamID]), "N/A")</f>
        <v>N/A</v>
      </c>
      <c r="Z549" s="58" t="str" cm="1">
        <f t="array" ref="Z5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49" s="58" t="str">
        <f>IF(Fixtures[[#This Row],[userSide]] = "N/A", "N/A", IF(Fixtures[[#This Row],[userSide]] = "H", Fixtures[[#This Row],[awayTeam]], Fixtures[[#This Row],[homeTeam]]))</f>
        <v>N/A</v>
      </c>
      <c r="AB549" s="58" t="str" cm="1">
        <f t="array" ref="AB549">_xlfn._xlws.FILTER(Teams[teamID], Fixtures[[#This Row],[oppTeam]] = Teams[name], "N/A")</f>
        <v>N/A</v>
      </c>
      <c r="AC549" s="58" t="str" cm="1">
        <f t="array" ref="AC549">_xlfn._xlws.FILTER(Teams[teamType], Fixtures[[#This Row],[oppTeam]] = Teams[name], "N/A")</f>
        <v>N/A</v>
      </c>
      <c r="AD549" s="58" t="str">
        <f>IF(ISBLANK(Fixtures[[#This Row],[date]]), "N/A", IF(Fixtures[[#This Row],[userSide]]="H", Fixtures[[#This Row],[homeScore]], Fixtures[[#This Row],[awayScore]]))</f>
        <v>N/A</v>
      </c>
      <c r="AE549" s="58" t="str">
        <f>IF(ISBLANK(Fixtures[[#This Row],[date]]), "N/A", IF(Fixtures[[#This Row],[userScore]] = Fixtures[[#This Row],[homeScore]], Fixtures[[#This Row],[awayScore]], Fixtures[[#This Row],[homeScore]]))</f>
        <v>N/A</v>
      </c>
      <c r="AF549" s="58" t="b">
        <f>NOT(AND(ISBLANK(Fixtures[[#This Row],[homePens]]), ISBLANK(Fixtures[[#This Row],[awayPens]])))</f>
        <v>0</v>
      </c>
      <c r="AG549" s="58" t="str">
        <f>IF(Fixtures[[#This Row],[penalties]], IF(Fixtures[[#This Row],[userSide]]="H", Fixtures[[#This Row],[homePens]], Fixtures[[#This Row],[awayPens]]), "N/A")</f>
        <v>N/A</v>
      </c>
      <c r="AH549" s="58" t="str">
        <f>IF(Fixtures[[#This Row],[penalties]], IF(Fixtures[[#This Row],[userPens]]=Fixtures[[#This Row],[homePens]],Fixtures[[#This Row],[awayPens]],Fixtures[[#This Row],[homePens]]), "N/A")</f>
        <v>N/A</v>
      </c>
      <c r="AI549" s="58" t="b">
        <f>COUNTBLANK(Fixtures[[#This Row],[G]:[MOTM]]) = 0</f>
        <v>0</v>
      </c>
      <c r="AJ549" s="58" t="str">
        <f>IF(Fixtures[[#This Row],[APP]], Fixtures[[#This Row],[G]]+Fixtures[[#This Row],[A]], "N/A")</f>
        <v>N/A</v>
      </c>
      <c r="AK5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0" spans="1:39" ht="13">
      <c r="A550" s="55"/>
      <c r="B550" s="61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7"/>
      <c r="R550" s="56"/>
      <c r="S550" s="58" t="str" cm="1">
        <f t="array" ref="S550">_xlfn._xlws.FILTER(Competitions[compType], (Fixtures[[#This Row],[competition]] = Competitions[name]), "N/A")</f>
        <v>N/A</v>
      </c>
      <c r="T550" s="58" t="str" cm="1">
        <f t="array" ref="T550">_xlfn._xlws.FILTER(Competitions[exhibition], (Fixtures[[#This Row],[competition]] = Competitions[name]), "N/A")</f>
        <v>N/A</v>
      </c>
      <c r="U550" s="58" t="str" cm="1">
        <f t="array" ref="U550">_xlfn._xlws.FILTER(Competitions[compID], (Fixtures[[#This Row],[competition]] = Competitions[name]), "N/A")</f>
        <v>N/A</v>
      </c>
      <c r="V5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0" s="58" t="str" cm="1">
        <f t="array" ref="W5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0" s="58" t="str" cm="1">
        <f t="array" ref="X550">_xlfn._xlws.FILTER(Teams[name], (Fixtures[[#This Row],[userTeamID]] = Teams[teamID]), "N/A")</f>
        <v>N/A</v>
      </c>
      <c r="Y550" s="58" t="str" cm="1">
        <f t="array" ref="Y550">_xlfn._xlws.FILTER(Teams[teamType], (Fixtures[[#This Row],[userTeamID]] = Teams[teamID]), "N/A")</f>
        <v>N/A</v>
      </c>
      <c r="Z550" s="58" t="str" cm="1">
        <f t="array" ref="Z5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0" s="58" t="str">
        <f>IF(Fixtures[[#This Row],[userSide]] = "N/A", "N/A", IF(Fixtures[[#This Row],[userSide]] = "H", Fixtures[[#This Row],[awayTeam]], Fixtures[[#This Row],[homeTeam]]))</f>
        <v>N/A</v>
      </c>
      <c r="AB550" s="58" t="str" cm="1">
        <f t="array" ref="AB550">_xlfn._xlws.FILTER(Teams[teamID], Fixtures[[#This Row],[oppTeam]] = Teams[name], "N/A")</f>
        <v>N/A</v>
      </c>
      <c r="AC550" s="58" t="str" cm="1">
        <f t="array" ref="AC550">_xlfn._xlws.FILTER(Teams[teamType], Fixtures[[#This Row],[oppTeam]] = Teams[name], "N/A")</f>
        <v>N/A</v>
      </c>
      <c r="AD550" s="58" t="str">
        <f>IF(ISBLANK(Fixtures[[#This Row],[date]]), "N/A", IF(Fixtures[[#This Row],[userSide]]="H", Fixtures[[#This Row],[homeScore]], Fixtures[[#This Row],[awayScore]]))</f>
        <v>N/A</v>
      </c>
      <c r="AE550" s="58" t="str">
        <f>IF(ISBLANK(Fixtures[[#This Row],[date]]), "N/A", IF(Fixtures[[#This Row],[userScore]] = Fixtures[[#This Row],[homeScore]], Fixtures[[#This Row],[awayScore]], Fixtures[[#This Row],[homeScore]]))</f>
        <v>N/A</v>
      </c>
      <c r="AF550" s="58" t="b">
        <f>NOT(AND(ISBLANK(Fixtures[[#This Row],[homePens]]), ISBLANK(Fixtures[[#This Row],[awayPens]])))</f>
        <v>0</v>
      </c>
      <c r="AG550" s="58" t="str">
        <f>IF(Fixtures[[#This Row],[penalties]], IF(Fixtures[[#This Row],[userSide]]="H", Fixtures[[#This Row],[homePens]], Fixtures[[#This Row],[awayPens]]), "N/A")</f>
        <v>N/A</v>
      </c>
      <c r="AH550" s="58" t="str">
        <f>IF(Fixtures[[#This Row],[penalties]], IF(Fixtures[[#This Row],[userPens]]=Fixtures[[#This Row],[homePens]],Fixtures[[#This Row],[awayPens]],Fixtures[[#This Row],[homePens]]), "N/A")</f>
        <v>N/A</v>
      </c>
      <c r="AI550" s="58" t="b">
        <f>COUNTBLANK(Fixtures[[#This Row],[G]:[MOTM]]) = 0</f>
        <v>0</v>
      </c>
      <c r="AJ550" s="58" t="str">
        <f>IF(Fixtures[[#This Row],[APP]], Fixtures[[#This Row],[G]]+Fixtures[[#This Row],[A]], "N/A")</f>
        <v>N/A</v>
      </c>
      <c r="AK5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1" spans="1:39" ht="13">
      <c r="A551" s="55"/>
      <c r="B551" s="61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7"/>
      <c r="R551" s="56"/>
      <c r="S551" s="58" t="str" cm="1">
        <f t="array" ref="S551">_xlfn._xlws.FILTER(Competitions[compType], (Fixtures[[#This Row],[competition]] = Competitions[name]), "N/A")</f>
        <v>N/A</v>
      </c>
      <c r="T551" s="58" t="str" cm="1">
        <f t="array" ref="T551">_xlfn._xlws.FILTER(Competitions[exhibition], (Fixtures[[#This Row],[competition]] = Competitions[name]), "N/A")</f>
        <v>N/A</v>
      </c>
      <c r="U551" s="58" t="str" cm="1">
        <f t="array" ref="U551">_xlfn._xlws.FILTER(Competitions[compID], (Fixtures[[#This Row],[competition]] = Competitions[name]), "N/A")</f>
        <v>N/A</v>
      </c>
      <c r="V5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1" s="58" t="str" cm="1">
        <f t="array" ref="W5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1" s="58" t="str" cm="1">
        <f t="array" ref="X551">_xlfn._xlws.FILTER(Teams[name], (Fixtures[[#This Row],[userTeamID]] = Teams[teamID]), "N/A")</f>
        <v>N/A</v>
      </c>
      <c r="Y551" s="58" t="str" cm="1">
        <f t="array" ref="Y551">_xlfn._xlws.FILTER(Teams[teamType], (Fixtures[[#This Row],[userTeamID]] = Teams[teamID]), "N/A")</f>
        <v>N/A</v>
      </c>
      <c r="Z551" s="58" t="str" cm="1">
        <f t="array" ref="Z5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1" s="58" t="str">
        <f>IF(Fixtures[[#This Row],[userSide]] = "N/A", "N/A", IF(Fixtures[[#This Row],[userSide]] = "H", Fixtures[[#This Row],[awayTeam]], Fixtures[[#This Row],[homeTeam]]))</f>
        <v>N/A</v>
      </c>
      <c r="AB551" s="58" t="str" cm="1">
        <f t="array" ref="AB551">_xlfn._xlws.FILTER(Teams[teamID], Fixtures[[#This Row],[oppTeam]] = Teams[name], "N/A")</f>
        <v>N/A</v>
      </c>
      <c r="AC551" s="58" t="str" cm="1">
        <f t="array" ref="AC551">_xlfn._xlws.FILTER(Teams[teamType], Fixtures[[#This Row],[oppTeam]] = Teams[name], "N/A")</f>
        <v>N/A</v>
      </c>
      <c r="AD551" s="58" t="str">
        <f>IF(ISBLANK(Fixtures[[#This Row],[date]]), "N/A", IF(Fixtures[[#This Row],[userSide]]="H", Fixtures[[#This Row],[homeScore]], Fixtures[[#This Row],[awayScore]]))</f>
        <v>N/A</v>
      </c>
      <c r="AE551" s="58" t="str">
        <f>IF(ISBLANK(Fixtures[[#This Row],[date]]), "N/A", IF(Fixtures[[#This Row],[userScore]] = Fixtures[[#This Row],[homeScore]], Fixtures[[#This Row],[awayScore]], Fixtures[[#This Row],[homeScore]]))</f>
        <v>N/A</v>
      </c>
      <c r="AF551" s="58" t="b">
        <f>NOT(AND(ISBLANK(Fixtures[[#This Row],[homePens]]), ISBLANK(Fixtures[[#This Row],[awayPens]])))</f>
        <v>0</v>
      </c>
      <c r="AG551" s="58" t="str">
        <f>IF(Fixtures[[#This Row],[penalties]], IF(Fixtures[[#This Row],[userSide]]="H", Fixtures[[#This Row],[homePens]], Fixtures[[#This Row],[awayPens]]), "N/A")</f>
        <v>N/A</v>
      </c>
      <c r="AH551" s="58" t="str">
        <f>IF(Fixtures[[#This Row],[penalties]], IF(Fixtures[[#This Row],[userPens]]=Fixtures[[#This Row],[homePens]],Fixtures[[#This Row],[awayPens]],Fixtures[[#This Row],[homePens]]), "N/A")</f>
        <v>N/A</v>
      </c>
      <c r="AI551" s="58" t="b">
        <f>COUNTBLANK(Fixtures[[#This Row],[G]:[MOTM]]) = 0</f>
        <v>0</v>
      </c>
      <c r="AJ551" s="58" t="str">
        <f>IF(Fixtures[[#This Row],[APP]], Fixtures[[#This Row],[G]]+Fixtures[[#This Row],[A]], "N/A")</f>
        <v>N/A</v>
      </c>
      <c r="AK5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2" spans="1:39" ht="13">
      <c r="A552" s="55"/>
      <c r="B552" s="61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7"/>
      <c r="R552" s="56"/>
      <c r="S552" s="58" t="str" cm="1">
        <f t="array" ref="S552">_xlfn._xlws.FILTER(Competitions[compType], (Fixtures[[#This Row],[competition]] = Competitions[name]), "N/A")</f>
        <v>N/A</v>
      </c>
      <c r="T552" s="58" t="str" cm="1">
        <f t="array" ref="T552">_xlfn._xlws.FILTER(Competitions[exhibition], (Fixtures[[#This Row],[competition]] = Competitions[name]), "N/A")</f>
        <v>N/A</v>
      </c>
      <c r="U552" s="58" t="str" cm="1">
        <f t="array" ref="U552">_xlfn._xlws.FILTER(Competitions[compID], (Fixtures[[#This Row],[competition]] = Competitions[name]), "N/A")</f>
        <v>N/A</v>
      </c>
      <c r="V5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2" s="58" t="str" cm="1">
        <f t="array" ref="W5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2" s="58" t="str" cm="1">
        <f t="array" ref="X552">_xlfn._xlws.FILTER(Teams[name], (Fixtures[[#This Row],[userTeamID]] = Teams[teamID]), "N/A")</f>
        <v>N/A</v>
      </c>
      <c r="Y552" s="58" t="str" cm="1">
        <f t="array" ref="Y552">_xlfn._xlws.FILTER(Teams[teamType], (Fixtures[[#This Row],[userTeamID]] = Teams[teamID]), "N/A")</f>
        <v>N/A</v>
      </c>
      <c r="Z552" s="58" t="str" cm="1">
        <f t="array" ref="Z5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2" s="58" t="str">
        <f>IF(Fixtures[[#This Row],[userSide]] = "N/A", "N/A", IF(Fixtures[[#This Row],[userSide]] = "H", Fixtures[[#This Row],[awayTeam]], Fixtures[[#This Row],[homeTeam]]))</f>
        <v>N/A</v>
      </c>
      <c r="AB552" s="58" t="str" cm="1">
        <f t="array" ref="AB552">_xlfn._xlws.FILTER(Teams[teamID], Fixtures[[#This Row],[oppTeam]] = Teams[name], "N/A")</f>
        <v>N/A</v>
      </c>
      <c r="AC552" s="58" t="str" cm="1">
        <f t="array" ref="AC552">_xlfn._xlws.FILTER(Teams[teamType], Fixtures[[#This Row],[oppTeam]] = Teams[name], "N/A")</f>
        <v>N/A</v>
      </c>
      <c r="AD552" s="58" t="str">
        <f>IF(ISBLANK(Fixtures[[#This Row],[date]]), "N/A", IF(Fixtures[[#This Row],[userSide]]="H", Fixtures[[#This Row],[homeScore]], Fixtures[[#This Row],[awayScore]]))</f>
        <v>N/A</v>
      </c>
      <c r="AE552" s="58" t="str">
        <f>IF(ISBLANK(Fixtures[[#This Row],[date]]), "N/A", IF(Fixtures[[#This Row],[userScore]] = Fixtures[[#This Row],[homeScore]], Fixtures[[#This Row],[awayScore]], Fixtures[[#This Row],[homeScore]]))</f>
        <v>N/A</v>
      </c>
      <c r="AF552" s="58" t="b">
        <f>NOT(AND(ISBLANK(Fixtures[[#This Row],[homePens]]), ISBLANK(Fixtures[[#This Row],[awayPens]])))</f>
        <v>0</v>
      </c>
      <c r="AG552" s="58" t="str">
        <f>IF(Fixtures[[#This Row],[penalties]], IF(Fixtures[[#This Row],[userSide]]="H", Fixtures[[#This Row],[homePens]], Fixtures[[#This Row],[awayPens]]), "N/A")</f>
        <v>N/A</v>
      </c>
      <c r="AH552" s="58" t="str">
        <f>IF(Fixtures[[#This Row],[penalties]], IF(Fixtures[[#This Row],[userPens]]=Fixtures[[#This Row],[homePens]],Fixtures[[#This Row],[awayPens]],Fixtures[[#This Row],[homePens]]), "N/A")</f>
        <v>N/A</v>
      </c>
      <c r="AI552" s="58" t="b">
        <f>COUNTBLANK(Fixtures[[#This Row],[G]:[MOTM]]) = 0</f>
        <v>0</v>
      </c>
      <c r="AJ552" s="58" t="str">
        <f>IF(Fixtures[[#This Row],[APP]], Fixtures[[#This Row],[G]]+Fixtures[[#This Row],[A]], "N/A")</f>
        <v>N/A</v>
      </c>
      <c r="AK5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3" spans="1:39" ht="13">
      <c r="A553" s="55"/>
      <c r="B553" s="61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7"/>
      <c r="R553" s="56"/>
      <c r="S553" s="58" t="str" cm="1">
        <f t="array" ref="S553">_xlfn._xlws.FILTER(Competitions[compType], (Fixtures[[#This Row],[competition]] = Competitions[name]), "N/A")</f>
        <v>N/A</v>
      </c>
      <c r="T553" s="58" t="str" cm="1">
        <f t="array" ref="T553">_xlfn._xlws.FILTER(Competitions[exhibition], (Fixtures[[#This Row],[competition]] = Competitions[name]), "N/A")</f>
        <v>N/A</v>
      </c>
      <c r="U553" s="58" t="str" cm="1">
        <f t="array" ref="U553">_xlfn._xlws.FILTER(Competitions[compID], (Fixtures[[#This Row],[competition]] = Competitions[name]), "N/A")</f>
        <v>N/A</v>
      </c>
      <c r="V5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3" s="58" t="str" cm="1">
        <f t="array" ref="W5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3" s="58" t="str" cm="1">
        <f t="array" ref="X553">_xlfn._xlws.FILTER(Teams[name], (Fixtures[[#This Row],[userTeamID]] = Teams[teamID]), "N/A")</f>
        <v>N/A</v>
      </c>
      <c r="Y553" s="58" t="str" cm="1">
        <f t="array" ref="Y553">_xlfn._xlws.FILTER(Teams[teamType], (Fixtures[[#This Row],[userTeamID]] = Teams[teamID]), "N/A")</f>
        <v>N/A</v>
      </c>
      <c r="Z553" s="58" t="str" cm="1">
        <f t="array" ref="Z5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3" s="58" t="str">
        <f>IF(Fixtures[[#This Row],[userSide]] = "N/A", "N/A", IF(Fixtures[[#This Row],[userSide]] = "H", Fixtures[[#This Row],[awayTeam]], Fixtures[[#This Row],[homeTeam]]))</f>
        <v>N/A</v>
      </c>
      <c r="AB553" s="58" t="str" cm="1">
        <f t="array" ref="AB553">_xlfn._xlws.FILTER(Teams[teamID], Fixtures[[#This Row],[oppTeam]] = Teams[name], "N/A")</f>
        <v>N/A</v>
      </c>
      <c r="AC553" s="58" t="str" cm="1">
        <f t="array" ref="AC553">_xlfn._xlws.FILTER(Teams[teamType], Fixtures[[#This Row],[oppTeam]] = Teams[name], "N/A")</f>
        <v>N/A</v>
      </c>
      <c r="AD553" s="58" t="str">
        <f>IF(ISBLANK(Fixtures[[#This Row],[date]]), "N/A", IF(Fixtures[[#This Row],[userSide]]="H", Fixtures[[#This Row],[homeScore]], Fixtures[[#This Row],[awayScore]]))</f>
        <v>N/A</v>
      </c>
      <c r="AE553" s="58" t="str">
        <f>IF(ISBLANK(Fixtures[[#This Row],[date]]), "N/A", IF(Fixtures[[#This Row],[userScore]] = Fixtures[[#This Row],[homeScore]], Fixtures[[#This Row],[awayScore]], Fixtures[[#This Row],[homeScore]]))</f>
        <v>N/A</v>
      </c>
      <c r="AF553" s="58" t="b">
        <f>NOT(AND(ISBLANK(Fixtures[[#This Row],[homePens]]), ISBLANK(Fixtures[[#This Row],[awayPens]])))</f>
        <v>0</v>
      </c>
      <c r="AG553" s="58" t="str">
        <f>IF(Fixtures[[#This Row],[penalties]], IF(Fixtures[[#This Row],[userSide]]="H", Fixtures[[#This Row],[homePens]], Fixtures[[#This Row],[awayPens]]), "N/A")</f>
        <v>N/A</v>
      </c>
      <c r="AH553" s="58" t="str">
        <f>IF(Fixtures[[#This Row],[penalties]], IF(Fixtures[[#This Row],[userPens]]=Fixtures[[#This Row],[homePens]],Fixtures[[#This Row],[awayPens]],Fixtures[[#This Row],[homePens]]), "N/A")</f>
        <v>N/A</v>
      </c>
      <c r="AI553" s="58" t="b">
        <f>COUNTBLANK(Fixtures[[#This Row],[G]:[MOTM]]) = 0</f>
        <v>0</v>
      </c>
      <c r="AJ553" s="58" t="str">
        <f>IF(Fixtures[[#This Row],[APP]], Fixtures[[#This Row],[G]]+Fixtures[[#This Row],[A]], "N/A")</f>
        <v>N/A</v>
      </c>
      <c r="AK5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4" spans="1:39" ht="13">
      <c r="A554" s="55"/>
      <c r="B554" s="61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7"/>
      <c r="R554" s="56"/>
      <c r="S554" s="58" t="str" cm="1">
        <f t="array" ref="S554">_xlfn._xlws.FILTER(Competitions[compType], (Fixtures[[#This Row],[competition]] = Competitions[name]), "N/A")</f>
        <v>N/A</v>
      </c>
      <c r="T554" s="58" t="str" cm="1">
        <f t="array" ref="T554">_xlfn._xlws.FILTER(Competitions[exhibition], (Fixtures[[#This Row],[competition]] = Competitions[name]), "N/A")</f>
        <v>N/A</v>
      </c>
      <c r="U554" s="58" t="str" cm="1">
        <f t="array" ref="U554">_xlfn._xlws.FILTER(Competitions[compID], (Fixtures[[#This Row],[competition]] = Competitions[name]), "N/A")</f>
        <v>N/A</v>
      </c>
      <c r="V5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4" s="58" t="str" cm="1">
        <f t="array" ref="W5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4" s="58" t="str" cm="1">
        <f t="array" ref="X554">_xlfn._xlws.FILTER(Teams[name], (Fixtures[[#This Row],[userTeamID]] = Teams[teamID]), "N/A")</f>
        <v>N/A</v>
      </c>
      <c r="Y554" s="58" t="str" cm="1">
        <f t="array" ref="Y554">_xlfn._xlws.FILTER(Teams[teamType], (Fixtures[[#This Row],[userTeamID]] = Teams[teamID]), "N/A")</f>
        <v>N/A</v>
      </c>
      <c r="Z554" s="58" t="str" cm="1">
        <f t="array" ref="Z5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4" s="58" t="str">
        <f>IF(Fixtures[[#This Row],[userSide]] = "N/A", "N/A", IF(Fixtures[[#This Row],[userSide]] = "H", Fixtures[[#This Row],[awayTeam]], Fixtures[[#This Row],[homeTeam]]))</f>
        <v>N/A</v>
      </c>
      <c r="AB554" s="58" t="str" cm="1">
        <f t="array" ref="AB554">_xlfn._xlws.FILTER(Teams[teamID], Fixtures[[#This Row],[oppTeam]] = Teams[name], "N/A")</f>
        <v>N/A</v>
      </c>
      <c r="AC554" s="58" t="str" cm="1">
        <f t="array" ref="AC554">_xlfn._xlws.FILTER(Teams[teamType], Fixtures[[#This Row],[oppTeam]] = Teams[name], "N/A")</f>
        <v>N/A</v>
      </c>
      <c r="AD554" s="58" t="str">
        <f>IF(ISBLANK(Fixtures[[#This Row],[date]]), "N/A", IF(Fixtures[[#This Row],[userSide]]="H", Fixtures[[#This Row],[homeScore]], Fixtures[[#This Row],[awayScore]]))</f>
        <v>N/A</v>
      </c>
      <c r="AE554" s="58" t="str">
        <f>IF(ISBLANK(Fixtures[[#This Row],[date]]), "N/A", IF(Fixtures[[#This Row],[userScore]] = Fixtures[[#This Row],[homeScore]], Fixtures[[#This Row],[awayScore]], Fixtures[[#This Row],[homeScore]]))</f>
        <v>N/A</v>
      </c>
      <c r="AF554" s="58" t="b">
        <f>NOT(AND(ISBLANK(Fixtures[[#This Row],[homePens]]), ISBLANK(Fixtures[[#This Row],[awayPens]])))</f>
        <v>0</v>
      </c>
      <c r="AG554" s="58" t="str">
        <f>IF(Fixtures[[#This Row],[penalties]], IF(Fixtures[[#This Row],[userSide]]="H", Fixtures[[#This Row],[homePens]], Fixtures[[#This Row],[awayPens]]), "N/A")</f>
        <v>N/A</v>
      </c>
      <c r="AH554" s="58" t="str">
        <f>IF(Fixtures[[#This Row],[penalties]], IF(Fixtures[[#This Row],[userPens]]=Fixtures[[#This Row],[homePens]],Fixtures[[#This Row],[awayPens]],Fixtures[[#This Row],[homePens]]), "N/A")</f>
        <v>N/A</v>
      </c>
      <c r="AI554" s="58" t="b">
        <f>COUNTBLANK(Fixtures[[#This Row],[G]:[MOTM]]) = 0</f>
        <v>0</v>
      </c>
      <c r="AJ554" s="58" t="str">
        <f>IF(Fixtures[[#This Row],[APP]], Fixtures[[#This Row],[G]]+Fixtures[[#This Row],[A]], "N/A")</f>
        <v>N/A</v>
      </c>
      <c r="AK5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5" spans="1:39" ht="13">
      <c r="A555" s="55"/>
      <c r="B555" s="61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7"/>
      <c r="R555" s="56"/>
      <c r="S555" s="58" t="str" cm="1">
        <f t="array" ref="S555">_xlfn._xlws.FILTER(Competitions[compType], (Fixtures[[#This Row],[competition]] = Competitions[name]), "N/A")</f>
        <v>N/A</v>
      </c>
      <c r="T555" s="58" t="str" cm="1">
        <f t="array" ref="T555">_xlfn._xlws.FILTER(Competitions[exhibition], (Fixtures[[#This Row],[competition]] = Competitions[name]), "N/A")</f>
        <v>N/A</v>
      </c>
      <c r="U555" s="58" t="str" cm="1">
        <f t="array" ref="U555">_xlfn._xlws.FILTER(Competitions[compID], (Fixtures[[#This Row],[competition]] = Competitions[name]), "N/A")</f>
        <v>N/A</v>
      </c>
      <c r="V5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5" s="58" t="str" cm="1">
        <f t="array" ref="W5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5" s="58" t="str" cm="1">
        <f t="array" ref="X555">_xlfn._xlws.FILTER(Teams[name], (Fixtures[[#This Row],[userTeamID]] = Teams[teamID]), "N/A")</f>
        <v>N/A</v>
      </c>
      <c r="Y555" s="58" t="str" cm="1">
        <f t="array" ref="Y555">_xlfn._xlws.FILTER(Teams[teamType], (Fixtures[[#This Row],[userTeamID]] = Teams[teamID]), "N/A")</f>
        <v>N/A</v>
      </c>
      <c r="Z555" s="58" t="str" cm="1">
        <f t="array" ref="Z5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5" s="58" t="str">
        <f>IF(Fixtures[[#This Row],[userSide]] = "N/A", "N/A", IF(Fixtures[[#This Row],[userSide]] = "H", Fixtures[[#This Row],[awayTeam]], Fixtures[[#This Row],[homeTeam]]))</f>
        <v>N/A</v>
      </c>
      <c r="AB555" s="58" t="str" cm="1">
        <f t="array" ref="AB555">_xlfn._xlws.FILTER(Teams[teamID], Fixtures[[#This Row],[oppTeam]] = Teams[name], "N/A")</f>
        <v>N/A</v>
      </c>
      <c r="AC555" s="58" t="str" cm="1">
        <f t="array" ref="AC555">_xlfn._xlws.FILTER(Teams[teamType], Fixtures[[#This Row],[oppTeam]] = Teams[name], "N/A")</f>
        <v>N/A</v>
      </c>
      <c r="AD555" s="58" t="str">
        <f>IF(ISBLANK(Fixtures[[#This Row],[date]]), "N/A", IF(Fixtures[[#This Row],[userSide]]="H", Fixtures[[#This Row],[homeScore]], Fixtures[[#This Row],[awayScore]]))</f>
        <v>N/A</v>
      </c>
      <c r="AE555" s="58" t="str">
        <f>IF(ISBLANK(Fixtures[[#This Row],[date]]), "N/A", IF(Fixtures[[#This Row],[userScore]] = Fixtures[[#This Row],[homeScore]], Fixtures[[#This Row],[awayScore]], Fixtures[[#This Row],[homeScore]]))</f>
        <v>N/A</v>
      </c>
      <c r="AF555" s="58" t="b">
        <f>NOT(AND(ISBLANK(Fixtures[[#This Row],[homePens]]), ISBLANK(Fixtures[[#This Row],[awayPens]])))</f>
        <v>0</v>
      </c>
      <c r="AG555" s="58" t="str">
        <f>IF(Fixtures[[#This Row],[penalties]], IF(Fixtures[[#This Row],[userSide]]="H", Fixtures[[#This Row],[homePens]], Fixtures[[#This Row],[awayPens]]), "N/A")</f>
        <v>N/A</v>
      </c>
      <c r="AH555" s="58" t="str">
        <f>IF(Fixtures[[#This Row],[penalties]], IF(Fixtures[[#This Row],[userPens]]=Fixtures[[#This Row],[homePens]],Fixtures[[#This Row],[awayPens]],Fixtures[[#This Row],[homePens]]), "N/A")</f>
        <v>N/A</v>
      </c>
      <c r="AI555" s="58" t="b">
        <f>COUNTBLANK(Fixtures[[#This Row],[G]:[MOTM]]) = 0</f>
        <v>0</v>
      </c>
      <c r="AJ555" s="58" t="str">
        <f>IF(Fixtures[[#This Row],[APP]], Fixtures[[#This Row],[G]]+Fixtures[[#This Row],[A]], "N/A")</f>
        <v>N/A</v>
      </c>
      <c r="AK5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6" spans="1:39" ht="13">
      <c r="A556" s="55"/>
      <c r="B556" s="61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7"/>
      <c r="R556" s="56"/>
      <c r="S556" s="58" t="str" cm="1">
        <f t="array" ref="S556">_xlfn._xlws.FILTER(Competitions[compType], (Fixtures[[#This Row],[competition]] = Competitions[name]), "N/A")</f>
        <v>N/A</v>
      </c>
      <c r="T556" s="58" t="str" cm="1">
        <f t="array" ref="T556">_xlfn._xlws.FILTER(Competitions[exhibition], (Fixtures[[#This Row],[competition]] = Competitions[name]), "N/A")</f>
        <v>N/A</v>
      </c>
      <c r="U556" s="58" t="str" cm="1">
        <f t="array" ref="U556">_xlfn._xlws.FILTER(Competitions[compID], (Fixtures[[#This Row],[competition]] = Competitions[name]), "N/A")</f>
        <v>N/A</v>
      </c>
      <c r="V5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6" s="58" t="str" cm="1">
        <f t="array" ref="W5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6" s="58" t="str" cm="1">
        <f t="array" ref="X556">_xlfn._xlws.FILTER(Teams[name], (Fixtures[[#This Row],[userTeamID]] = Teams[teamID]), "N/A")</f>
        <v>N/A</v>
      </c>
      <c r="Y556" s="58" t="str" cm="1">
        <f t="array" ref="Y556">_xlfn._xlws.FILTER(Teams[teamType], (Fixtures[[#This Row],[userTeamID]] = Teams[teamID]), "N/A")</f>
        <v>N/A</v>
      </c>
      <c r="Z556" s="58" t="str" cm="1">
        <f t="array" ref="Z5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6" s="58" t="str">
        <f>IF(Fixtures[[#This Row],[userSide]] = "N/A", "N/A", IF(Fixtures[[#This Row],[userSide]] = "H", Fixtures[[#This Row],[awayTeam]], Fixtures[[#This Row],[homeTeam]]))</f>
        <v>N/A</v>
      </c>
      <c r="AB556" s="58" t="str" cm="1">
        <f t="array" ref="AB556">_xlfn._xlws.FILTER(Teams[teamID], Fixtures[[#This Row],[oppTeam]] = Teams[name], "N/A")</f>
        <v>N/A</v>
      </c>
      <c r="AC556" s="58" t="str" cm="1">
        <f t="array" ref="AC556">_xlfn._xlws.FILTER(Teams[teamType], Fixtures[[#This Row],[oppTeam]] = Teams[name], "N/A")</f>
        <v>N/A</v>
      </c>
      <c r="AD556" s="58" t="str">
        <f>IF(ISBLANK(Fixtures[[#This Row],[date]]), "N/A", IF(Fixtures[[#This Row],[userSide]]="H", Fixtures[[#This Row],[homeScore]], Fixtures[[#This Row],[awayScore]]))</f>
        <v>N/A</v>
      </c>
      <c r="AE556" s="58" t="str">
        <f>IF(ISBLANK(Fixtures[[#This Row],[date]]), "N/A", IF(Fixtures[[#This Row],[userScore]] = Fixtures[[#This Row],[homeScore]], Fixtures[[#This Row],[awayScore]], Fixtures[[#This Row],[homeScore]]))</f>
        <v>N/A</v>
      </c>
      <c r="AF556" s="58" t="b">
        <f>NOT(AND(ISBLANK(Fixtures[[#This Row],[homePens]]), ISBLANK(Fixtures[[#This Row],[awayPens]])))</f>
        <v>0</v>
      </c>
      <c r="AG556" s="58" t="str">
        <f>IF(Fixtures[[#This Row],[penalties]], IF(Fixtures[[#This Row],[userSide]]="H", Fixtures[[#This Row],[homePens]], Fixtures[[#This Row],[awayPens]]), "N/A")</f>
        <v>N/A</v>
      </c>
      <c r="AH556" s="58" t="str">
        <f>IF(Fixtures[[#This Row],[penalties]], IF(Fixtures[[#This Row],[userPens]]=Fixtures[[#This Row],[homePens]],Fixtures[[#This Row],[awayPens]],Fixtures[[#This Row],[homePens]]), "N/A")</f>
        <v>N/A</v>
      </c>
      <c r="AI556" s="58" t="b">
        <f>COUNTBLANK(Fixtures[[#This Row],[G]:[MOTM]]) = 0</f>
        <v>0</v>
      </c>
      <c r="AJ556" s="58" t="str">
        <f>IF(Fixtures[[#This Row],[APP]], Fixtures[[#This Row],[G]]+Fixtures[[#This Row],[A]], "N/A")</f>
        <v>N/A</v>
      </c>
      <c r="AK5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7" spans="1:39" ht="13">
      <c r="A557" s="55"/>
      <c r="B557" s="61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7"/>
      <c r="R557" s="56"/>
      <c r="S557" s="58" t="str" cm="1">
        <f t="array" ref="S557">_xlfn._xlws.FILTER(Competitions[compType], (Fixtures[[#This Row],[competition]] = Competitions[name]), "N/A")</f>
        <v>N/A</v>
      </c>
      <c r="T557" s="58" t="str" cm="1">
        <f t="array" ref="T557">_xlfn._xlws.FILTER(Competitions[exhibition], (Fixtures[[#This Row],[competition]] = Competitions[name]), "N/A")</f>
        <v>N/A</v>
      </c>
      <c r="U557" s="58" t="str" cm="1">
        <f t="array" ref="U557">_xlfn._xlws.FILTER(Competitions[compID], (Fixtures[[#This Row],[competition]] = Competitions[name]), "N/A")</f>
        <v>N/A</v>
      </c>
      <c r="V5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7" s="58" t="str" cm="1">
        <f t="array" ref="W5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7" s="58" t="str" cm="1">
        <f t="array" ref="X557">_xlfn._xlws.FILTER(Teams[name], (Fixtures[[#This Row],[userTeamID]] = Teams[teamID]), "N/A")</f>
        <v>N/A</v>
      </c>
      <c r="Y557" s="58" t="str" cm="1">
        <f t="array" ref="Y557">_xlfn._xlws.FILTER(Teams[teamType], (Fixtures[[#This Row],[userTeamID]] = Teams[teamID]), "N/A")</f>
        <v>N/A</v>
      </c>
      <c r="Z557" s="58" t="str" cm="1">
        <f t="array" ref="Z5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7" s="58" t="str">
        <f>IF(Fixtures[[#This Row],[userSide]] = "N/A", "N/A", IF(Fixtures[[#This Row],[userSide]] = "H", Fixtures[[#This Row],[awayTeam]], Fixtures[[#This Row],[homeTeam]]))</f>
        <v>N/A</v>
      </c>
      <c r="AB557" s="58" t="str" cm="1">
        <f t="array" ref="AB557">_xlfn._xlws.FILTER(Teams[teamID], Fixtures[[#This Row],[oppTeam]] = Teams[name], "N/A")</f>
        <v>N/A</v>
      </c>
      <c r="AC557" s="58" t="str" cm="1">
        <f t="array" ref="AC557">_xlfn._xlws.FILTER(Teams[teamType], Fixtures[[#This Row],[oppTeam]] = Teams[name], "N/A")</f>
        <v>N/A</v>
      </c>
      <c r="AD557" s="58" t="str">
        <f>IF(ISBLANK(Fixtures[[#This Row],[date]]), "N/A", IF(Fixtures[[#This Row],[userSide]]="H", Fixtures[[#This Row],[homeScore]], Fixtures[[#This Row],[awayScore]]))</f>
        <v>N/A</v>
      </c>
      <c r="AE557" s="58" t="str">
        <f>IF(ISBLANK(Fixtures[[#This Row],[date]]), "N/A", IF(Fixtures[[#This Row],[userScore]] = Fixtures[[#This Row],[homeScore]], Fixtures[[#This Row],[awayScore]], Fixtures[[#This Row],[homeScore]]))</f>
        <v>N/A</v>
      </c>
      <c r="AF557" s="58" t="b">
        <f>NOT(AND(ISBLANK(Fixtures[[#This Row],[homePens]]), ISBLANK(Fixtures[[#This Row],[awayPens]])))</f>
        <v>0</v>
      </c>
      <c r="AG557" s="58" t="str">
        <f>IF(Fixtures[[#This Row],[penalties]], IF(Fixtures[[#This Row],[userSide]]="H", Fixtures[[#This Row],[homePens]], Fixtures[[#This Row],[awayPens]]), "N/A")</f>
        <v>N/A</v>
      </c>
      <c r="AH557" s="58" t="str">
        <f>IF(Fixtures[[#This Row],[penalties]], IF(Fixtures[[#This Row],[userPens]]=Fixtures[[#This Row],[homePens]],Fixtures[[#This Row],[awayPens]],Fixtures[[#This Row],[homePens]]), "N/A")</f>
        <v>N/A</v>
      </c>
      <c r="AI557" s="58" t="b">
        <f>COUNTBLANK(Fixtures[[#This Row],[G]:[MOTM]]) = 0</f>
        <v>0</v>
      </c>
      <c r="AJ557" s="58" t="str">
        <f>IF(Fixtures[[#This Row],[APP]], Fixtures[[#This Row],[G]]+Fixtures[[#This Row],[A]], "N/A")</f>
        <v>N/A</v>
      </c>
      <c r="AK5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8" spans="1:39" ht="13">
      <c r="A558" s="55"/>
      <c r="B558" s="61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7"/>
      <c r="R558" s="56"/>
      <c r="S558" s="58" t="str" cm="1">
        <f t="array" ref="S558">_xlfn._xlws.FILTER(Competitions[compType], (Fixtures[[#This Row],[competition]] = Competitions[name]), "N/A")</f>
        <v>N/A</v>
      </c>
      <c r="T558" s="58" t="str" cm="1">
        <f t="array" ref="T558">_xlfn._xlws.FILTER(Competitions[exhibition], (Fixtures[[#This Row],[competition]] = Competitions[name]), "N/A")</f>
        <v>N/A</v>
      </c>
      <c r="U558" s="58" t="str" cm="1">
        <f t="array" ref="U558">_xlfn._xlws.FILTER(Competitions[compID], (Fixtures[[#This Row],[competition]] = Competitions[name]), "N/A")</f>
        <v>N/A</v>
      </c>
      <c r="V5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8" s="58" t="str" cm="1">
        <f t="array" ref="W5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8" s="58" t="str" cm="1">
        <f t="array" ref="X558">_xlfn._xlws.FILTER(Teams[name], (Fixtures[[#This Row],[userTeamID]] = Teams[teamID]), "N/A")</f>
        <v>N/A</v>
      </c>
      <c r="Y558" s="58" t="str" cm="1">
        <f t="array" ref="Y558">_xlfn._xlws.FILTER(Teams[teamType], (Fixtures[[#This Row],[userTeamID]] = Teams[teamID]), "N/A")</f>
        <v>N/A</v>
      </c>
      <c r="Z558" s="58" t="str" cm="1">
        <f t="array" ref="Z5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8" s="58" t="str">
        <f>IF(Fixtures[[#This Row],[userSide]] = "N/A", "N/A", IF(Fixtures[[#This Row],[userSide]] = "H", Fixtures[[#This Row],[awayTeam]], Fixtures[[#This Row],[homeTeam]]))</f>
        <v>N/A</v>
      </c>
      <c r="AB558" s="58" t="str" cm="1">
        <f t="array" ref="AB558">_xlfn._xlws.FILTER(Teams[teamID], Fixtures[[#This Row],[oppTeam]] = Teams[name], "N/A")</f>
        <v>N/A</v>
      </c>
      <c r="AC558" s="58" t="str" cm="1">
        <f t="array" ref="AC558">_xlfn._xlws.FILTER(Teams[teamType], Fixtures[[#This Row],[oppTeam]] = Teams[name], "N/A")</f>
        <v>N/A</v>
      </c>
      <c r="AD558" s="58" t="str">
        <f>IF(ISBLANK(Fixtures[[#This Row],[date]]), "N/A", IF(Fixtures[[#This Row],[userSide]]="H", Fixtures[[#This Row],[homeScore]], Fixtures[[#This Row],[awayScore]]))</f>
        <v>N/A</v>
      </c>
      <c r="AE558" s="58" t="str">
        <f>IF(ISBLANK(Fixtures[[#This Row],[date]]), "N/A", IF(Fixtures[[#This Row],[userScore]] = Fixtures[[#This Row],[homeScore]], Fixtures[[#This Row],[awayScore]], Fixtures[[#This Row],[homeScore]]))</f>
        <v>N/A</v>
      </c>
      <c r="AF558" s="58" t="b">
        <f>NOT(AND(ISBLANK(Fixtures[[#This Row],[homePens]]), ISBLANK(Fixtures[[#This Row],[awayPens]])))</f>
        <v>0</v>
      </c>
      <c r="AG558" s="58" t="str">
        <f>IF(Fixtures[[#This Row],[penalties]], IF(Fixtures[[#This Row],[userSide]]="H", Fixtures[[#This Row],[homePens]], Fixtures[[#This Row],[awayPens]]), "N/A")</f>
        <v>N/A</v>
      </c>
      <c r="AH558" s="58" t="str">
        <f>IF(Fixtures[[#This Row],[penalties]], IF(Fixtures[[#This Row],[userPens]]=Fixtures[[#This Row],[homePens]],Fixtures[[#This Row],[awayPens]],Fixtures[[#This Row],[homePens]]), "N/A")</f>
        <v>N/A</v>
      </c>
      <c r="AI558" s="58" t="b">
        <f>COUNTBLANK(Fixtures[[#This Row],[G]:[MOTM]]) = 0</f>
        <v>0</v>
      </c>
      <c r="AJ558" s="58" t="str">
        <f>IF(Fixtures[[#This Row],[APP]], Fixtures[[#This Row],[G]]+Fixtures[[#This Row],[A]], "N/A")</f>
        <v>N/A</v>
      </c>
      <c r="AK5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59" spans="1:39" ht="13">
      <c r="A559" s="55"/>
      <c r="B559" s="61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7"/>
      <c r="R559" s="56"/>
      <c r="S559" s="58" t="str" cm="1">
        <f t="array" ref="S559">_xlfn._xlws.FILTER(Competitions[compType], (Fixtures[[#This Row],[competition]] = Competitions[name]), "N/A")</f>
        <v>N/A</v>
      </c>
      <c r="T559" s="58" t="str" cm="1">
        <f t="array" ref="T559">_xlfn._xlws.FILTER(Competitions[exhibition], (Fixtures[[#This Row],[competition]] = Competitions[name]), "N/A")</f>
        <v>N/A</v>
      </c>
      <c r="U559" s="58" t="str" cm="1">
        <f t="array" ref="U559">_xlfn._xlws.FILTER(Competitions[compID], (Fixtures[[#This Row],[competition]] = Competitions[name]), "N/A")</f>
        <v>N/A</v>
      </c>
      <c r="V5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59" s="58" t="str" cm="1">
        <f t="array" ref="W5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59" s="58" t="str" cm="1">
        <f t="array" ref="X559">_xlfn._xlws.FILTER(Teams[name], (Fixtures[[#This Row],[userTeamID]] = Teams[teamID]), "N/A")</f>
        <v>N/A</v>
      </c>
      <c r="Y559" s="58" t="str" cm="1">
        <f t="array" ref="Y559">_xlfn._xlws.FILTER(Teams[teamType], (Fixtures[[#This Row],[userTeamID]] = Teams[teamID]), "N/A")</f>
        <v>N/A</v>
      </c>
      <c r="Z559" s="58" t="str" cm="1">
        <f t="array" ref="Z5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59" s="58" t="str">
        <f>IF(Fixtures[[#This Row],[userSide]] = "N/A", "N/A", IF(Fixtures[[#This Row],[userSide]] = "H", Fixtures[[#This Row],[awayTeam]], Fixtures[[#This Row],[homeTeam]]))</f>
        <v>N/A</v>
      </c>
      <c r="AB559" s="58" t="str" cm="1">
        <f t="array" ref="AB559">_xlfn._xlws.FILTER(Teams[teamID], Fixtures[[#This Row],[oppTeam]] = Teams[name], "N/A")</f>
        <v>N/A</v>
      </c>
      <c r="AC559" s="58" t="str" cm="1">
        <f t="array" ref="AC559">_xlfn._xlws.FILTER(Teams[teamType], Fixtures[[#This Row],[oppTeam]] = Teams[name], "N/A")</f>
        <v>N/A</v>
      </c>
      <c r="AD559" s="58" t="str">
        <f>IF(ISBLANK(Fixtures[[#This Row],[date]]), "N/A", IF(Fixtures[[#This Row],[userSide]]="H", Fixtures[[#This Row],[homeScore]], Fixtures[[#This Row],[awayScore]]))</f>
        <v>N/A</v>
      </c>
      <c r="AE559" s="58" t="str">
        <f>IF(ISBLANK(Fixtures[[#This Row],[date]]), "N/A", IF(Fixtures[[#This Row],[userScore]] = Fixtures[[#This Row],[homeScore]], Fixtures[[#This Row],[awayScore]], Fixtures[[#This Row],[homeScore]]))</f>
        <v>N/A</v>
      </c>
      <c r="AF559" s="58" t="b">
        <f>NOT(AND(ISBLANK(Fixtures[[#This Row],[homePens]]), ISBLANK(Fixtures[[#This Row],[awayPens]])))</f>
        <v>0</v>
      </c>
      <c r="AG559" s="58" t="str">
        <f>IF(Fixtures[[#This Row],[penalties]], IF(Fixtures[[#This Row],[userSide]]="H", Fixtures[[#This Row],[homePens]], Fixtures[[#This Row],[awayPens]]), "N/A")</f>
        <v>N/A</v>
      </c>
      <c r="AH559" s="58" t="str">
        <f>IF(Fixtures[[#This Row],[penalties]], IF(Fixtures[[#This Row],[userPens]]=Fixtures[[#This Row],[homePens]],Fixtures[[#This Row],[awayPens]],Fixtures[[#This Row],[homePens]]), "N/A")</f>
        <v>N/A</v>
      </c>
      <c r="AI559" s="58" t="b">
        <f>COUNTBLANK(Fixtures[[#This Row],[G]:[MOTM]]) = 0</f>
        <v>0</v>
      </c>
      <c r="AJ559" s="58" t="str">
        <f>IF(Fixtures[[#This Row],[APP]], Fixtures[[#This Row],[G]]+Fixtures[[#This Row],[A]], "N/A")</f>
        <v>N/A</v>
      </c>
      <c r="AK5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0" spans="1:39" ht="13">
      <c r="A560" s="55"/>
      <c r="B560" s="61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7"/>
      <c r="R560" s="56"/>
      <c r="S560" s="58" t="str" cm="1">
        <f t="array" ref="S560">_xlfn._xlws.FILTER(Competitions[compType], (Fixtures[[#This Row],[competition]] = Competitions[name]), "N/A")</f>
        <v>N/A</v>
      </c>
      <c r="T560" s="58" t="str" cm="1">
        <f t="array" ref="T560">_xlfn._xlws.FILTER(Competitions[exhibition], (Fixtures[[#This Row],[competition]] = Competitions[name]), "N/A")</f>
        <v>N/A</v>
      </c>
      <c r="U560" s="58" t="str" cm="1">
        <f t="array" ref="U560">_xlfn._xlws.FILTER(Competitions[compID], (Fixtures[[#This Row],[competition]] = Competitions[name]), "N/A")</f>
        <v>N/A</v>
      </c>
      <c r="V5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0" s="58" t="str" cm="1">
        <f t="array" ref="W5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0" s="58" t="str" cm="1">
        <f t="array" ref="X560">_xlfn._xlws.FILTER(Teams[name], (Fixtures[[#This Row],[userTeamID]] = Teams[teamID]), "N/A")</f>
        <v>N/A</v>
      </c>
      <c r="Y560" s="58" t="str" cm="1">
        <f t="array" ref="Y560">_xlfn._xlws.FILTER(Teams[teamType], (Fixtures[[#This Row],[userTeamID]] = Teams[teamID]), "N/A")</f>
        <v>N/A</v>
      </c>
      <c r="Z560" s="58" t="str" cm="1">
        <f t="array" ref="Z5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0" s="58" t="str">
        <f>IF(Fixtures[[#This Row],[userSide]] = "N/A", "N/A", IF(Fixtures[[#This Row],[userSide]] = "H", Fixtures[[#This Row],[awayTeam]], Fixtures[[#This Row],[homeTeam]]))</f>
        <v>N/A</v>
      </c>
      <c r="AB560" s="58" t="str" cm="1">
        <f t="array" ref="AB560">_xlfn._xlws.FILTER(Teams[teamID], Fixtures[[#This Row],[oppTeam]] = Teams[name], "N/A")</f>
        <v>N/A</v>
      </c>
      <c r="AC560" s="58" t="str" cm="1">
        <f t="array" ref="AC560">_xlfn._xlws.FILTER(Teams[teamType], Fixtures[[#This Row],[oppTeam]] = Teams[name], "N/A")</f>
        <v>N/A</v>
      </c>
      <c r="AD560" s="58" t="str">
        <f>IF(ISBLANK(Fixtures[[#This Row],[date]]), "N/A", IF(Fixtures[[#This Row],[userSide]]="H", Fixtures[[#This Row],[homeScore]], Fixtures[[#This Row],[awayScore]]))</f>
        <v>N/A</v>
      </c>
      <c r="AE560" s="58" t="str">
        <f>IF(ISBLANK(Fixtures[[#This Row],[date]]), "N/A", IF(Fixtures[[#This Row],[userScore]] = Fixtures[[#This Row],[homeScore]], Fixtures[[#This Row],[awayScore]], Fixtures[[#This Row],[homeScore]]))</f>
        <v>N/A</v>
      </c>
      <c r="AF560" s="58" t="b">
        <f>NOT(AND(ISBLANK(Fixtures[[#This Row],[homePens]]), ISBLANK(Fixtures[[#This Row],[awayPens]])))</f>
        <v>0</v>
      </c>
      <c r="AG560" s="58" t="str">
        <f>IF(Fixtures[[#This Row],[penalties]], IF(Fixtures[[#This Row],[userSide]]="H", Fixtures[[#This Row],[homePens]], Fixtures[[#This Row],[awayPens]]), "N/A")</f>
        <v>N/A</v>
      </c>
      <c r="AH560" s="58" t="str">
        <f>IF(Fixtures[[#This Row],[penalties]], IF(Fixtures[[#This Row],[userPens]]=Fixtures[[#This Row],[homePens]],Fixtures[[#This Row],[awayPens]],Fixtures[[#This Row],[homePens]]), "N/A")</f>
        <v>N/A</v>
      </c>
      <c r="AI560" s="58" t="b">
        <f>COUNTBLANK(Fixtures[[#This Row],[G]:[MOTM]]) = 0</f>
        <v>0</v>
      </c>
      <c r="AJ560" s="58" t="str">
        <f>IF(Fixtures[[#This Row],[APP]], Fixtures[[#This Row],[G]]+Fixtures[[#This Row],[A]], "N/A")</f>
        <v>N/A</v>
      </c>
      <c r="AK5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1" spans="1:39" ht="13">
      <c r="A561" s="55"/>
      <c r="B561" s="61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7"/>
      <c r="R561" s="56"/>
      <c r="S561" s="58" t="str" cm="1">
        <f t="array" ref="S561">_xlfn._xlws.FILTER(Competitions[compType], (Fixtures[[#This Row],[competition]] = Competitions[name]), "N/A")</f>
        <v>N/A</v>
      </c>
      <c r="T561" s="58" t="str" cm="1">
        <f t="array" ref="T561">_xlfn._xlws.FILTER(Competitions[exhibition], (Fixtures[[#This Row],[competition]] = Competitions[name]), "N/A")</f>
        <v>N/A</v>
      </c>
      <c r="U561" s="58" t="str" cm="1">
        <f t="array" ref="U561">_xlfn._xlws.FILTER(Competitions[compID], (Fixtures[[#This Row],[competition]] = Competitions[name]), "N/A")</f>
        <v>N/A</v>
      </c>
      <c r="V5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1" s="58" t="str" cm="1">
        <f t="array" ref="W5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1" s="58" t="str" cm="1">
        <f t="array" ref="X561">_xlfn._xlws.FILTER(Teams[name], (Fixtures[[#This Row],[userTeamID]] = Teams[teamID]), "N/A")</f>
        <v>N/A</v>
      </c>
      <c r="Y561" s="58" t="str" cm="1">
        <f t="array" ref="Y561">_xlfn._xlws.FILTER(Teams[teamType], (Fixtures[[#This Row],[userTeamID]] = Teams[teamID]), "N/A")</f>
        <v>N/A</v>
      </c>
      <c r="Z561" s="58" t="str" cm="1">
        <f t="array" ref="Z5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1" s="58" t="str">
        <f>IF(Fixtures[[#This Row],[userSide]] = "N/A", "N/A", IF(Fixtures[[#This Row],[userSide]] = "H", Fixtures[[#This Row],[awayTeam]], Fixtures[[#This Row],[homeTeam]]))</f>
        <v>N/A</v>
      </c>
      <c r="AB561" s="58" t="str" cm="1">
        <f t="array" ref="AB561">_xlfn._xlws.FILTER(Teams[teamID], Fixtures[[#This Row],[oppTeam]] = Teams[name], "N/A")</f>
        <v>N/A</v>
      </c>
      <c r="AC561" s="58" t="str" cm="1">
        <f t="array" ref="AC561">_xlfn._xlws.FILTER(Teams[teamType], Fixtures[[#This Row],[oppTeam]] = Teams[name], "N/A")</f>
        <v>N/A</v>
      </c>
      <c r="AD561" s="58" t="str">
        <f>IF(ISBLANK(Fixtures[[#This Row],[date]]), "N/A", IF(Fixtures[[#This Row],[userSide]]="H", Fixtures[[#This Row],[homeScore]], Fixtures[[#This Row],[awayScore]]))</f>
        <v>N/A</v>
      </c>
      <c r="AE561" s="58" t="str">
        <f>IF(ISBLANK(Fixtures[[#This Row],[date]]), "N/A", IF(Fixtures[[#This Row],[userScore]] = Fixtures[[#This Row],[homeScore]], Fixtures[[#This Row],[awayScore]], Fixtures[[#This Row],[homeScore]]))</f>
        <v>N/A</v>
      </c>
      <c r="AF561" s="58" t="b">
        <f>NOT(AND(ISBLANK(Fixtures[[#This Row],[homePens]]), ISBLANK(Fixtures[[#This Row],[awayPens]])))</f>
        <v>0</v>
      </c>
      <c r="AG561" s="58" t="str">
        <f>IF(Fixtures[[#This Row],[penalties]], IF(Fixtures[[#This Row],[userSide]]="H", Fixtures[[#This Row],[homePens]], Fixtures[[#This Row],[awayPens]]), "N/A")</f>
        <v>N/A</v>
      </c>
      <c r="AH561" s="58" t="str">
        <f>IF(Fixtures[[#This Row],[penalties]], IF(Fixtures[[#This Row],[userPens]]=Fixtures[[#This Row],[homePens]],Fixtures[[#This Row],[awayPens]],Fixtures[[#This Row],[homePens]]), "N/A")</f>
        <v>N/A</v>
      </c>
      <c r="AI561" s="58" t="b">
        <f>COUNTBLANK(Fixtures[[#This Row],[G]:[MOTM]]) = 0</f>
        <v>0</v>
      </c>
      <c r="AJ561" s="58" t="str">
        <f>IF(Fixtures[[#This Row],[APP]], Fixtures[[#This Row],[G]]+Fixtures[[#This Row],[A]], "N/A")</f>
        <v>N/A</v>
      </c>
      <c r="AK5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2" spans="1:39" ht="13">
      <c r="A562" s="55"/>
      <c r="B562" s="61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7"/>
      <c r="R562" s="56"/>
      <c r="S562" s="58" t="str" cm="1">
        <f t="array" ref="S562">_xlfn._xlws.FILTER(Competitions[compType], (Fixtures[[#This Row],[competition]] = Competitions[name]), "N/A")</f>
        <v>N/A</v>
      </c>
      <c r="T562" s="58" t="str" cm="1">
        <f t="array" ref="T562">_xlfn._xlws.FILTER(Competitions[exhibition], (Fixtures[[#This Row],[competition]] = Competitions[name]), "N/A")</f>
        <v>N/A</v>
      </c>
      <c r="U562" s="58" t="str" cm="1">
        <f t="array" ref="U562">_xlfn._xlws.FILTER(Competitions[compID], (Fixtures[[#This Row],[competition]] = Competitions[name]), "N/A")</f>
        <v>N/A</v>
      </c>
      <c r="V5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2" s="58" t="str" cm="1">
        <f t="array" ref="W5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2" s="58" t="str" cm="1">
        <f t="array" ref="X562">_xlfn._xlws.FILTER(Teams[name], (Fixtures[[#This Row],[userTeamID]] = Teams[teamID]), "N/A")</f>
        <v>N/A</v>
      </c>
      <c r="Y562" s="58" t="str" cm="1">
        <f t="array" ref="Y562">_xlfn._xlws.FILTER(Teams[teamType], (Fixtures[[#This Row],[userTeamID]] = Teams[teamID]), "N/A")</f>
        <v>N/A</v>
      </c>
      <c r="Z562" s="58" t="str" cm="1">
        <f t="array" ref="Z5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2" s="58" t="str">
        <f>IF(Fixtures[[#This Row],[userSide]] = "N/A", "N/A", IF(Fixtures[[#This Row],[userSide]] = "H", Fixtures[[#This Row],[awayTeam]], Fixtures[[#This Row],[homeTeam]]))</f>
        <v>N/A</v>
      </c>
      <c r="AB562" s="58" t="str" cm="1">
        <f t="array" ref="AB562">_xlfn._xlws.FILTER(Teams[teamID], Fixtures[[#This Row],[oppTeam]] = Teams[name], "N/A")</f>
        <v>N/A</v>
      </c>
      <c r="AC562" s="58" t="str" cm="1">
        <f t="array" ref="AC562">_xlfn._xlws.FILTER(Teams[teamType], Fixtures[[#This Row],[oppTeam]] = Teams[name], "N/A")</f>
        <v>N/A</v>
      </c>
      <c r="AD562" s="58" t="str">
        <f>IF(ISBLANK(Fixtures[[#This Row],[date]]), "N/A", IF(Fixtures[[#This Row],[userSide]]="H", Fixtures[[#This Row],[homeScore]], Fixtures[[#This Row],[awayScore]]))</f>
        <v>N/A</v>
      </c>
      <c r="AE562" s="58" t="str">
        <f>IF(ISBLANK(Fixtures[[#This Row],[date]]), "N/A", IF(Fixtures[[#This Row],[userScore]] = Fixtures[[#This Row],[homeScore]], Fixtures[[#This Row],[awayScore]], Fixtures[[#This Row],[homeScore]]))</f>
        <v>N/A</v>
      </c>
      <c r="AF562" s="58" t="b">
        <f>NOT(AND(ISBLANK(Fixtures[[#This Row],[homePens]]), ISBLANK(Fixtures[[#This Row],[awayPens]])))</f>
        <v>0</v>
      </c>
      <c r="AG562" s="58" t="str">
        <f>IF(Fixtures[[#This Row],[penalties]], IF(Fixtures[[#This Row],[userSide]]="H", Fixtures[[#This Row],[homePens]], Fixtures[[#This Row],[awayPens]]), "N/A")</f>
        <v>N/A</v>
      </c>
      <c r="AH562" s="58" t="str">
        <f>IF(Fixtures[[#This Row],[penalties]], IF(Fixtures[[#This Row],[userPens]]=Fixtures[[#This Row],[homePens]],Fixtures[[#This Row],[awayPens]],Fixtures[[#This Row],[homePens]]), "N/A")</f>
        <v>N/A</v>
      </c>
      <c r="AI562" s="58" t="b">
        <f>COUNTBLANK(Fixtures[[#This Row],[G]:[MOTM]]) = 0</f>
        <v>0</v>
      </c>
      <c r="AJ562" s="58" t="str">
        <f>IF(Fixtures[[#This Row],[APP]], Fixtures[[#This Row],[G]]+Fixtures[[#This Row],[A]], "N/A")</f>
        <v>N/A</v>
      </c>
      <c r="AK5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3" spans="1:39" ht="13">
      <c r="A563" s="55"/>
      <c r="B563" s="61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7"/>
      <c r="R563" s="56"/>
      <c r="S563" s="58" t="str" cm="1">
        <f t="array" ref="S563">_xlfn._xlws.FILTER(Competitions[compType], (Fixtures[[#This Row],[competition]] = Competitions[name]), "N/A")</f>
        <v>N/A</v>
      </c>
      <c r="T563" s="58" t="str" cm="1">
        <f t="array" ref="T563">_xlfn._xlws.FILTER(Competitions[exhibition], (Fixtures[[#This Row],[competition]] = Competitions[name]), "N/A")</f>
        <v>N/A</v>
      </c>
      <c r="U563" s="58" t="str" cm="1">
        <f t="array" ref="U563">_xlfn._xlws.FILTER(Competitions[compID], (Fixtures[[#This Row],[competition]] = Competitions[name]), "N/A")</f>
        <v>N/A</v>
      </c>
      <c r="V5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3" s="58" t="str" cm="1">
        <f t="array" ref="W5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3" s="58" t="str" cm="1">
        <f t="array" ref="X563">_xlfn._xlws.FILTER(Teams[name], (Fixtures[[#This Row],[userTeamID]] = Teams[teamID]), "N/A")</f>
        <v>N/A</v>
      </c>
      <c r="Y563" s="58" t="str" cm="1">
        <f t="array" ref="Y563">_xlfn._xlws.FILTER(Teams[teamType], (Fixtures[[#This Row],[userTeamID]] = Teams[teamID]), "N/A")</f>
        <v>N/A</v>
      </c>
      <c r="Z563" s="58" t="str" cm="1">
        <f t="array" ref="Z5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3" s="58" t="str">
        <f>IF(Fixtures[[#This Row],[userSide]] = "N/A", "N/A", IF(Fixtures[[#This Row],[userSide]] = "H", Fixtures[[#This Row],[awayTeam]], Fixtures[[#This Row],[homeTeam]]))</f>
        <v>N/A</v>
      </c>
      <c r="AB563" s="58" t="str" cm="1">
        <f t="array" ref="AB563">_xlfn._xlws.FILTER(Teams[teamID], Fixtures[[#This Row],[oppTeam]] = Teams[name], "N/A")</f>
        <v>N/A</v>
      </c>
      <c r="AC563" s="58" t="str" cm="1">
        <f t="array" ref="AC563">_xlfn._xlws.FILTER(Teams[teamType], Fixtures[[#This Row],[oppTeam]] = Teams[name], "N/A")</f>
        <v>N/A</v>
      </c>
      <c r="AD563" s="58" t="str">
        <f>IF(ISBLANK(Fixtures[[#This Row],[date]]), "N/A", IF(Fixtures[[#This Row],[userSide]]="H", Fixtures[[#This Row],[homeScore]], Fixtures[[#This Row],[awayScore]]))</f>
        <v>N/A</v>
      </c>
      <c r="AE563" s="58" t="str">
        <f>IF(ISBLANK(Fixtures[[#This Row],[date]]), "N/A", IF(Fixtures[[#This Row],[userScore]] = Fixtures[[#This Row],[homeScore]], Fixtures[[#This Row],[awayScore]], Fixtures[[#This Row],[homeScore]]))</f>
        <v>N/A</v>
      </c>
      <c r="AF563" s="58" t="b">
        <f>NOT(AND(ISBLANK(Fixtures[[#This Row],[homePens]]), ISBLANK(Fixtures[[#This Row],[awayPens]])))</f>
        <v>0</v>
      </c>
      <c r="AG563" s="58" t="str">
        <f>IF(Fixtures[[#This Row],[penalties]], IF(Fixtures[[#This Row],[userSide]]="H", Fixtures[[#This Row],[homePens]], Fixtures[[#This Row],[awayPens]]), "N/A")</f>
        <v>N/A</v>
      </c>
      <c r="AH563" s="58" t="str">
        <f>IF(Fixtures[[#This Row],[penalties]], IF(Fixtures[[#This Row],[userPens]]=Fixtures[[#This Row],[homePens]],Fixtures[[#This Row],[awayPens]],Fixtures[[#This Row],[homePens]]), "N/A")</f>
        <v>N/A</v>
      </c>
      <c r="AI563" s="58" t="b">
        <f>COUNTBLANK(Fixtures[[#This Row],[G]:[MOTM]]) = 0</f>
        <v>0</v>
      </c>
      <c r="AJ563" s="58" t="str">
        <f>IF(Fixtures[[#This Row],[APP]], Fixtures[[#This Row],[G]]+Fixtures[[#This Row],[A]], "N/A")</f>
        <v>N/A</v>
      </c>
      <c r="AK5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4" spans="1:39" ht="13">
      <c r="A564" s="55"/>
      <c r="B564" s="61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7"/>
      <c r="R564" s="56"/>
      <c r="S564" s="58" t="str" cm="1">
        <f t="array" ref="S564">_xlfn._xlws.FILTER(Competitions[compType], (Fixtures[[#This Row],[competition]] = Competitions[name]), "N/A")</f>
        <v>N/A</v>
      </c>
      <c r="T564" s="58" t="str" cm="1">
        <f t="array" ref="T564">_xlfn._xlws.FILTER(Competitions[exhibition], (Fixtures[[#This Row],[competition]] = Competitions[name]), "N/A")</f>
        <v>N/A</v>
      </c>
      <c r="U564" s="58" t="str" cm="1">
        <f t="array" ref="U564">_xlfn._xlws.FILTER(Competitions[compID], (Fixtures[[#This Row],[competition]] = Competitions[name]), "N/A")</f>
        <v>N/A</v>
      </c>
      <c r="V5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4" s="58" t="str" cm="1">
        <f t="array" ref="W5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4" s="58" t="str" cm="1">
        <f t="array" ref="X564">_xlfn._xlws.FILTER(Teams[name], (Fixtures[[#This Row],[userTeamID]] = Teams[teamID]), "N/A")</f>
        <v>N/A</v>
      </c>
      <c r="Y564" s="58" t="str" cm="1">
        <f t="array" ref="Y564">_xlfn._xlws.FILTER(Teams[teamType], (Fixtures[[#This Row],[userTeamID]] = Teams[teamID]), "N/A")</f>
        <v>N/A</v>
      </c>
      <c r="Z564" s="58" t="str" cm="1">
        <f t="array" ref="Z5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4" s="58" t="str">
        <f>IF(Fixtures[[#This Row],[userSide]] = "N/A", "N/A", IF(Fixtures[[#This Row],[userSide]] = "H", Fixtures[[#This Row],[awayTeam]], Fixtures[[#This Row],[homeTeam]]))</f>
        <v>N/A</v>
      </c>
      <c r="AB564" s="58" t="str" cm="1">
        <f t="array" ref="AB564">_xlfn._xlws.FILTER(Teams[teamID], Fixtures[[#This Row],[oppTeam]] = Teams[name], "N/A")</f>
        <v>N/A</v>
      </c>
      <c r="AC564" s="58" t="str" cm="1">
        <f t="array" ref="AC564">_xlfn._xlws.FILTER(Teams[teamType], Fixtures[[#This Row],[oppTeam]] = Teams[name], "N/A")</f>
        <v>N/A</v>
      </c>
      <c r="AD564" s="58" t="str">
        <f>IF(ISBLANK(Fixtures[[#This Row],[date]]), "N/A", IF(Fixtures[[#This Row],[userSide]]="H", Fixtures[[#This Row],[homeScore]], Fixtures[[#This Row],[awayScore]]))</f>
        <v>N/A</v>
      </c>
      <c r="AE564" s="58" t="str">
        <f>IF(ISBLANK(Fixtures[[#This Row],[date]]), "N/A", IF(Fixtures[[#This Row],[userScore]] = Fixtures[[#This Row],[homeScore]], Fixtures[[#This Row],[awayScore]], Fixtures[[#This Row],[homeScore]]))</f>
        <v>N/A</v>
      </c>
      <c r="AF564" s="58" t="b">
        <f>NOT(AND(ISBLANK(Fixtures[[#This Row],[homePens]]), ISBLANK(Fixtures[[#This Row],[awayPens]])))</f>
        <v>0</v>
      </c>
      <c r="AG564" s="58" t="str">
        <f>IF(Fixtures[[#This Row],[penalties]], IF(Fixtures[[#This Row],[userSide]]="H", Fixtures[[#This Row],[homePens]], Fixtures[[#This Row],[awayPens]]), "N/A")</f>
        <v>N/A</v>
      </c>
      <c r="AH564" s="58" t="str">
        <f>IF(Fixtures[[#This Row],[penalties]], IF(Fixtures[[#This Row],[userPens]]=Fixtures[[#This Row],[homePens]],Fixtures[[#This Row],[awayPens]],Fixtures[[#This Row],[homePens]]), "N/A")</f>
        <v>N/A</v>
      </c>
      <c r="AI564" s="58" t="b">
        <f>COUNTBLANK(Fixtures[[#This Row],[G]:[MOTM]]) = 0</f>
        <v>0</v>
      </c>
      <c r="AJ564" s="58" t="str">
        <f>IF(Fixtures[[#This Row],[APP]], Fixtures[[#This Row],[G]]+Fixtures[[#This Row],[A]], "N/A")</f>
        <v>N/A</v>
      </c>
      <c r="AK5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5" spans="1:39" ht="13">
      <c r="A565" s="55"/>
      <c r="B565" s="61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7"/>
      <c r="R565" s="56"/>
      <c r="S565" s="58" t="str" cm="1">
        <f t="array" ref="S565">_xlfn._xlws.FILTER(Competitions[compType], (Fixtures[[#This Row],[competition]] = Competitions[name]), "N/A")</f>
        <v>N/A</v>
      </c>
      <c r="T565" s="58" t="str" cm="1">
        <f t="array" ref="T565">_xlfn._xlws.FILTER(Competitions[exhibition], (Fixtures[[#This Row],[competition]] = Competitions[name]), "N/A")</f>
        <v>N/A</v>
      </c>
      <c r="U565" s="58" t="str" cm="1">
        <f t="array" ref="U565">_xlfn._xlws.FILTER(Competitions[compID], (Fixtures[[#This Row],[competition]] = Competitions[name]), "N/A")</f>
        <v>N/A</v>
      </c>
      <c r="V5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5" s="58" t="str" cm="1">
        <f t="array" ref="W5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5" s="58" t="str" cm="1">
        <f t="array" ref="X565">_xlfn._xlws.FILTER(Teams[name], (Fixtures[[#This Row],[userTeamID]] = Teams[teamID]), "N/A")</f>
        <v>N/A</v>
      </c>
      <c r="Y565" s="58" t="str" cm="1">
        <f t="array" ref="Y565">_xlfn._xlws.FILTER(Teams[teamType], (Fixtures[[#This Row],[userTeamID]] = Teams[teamID]), "N/A")</f>
        <v>N/A</v>
      </c>
      <c r="Z565" s="58" t="str" cm="1">
        <f t="array" ref="Z5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5" s="58" t="str">
        <f>IF(Fixtures[[#This Row],[userSide]] = "N/A", "N/A", IF(Fixtures[[#This Row],[userSide]] = "H", Fixtures[[#This Row],[awayTeam]], Fixtures[[#This Row],[homeTeam]]))</f>
        <v>N/A</v>
      </c>
      <c r="AB565" s="58" t="str" cm="1">
        <f t="array" ref="AB565">_xlfn._xlws.FILTER(Teams[teamID], Fixtures[[#This Row],[oppTeam]] = Teams[name], "N/A")</f>
        <v>N/A</v>
      </c>
      <c r="AC565" s="58" t="str" cm="1">
        <f t="array" ref="AC565">_xlfn._xlws.FILTER(Teams[teamType], Fixtures[[#This Row],[oppTeam]] = Teams[name], "N/A")</f>
        <v>N/A</v>
      </c>
      <c r="AD565" s="58" t="str">
        <f>IF(ISBLANK(Fixtures[[#This Row],[date]]), "N/A", IF(Fixtures[[#This Row],[userSide]]="H", Fixtures[[#This Row],[homeScore]], Fixtures[[#This Row],[awayScore]]))</f>
        <v>N/A</v>
      </c>
      <c r="AE565" s="58" t="str">
        <f>IF(ISBLANK(Fixtures[[#This Row],[date]]), "N/A", IF(Fixtures[[#This Row],[userScore]] = Fixtures[[#This Row],[homeScore]], Fixtures[[#This Row],[awayScore]], Fixtures[[#This Row],[homeScore]]))</f>
        <v>N/A</v>
      </c>
      <c r="AF565" s="58" t="b">
        <f>NOT(AND(ISBLANK(Fixtures[[#This Row],[homePens]]), ISBLANK(Fixtures[[#This Row],[awayPens]])))</f>
        <v>0</v>
      </c>
      <c r="AG565" s="58" t="str">
        <f>IF(Fixtures[[#This Row],[penalties]], IF(Fixtures[[#This Row],[userSide]]="H", Fixtures[[#This Row],[homePens]], Fixtures[[#This Row],[awayPens]]), "N/A")</f>
        <v>N/A</v>
      </c>
      <c r="AH565" s="58" t="str">
        <f>IF(Fixtures[[#This Row],[penalties]], IF(Fixtures[[#This Row],[userPens]]=Fixtures[[#This Row],[homePens]],Fixtures[[#This Row],[awayPens]],Fixtures[[#This Row],[homePens]]), "N/A")</f>
        <v>N/A</v>
      </c>
      <c r="AI565" s="58" t="b">
        <f>COUNTBLANK(Fixtures[[#This Row],[G]:[MOTM]]) = 0</f>
        <v>0</v>
      </c>
      <c r="AJ565" s="58" t="str">
        <f>IF(Fixtures[[#This Row],[APP]], Fixtures[[#This Row],[G]]+Fixtures[[#This Row],[A]], "N/A")</f>
        <v>N/A</v>
      </c>
      <c r="AK5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6" spans="1:39" ht="13">
      <c r="A566" s="55"/>
      <c r="B566" s="61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7"/>
      <c r="R566" s="56"/>
      <c r="S566" s="58" t="str" cm="1">
        <f t="array" ref="S566">_xlfn._xlws.FILTER(Competitions[compType], (Fixtures[[#This Row],[competition]] = Competitions[name]), "N/A")</f>
        <v>N/A</v>
      </c>
      <c r="T566" s="58" t="str" cm="1">
        <f t="array" ref="T566">_xlfn._xlws.FILTER(Competitions[exhibition], (Fixtures[[#This Row],[competition]] = Competitions[name]), "N/A")</f>
        <v>N/A</v>
      </c>
      <c r="U566" s="58" t="str" cm="1">
        <f t="array" ref="U566">_xlfn._xlws.FILTER(Competitions[compID], (Fixtures[[#This Row],[competition]] = Competitions[name]), "N/A")</f>
        <v>N/A</v>
      </c>
      <c r="V5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6" s="58" t="str" cm="1">
        <f t="array" ref="W5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6" s="58" t="str" cm="1">
        <f t="array" ref="X566">_xlfn._xlws.FILTER(Teams[name], (Fixtures[[#This Row],[userTeamID]] = Teams[teamID]), "N/A")</f>
        <v>N/A</v>
      </c>
      <c r="Y566" s="58" t="str" cm="1">
        <f t="array" ref="Y566">_xlfn._xlws.FILTER(Teams[teamType], (Fixtures[[#This Row],[userTeamID]] = Teams[teamID]), "N/A")</f>
        <v>N/A</v>
      </c>
      <c r="Z566" s="58" t="str" cm="1">
        <f t="array" ref="Z5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6" s="58" t="str">
        <f>IF(Fixtures[[#This Row],[userSide]] = "N/A", "N/A", IF(Fixtures[[#This Row],[userSide]] = "H", Fixtures[[#This Row],[awayTeam]], Fixtures[[#This Row],[homeTeam]]))</f>
        <v>N/A</v>
      </c>
      <c r="AB566" s="58" t="str" cm="1">
        <f t="array" ref="AB566">_xlfn._xlws.FILTER(Teams[teamID], Fixtures[[#This Row],[oppTeam]] = Teams[name], "N/A")</f>
        <v>N/A</v>
      </c>
      <c r="AC566" s="58" t="str" cm="1">
        <f t="array" ref="AC566">_xlfn._xlws.FILTER(Teams[teamType], Fixtures[[#This Row],[oppTeam]] = Teams[name], "N/A")</f>
        <v>N/A</v>
      </c>
      <c r="AD566" s="58" t="str">
        <f>IF(ISBLANK(Fixtures[[#This Row],[date]]), "N/A", IF(Fixtures[[#This Row],[userSide]]="H", Fixtures[[#This Row],[homeScore]], Fixtures[[#This Row],[awayScore]]))</f>
        <v>N/A</v>
      </c>
      <c r="AE566" s="58" t="str">
        <f>IF(ISBLANK(Fixtures[[#This Row],[date]]), "N/A", IF(Fixtures[[#This Row],[userScore]] = Fixtures[[#This Row],[homeScore]], Fixtures[[#This Row],[awayScore]], Fixtures[[#This Row],[homeScore]]))</f>
        <v>N/A</v>
      </c>
      <c r="AF566" s="58" t="b">
        <f>NOT(AND(ISBLANK(Fixtures[[#This Row],[homePens]]), ISBLANK(Fixtures[[#This Row],[awayPens]])))</f>
        <v>0</v>
      </c>
      <c r="AG566" s="58" t="str">
        <f>IF(Fixtures[[#This Row],[penalties]], IF(Fixtures[[#This Row],[userSide]]="H", Fixtures[[#This Row],[homePens]], Fixtures[[#This Row],[awayPens]]), "N/A")</f>
        <v>N/A</v>
      </c>
      <c r="AH566" s="58" t="str">
        <f>IF(Fixtures[[#This Row],[penalties]], IF(Fixtures[[#This Row],[userPens]]=Fixtures[[#This Row],[homePens]],Fixtures[[#This Row],[awayPens]],Fixtures[[#This Row],[homePens]]), "N/A")</f>
        <v>N/A</v>
      </c>
      <c r="AI566" s="58" t="b">
        <f>COUNTBLANK(Fixtures[[#This Row],[G]:[MOTM]]) = 0</f>
        <v>0</v>
      </c>
      <c r="AJ566" s="58" t="str">
        <f>IF(Fixtures[[#This Row],[APP]], Fixtures[[#This Row],[G]]+Fixtures[[#This Row],[A]], "N/A")</f>
        <v>N/A</v>
      </c>
      <c r="AK5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7" spans="1:39" ht="13">
      <c r="A567" s="55"/>
      <c r="B567" s="61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7"/>
      <c r="R567" s="56"/>
      <c r="S567" s="58" t="str" cm="1">
        <f t="array" ref="S567">_xlfn._xlws.FILTER(Competitions[compType], (Fixtures[[#This Row],[competition]] = Competitions[name]), "N/A")</f>
        <v>N/A</v>
      </c>
      <c r="T567" s="58" t="str" cm="1">
        <f t="array" ref="T567">_xlfn._xlws.FILTER(Competitions[exhibition], (Fixtures[[#This Row],[competition]] = Competitions[name]), "N/A")</f>
        <v>N/A</v>
      </c>
      <c r="U567" s="58" t="str" cm="1">
        <f t="array" ref="U567">_xlfn._xlws.FILTER(Competitions[compID], (Fixtures[[#This Row],[competition]] = Competitions[name]), "N/A")</f>
        <v>N/A</v>
      </c>
      <c r="V5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7" s="58" t="str" cm="1">
        <f t="array" ref="W5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7" s="58" t="str" cm="1">
        <f t="array" ref="X567">_xlfn._xlws.FILTER(Teams[name], (Fixtures[[#This Row],[userTeamID]] = Teams[teamID]), "N/A")</f>
        <v>N/A</v>
      </c>
      <c r="Y567" s="58" t="str" cm="1">
        <f t="array" ref="Y567">_xlfn._xlws.FILTER(Teams[teamType], (Fixtures[[#This Row],[userTeamID]] = Teams[teamID]), "N/A")</f>
        <v>N/A</v>
      </c>
      <c r="Z567" s="58" t="str" cm="1">
        <f t="array" ref="Z5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7" s="58" t="str">
        <f>IF(Fixtures[[#This Row],[userSide]] = "N/A", "N/A", IF(Fixtures[[#This Row],[userSide]] = "H", Fixtures[[#This Row],[awayTeam]], Fixtures[[#This Row],[homeTeam]]))</f>
        <v>N/A</v>
      </c>
      <c r="AB567" s="58" t="str" cm="1">
        <f t="array" ref="AB567">_xlfn._xlws.FILTER(Teams[teamID], Fixtures[[#This Row],[oppTeam]] = Teams[name], "N/A")</f>
        <v>N/A</v>
      </c>
      <c r="AC567" s="58" t="str" cm="1">
        <f t="array" ref="AC567">_xlfn._xlws.FILTER(Teams[teamType], Fixtures[[#This Row],[oppTeam]] = Teams[name], "N/A")</f>
        <v>N/A</v>
      </c>
      <c r="AD567" s="58" t="str">
        <f>IF(ISBLANK(Fixtures[[#This Row],[date]]), "N/A", IF(Fixtures[[#This Row],[userSide]]="H", Fixtures[[#This Row],[homeScore]], Fixtures[[#This Row],[awayScore]]))</f>
        <v>N/A</v>
      </c>
      <c r="AE567" s="58" t="str">
        <f>IF(ISBLANK(Fixtures[[#This Row],[date]]), "N/A", IF(Fixtures[[#This Row],[userScore]] = Fixtures[[#This Row],[homeScore]], Fixtures[[#This Row],[awayScore]], Fixtures[[#This Row],[homeScore]]))</f>
        <v>N/A</v>
      </c>
      <c r="AF567" s="58" t="b">
        <f>NOT(AND(ISBLANK(Fixtures[[#This Row],[homePens]]), ISBLANK(Fixtures[[#This Row],[awayPens]])))</f>
        <v>0</v>
      </c>
      <c r="AG567" s="58" t="str">
        <f>IF(Fixtures[[#This Row],[penalties]], IF(Fixtures[[#This Row],[userSide]]="H", Fixtures[[#This Row],[homePens]], Fixtures[[#This Row],[awayPens]]), "N/A")</f>
        <v>N/A</v>
      </c>
      <c r="AH567" s="58" t="str">
        <f>IF(Fixtures[[#This Row],[penalties]], IF(Fixtures[[#This Row],[userPens]]=Fixtures[[#This Row],[homePens]],Fixtures[[#This Row],[awayPens]],Fixtures[[#This Row],[homePens]]), "N/A")</f>
        <v>N/A</v>
      </c>
      <c r="AI567" s="58" t="b">
        <f>COUNTBLANK(Fixtures[[#This Row],[G]:[MOTM]]) = 0</f>
        <v>0</v>
      </c>
      <c r="AJ567" s="58" t="str">
        <f>IF(Fixtures[[#This Row],[APP]], Fixtures[[#This Row],[G]]+Fixtures[[#This Row],[A]], "N/A")</f>
        <v>N/A</v>
      </c>
      <c r="AK5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8" spans="1:39" ht="13">
      <c r="A568" s="55"/>
      <c r="B568" s="61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7"/>
      <c r="R568" s="56"/>
      <c r="S568" s="58" t="str" cm="1">
        <f t="array" ref="S568">_xlfn._xlws.FILTER(Competitions[compType], (Fixtures[[#This Row],[competition]] = Competitions[name]), "N/A")</f>
        <v>N/A</v>
      </c>
      <c r="T568" s="58" t="str" cm="1">
        <f t="array" ref="T568">_xlfn._xlws.FILTER(Competitions[exhibition], (Fixtures[[#This Row],[competition]] = Competitions[name]), "N/A")</f>
        <v>N/A</v>
      </c>
      <c r="U568" s="58" t="str" cm="1">
        <f t="array" ref="U568">_xlfn._xlws.FILTER(Competitions[compID], (Fixtures[[#This Row],[competition]] = Competitions[name]), "N/A")</f>
        <v>N/A</v>
      </c>
      <c r="V5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8" s="58" t="str" cm="1">
        <f t="array" ref="W5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8" s="58" t="str" cm="1">
        <f t="array" ref="X568">_xlfn._xlws.FILTER(Teams[name], (Fixtures[[#This Row],[userTeamID]] = Teams[teamID]), "N/A")</f>
        <v>N/A</v>
      </c>
      <c r="Y568" s="58" t="str" cm="1">
        <f t="array" ref="Y568">_xlfn._xlws.FILTER(Teams[teamType], (Fixtures[[#This Row],[userTeamID]] = Teams[teamID]), "N/A")</f>
        <v>N/A</v>
      </c>
      <c r="Z568" s="58" t="str" cm="1">
        <f t="array" ref="Z5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8" s="58" t="str">
        <f>IF(Fixtures[[#This Row],[userSide]] = "N/A", "N/A", IF(Fixtures[[#This Row],[userSide]] = "H", Fixtures[[#This Row],[awayTeam]], Fixtures[[#This Row],[homeTeam]]))</f>
        <v>N/A</v>
      </c>
      <c r="AB568" s="58" t="str" cm="1">
        <f t="array" ref="AB568">_xlfn._xlws.FILTER(Teams[teamID], Fixtures[[#This Row],[oppTeam]] = Teams[name], "N/A")</f>
        <v>N/A</v>
      </c>
      <c r="AC568" s="58" t="str" cm="1">
        <f t="array" ref="AC568">_xlfn._xlws.FILTER(Teams[teamType], Fixtures[[#This Row],[oppTeam]] = Teams[name], "N/A")</f>
        <v>N/A</v>
      </c>
      <c r="AD568" s="58" t="str">
        <f>IF(ISBLANK(Fixtures[[#This Row],[date]]), "N/A", IF(Fixtures[[#This Row],[userSide]]="H", Fixtures[[#This Row],[homeScore]], Fixtures[[#This Row],[awayScore]]))</f>
        <v>N/A</v>
      </c>
      <c r="AE568" s="58" t="str">
        <f>IF(ISBLANK(Fixtures[[#This Row],[date]]), "N/A", IF(Fixtures[[#This Row],[userScore]] = Fixtures[[#This Row],[homeScore]], Fixtures[[#This Row],[awayScore]], Fixtures[[#This Row],[homeScore]]))</f>
        <v>N/A</v>
      </c>
      <c r="AF568" s="58" t="b">
        <f>NOT(AND(ISBLANK(Fixtures[[#This Row],[homePens]]), ISBLANK(Fixtures[[#This Row],[awayPens]])))</f>
        <v>0</v>
      </c>
      <c r="AG568" s="58" t="str">
        <f>IF(Fixtures[[#This Row],[penalties]], IF(Fixtures[[#This Row],[userSide]]="H", Fixtures[[#This Row],[homePens]], Fixtures[[#This Row],[awayPens]]), "N/A")</f>
        <v>N/A</v>
      </c>
      <c r="AH568" s="58" t="str">
        <f>IF(Fixtures[[#This Row],[penalties]], IF(Fixtures[[#This Row],[userPens]]=Fixtures[[#This Row],[homePens]],Fixtures[[#This Row],[awayPens]],Fixtures[[#This Row],[homePens]]), "N/A")</f>
        <v>N/A</v>
      </c>
      <c r="AI568" s="58" t="b">
        <f>COUNTBLANK(Fixtures[[#This Row],[G]:[MOTM]]) = 0</f>
        <v>0</v>
      </c>
      <c r="AJ568" s="58" t="str">
        <f>IF(Fixtures[[#This Row],[APP]], Fixtures[[#This Row],[G]]+Fixtures[[#This Row],[A]], "N/A")</f>
        <v>N/A</v>
      </c>
      <c r="AK5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69" spans="1:39" ht="13">
      <c r="A569" s="55"/>
      <c r="B569" s="61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7"/>
      <c r="R569" s="56"/>
      <c r="S569" s="58" t="str" cm="1">
        <f t="array" ref="S569">_xlfn._xlws.FILTER(Competitions[compType], (Fixtures[[#This Row],[competition]] = Competitions[name]), "N/A")</f>
        <v>N/A</v>
      </c>
      <c r="T569" s="58" t="str" cm="1">
        <f t="array" ref="T569">_xlfn._xlws.FILTER(Competitions[exhibition], (Fixtures[[#This Row],[competition]] = Competitions[name]), "N/A")</f>
        <v>N/A</v>
      </c>
      <c r="U569" s="58" t="str" cm="1">
        <f t="array" ref="U569">_xlfn._xlws.FILTER(Competitions[compID], (Fixtures[[#This Row],[competition]] = Competitions[name]), "N/A")</f>
        <v>N/A</v>
      </c>
      <c r="V5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69" s="58" t="str" cm="1">
        <f t="array" ref="W5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69" s="58" t="str" cm="1">
        <f t="array" ref="X569">_xlfn._xlws.FILTER(Teams[name], (Fixtures[[#This Row],[userTeamID]] = Teams[teamID]), "N/A")</f>
        <v>N/A</v>
      </c>
      <c r="Y569" s="58" t="str" cm="1">
        <f t="array" ref="Y569">_xlfn._xlws.FILTER(Teams[teamType], (Fixtures[[#This Row],[userTeamID]] = Teams[teamID]), "N/A")</f>
        <v>N/A</v>
      </c>
      <c r="Z569" s="58" t="str" cm="1">
        <f t="array" ref="Z5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69" s="58" t="str">
        <f>IF(Fixtures[[#This Row],[userSide]] = "N/A", "N/A", IF(Fixtures[[#This Row],[userSide]] = "H", Fixtures[[#This Row],[awayTeam]], Fixtures[[#This Row],[homeTeam]]))</f>
        <v>N/A</v>
      </c>
      <c r="AB569" s="58" t="str" cm="1">
        <f t="array" ref="AB569">_xlfn._xlws.FILTER(Teams[teamID], Fixtures[[#This Row],[oppTeam]] = Teams[name], "N/A")</f>
        <v>N/A</v>
      </c>
      <c r="AC569" s="58" t="str" cm="1">
        <f t="array" ref="AC569">_xlfn._xlws.FILTER(Teams[teamType], Fixtures[[#This Row],[oppTeam]] = Teams[name], "N/A")</f>
        <v>N/A</v>
      </c>
      <c r="AD569" s="58" t="str">
        <f>IF(ISBLANK(Fixtures[[#This Row],[date]]), "N/A", IF(Fixtures[[#This Row],[userSide]]="H", Fixtures[[#This Row],[homeScore]], Fixtures[[#This Row],[awayScore]]))</f>
        <v>N/A</v>
      </c>
      <c r="AE569" s="58" t="str">
        <f>IF(ISBLANK(Fixtures[[#This Row],[date]]), "N/A", IF(Fixtures[[#This Row],[userScore]] = Fixtures[[#This Row],[homeScore]], Fixtures[[#This Row],[awayScore]], Fixtures[[#This Row],[homeScore]]))</f>
        <v>N/A</v>
      </c>
      <c r="AF569" s="58" t="b">
        <f>NOT(AND(ISBLANK(Fixtures[[#This Row],[homePens]]), ISBLANK(Fixtures[[#This Row],[awayPens]])))</f>
        <v>0</v>
      </c>
      <c r="AG569" s="58" t="str">
        <f>IF(Fixtures[[#This Row],[penalties]], IF(Fixtures[[#This Row],[userSide]]="H", Fixtures[[#This Row],[homePens]], Fixtures[[#This Row],[awayPens]]), "N/A")</f>
        <v>N/A</v>
      </c>
      <c r="AH569" s="58" t="str">
        <f>IF(Fixtures[[#This Row],[penalties]], IF(Fixtures[[#This Row],[userPens]]=Fixtures[[#This Row],[homePens]],Fixtures[[#This Row],[awayPens]],Fixtures[[#This Row],[homePens]]), "N/A")</f>
        <v>N/A</v>
      </c>
      <c r="AI569" s="58" t="b">
        <f>COUNTBLANK(Fixtures[[#This Row],[G]:[MOTM]]) = 0</f>
        <v>0</v>
      </c>
      <c r="AJ569" s="58" t="str">
        <f>IF(Fixtures[[#This Row],[APP]], Fixtures[[#This Row],[G]]+Fixtures[[#This Row],[A]], "N/A")</f>
        <v>N/A</v>
      </c>
      <c r="AK5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0" spans="1:39" ht="13">
      <c r="A570" s="55"/>
      <c r="B570" s="61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7"/>
      <c r="R570" s="56"/>
      <c r="S570" s="58" t="str" cm="1">
        <f t="array" ref="S570">_xlfn._xlws.FILTER(Competitions[compType], (Fixtures[[#This Row],[competition]] = Competitions[name]), "N/A")</f>
        <v>N/A</v>
      </c>
      <c r="T570" s="58" t="str" cm="1">
        <f t="array" ref="T570">_xlfn._xlws.FILTER(Competitions[exhibition], (Fixtures[[#This Row],[competition]] = Competitions[name]), "N/A")</f>
        <v>N/A</v>
      </c>
      <c r="U570" s="58" t="str" cm="1">
        <f t="array" ref="U570">_xlfn._xlws.FILTER(Competitions[compID], (Fixtures[[#This Row],[competition]] = Competitions[name]), "N/A")</f>
        <v>N/A</v>
      </c>
      <c r="V5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0" s="58" t="str" cm="1">
        <f t="array" ref="W5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0" s="58" t="str" cm="1">
        <f t="array" ref="X570">_xlfn._xlws.FILTER(Teams[name], (Fixtures[[#This Row],[userTeamID]] = Teams[teamID]), "N/A")</f>
        <v>N/A</v>
      </c>
      <c r="Y570" s="58" t="str" cm="1">
        <f t="array" ref="Y570">_xlfn._xlws.FILTER(Teams[teamType], (Fixtures[[#This Row],[userTeamID]] = Teams[teamID]), "N/A")</f>
        <v>N/A</v>
      </c>
      <c r="Z570" s="58" t="str" cm="1">
        <f t="array" ref="Z5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0" s="58" t="str">
        <f>IF(Fixtures[[#This Row],[userSide]] = "N/A", "N/A", IF(Fixtures[[#This Row],[userSide]] = "H", Fixtures[[#This Row],[awayTeam]], Fixtures[[#This Row],[homeTeam]]))</f>
        <v>N/A</v>
      </c>
      <c r="AB570" s="58" t="str" cm="1">
        <f t="array" ref="AB570">_xlfn._xlws.FILTER(Teams[teamID], Fixtures[[#This Row],[oppTeam]] = Teams[name], "N/A")</f>
        <v>N/A</v>
      </c>
      <c r="AC570" s="58" t="str" cm="1">
        <f t="array" ref="AC570">_xlfn._xlws.FILTER(Teams[teamType], Fixtures[[#This Row],[oppTeam]] = Teams[name], "N/A")</f>
        <v>N/A</v>
      </c>
      <c r="AD570" s="58" t="str">
        <f>IF(ISBLANK(Fixtures[[#This Row],[date]]), "N/A", IF(Fixtures[[#This Row],[userSide]]="H", Fixtures[[#This Row],[homeScore]], Fixtures[[#This Row],[awayScore]]))</f>
        <v>N/A</v>
      </c>
      <c r="AE570" s="58" t="str">
        <f>IF(ISBLANK(Fixtures[[#This Row],[date]]), "N/A", IF(Fixtures[[#This Row],[userScore]] = Fixtures[[#This Row],[homeScore]], Fixtures[[#This Row],[awayScore]], Fixtures[[#This Row],[homeScore]]))</f>
        <v>N/A</v>
      </c>
      <c r="AF570" s="58" t="b">
        <f>NOT(AND(ISBLANK(Fixtures[[#This Row],[homePens]]), ISBLANK(Fixtures[[#This Row],[awayPens]])))</f>
        <v>0</v>
      </c>
      <c r="AG570" s="58" t="str">
        <f>IF(Fixtures[[#This Row],[penalties]], IF(Fixtures[[#This Row],[userSide]]="H", Fixtures[[#This Row],[homePens]], Fixtures[[#This Row],[awayPens]]), "N/A")</f>
        <v>N/A</v>
      </c>
      <c r="AH570" s="58" t="str">
        <f>IF(Fixtures[[#This Row],[penalties]], IF(Fixtures[[#This Row],[userPens]]=Fixtures[[#This Row],[homePens]],Fixtures[[#This Row],[awayPens]],Fixtures[[#This Row],[homePens]]), "N/A")</f>
        <v>N/A</v>
      </c>
      <c r="AI570" s="58" t="b">
        <f>COUNTBLANK(Fixtures[[#This Row],[G]:[MOTM]]) = 0</f>
        <v>0</v>
      </c>
      <c r="AJ570" s="58" t="str">
        <f>IF(Fixtures[[#This Row],[APP]], Fixtures[[#This Row],[G]]+Fixtures[[#This Row],[A]], "N/A")</f>
        <v>N/A</v>
      </c>
      <c r="AK5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1" spans="1:39" ht="13">
      <c r="A571" s="55"/>
      <c r="B571" s="61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7"/>
      <c r="R571" s="56"/>
      <c r="S571" s="58" t="str" cm="1">
        <f t="array" ref="S571">_xlfn._xlws.FILTER(Competitions[compType], (Fixtures[[#This Row],[competition]] = Competitions[name]), "N/A")</f>
        <v>N/A</v>
      </c>
      <c r="T571" s="58" t="str" cm="1">
        <f t="array" ref="T571">_xlfn._xlws.FILTER(Competitions[exhibition], (Fixtures[[#This Row],[competition]] = Competitions[name]), "N/A")</f>
        <v>N/A</v>
      </c>
      <c r="U571" s="58" t="str" cm="1">
        <f t="array" ref="U571">_xlfn._xlws.FILTER(Competitions[compID], (Fixtures[[#This Row],[competition]] = Competitions[name]), "N/A")</f>
        <v>N/A</v>
      </c>
      <c r="V5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1" s="58" t="str" cm="1">
        <f t="array" ref="W5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1" s="58" t="str" cm="1">
        <f t="array" ref="X571">_xlfn._xlws.FILTER(Teams[name], (Fixtures[[#This Row],[userTeamID]] = Teams[teamID]), "N/A")</f>
        <v>N/A</v>
      </c>
      <c r="Y571" s="58" t="str" cm="1">
        <f t="array" ref="Y571">_xlfn._xlws.FILTER(Teams[teamType], (Fixtures[[#This Row],[userTeamID]] = Teams[teamID]), "N/A")</f>
        <v>N/A</v>
      </c>
      <c r="Z571" s="58" t="str" cm="1">
        <f t="array" ref="Z5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1" s="58" t="str">
        <f>IF(Fixtures[[#This Row],[userSide]] = "N/A", "N/A", IF(Fixtures[[#This Row],[userSide]] = "H", Fixtures[[#This Row],[awayTeam]], Fixtures[[#This Row],[homeTeam]]))</f>
        <v>N/A</v>
      </c>
      <c r="AB571" s="58" t="str" cm="1">
        <f t="array" ref="AB571">_xlfn._xlws.FILTER(Teams[teamID], Fixtures[[#This Row],[oppTeam]] = Teams[name], "N/A")</f>
        <v>N/A</v>
      </c>
      <c r="AC571" s="58" t="str" cm="1">
        <f t="array" ref="AC571">_xlfn._xlws.FILTER(Teams[teamType], Fixtures[[#This Row],[oppTeam]] = Teams[name], "N/A")</f>
        <v>N/A</v>
      </c>
      <c r="AD571" s="58" t="str">
        <f>IF(ISBLANK(Fixtures[[#This Row],[date]]), "N/A", IF(Fixtures[[#This Row],[userSide]]="H", Fixtures[[#This Row],[homeScore]], Fixtures[[#This Row],[awayScore]]))</f>
        <v>N/A</v>
      </c>
      <c r="AE571" s="58" t="str">
        <f>IF(ISBLANK(Fixtures[[#This Row],[date]]), "N/A", IF(Fixtures[[#This Row],[userScore]] = Fixtures[[#This Row],[homeScore]], Fixtures[[#This Row],[awayScore]], Fixtures[[#This Row],[homeScore]]))</f>
        <v>N/A</v>
      </c>
      <c r="AF571" s="58" t="b">
        <f>NOT(AND(ISBLANK(Fixtures[[#This Row],[homePens]]), ISBLANK(Fixtures[[#This Row],[awayPens]])))</f>
        <v>0</v>
      </c>
      <c r="AG571" s="58" t="str">
        <f>IF(Fixtures[[#This Row],[penalties]], IF(Fixtures[[#This Row],[userSide]]="H", Fixtures[[#This Row],[homePens]], Fixtures[[#This Row],[awayPens]]), "N/A")</f>
        <v>N/A</v>
      </c>
      <c r="AH571" s="58" t="str">
        <f>IF(Fixtures[[#This Row],[penalties]], IF(Fixtures[[#This Row],[userPens]]=Fixtures[[#This Row],[homePens]],Fixtures[[#This Row],[awayPens]],Fixtures[[#This Row],[homePens]]), "N/A")</f>
        <v>N/A</v>
      </c>
      <c r="AI571" s="58" t="b">
        <f>COUNTBLANK(Fixtures[[#This Row],[G]:[MOTM]]) = 0</f>
        <v>0</v>
      </c>
      <c r="AJ571" s="58" t="str">
        <f>IF(Fixtures[[#This Row],[APP]], Fixtures[[#This Row],[G]]+Fixtures[[#This Row],[A]], "N/A")</f>
        <v>N/A</v>
      </c>
      <c r="AK5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2" spans="1:39" ht="13">
      <c r="A572" s="55"/>
      <c r="B572" s="61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7"/>
      <c r="R572" s="56"/>
      <c r="S572" s="58" t="str" cm="1">
        <f t="array" ref="S572">_xlfn._xlws.FILTER(Competitions[compType], (Fixtures[[#This Row],[competition]] = Competitions[name]), "N/A")</f>
        <v>N/A</v>
      </c>
      <c r="T572" s="58" t="str" cm="1">
        <f t="array" ref="T572">_xlfn._xlws.FILTER(Competitions[exhibition], (Fixtures[[#This Row],[competition]] = Competitions[name]), "N/A")</f>
        <v>N/A</v>
      </c>
      <c r="U572" s="58" t="str" cm="1">
        <f t="array" ref="U572">_xlfn._xlws.FILTER(Competitions[compID], (Fixtures[[#This Row],[competition]] = Competitions[name]), "N/A")</f>
        <v>N/A</v>
      </c>
      <c r="V5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2" s="58" t="str" cm="1">
        <f t="array" ref="W5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2" s="58" t="str" cm="1">
        <f t="array" ref="X572">_xlfn._xlws.FILTER(Teams[name], (Fixtures[[#This Row],[userTeamID]] = Teams[teamID]), "N/A")</f>
        <v>N/A</v>
      </c>
      <c r="Y572" s="58" t="str" cm="1">
        <f t="array" ref="Y572">_xlfn._xlws.FILTER(Teams[teamType], (Fixtures[[#This Row],[userTeamID]] = Teams[teamID]), "N/A")</f>
        <v>N/A</v>
      </c>
      <c r="Z572" s="58" t="str" cm="1">
        <f t="array" ref="Z5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2" s="58" t="str">
        <f>IF(Fixtures[[#This Row],[userSide]] = "N/A", "N/A", IF(Fixtures[[#This Row],[userSide]] = "H", Fixtures[[#This Row],[awayTeam]], Fixtures[[#This Row],[homeTeam]]))</f>
        <v>N/A</v>
      </c>
      <c r="AB572" s="58" t="str" cm="1">
        <f t="array" ref="AB572">_xlfn._xlws.FILTER(Teams[teamID], Fixtures[[#This Row],[oppTeam]] = Teams[name], "N/A")</f>
        <v>N/A</v>
      </c>
      <c r="AC572" s="58" t="str" cm="1">
        <f t="array" ref="AC572">_xlfn._xlws.FILTER(Teams[teamType], Fixtures[[#This Row],[oppTeam]] = Teams[name], "N/A")</f>
        <v>N/A</v>
      </c>
      <c r="AD572" s="58" t="str">
        <f>IF(ISBLANK(Fixtures[[#This Row],[date]]), "N/A", IF(Fixtures[[#This Row],[userSide]]="H", Fixtures[[#This Row],[homeScore]], Fixtures[[#This Row],[awayScore]]))</f>
        <v>N/A</v>
      </c>
      <c r="AE572" s="58" t="str">
        <f>IF(ISBLANK(Fixtures[[#This Row],[date]]), "N/A", IF(Fixtures[[#This Row],[userScore]] = Fixtures[[#This Row],[homeScore]], Fixtures[[#This Row],[awayScore]], Fixtures[[#This Row],[homeScore]]))</f>
        <v>N/A</v>
      </c>
      <c r="AF572" s="58" t="b">
        <f>NOT(AND(ISBLANK(Fixtures[[#This Row],[homePens]]), ISBLANK(Fixtures[[#This Row],[awayPens]])))</f>
        <v>0</v>
      </c>
      <c r="AG572" s="58" t="str">
        <f>IF(Fixtures[[#This Row],[penalties]], IF(Fixtures[[#This Row],[userSide]]="H", Fixtures[[#This Row],[homePens]], Fixtures[[#This Row],[awayPens]]), "N/A")</f>
        <v>N/A</v>
      </c>
      <c r="AH572" s="58" t="str">
        <f>IF(Fixtures[[#This Row],[penalties]], IF(Fixtures[[#This Row],[userPens]]=Fixtures[[#This Row],[homePens]],Fixtures[[#This Row],[awayPens]],Fixtures[[#This Row],[homePens]]), "N/A")</f>
        <v>N/A</v>
      </c>
      <c r="AI572" s="58" t="b">
        <f>COUNTBLANK(Fixtures[[#This Row],[G]:[MOTM]]) = 0</f>
        <v>0</v>
      </c>
      <c r="AJ572" s="58" t="str">
        <f>IF(Fixtures[[#This Row],[APP]], Fixtures[[#This Row],[G]]+Fixtures[[#This Row],[A]], "N/A")</f>
        <v>N/A</v>
      </c>
      <c r="AK5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3" spans="1:39" ht="13">
      <c r="A573" s="55"/>
      <c r="B573" s="61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7"/>
      <c r="R573" s="56"/>
      <c r="S573" s="58" t="str" cm="1">
        <f t="array" ref="S573">_xlfn._xlws.FILTER(Competitions[compType], (Fixtures[[#This Row],[competition]] = Competitions[name]), "N/A")</f>
        <v>N/A</v>
      </c>
      <c r="T573" s="58" t="str" cm="1">
        <f t="array" ref="T573">_xlfn._xlws.FILTER(Competitions[exhibition], (Fixtures[[#This Row],[competition]] = Competitions[name]), "N/A")</f>
        <v>N/A</v>
      </c>
      <c r="U573" s="58" t="str" cm="1">
        <f t="array" ref="U573">_xlfn._xlws.FILTER(Competitions[compID], (Fixtures[[#This Row],[competition]] = Competitions[name]), "N/A")</f>
        <v>N/A</v>
      </c>
      <c r="V5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3" s="58" t="str" cm="1">
        <f t="array" ref="W5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3" s="58" t="str" cm="1">
        <f t="array" ref="X573">_xlfn._xlws.FILTER(Teams[name], (Fixtures[[#This Row],[userTeamID]] = Teams[teamID]), "N/A")</f>
        <v>N/A</v>
      </c>
      <c r="Y573" s="58" t="str" cm="1">
        <f t="array" ref="Y573">_xlfn._xlws.FILTER(Teams[teamType], (Fixtures[[#This Row],[userTeamID]] = Teams[teamID]), "N/A")</f>
        <v>N/A</v>
      </c>
      <c r="Z573" s="58" t="str" cm="1">
        <f t="array" ref="Z5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3" s="58" t="str">
        <f>IF(Fixtures[[#This Row],[userSide]] = "N/A", "N/A", IF(Fixtures[[#This Row],[userSide]] = "H", Fixtures[[#This Row],[awayTeam]], Fixtures[[#This Row],[homeTeam]]))</f>
        <v>N/A</v>
      </c>
      <c r="AB573" s="58" t="str" cm="1">
        <f t="array" ref="AB573">_xlfn._xlws.FILTER(Teams[teamID], Fixtures[[#This Row],[oppTeam]] = Teams[name], "N/A")</f>
        <v>N/A</v>
      </c>
      <c r="AC573" s="58" t="str" cm="1">
        <f t="array" ref="AC573">_xlfn._xlws.FILTER(Teams[teamType], Fixtures[[#This Row],[oppTeam]] = Teams[name], "N/A")</f>
        <v>N/A</v>
      </c>
      <c r="AD573" s="58" t="str">
        <f>IF(ISBLANK(Fixtures[[#This Row],[date]]), "N/A", IF(Fixtures[[#This Row],[userSide]]="H", Fixtures[[#This Row],[homeScore]], Fixtures[[#This Row],[awayScore]]))</f>
        <v>N/A</v>
      </c>
      <c r="AE573" s="58" t="str">
        <f>IF(ISBLANK(Fixtures[[#This Row],[date]]), "N/A", IF(Fixtures[[#This Row],[userScore]] = Fixtures[[#This Row],[homeScore]], Fixtures[[#This Row],[awayScore]], Fixtures[[#This Row],[homeScore]]))</f>
        <v>N/A</v>
      </c>
      <c r="AF573" s="58" t="b">
        <f>NOT(AND(ISBLANK(Fixtures[[#This Row],[homePens]]), ISBLANK(Fixtures[[#This Row],[awayPens]])))</f>
        <v>0</v>
      </c>
      <c r="AG573" s="58" t="str">
        <f>IF(Fixtures[[#This Row],[penalties]], IF(Fixtures[[#This Row],[userSide]]="H", Fixtures[[#This Row],[homePens]], Fixtures[[#This Row],[awayPens]]), "N/A")</f>
        <v>N/A</v>
      </c>
      <c r="AH573" s="58" t="str">
        <f>IF(Fixtures[[#This Row],[penalties]], IF(Fixtures[[#This Row],[userPens]]=Fixtures[[#This Row],[homePens]],Fixtures[[#This Row],[awayPens]],Fixtures[[#This Row],[homePens]]), "N/A")</f>
        <v>N/A</v>
      </c>
      <c r="AI573" s="58" t="b">
        <f>COUNTBLANK(Fixtures[[#This Row],[G]:[MOTM]]) = 0</f>
        <v>0</v>
      </c>
      <c r="AJ573" s="58" t="str">
        <f>IF(Fixtures[[#This Row],[APP]], Fixtures[[#This Row],[G]]+Fixtures[[#This Row],[A]], "N/A")</f>
        <v>N/A</v>
      </c>
      <c r="AK5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4" spans="1:39" ht="13">
      <c r="A574" s="55"/>
      <c r="B574" s="61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7"/>
      <c r="R574" s="56"/>
      <c r="S574" s="58" t="str" cm="1">
        <f t="array" ref="S574">_xlfn._xlws.FILTER(Competitions[compType], (Fixtures[[#This Row],[competition]] = Competitions[name]), "N/A")</f>
        <v>N/A</v>
      </c>
      <c r="T574" s="58" t="str" cm="1">
        <f t="array" ref="T574">_xlfn._xlws.FILTER(Competitions[exhibition], (Fixtures[[#This Row],[competition]] = Competitions[name]), "N/A")</f>
        <v>N/A</v>
      </c>
      <c r="U574" s="58" t="str" cm="1">
        <f t="array" ref="U574">_xlfn._xlws.FILTER(Competitions[compID], (Fixtures[[#This Row],[competition]] = Competitions[name]), "N/A")</f>
        <v>N/A</v>
      </c>
      <c r="V5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4" s="58" t="str" cm="1">
        <f t="array" ref="W5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4" s="58" t="str" cm="1">
        <f t="array" ref="X574">_xlfn._xlws.FILTER(Teams[name], (Fixtures[[#This Row],[userTeamID]] = Teams[teamID]), "N/A")</f>
        <v>N/A</v>
      </c>
      <c r="Y574" s="58" t="str" cm="1">
        <f t="array" ref="Y574">_xlfn._xlws.FILTER(Teams[teamType], (Fixtures[[#This Row],[userTeamID]] = Teams[teamID]), "N/A")</f>
        <v>N/A</v>
      </c>
      <c r="Z574" s="58" t="str" cm="1">
        <f t="array" ref="Z5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4" s="58" t="str">
        <f>IF(Fixtures[[#This Row],[userSide]] = "N/A", "N/A", IF(Fixtures[[#This Row],[userSide]] = "H", Fixtures[[#This Row],[awayTeam]], Fixtures[[#This Row],[homeTeam]]))</f>
        <v>N/A</v>
      </c>
      <c r="AB574" s="58" t="str" cm="1">
        <f t="array" ref="AB574">_xlfn._xlws.FILTER(Teams[teamID], Fixtures[[#This Row],[oppTeam]] = Teams[name], "N/A")</f>
        <v>N/A</v>
      </c>
      <c r="AC574" s="58" t="str" cm="1">
        <f t="array" ref="AC574">_xlfn._xlws.FILTER(Teams[teamType], Fixtures[[#This Row],[oppTeam]] = Teams[name], "N/A")</f>
        <v>N/A</v>
      </c>
      <c r="AD574" s="58" t="str">
        <f>IF(ISBLANK(Fixtures[[#This Row],[date]]), "N/A", IF(Fixtures[[#This Row],[userSide]]="H", Fixtures[[#This Row],[homeScore]], Fixtures[[#This Row],[awayScore]]))</f>
        <v>N/A</v>
      </c>
      <c r="AE574" s="58" t="str">
        <f>IF(ISBLANK(Fixtures[[#This Row],[date]]), "N/A", IF(Fixtures[[#This Row],[userScore]] = Fixtures[[#This Row],[homeScore]], Fixtures[[#This Row],[awayScore]], Fixtures[[#This Row],[homeScore]]))</f>
        <v>N/A</v>
      </c>
      <c r="AF574" s="58" t="b">
        <f>NOT(AND(ISBLANK(Fixtures[[#This Row],[homePens]]), ISBLANK(Fixtures[[#This Row],[awayPens]])))</f>
        <v>0</v>
      </c>
      <c r="AG574" s="58" t="str">
        <f>IF(Fixtures[[#This Row],[penalties]], IF(Fixtures[[#This Row],[userSide]]="H", Fixtures[[#This Row],[homePens]], Fixtures[[#This Row],[awayPens]]), "N/A")</f>
        <v>N/A</v>
      </c>
      <c r="AH574" s="58" t="str">
        <f>IF(Fixtures[[#This Row],[penalties]], IF(Fixtures[[#This Row],[userPens]]=Fixtures[[#This Row],[homePens]],Fixtures[[#This Row],[awayPens]],Fixtures[[#This Row],[homePens]]), "N/A")</f>
        <v>N/A</v>
      </c>
      <c r="AI574" s="58" t="b">
        <f>COUNTBLANK(Fixtures[[#This Row],[G]:[MOTM]]) = 0</f>
        <v>0</v>
      </c>
      <c r="AJ574" s="58" t="str">
        <f>IF(Fixtures[[#This Row],[APP]], Fixtures[[#This Row],[G]]+Fixtures[[#This Row],[A]], "N/A")</f>
        <v>N/A</v>
      </c>
      <c r="AK5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5" spans="1:39" ht="13">
      <c r="A575" s="55"/>
      <c r="B575" s="61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7"/>
      <c r="R575" s="56"/>
      <c r="S575" s="58" t="str" cm="1">
        <f t="array" ref="S575">_xlfn._xlws.FILTER(Competitions[compType], (Fixtures[[#This Row],[competition]] = Competitions[name]), "N/A")</f>
        <v>N/A</v>
      </c>
      <c r="T575" s="58" t="str" cm="1">
        <f t="array" ref="T575">_xlfn._xlws.FILTER(Competitions[exhibition], (Fixtures[[#This Row],[competition]] = Competitions[name]), "N/A")</f>
        <v>N/A</v>
      </c>
      <c r="U575" s="58" t="str" cm="1">
        <f t="array" ref="U575">_xlfn._xlws.FILTER(Competitions[compID], (Fixtures[[#This Row],[competition]] = Competitions[name]), "N/A")</f>
        <v>N/A</v>
      </c>
      <c r="V5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5" s="58" t="str" cm="1">
        <f t="array" ref="W5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5" s="58" t="str" cm="1">
        <f t="array" ref="X575">_xlfn._xlws.FILTER(Teams[name], (Fixtures[[#This Row],[userTeamID]] = Teams[teamID]), "N/A")</f>
        <v>N/A</v>
      </c>
      <c r="Y575" s="58" t="str" cm="1">
        <f t="array" ref="Y575">_xlfn._xlws.FILTER(Teams[teamType], (Fixtures[[#This Row],[userTeamID]] = Teams[teamID]), "N/A")</f>
        <v>N/A</v>
      </c>
      <c r="Z575" s="58" t="str" cm="1">
        <f t="array" ref="Z5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5" s="58" t="str">
        <f>IF(Fixtures[[#This Row],[userSide]] = "N/A", "N/A", IF(Fixtures[[#This Row],[userSide]] = "H", Fixtures[[#This Row],[awayTeam]], Fixtures[[#This Row],[homeTeam]]))</f>
        <v>N/A</v>
      </c>
      <c r="AB575" s="58" t="str" cm="1">
        <f t="array" ref="AB575">_xlfn._xlws.FILTER(Teams[teamID], Fixtures[[#This Row],[oppTeam]] = Teams[name], "N/A")</f>
        <v>N/A</v>
      </c>
      <c r="AC575" s="58" t="str" cm="1">
        <f t="array" ref="AC575">_xlfn._xlws.FILTER(Teams[teamType], Fixtures[[#This Row],[oppTeam]] = Teams[name], "N/A")</f>
        <v>N/A</v>
      </c>
      <c r="AD575" s="58" t="str">
        <f>IF(ISBLANK(Fixtures[[#This Row],[date]]), "N/A", IF(Fixtures[[#This Row],[userSide]]="H", Fixtures[[#This Row],[homeScore]], Fixtures[[#This Row],[awayScore]]))</f>
        <v>N/A</v>
      </c>
      <c r="AE575" s="58" t="str">
        <f>IF(ISBLANK(Fixtures[[#This Row],[date]]), "N/A", IF(Fixtures[[#This Row],[userScore]] = Fixtures[[#This Row],[homeScore]], Fixtures[[#This Row],[awayScore]], Fixtures[[#This Row],[homeScore]]))</f>
        <v>N/A</v>
      </c>
      <c r="AF575" s="58" t="b">
        <f>NOT(AND(ISBLANK(Fixtures[[#This Row],[homePens]]), ISBLANK(Fixtures[[#This Row],[awayPens]])))</f>
        <v>0</v>
      </c>
      <c r="AG575" s="58" t="str">
        <f>IF(Fixtures[[#This Row],[penalties]], IF(Fixtures[[#This Row],[userSide]]="H", Fixtures[[#This Row],[homePens]], Fixtures[[#This Row],[awayPens]]), "N/A")</f>
        <v>N/A</v>
      </c>
      <c r="AH575" s="58" t="str">
        <f>IF(Fixtures[[#This Row],[penalties]], IF(Fixtures[[#This Row],[userPens]]=Fixtures[[#This Row],[homePens]],Fixtures[[#This Row],[awayPens]],Fixtures[[#This Row],[homePens]]), "N/A")</f>
        <v>N/A</v>
      </c>
      <c r="AI575" s="58" t="b">
        <f>COUNTBLANK(Fixtures[[#This Row],[G]:[MOTM]]) = 0</f>
        <v>0</v>
      </c>
      <c r="AJ575" s="58" t="str">
        <f>IF(Fixtures[[#This Row],[APP]], Fixtures[[#This Row],[G]]+Fixtures[[#This Row],[A]], "N/A")</f>
        <v>N/A</v>
      </c>
      <c r="AK5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6" spans="1:39" ht="13">
      <c r="A576" s="55"/>
      <c r="B576" s="61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7"/>
      <c r="R576" s="56"/>
      <c r="S576" s="58" t="str" cm="1">
        <f t="array" ref="S576">_xlfn._xlws.FILTER(Competitions[compType], (Fixtures[[#This Row],[competition]] = Competitions[name]), "N/A")</f>
        <v>N/A</v>
      </c>
      <c r="T576" s="58" t="str" cm="1">
        <f t="array" ref="T576">_xlfn._xlws.FILTER(Competitions[exhibition], (Fixtures[[#This Row],[competition]] = Competitions[name]), "N/A")</f>
        <v>N/A</v>
      </c>
      <c r="U576" s="58" t="str" cm="1">
        <f t="array" ref="U576">_xlfn._xlws.FILTER(Competitions[compID], (Fixtures[[#This Row],[competition]] = Competitions[name]), "N/A")</f>
        <v>N/A</v>
      </c>
      <c r="V5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6" s="58" t="str" cm="1">
        <f t="array" ref="W5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6" s="58" t="str" cm="1">
        <f t="array" ref="X576">_xlfn._xlws.FILTER(Teams[name], (Fixtures[[#This Row],[userTeamID]] = Teams[teamID]), "N/A")</f>
        <v>N/A</v>
      </c>
      <c r="Y576" s="58" t="str" cm="1">
        <f t="array" ref="Y576">_xlfn._xlws.FILTER(Teams[teamType], (Fixtures[[#This Row],[userTeamID]] = Teams[teamID]), "N/A")</f>
        <v>N/A</v>
      </c>
      <c r="Z576" s="58" t="str" cm="1">
        <f t="array" ref="Z5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6" s="58" t="str">
        <f>IF(Fixtures[[#This Row],[userSide]] = "N/A", "N/A", IF(Fixtures[[#This Row],[userSide]] = "H", Fixtures[[#This Row],[awayTeam]], Fixtures[[#This Row],[homeTeam]]))</f>
        <v>N/A</v>
      </c>
      <c r="AB576" s="58" t="str" cm="1">
        <f t="array" ref="AB576">_xlfn._xlws.FILTER(Teams[teamID], Fixtures[[#This Row],[oppTeam]] = Teams[name], "N/A")</f>
        <v>N/A</v>
      </c>
      <c r="AC576" s="58" t="str" cm="1">
        <f t="array" ref="AC576">_xlfn._xlws.FILTER(Teams[teamType], Fixtures[[#This Row],[oppTeam]] = Teams[name], "N/A")</f>
        <v>N/A</v>
      </c>
      <c r="AD576" s="58" t="str">
        <f>IF(ISBLANK(Fixtures[[#This Row],[date]]), "N/A", IF(Fixtures[[#This Row],[userSide]]="H", Fixtures[[#This Row],[homeScore]], Fixtures[[#This Row],[awayScore]]))</f>
        <v>N/A</v>
      </c>
      <c r="AE576" s="58" t="str">
        <f>IF(ISBLANK(Fixtures[[#This Row],[date]]), "N/A", IF(Fixtures[[#This Row],[userScore]] = Fixtures[[#This Row],[homeScore]], Fixtures[[#This Row],[awayScore]], Fixtures[[#This Row],[homeScore]]))</f>
        <v>N/A</v>
      </c>
      <c r="AF576" s="58" t="b">
        <f>NOT(AND(ISBLANK(Fixtures[[#This Row],[homePens]]), ISBLANK(Fixtures[[#This Row],[awayPens]])))</f>
        <v>0</v>
      </c>
      <c r="AG576" s="58" t="str">
        <f>IF(Fixtures[[#This Row],[penalties]], IF(Fixtures[[#This Row],[userSide]]="H", Fixtures[[#This Row],[homePens]], Fixtures[[#This Row],[awayPens]]), "N/A")</f>
        <v>N/A</v>
      </c>
      <c r="AH576" s="58" t="str">
        <f>IF(Fixtures[[#This Row],[penalties]], IF(Fixtures[[#This Row],[userPens]]=Fixtures[[#This Row],[homePens]],Fixtures[[#This Row],[awayPens]],Fixtures[[#This Row],[homePens]]), "N/A")</f>
        <v>N/A</v>
      </c>
      <c r="AI576" s="58" t="b">
        <f>COUNTBLANK(Fixtures[[#This Row],[G]:[MOTM]]) = 0</f>
        <v>0</v>
      </c>
      <c r="AJ576" s="58" t="str">
        <f>IF(Fixtures[[#This Row],[APP]], Fixtures[[#This Row],[G]]+Fixtures[[#This Row],[A]], "N/A")</f>
        <v>N/A</v>
      </c>
      <c r="AK5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7" spans="1:39" ht="13">
      <c r="A577" s="55"/>
      <c r="B577" s="61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7"/>
      <c r="R577" s="56"/>
      <c r="S577" s="58" t="str" cm="1">
        <f t="array" ref="S577">_xlfn._xlws.FILTER(Competitions[compType], (Fixtures[[#This Row],[competition]] = Competitions[name]), "N/A")</f>
        <v>N/A</v>
      </c>
      <c r="T577" s="58" t="str" cm="1">
        <f t="array" ref="T577">_xlfn._xlws.FILTER(Competitions[exhibition], (Fixtures[[#This Row],[competition]] = Competitions[name]), "N/A")</f>
        <v>N/A</v>
      </c>
      <c r="U577" s="58" t="str" cm="1">
        <f t="array" ref="U577">_xlfn._xlws.FILTER(Competitions[compID], (Fixtures[[#This Row],[competition]] = Competitions[name]), "N/A")</f>
        <v>N/A</v>
      </c>
      <c r="V5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7" s="58" t="str" cm="1">
        <f t="array" ref="W5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7" s="58" t="str" cm="1">
        <f t="array" ref="X577">_xlfn._xlws.FILTER(Teams[name], (Fixtures[[#This Row],[userTeamID]] = Teams[teamID]), "N/A")</f>
        <v>N/A</v>
      </c>
      <c r="Y577" s="58" t="str" cm="1">
        <f t="array" ref="Y577">_xlfn._xlws.FILTER(Teams[teamType], (Fixtures[[#This Row],[userTeamID]] = Teams[teamID]), "N/A")</f>
        <v>N/A</v>
      </c>
      <c r="Z577" s="58" t="str" cm="1">
        <f t="array" ref="Z5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7" s="58" t="str">
        <f>IF(Fixtures[[#This Row],[userSide]] = "N/A", "N/A", IF(Fixtures[[#This Row],[userSide]] = "H", Fixtures[[#This Row],[awayTeam]], Fixtures[[#This Row],[homeTeam]]))</f>
        <v>N/A</v>
      </c>
      <c r="AB577" s="58" t="str" cm="1">
        <f t="array" ref="AB577">_xlfn._xlws.FILTER(Teams[teamID], Fixtures[[#This Row],[oppTeam]] = Teams[name], "N/A")</f>
        <v>N/A</v>
      </c>
      <c r="AC577" s="58" t="str" cm="1">
        <f t="array" ref="AC577">_xlfn._xlws.FILTER(Teams[teamType], Fixtures[[#This Row],[oppTeam]] = Teams[name], "N/A")</f>
        <v>N/A</v>
      </c>
      <c r="AD577" s="58" t="str">
        <f>IF(ISBLANK(Fixtures[[#This Row],[date]]), "N/A", IF(Fixtures[[#This Row],[userSide]]="H", Fixtures[[#This Row],[homeScore]], Fixtures[[#This Row],[awayScore]]))</f>
        <v>N/A</v>
      </c>
      <c r="AE577" s="58" t="str">
        <f>IF(ISBLANK(Fixtures[[#This Row],[date]]), "N/A", IF(Fixtures[[#This Row],[userScore]] = Fixtures[[#This Row],[homeScore]], Fixtures[[#This Row],[awayScore]], Fixtures[[#This Row],[homeScore]]))</f>
        <v>N/A</v>
      </c>
      <c r="AF577" s="58" t="b">
        <f>NOT(AND(ISBLANK(Fixtures[[#This Row],[homePens]]), ISBLANK(Fixtures[[#This Row],[awayPens]])))</f>
        <v>0</v>
      </c>
      <c r="AG577" s="58" t="str">
        <f>IF(Fixtures[[#This Row],[penalties]], IF(Fixtures[[#This Row],[userSide]]="H", Fixtures[[#This Row],[homePens]], Fixtures[[#This Row],[awayPens]]), "N/A")</f>
        <v>N/A</v>
      </c>
      <c r="AH577" s="58" t="str">
        <f>IF(Fixtures[[#This Row],[penalties]], IF(Fixtures[[#This Row],[userPens]]=Fixtures[[#This Row],[homePens]],Fixtures[[#This Row],[awayPens]],Fixtures[[#This Row],[homePens]]), "N/A")</f>
        <v>N/A</v>
      </c>
      <c r="AI577" s="58" t="b">
        <f>COUNTBLANK(Fixtures[[#This Row],[G]:[MOTM]]) = 0</f>
        <v>0</v>
      </c>
      <c r="AJ577" s="58" t="str">
        <f>IF(Fixtures[[#This Row],[APP]], Fixtures[[#This Row],[G]]+Fixtures[[#This Row],[A]], "N/A")</f>
        <v>N/A</v>
      </c>
      <c r="AK5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8" spans="1:39" ht="13">
      <c r="A578" s="55"/>
      <c r="B578" s="61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7"/>
      <c r="R578" s="56"/>
      <c r="S578" s="58" t="str" cm="1">
        <f t="array" ref="S578">_xlfn._xlws.FILTER(Competitions[compType], (Fixtures[[#This Row],[competition]] = Competitions[name]), "N/A")</f>
        <v>N/A</v>
      </c>
      <c r="T578" s="58" t="str" cm="1">
        <f t="array" ref="T578">_xlfn._xlws.FILTER(Competitions[exhibition], (Fixtures[[#This Row],[competition]] = Competitions[name]), "N/A")</f>
        <v>N/A</v>
      </c>
      <c r="U578" s="58" t="str" cm="1">
        <f t="array" ref="U578">_xlfn._xlws.FILTER(Competitions[compID], (Fixtures[[#This Row],[competition]] = Competitions[name]), "N/A")</f>
        <v>N/A</v>
      </c>
      <c r="V5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8" s="58" t="str" cm="1">
        <f t="array" ref="W5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8" s="58" t="str" cm="1">
        <f t="array" ref="X578">_xlfn._xlws.FILTER(Teams[name], (Fixtures[[#This Row],[userTeamID]] = Teams[teamID]), "N/A")</f>
        <v>N/A</v>
      </c>
      <c r="Y578" s="58" t="str" cm="1">
        <f t="array" ref="Y578">_xlfn._xlws.FILTER(Teams[teamType], (Fixtures[[#This Row],[userTeamID]] = Teams[teamID]), "N/A")</f>
        <v>N/A</v>
      </c>
      <c r="Z578" s="58" t="str" cm="1">
        <f t="array" ref="Z5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8" s="58" t="str">
        <f>IF(Fixtures[[#This Row],[userSide]] = "N/A", "N/A", IF(Fixtures[[#This Row],[userSide]] = "H", Fixtures[[#This Row],[awayTeam]], Fixtures[[#This Row],[homeTeam]]))</f>
        <v>N/A</v>
      </c>
      <c r="AB578" s="58" t="str" cm="1">
        <f t="array" ref="AB578">_xlfn._xlws.FILTER(Teams[teamID], Fixtures[[#This Row],[oppTeam]] = Teams[name], "N/A")</f>
        <v>N/A</v>
      </c>
      <c r="AC578" s="58" t="str" cm="1">
        <f t="array" ref="AC578">_xlfn._xlws.FILTER(Teams[teamType], Fixtures[[#This Row],[oppTeam]] = Teams[name], "N/A")</f>
        <v>N/A</v>
      </c>
      <c r="AD578" s="58" t="str">
        <f>IF(ISBLANK(Fixtures[[#This Row],[date]]), "N/A", IF(Fixtures[[#This Row],[userSide]]="H", Fixtures[[#This Row],[homeScore]], Fixtures[[#This Row],[awayScore]]))</f>
        <v>N/A</v>
      </c>
      <c r="AE578" s="58" t="str">
        <f>IF(ISBLANK(Fixtures[[#This Row],[date]]), "N/A", IF(Fixtures[[#This Row],[userScore]] = Fixtures[[#This Row],[homeScore]], Fixtures[[#This Row],[awayScore]], Fixtures[[#This Row],[homeScore]]))</f>
        <v>N/A</v>
      </c>
      <c r="AF578" s="58" t="b">
        <f>NOT(AND(ISBLANK(Fixtures[[#This Row],[homePens]]), ISBLANK(Fixtures[[#This Row],[awayPens]])))</f>
        <v>0</v>
      </c>
      <c r="AG578" s="58" t="str">
        <f>IF(Fixtures[[#This Row],[penalties]], IF(Fixtures[[#This Row],[userSide]]="H", Fixtures[[#This Row],[homePens]], Fixtures[[#This Row],[awayPens]]), "N/A")</f>
        <v>N/A</v>
      </c>
      <c r="AH578" s="58" t="str">
        <f>IF(Fixtures[[#This Row],[penalties]], IF(Fixtures[[#This Row],[userPens]]=Fixtures[[#This Row],[homePens]],Fixtures[[#This Row],[awayPens]],Fixtures[[#This Row],[homePens]]), "N/A")</f>
        <v>N/A</v>
      </c>
      <c r="AI578" s="58" t="b">
        <f>COUNTBLANK(Fixtures[[#This Row],[G]:[MOTM]]) = 0</f>
        <v>0</v>
      </c>
      <c r="AJ578" s="58" t="str">
        <f>IF(Fixtures[[#This Row],[APP]], Fixtures[[#This Row],[G]]+Fixtures[[#This Row],[A]], "N/A")</f>
        <v>N/A</v>
      </c>
      <c r="AK5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79" spans="1:39" ht="13">
      <c r="A579" s="55"/>
      <c r="B579" s="61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7"/>
      <c r="R579" s="56"/>
      <c r="S579" s="58" t="str" cm="1">
        <f t="array" ref="S579">_xlfn._xlws.FILTER(Competitions[compType], (Fixtures[[#This Row],[competition]] = Competitions[name]), "N/A")</f>
        <v>N/A</v>
      </c>
      <c r="T579" s="58" t="str" cm="1">
        <f t="array" ref="T579">_xlfn._xlws.FILTER(Competitions[exhibition], (Fixtures[[#This Row],[competition]] = Competitions[name]), "N/A")</f>
        <v>N/A</v>
      </c>
      <c r="U579" s="58" t="str" cm="1">
        <f t="array" ref="U579">_xlfn._xlws.FILTER(Competitions[compID], (Fixtures[[#This Row],[competition]] = Competitions[name]), "N/A")</f>
        <v>N/A</v>
      </c>
      <c r="V5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79" s="58" t="str" cm="1">
        <f t="array" ref="W5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79" s="58" t="str" cm="1">
        <f t="array" ref="X579">_xlfn._xlws.FILTER(Teams[name], (Fixtures[[#This Row],[userTeamID]] = Teams[teamID]), "N/A")</f>
        <v>N/A</v>
      </c>
      <c r="Y579" s="58" t="str" cm="1">
        <f t="array" ref="Y579">_xlfn._xlws.FILTER(Teams[teamType], (Fixtures[[#This Row],[userTeamID]] = Teams[teamID]), "N/A")</f>
        <v>N/A</v>
      </c>
      <c r="Z579" s="58" t="str" cm="1">
        <f t="array" ref="Z5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79" s="58" t="str">
        <f>IF(Fixtures[[#This Row],[userSide]] = "N/A", "N/A", IF(Fixtures[[#This Row],[userSide]] = "H", Fixtures[[#This Row],[awayTeam]], Fixtures[[#This Row],[homeTeam]]))</f>
        <v>N/A</v>
      </c>
      <c r="AB579" s="58" t="str" cm="1">
        <f t="array" ref="AB579">_xlfn._xlws.FILTER(Teams[teamID], Fixtures[[#This Row],[oppTeam]] = Teams[name], "N/A")</f>
        <v>N/A</v>
      </c>
      <c r="AC579" s="58" t="str" cm="1">
        <f t="array" ref="AC579">_xlfn._xlws.FILTER(Teams[teamType], Fixtures[[#This Row],[oppTeam]] = Teams[name], "N/A")</f>
        <v>N/A</v>
      </c>
      <c r="AD579" s="58" t="str">
        <f>IF(ISBLANK(Fixtures[[#This Row],[date]]), "N/A", IF(Fixtures[[#This Row],[userSide]]="H", Fixtures[[#This Row],[homeScore]], Fixtures[[#This Row],[awayScore]]))</f>
        <v>N/A</v>
      </c>
      <c r="AE579" s="58" t="str">
        <f>IF(ISBLANK(Fixtures[[#This Row],[date]]), "N/A", IF(Fixtures[[#This Row],[userScore]] = Fixtures[[#This Row],[homeScore]], Fixtures[[#This Row],[awayScore]], Fixtures[[#This Row],[homeScore]]))</f>
        <v>N/A</v>
      </c>
      <c r="AF579" s="58" t="b">
        <f>NOT(AND(ISBLANK(Fixtures[[#This Row],[homePens]]), ISBLANK(Fixtures[[#This Row],[awayPens]])))</f>
        <v>0</v>
      </c>
      <c r="AG579" s="58" t="str">
        <f>IF(Fixtures[[#This Row],[penalties]], IF(Fixtures[[#This Row],[userSide]]="H", Fixtures[[#This Row],[homePens]], Fixtures[[#This Row],[awayPens]]), "N/A")</f>
        <v>N/A</v>
      </c>
      <c r="AH579" s="58" t="str">
        <f>IF(Fixtures[[#This Row],[penalties]], IF(Fixtures[[#This Row],[userPens]]=Fixtures[[#This Row],[homePens]],Fixtures[[#This Row],[awayPens]],Fixtures[[#This Row],[homePens]]), "N/A")</f>
        <v>N/A</v>
      </c>
      <c r="AI579" s="58" t="b">
        <f>COUNTBLANK(Fixtures[[#This Row],[G]:[MOTM]]) = 0</f>
        <v>0</v>
      </c>
      <c r="AJ579" s="58" t="str">
        <f>IF(Fixtures[[#This Row],[APP]], Fixtures[[#This Row],[G]]+Fixtures[[#This Row],[A]], "N/A")</f>
        <v>N/A</v>
      </c>
      <c r="AK5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0" spans="1:39" ht="13">
      <c r="A580" s="55"/>
      <c r="B580" s="61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7"/>
      <c r="R580" s="56"/>
      <c r="S580" s="58" t="str" cm="1">
        <f t="array" ref="S580">_xlfn._xlws.FILTER(Competitions[compType], (Fixtures[[#This Row],[competition]] = Competitions[name]), "N/A")</f>
        <v>N/A</v>
      </c>
      <c r="T580" s="58" t="str" cm="1">
        <f t="array" ref="T580">_xlfn._xlws.FILTER(Competitions[exhibition], (Fixtures[[#This Row],[competition]] = Competitions[name]), "N/A")</f>
        <v>N/A</v>
      </c>
      <c r="U580" s="58" t="str" cm="1">
        <f t="array" ref="U580">_xlfn._xlws.FILTER(Competitions[compID], (Fixtures[[#This Row],[competition]] = Competitions[name]), "N/A")</f>
        <v>N/A</v>
      </c>
      <c r="V5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0" s="58" t="str" cm="1">
        <f t="array" ref="W5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0" s="58" t="str" cm="1">
        <f t="array" ref="X580">_xlfn._xlws.FILTER(Teams[name], (Fixtures[[#This Row],[userTeamID]] = Teams[teamID]), "N/A")</f>
        <v>N/A</v>
      </c>
      <c r="Y580" s="58" t="str" cm="1">
        <f t="array" ref="Y580">_xlfn._xlws.FILTER(Teams[teamType], (Fixtures[[#This Row],[userTeamID]] = Teams[teamID]), "N/A")</f>
        <v>N/A</v>
      </c>
      <c r="Z580" s="58" t="str" cm="1">
        <f t="array" ref="Z5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0" s="58" t="str">
        <f>IF(Fixtures[[#This Row],[userSide]] = "N/A", "N/A", IF(Fixtures[[#This Row],[userSide]] = "H", Fixtures[[#This Row],[awayTeam]], Fixtures[[#This Row],[homeTeam]]))</f>
        <v>N/A</v>
      </c>
      <c r="AB580" s="58" t="str" cm="1">
        <f t="array" ref="AB580">_xlfn._xlws.FILTER(Teams[teamID], Fixtures[[#This Row],[oppTeam]] = Teams[name], "N/A")</f>
        <v>N/A</v>
      </c>
      <c r="AC580" s="58" t="str" cm="1">
        <f t="array" ref="AC580">_xlfn._xlws.FILTER(Teams[teamType], Fixtures[[#This Row],[oppTeam]] = Teams[name], "N/A")</f>
        <v>N/A</v>
      </c>
      <c r="AD580" s="58" t="str">
        <f>IF(ISBLANK(Fixtures[[#This Row],[date]]), "N/A", IF(Fixtures[[#This Row],[userSide]]="H", Fixtures[[#This Row],[homeScore]], Fixtures[[#This Row],[awayScore]]))</f>
        <v>N/A</v>
      </c>
      <c r="AE580" s="58" t="str">
        <f>IF(ISBLANK(Fixtures[[#This Row],[date]]), "N/A", IF(Fixtures[[#This Row],[userScore]] = Fixtures[[#This Row],[homeScore]], Fixtures[[#This Row],[awayScore]], Fixtures[[#This Row],[homeScore]]))</f>
        <v>N/A</v>
      </c>
      <c r="AF580" s="58" t="b">
        <f>NOT(AND(ISBLANK(Fixtures[[#This Row],[homePens]]), ISBLANK(Fixtures[[#This Row],[awayPens]])))</f>
        <v>0</v>
      </c>
      <c r="AG580" s="58" t="str">
        <f>IF(Fixtures[[#This Row],[penalties]], IF(Fixtures[[#This Row],[userSide]]="H", Fixtures[[#This Row],[homePens]], Fixtures[[#This Row],[awayPens]]), "N/A")</f>
        <v>N/A</v>
      </c>
      <c r="AH580" s="58" t="str">
        <f>IF(Fixtures[[#This Row],[penalties]], IF(Fixtures[[#This Row],[userPens]]=Fixtures[[#This Row],[homePens]],Fixtures[[#This Row],[awayPens]],Fixtures[[#This Row],[homePens]]), "N/A")</f>
        <v>N/A</v>
      </c>
      <c r="AI580" s="58" t="b">
        <f>COUNTBLANK(Fixtures[[#This Row],[G]:[MOTM]]) = 0</f>
        <v>0</v>
      </c>
      <c r="AJ580" s="58" t="str">
        <f>IF(Fixtures[[#This Row],[APP]], Fixtures[[#This Row],[G]]+Fixtures[[#This Row],[A]], "N/A")</f>
        <v>N/A</v>
      </c>
      <c r="AK5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1" spans="1:39" ht="13">
      <c r="A581" s="55"/>
      <c r="B581" s="61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7"/>
      <c r="R581" s="56"/>
      <c r="S581" s="58" t="str" cm="1">
        <f t="array" ref="S581">_xlfn._xlws.FILTER(Competitions[compType], (Fixtures[[#This Row],[competition]] = Competitions[name]), "N/A")</f>
        <v>N/A</v>
      </c>
      <c r="T581" s="58" t="str" cm="1">
        <f t="array" ref="T581">_xlfn._xlws.FILTER(Competitions[exhibition], (Fixtures[[#This Row],[competition]] = Competitions[name]), "N/A")</f>
        <v>N/A</v>
      </c>
      <c r="U581" s="58" t="str" cm="1">
        <f t="array" ref="U581">_xlfn._xlws.FILTER(Competitions[compID], (Fixtures[[#This Row],[competition]] = Competitions[name]), "N/A")</f>
        <v>N/A</v>
      </c>
      <c r="V5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1" s="58" t="str" cm="1">
        <f t="array" ref="W5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1" s="58" t="str" cm="1">
        <f t="array" ref="X581">_xlfn._xlws.FILTER(Teams[name], (Fixtures[[#This Row],[userTeamID]] = Teams[teamID]), "N/A")</f>
        <v>N/A</v>
      </c>
      <c r="Y581" s="58" t="str" cm="1">
        <f t="array" ref="Y581">_xlfn._xlws.FILTER(Teams[teamType], (Fixtures[[#This Row],[userTeamID]] = Teams[teamID]), "N/A")</f>
        <v>N/A</v>
      </c>
      <c r="Z581" s="58" t="str" cm="1">
        <f t="array" ref="Z5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1" s="58" t="str">
        <f>IF(Fixtures[[#This Row],[userSide]] = "N/A", "N/A", IF(Fixtures[[#This Row],[userSide]] = "H", Fixtures[[#This Row],[awayTeam]], Fixtures[[#This Row],[homeTeam]]))</f>
        <v>N/A</v>
      </c>
      <c r="AB581" s="58" t="str" cm="1">
        <f t="array" ref="AB581">_xlfn._xlws.FILTER(Teams[teamID], Fixtures[[#This Row],[oppTeam]] = Teams[name], "N/A")</f>
        <v>N/A</v>
      </c>
      <c r="AC581" s="58" t="str" cm="1">
        <f t="array" ref="AC581">_xlfn._xlws.FILTER(Teams[teamType], Fixtures[[#This Row],[oppTeam]] = Teams[name], "N/A")</f>
        <v>N/A</v>
      </c>
      <c r="AD581" s="58" t="str">
        <f>IF(ISBLANK(Fixtures[[#This Row],[date]]), "N/A", IF(Fixtures[[#This Row],[userSide]]="H", Fixtures[[#This Row],[homeScore]], Fixtures[[#This Row],[awayScore]]))</f>
        <v>N/A</v>
      </c>
      <c r="AE581" s="58" t="str">
        <f>IF(ISBLANK(Fixtures[[#This Row],[date]]), "N/A", IF(Fixtures[[#This Row],[userScore]] = Fixtures[[#This Row],[homeScore]], Fixtures[[#This Row],[awayScore]], Fixtures[[#This Row],[homeScore]]))</f>
        <v>N/A</v>
      </c>
      <c r="AF581" s="58" t="b">
        <f>NOT(AND(ISBLANK(Fixtures[[#This Row],[homePens]]), ISBLANK(Fixtures[[#This Row],[awayPens]])))</f>
        <v>0</v>
      </c>
      <c r="AG581" s="58" t="str">
        <f>IF(Fixtures[[#This Row],[penalties]], IF(Fixtures[[#This Row],[userSide]]="H", Fixtures[[#This Row],[homePens]], Fixtures[[#This Row],[awayPens]]), "N/A")</f>
        <v>N/A</v>
      </c>
      <c r="AH581" s="58" t="str">
        <f>IF(Fixtures[[#This Row],[penalties]], IF(Fixtures[[#This Row],[userPens]]=Fixtures[[#This Row],[homePens]],Fixtures[[#This Row],[awayPens]],Fixtures[[#This Row],[homePens]]), "N/A")</f>
        <v>N/A</v>
      </c>
      <c r="AI581" s="58" t="b">
        <f>COUNTBLANK(Fixtures[[#This Row],[G]:[MOTM]]) = 0</f>
        <v>0</v>
      </c>
      <c r="AJ581" s="58" t="str">
        <f>IF(Fixtures[[#This Row],[APP]], Fixtures[[#This Row],[G]]+Fixtures[[#This Row],[A]], "N/A")</f>
        <v>N/A</v>
      </c>
      <c r="AK5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2" spans="1:39" ht="13">
      <c r="A582" s="55"/>
      <c r="B582" s="61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7"/>
      <c r="R582" s="56"/>
      <c r="S582" s="58" t="str" cm="1">
        <f t="array" ref="S582">_xlfn._xlws.FILTER(Competitions[compType], (Fixtures[[#This Row],[competition]] = Competitions[name]), "N/A")</f>
        <v>N/A</v>
      </c>
      <c r="T582" s="58" t="str" cm="1">
        <f t="array" ref="T582">_xlfn._xlws.FILTER(Competitions[exhibition], (Fixtures[[#This Row],[competition]] = Competitions[name]), "N/A")</f>
        <v>N/A</v>
      </c>
      <c r="U582" s="58" t="str" cm="1">
        <f t="array" ref="U582">_xlfn._xlws.FILTER(Competitions[compID], (Fixtures[[#This Row],[competition]] = Competitions[name]), "N/A")</f>
        <v>N/A</v>
      </c>
      <c r="V5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2" s="58" t="str" cm="1">
        <f t="array" ref="W5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2" s="58" t="str" cm="1">
        <f t="array" ref="X582">_xlfn._xlws.FILTER(Teams[name], (Fixtures[[#This Row],[userTeamID]] = Teams[teamID]), "N/A")</f>
        <v>N/A</v>
      </c>
      <c r="Y582" s="58" t="str" cm="1">
        <f t="array" ref="Y582">_xlfn._xlws.FILTER(Teams[teamType], (Fixtures[[#This Row],[userTeamID]] = Teams[teamID]), "N/A")</f>
        <v>N/A</v>
      </c>
      <c r="Z582" s="58" t="str" cm="1">
        <f t="array" ref="Z5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2" s="58" t="str">
        <f>IF(Fixtures[[#This Row],[userSide]] = "N/A", "N/A", IF(Fixtures[[#This Row],[userSide]] = "H", Fixtures[[#This Row],[awayTeam]], Fixtures[[#This Row],[homeTeam]]))</f>
        <v>N/A</v>
      </c>
      <c r="AB582" s="58" t="str" cm="1">
        <f t="array" ref="AB582">_xlfn._xlws.FILTER(Teams[teamID], Fixtures[[#This Row],[oppTeam]] = Teams[name], "N/A")</f>
        <v>N/A</v>
      </c>
      <c r="AC582" s="58" t="str" cm="1">
        <f t="array" ref="AC582">_xlfn._xlws.FILTER(Teams[teamType], Fixtures[[#This Row],[oppTeam]] = Teams[name], "N/A")</f>
        <v>N/A</v>
      </c>
      <c r="AD582" s="58" t="str">
        <f>IF(ISBLANK(Fixtures[[#This Row],[date]]), "N/A", IF(Fixtures[[#This Row],[userSide]]="H", Fixtures[[#This Row],[homeScore]], Fixtures[[#This Row],[awayScore]]))</f>
        <v>N/A</v>
      </c>
      <c r="AE582" s="58" t="str">
        <f>IF(ISBLANK(Fixtures[[#This Row],[date]]), "N/A", IF(Fixtures[[#This Row],[userScore]] = Fixtures[[#This Row],[homeScore]], Fixtures[[#This Row],[awayScore]], Fixtures[[#This Row],[homeScore]]))</f>
        <v>N/A</v>
      </c>
      <c r="AF582" s="58" t="b">
        <f>NOT(AND(ISBLANK(Fixtures[[#This Row],[homePens]]), ISBLANK(Fixtures[[#This Row],[awayPens]])))</f>
        <v>0</v>
      </c>
      <c r="AG582" s="58" t="str">
        <f>IF(Fixtures[[#This Row],[penalties]], IF(Fixtures[[#This Row],[userSide]]="H", Fixtures[[#This Row],[homePens]], Fixtures[[#This Row],[awayPens]]), "N/A")</f>
        <v>N/A</v>
      </c>
      <c r="AH582" s="58" t="str">
        <f>IF(Fixtures[[#This Row],[penalties]], IF(Fixtures[[#This Row],[userPens]]=Fixtures[[#This Row],[homePens]],Fixtures[[#This Row],[awayPens]],Fixtures[[#This Row],[homePens]]), "N/A")</f>
        <v>N/A</v>
      </c>
      <c r="AI582" s="58" t="b">
        <f>COUNTBLANK(Fixtures[[#This Row],[G]:[MOTM]]) = 0</f>
        <v>0</v>
      </c>
      <c r="AJ582" s="58" t="str">
        <f>IF(Fixtures[[#This Row],[APP]], Fixtures[[#This Row],[G]]+Fixtures[[#This Row],[A]], "N/A")</f>
        <v>N/A</v>
      </c>
      <c r="AK5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3" spans="1:39" ht="13">
      <c r="A583" s="55"/>
      <c r="B583" s="61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7"/>
      <c r="R583" s="56"/>
      <c r="S583" s="58" t="str" cm="1">
        <f t="array" ref="S583">_xlfn._xlws.FILTER(Competitions[compType], (Fixtures[[#This Row],[competition]] = Competitions[name]), "N/A")</f>
        <v>N/A</v>
      </c>
      <c r="T583" s="58" t="str" cm="1">
        <f t="array" ref="T583">_xlfn._xlws.FILTER(Competitions[exhibition], (Fixtures[[#This Row],[competition]] = Competitions[name]), "N/A")</f>
        <v>N/A</v>
      </c>
      <c r="U583" s="58" t="str" cm="1">
        <f t="array" ref="U583">_xlfn._xlws.FILTER(Competitions[compID], (Fixtures[[#This Row],[competition]] = Competitions[name]), "N/A")</f>
        <v>N/A</v>
      </c>
      <c r="V5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3" s="58" t="str" cm="1">
        <f t="array" ref="W5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3" s="58" t="str" cm="1">
        <f t="array" ref="X583">_xlfn._xlws.FILTER(Teams[name], (Fixtures[[#This Row],[userTeamID]] = Teams[teamID]), "N/A")</f>
        <v>N/A</v>
      </c>
      <c r="Y583" s="58" t="str" cm="1">
        <f t="array" ref="Y583">_xlfn._xlws.FILTER(Teams[teamType], (Fixtures[[#This Row],[userTeamID]] = Teams[teamID]), "N/A")</f>
        <v>N/A</v>
      </c>
      <c r="Z583" s="58" t="str" cm="1">
        <f t="array" ref="Z5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3" s="58" t="str">
        <f>IF(Fixtures[[#This Row],[userSide]] = "N/A", "N/A", IF(Fixtures[[#This Row],[userSide]] = "H", Fixtures[[#This Row],[awayTeam]], Fixtures[[#This Row],[homeTeam]]))</f>
        <v>N/A</v>
      </c>
      <c r="AB583" s="58" t="str" cm="1">
        <f t="array" ref="AB583">_xlfn._xlws.FILTER(Teams[teamID], Fixtures[[#This Row],[oppTeam]] = Teams[name], "N/A")</f>
        <v>N/A</v>
      </c>
      <c r="AC583" s="58" t="str" cm="1">
        <f t="array" ref="AC583">_xlfn._xlws.FILTER(Teams[teamType], Fixtures[[#This Row],[oppTeam]] = Teams[name], "N/A")</f>
        <v>N/A</v>
      </c>
      <c r="AD583" s="58" t="str">
        <f>IF(ISBLANK(Fixtures[[#This Row],[date]]), "N/A", IF(Fixtures[[#This Row],[userSide]]="H", Fixtures[[#This Row],[homeScore]], Fixtures[[#This Row],[awayScore]]))</f>
        <v>N/A</v>
      </c>
      <c r="AE583" s="58" t="str">
        <f>IF(ISBLANK(Fixtures[[#This Row],[date]]), "N/A", IF(Fixtures[[#This Row],[userScore]] = Fixtures[[#This Row],[homeScore]], Fixtures[[#This Row],[awayScore]], Fixtures[[#This Row],[homeScore]]))</f>
        <v>N/A</v>
      </c>
      <c r="AF583" s="58" t="b">
        <f>NOT(AND(ISBLANK(Fixtures[[#This Row],[homePens]]), ISBLANK(Fixtures[[#This Row],[awayPens]])))</f>
        <v>0</v>
      </c>
      <c r="AG583" s="58" t="str">
        <f>IF(Fixtures[[#This Row],[penalties]], IF(Fixtures[[#This Row],[userSide]]="H", Fixtures[[#This Row],[homePens]], Fixtures[[#This Row],[awayPens]]), "N/A")</f>
        <v>N/A</v>
      </c>
      <c r="AH583" s="58" t="str">
        <f>IF(Fixtures[[#This Row],[penalties]], IF(Fixtures[[#This Row],[userPens]]=Fixtures[[#This Row],[homePens]],Fixtures[[#This Row],[awayPens]],Fixtures[[#This Row],[homePens]]), "N/A")</f>
        <v>N/A</v>
      </c>
      <c r="AI583" s="58" t="b">
        <f>COUNTBLANK(Fixtures[[#This Row],[G]:[MOTM]]) = 0</f>
        <v>0</v>
      </c>
      <c r="AJ583" s="58" t="str">
        <f>IF(Fixtures[[#This Row],[APP]], Fixtures[[#This Row],[G]]+Fixtures[[#This Row],[A]], "N/A")</f>
        <v>N/A</v>
      </c>
      <c r="AK5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4" spans="1:39" ht="13">
      <c r="A584" s="55"/>
      <c r="B584" s="61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7"/>
      <c r="R584" s="56"/>
      <c r="S584" s="58" t="str" cm="1">
        <f t="array" ref="S584">_xlfn._xlws.FILTER(Competitions[compType], (Fixtures[[#This Row],[competition]] = Competitions[name]), "N/A")</f>
        <v>N/A</v>
      </c>
      <c r="T584" s="58" t="str" cm="1">
        <f t="array" ref="T584">_xlfn._xlws.FILTER(Competitions[exhibition], (Fixtures[[#This Row],[competition]] = Competitions[name]), "N/A")</f>
        <v>N/A</v>
      </c>
      <c r="U584" s="58" t="str" cm="1">
        <f t="array" ref="U584">_xlfn._xlws.FILTER(Competitions[compID], (Fixtures[[#This Row],[competition]] = Competitions[name]), "N/A")</f>
        <v>N/A</v>
      </c>
      <c r="V5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4" s="58" t="str" cm="1">
        <f t="array" ref="W5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4" s="58" t="str" cm="1">
        <f t="array" ref="X584">_xlfn._xlws.FILTER(Teams[name], (Fixtures[[#This Row],[userTeamID]] = Teams[teamID]), "N/A")</f>
        <v>N/A</v>
      </c>
      <c r="Y584" s="58" t="str" cm="1">
        <f t="array" ref="Y584">_xlfn._xlws.FILTER(Teams[teamType], (Fixtures[[#This Row],[userTeamID]] = Teams[teamID]), "N/A")</f>
        <v>N/A</v>
      </c>
      <c r="Z584" s="58" t="str" cm="1">
        <f t="array" ref="Z5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4" s="58" t="str">
        <f>IF(Fixtures[[#This Row],[userSide]] = "N/A", "N/A", IF(Fixtures[[#This Row],[userSide]] = "H", Fixtures[[#This Row],[awayTeam]], Fixtures[[#This Row],[homeTeam]]))</f>
        <v>N/A</v>
      </c>
      <c r="AB584" s="58" t="str" cm="1">
        <f t="array" ref="AB584">_xlfn._xlws.FILTER(Teams[teamID], Fixtures[[#This Row],[oppTeam]] = Teams[name], "N/A")</f>
        <v>N/A</v>
      </c>
      <c r="AC584" s="58" t="str" cm="1">
        <f t="array" ref="AC584">_xlfn._xlws.FILTER(Teams[teamType], Fixtures[[#This Row],[oppTeam]] = Teams[name], "N/A")</f>
        <v>N/A</v>
      </c>
      <c r="AD584" s="58" t="str">
        <f>IF(ISBLANK(Fixtures[[#This Row],[date]]), "N/A", IF(Fixtures[[#This Row],[userSide]]="H", Fixtures[[#This Row],[homeScore]], Fixtures[[#This Row],[awayScore]]))</f>
        <v>N/A</v>
      </c>
      <c r="AE584" s="58" t="str">
        <f>IF(ISBLANK(Fixtures[[#This Row],[date]]), "N/A", IF(Fixtures[[#This Row],[userScore]] = Fixtures[[#This Row],[homeScore]], Fixtures[[#This Row],[awayScore]], Fixtures[[#This Row],[homeScore]]))</f>
        <v>N/A</v>
      </c>
      <c r="AF584" s="58" t="b">
        <f>NOT(AND(ISBLANK(Fixtures[[#This Row],[homePens]]), ISBLANK(Fixtures[[#This Row],[awayPens]])))</f>
        <v>0</v>
      </c>
      <c r="AG584" s="58" t="str">
        <f>IF(Fixtures[[#This Row],[penalties]], IF(Fixtures[[#This Row],[userSide]]="H", Fixtures[[#This Row],[homePens]], Fixtures[[#This Row],[awayPens]]), "N/A")</f>
        <v>N/A</v>
      </c>
      <c r="AH584" s="58" t="str">
        <f>IF(Fixtures[[#This Row],[penalties]], IF(Fixtures[[#This Row],[userPens]]=Fixtures[[#This Row],[homePens]],Fixtures[[#This Row],[awayPens]],Fixtures[[#This Row],[homePens]]), "N/A")</f>
        <v>N/A</v>
      </c>
      <c r="AI584" s="58" t="b">
        <f>COUNTBLANK(Fixtures[[#This Row],[G]:[MOTM]]) = 0</f>
        <v>0</v>
      </c>
      <c r="AJ584" s="58" t="str">
        <f>IF(Fixtures[[#This Row],[APP]], Fixtures[[#This Row],[G]]+Fixtures[[#This Row],[A]], "N/A")</f>
        <v>N/A</v>
      </c>
      <c r="AK5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5" spans="1:39" ht="13">
      <c r="A585" s="55"/>
      <c r="B585" s="61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7"/>
      <c r="R585" s="56"/>
      <c r="S585" s="58" t="str" cm="1">
        <f t="array" ref="S585">_xlfn._xlws.FILTER(Competitions[compType], (Fixtures[[#This Row],[competition]] = Competitions[name]), "N/A")</f>
        <v>N/A</v>
      </c>
      <c r="T585" s="58" t="str" cm="1">
        <f t="array" ref="T585">_xlfn._xlws.FILTER(Competitions[exhibition], (Fixtures[[#This Row],[competition]] = Competitions[name]), "N/A")</f>
        <v>N/A</v>
      </c>
      <c r="U585" s="58" t="str" cm="1">
        <f t="array" ref="U585">_xlfn._xlws.FILTER(Competitions[compID], (Fixtures[[#This Row],[competition]] = Competitions[name]), "N/A")</f>
        <v>N/A</v>
      </c>
      <c r="V5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5" s="58" t="str" cm="1">
        <f t="array" ref="W5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5" s="58" t="str" cm="1">
        <f t="array" ref="X585">_xlfn._xlws.FILTER(Teams[name], (Fixtures[[#This Row],[userTeamID]] = Teams[teamID]), "N/A")</f>
        <v>N/A</v>
      </c>
      <c r="Y585" s="58" t="str" cm="1">
        <f t="array" ref="Y585">_xlfn._xlws.FILTER(Teams[teamType], (Fixtures[[#This Row],[userTeamID]] = Teams[teamID]), "N/A")</f>
        <v>N/A</v>
      </c>
      <c r="Z585" s="58" t="str" cm="1">
        <f t="array" ref="Z5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5" s="58" t="str">
        <f>IF(Fixtures[[#This Row],[userSide]] = "N/A", "N/A", IF(Fixtures[[#This Row],[userSide]] = "H", Fixtures[[#This Row],[awayTeam]], Fixtures[[#This Row],[homeTeam]]))</f>
        <v>N/A</v>
      </c>
      <c r="AB585" s="58" t="str" cm="1">
        <f t="array" ref="AB585">_xlfn._xlws.FILTER(Teams[teamID], Fixtures[[#This Row],[oppTeam]] = Teams[name], "N/A")</f>
        <v>N/A</v>
      </c>
      <c r="AC585" s="58" t="str" cm="1">
        <f t="array" ref="AC585">_xlfn._xlws.FILTER(Teams[teamType], Fixtures[[#This Row],[oppTeam]] = Teams[name], "N/A")</f>
        <v>N/A</v>
      </c>
      <c r="AD585" s="58" t="str">
        <f>IF(ISBLANK(Fixtures[[#This Row],[date]]), "N/A", IF(Fixtures[[#This Row],[userSide]]="H", Fixtures[[#This Row],[homeScore]], Fixtures[[#This Row],[awayScore]]))</f>
        <v>N/A</v>
      </c>
      <c r="AE585" s="58" t="str">
        <f>IF(ISBLANK(Fixtures[[#This Row],[date]]), "N/A", IF(Fixtures[[#This Row],[userScore]] = Fixtures[[#This Row],[homeScore]], Fixtures[[#This Row],[awayScore]], Fixtures[[#This Row],[homeScore]]))</f>
        <v>N/A</v>
      </c>
      <c r="AF585" s="58" t="b">
        <f>NOT(AND(ISBLANK(Fixtures[[#This Row],[homePens]]), ISBLANK(Fixtures[[#This Row],[awayPens]])))</f>
        <v>0</v>
      </c>
      <c r="AG585" s="58" t="str">
        <f>IF(Fixtures[[#This Row],[penalties]], IF(Fixtures[[#This Row],[userSide]]="H", Fixtures[[#This Row],[homePens]], Fixtures[[#This Row],[awayPens]]), "N/A")</f>
        <v>N/A</v>
      </c>
      <c r="AH585" s="58" t="str">
        <f>IF(Fixtures[[#This Row],[penalties]], IF(Fixtures[[#This Row],[userPens]]=Fixtures[[#This Row],[homePens]],Fixtures[[#This Row],[awayPens]],Fixtures[[#This Row],[homePens]]), "N/A")</f>
        <v>N/A</v>
      </c>
      <c r="AI585" s="58" t="b">
        <f>COUNTBLANK(Fixtures[[#This Row],[G]:[MOTM]]) = 0</f>
        <v>0</v>
      </c>
      <c r="AJ585" s="58" t="str">
        <f>IF(Fixtures[[#This Row],[APP]], Fixtures[[#This Row],[G]]+Fixtures[[#This Row],[A]], "N/A")</f>
        <v>N/A</v>
      </c>
      <c r="AK5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6" spans="1:39" ht="13">
      <c r="A586" s="55"/>
      <c r="B586" s="61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7"/>
      <c r="R586" s="56"/>
      <c r="S586" s="58" t="str" cm="1">
        <f t="array" ref="S586">_xlfn._xlws.FILTER(Competitions[compType], (Fixtures[[#This Row],[competition]] = Competitions[name]), "N/A")</f>
        <v>N/A</v>
      </c>
      <c r="T586" s="58" t="str" cm="1">
        <f t="array" ref="T586">_xlfn._xlws.FILTER(Competitions[exhibition], (Fixtures[[#This Row],[competition]] = Competitions[name]), "N/A")</f>
        <v>N/A</v>
      </c>
      <c r="U586" s="58" t="str" cm="1">
        <f t="array" ref="U586">_xlfn._xlws.FILTER(Competitions[compID], (Fixtures[[#This Row],[competition]] = Competitions[name]), "N/A")</f>
        <v>N/A</v>
      </c>
      <c r="V5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6" s="58" t="str" cm="1">
        <f t="array" ref="W5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6" s="58" t="str" cm="1">
        <f t="array" ref="X586">_xlfn._xlws.FILTER(Teams[name], (Fixtures[[#This Row],[userTeamID]] = Teams[teamID]), "N/A")</f>
        <v>N/A</v>
      </c>
      <c r="Y586" s="58" t="str" cm="1">
        <f t="array" ref="Y586">_xlfn._xlws.FILTER(Teams[teamType], (Fixtures[[#This Row],[userTeamID]] = Teams[teamID]), "N/A")</f>
        <v>N/A</v>
      </c>
      <c r="Z586" s="58" t="str" cm="1">
        <f t="array" ref="Z5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6" s="58" t="str">
        <f>IF(Fixtures[[#This Row],[userSide]] = "N/A", "N/A", IF(Fixtures[[#This Row],[userSide]] = "H", Fixtures[[#This Row],[awayTeam]], Fixtures[[#This Row],[homeTeam]]))</f>
        <v>N/A</v>
      </c>
      <c r="AB586" s="58" t="str" cm="1">
        <f t="array" ref="AB586">_xlfn._xlws.FILTER(Teams[teamID], Fixtures[[#This Row],[oppTeam]] = Teams[name], "N/A")</f>
        <v>N/A</v>
      </c>
      <c r="AC586" s="58" t="str" cm="1">
        <f t="array" ref="AC586">_xlfn._xlws.FILTER(Teams[teamType], Fixtures[[#This Row],[oppTeam]] = Teams[name], "N/A")</f>
        <v>N/A</v>
      </c>
      <c r="AD586" s="58" t="str">
        <f>IF(ISBLANK(Fixtures[[#This Row],[date]]), "N/A", IF(Fixtures[[#This Row],[userSide]]="H", Fixtures[[#This Row],[homeScore]], Fixtures[[#This Row],[awayScore]]))</f>
        <v>N/A</v>
      </c>
      <c r="AE586" s="58" t="str">
        <f>IF(ISBLANK(Fixtures[[#This Row],[date]]), "N/A", IF(Fixtures[[#This Row],[userScore]] = Fixtures[[#This Row],[homeScore]], Fixtures[[#This Row],[awayScore]], Fixtures[[#This Row],[homeScore]]))</f>
        <v>N/A</v>
      </c>
      <c r="AF586" s="58" t="b">
        <f>NOT(AND(ISBLANK(Fixtures[[#This Row],[homePens]]), ISBLANK(Fixtures[[#This Row],[awayPens]])))</f>
        <v>0</v>
      </c>
      <c r="AG586" s="58" t="str">
        <f>IF(Fixtures[[#This Row],[penalties]], IF(Fixtures[[#This Row],[userSide]]="H", Fixtures[[#This Row],[homePens]], Fixtures[[#This Row],[awayPens]]), "N/A")</f>
        <v>N/A</v>
      </c>
      <c r="AH586" s="58" t="str">
        <f>IF(Fixtures[[#This Row],[penalties]], IF(Fixtures[[#This Row],[userPens]]=Fixtures[[#This Row],[homePens]],Fixtures[[#This Row],[awayPens]],Fixtures[[#This Row],[homePens]]), "N/A")</f>
        <v>N/A</v>
      </c>
      <c r="AI586" s="58" t="b">
        <f>COUNTBLANK(Fixtures[[#This Row],[G]:[MOTM]]) = 0</f>
        <v>0</v>
      </c>
      <c r="AJ586" s="58" t="str">
        <f>IF(Fixtures[[#This Row],[APP]], Fixtures[[#This Row],[G]]+Fixtures[[#This Row],[A]], "N/A")</f>
        <v>N/A</v>
      </c>
      <c r="AK5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7" spans="1:39" ht="13">
      <c r="A587" s="55"/>
      <c r="B587" s="61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7"/>
      <c r="R587" s="56"/>
      <c r="S587" s="58" t="str" cm="1">
        <f t="array" ref="S587">_xlfn._xlws.FILTER(Competitions[compType], (Fixtures[[#This Row],[competition]] = Competitions[name]), "N/A")</f>
        <v>N/A</v>
      </c>
      <c r="T587" s="58" t="str" cm="1">
        <f t="array" ref="T587">_xlfn._xlws.FILTER(Competitions[exhibition], (Fixtures[[#This Row],[competition]] = Competitions[name]), "N/A")</f>
        <v>N/A</v>
      </c>
      <c r="U587" s="58" t="str" cm="1">
        <f t="array" ref="U587">_xlfn._xlws.FILTER(Competitions[compID], (Fixtures[[#This Row],[competition]] = Competitions[name]), "N/A")</f>
        <v>N/A</v>
      </c>
      <c r="V5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7" s="58" t="str" cm="1">
        <f t="array" ref="W5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7" s="58" t="str" cm="1">
        <f t="array" ref="X587">_xlfn._xlws.FILTER(Teams[name], (Fixtures[[#This Row],[userTeamID]] = Teams[teamID]), "N/A")</f>
        <v>N/A</v>
      </c>
      <c r="Y587" s="58" t="str" cm="1">
        <f t="array" ref="Y587">_xlfn._xlws.FILTER(Teams[teamType], (Fixtures[[#This Row],[userTeamID]] = Teams[teamID]), "N/A")</f>
        <v>N/A</v>
      </c>
      <c r="Z587" s="58" t="str" cm="1">
        <f t="array" ref="Z5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7" s="58" t="str">
        <f>IF(Fixtures[[#This Row],[userSide]] = "N/A", "N/A", IF(Fixtures[[#This Row],[userSide]] = "H", Fixtures[[#This Row],[awayTeam]], Fixtures[[#This Row],[homeTeam]]))</f>
        <v>N/A</v>
      </c>
      <c r="AB587" s="58" t="str" cm="1">
        <f t="array" ref="AB587">_xlfn._xlws.FILTER(Teams[teamID], Fixtures[[#This Row],[oppTeam]] = Teams[name], "N/A")</f>
        <v>N/A</v>
      </c>
      <c r="AC587" s="58" t="str" cm="1">
        <f t="array" ref="AC587">_xlfn._xlws.FILTER(Teams[teamType], Fixtures[[#This Row],[oppTeam]] = Teams[name], "N/A")</f>
        <v>N/A</v>
      </c>
      <c r="AD587" s="58" t="str">
        <f>IF(ISBLANK(Fixtures[[#This Row],[date]]), "N/A", IF(Fixtures[[#This Row],[userSide]]="H", Fixtures[[#This Row],[homeScore]], Fixtures[[#This Row],[awayScore]]))</f>
        <v>N/A</v>
      </c>
      <c r="AE587" s="58" t="str">
        <f>IF(ISBLANK(Fixtures[[#This Row],[date]]), "N/A", IF(Fixtures[[#This Row],[userScore]] = Fixtures[[#This Row],[homeScore]], Fixtures[[#This Row],[awayScore]], Fixtures[[#This Row],[homeScore]]))</f>
        <v>N/A</v>
      </c>
      <c r="AF587" s="58" t="b">
        <f>NOT(AND(ISBLANK(Fixtures[[#This Row],[homePens]]), ISBLANK(Fixtures[[#This Row],[awayPens]])))</f>
        <v>0</v>
      </c>
      <c r="AG587" s="58" t="str">
        <f>IF(Fixtures[[#This Row],[penalties]], IF(Fixtures[[#This Row],[userSide]]="H", Fixtures[[#This Row],[homePens]], Fixtures[[#This Row],[awayPens]]), "N/A")</f>
        <v>N/A</v>
      </c>
      <c r="AH587" s="58" t="str">
        <f>IF(Fixtures[[#This Row],[penalties]], IF(Fixtures[[#This Row],[userPens]]=Fixtures[[#This Row],[homePens]],Fixtures[[#This Row],[awayPens]],Fixtures[[#This Row],[homePens]]), "N/A")</f>
        <v>N/A</v>
      </c>
      <c r="AI587" s="58" t="b">
        <f>COUNTBLANK(Fixtures[[#This Row],[G]:[MOTM]]) = 0</f>
        <v>0</v>
      </c>
      <c r="AJ587" s="58" t="str">
        <f>IF(Fixtures[[#This Row],[APP]], Fixtures[[#This Row],[G]]+Fixtures[[#This Row],[A]], "N/A")</f>
        <v>N/A</v>
      </c>
      <c r="AK5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8" spans="1:39" ht="13">
      <c r="A588" s="55"/>
      <c r="B588" s="61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7"/>
      <c r="R588" s="56"/>
      <c r="S588" s="58" t="str" cm="1">
        <f t="array" ref="S588">_xlfn._xlws.FILTER(Competitions[compType], (Fixtures[[#This Row],[competition]] = Competitions[name]), "N/A")</f>
        <v>N/A</v>
      </c>
      <c r="T588" s="58" t="str" cm="1">
        <f t="array" ref="T588">_xlfn._xlws.FILTER(Competitions[exhibition], (Fixtures[[#This Row],[competition]] = Competitions[name]), "N/A")</f>
        <v>N/A</v>
      </c>
      <c r="U588" s="58" t="str" cm="1">
        <f t="array" ref="U588">_xlfn._xlws.FILTER(Competitions[compID], (Fixtures[[#This Row],[competition]] = Competitions[name]), "N/A")</f>
        <v>N/A</v>
      </c>
      <c r="V5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8" s="58" t="str" cm="1">
        <f t="array" ref="W5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8" s="58" t="str" cm="1">
        <f t="array" ref="X588">_xlfn._xlws.FILTER(Teams[name], (Fixtures[[#This Row],[userTeamID]] = Teams[teamID]), "N/A")</f>
        <v>N/A</v>
      </c>
      <c r="Y588" s="58" t="str" cm="1">
        <f t="array" ref="Y588">_xlfn._xlws.FILTER(Teams[teamType], (Fixtures[[#This Row],[userTeamID]] = Teams[teamID]), "N/A")</f>
        <v>N/A</v>
      </c>
      <c r="Z588" s="58" t="str" cm="1">
        <f t="array" ref="Z5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8" s="58" t="str">
        <f>IF(Fixtures[[#This Row],[userSide]] = "N/A", "N/A", IF(Fixtures[[#This Row],[userSide]] = "H", Fixtures[[#This Row],[awayTeam]], Fixtures[[#This Row],[homeTeam]]))</f>
        <v>N/A</v>
      </c>
      <c r="AB588" s="58" t="str" cm="1">
        <f t="array" ref="AB588">_xlfn._xlws.FILTER(Teams[teamID], Fixtures[[#This Row],[oppTeam]] = Teams[name], "N/A")</f>
        <v>N/A</v>
      </c>
      <c r="AC588" s="58" t="str" cm="1">
        <f t="array" ref="AC588">_xlfn._xlws.FILTER(Teams[teamType], Fixtures[[#This Row],[oppTeam]] = Teams[name], "N/A")</f>
        <v>N/A</v>
      </c>
      <c r="AD588" s="58" t="str">
        <f>IF(ISBLANK(Fixtures[[#This Row],[date]]), "N/A", IF(Fixtures[[#This Row],[userSide]]="H", Fixtures[[#This Row],[homeScore]], Fixtures[[#This Row],[awayScore]]))</f>
        <v>N/A</v>
      </c>
      <c r="AE588" s="58" t="str">
        <f>IF(ISBLANK(Fixtures[[#This Row],[date]]), "N/A", IF(Fixtures[[#This Row],[userScore]] = Fixtures[[#This Row],[homeScore]], Fixtures[[#This Row],[awayScore]], Fixtures[[#This Row],[homeScore]]))</f>
        <v>N/A</v>
      </c>
      <c r="AF588" s="58" t="b">
        <f>NOT(AND(ISBLANK(Fixtures[[#This Row],[homePens]]), ISBLANK(Fixtures[[#This Row],[awayPens]])))</f>
        <v>0</v>
      </c>
      <c r="AG588" s="58" t="str">
        <f>IF(Fixtures[[#This Row],[penalties]], IF(Fixtures[[#This Row],[userSide]]="H", Fixtures[[#This Row],[homePens]], Fixtures[[#This Row],[awayPens]]), "N/A")</f>
        <v>N/A</v>
      </c>
      <c r="AH588" s="58" t="str">
        <f>IF(Fixtures[[#This Row],[penalties]], IF(Fixtures[[#This Row],[userPens]]=Fixtures[[#This Row],[homePens]],Fixtures[[#This Row],[awayPens]],Fixtures[[#This Row],[homePens]]), "N/A")</f>
        <v>N/A</v>
      </c>
      <c r="AI588" s="58" t="b">
        <f>COUNTBLANK(Fixtures[[#This Row],[G]:[MOTM]]) = 0</f>
        <v>0</v>
      </c>
      <c r="AJ588" s="58" t="str">
        <f>IF(Fixtures[[#This Row],[APP]], Fixtures[[#This Row],[G]]+Fixtures[[#This Row],[A]], "N/A")</f>
        <v>N/A</v>
      </c>
      <c r="AK5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89" spans="1:39" ht="13">
      <c r="A589" s="55"/>
      <c r="B589" s="61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7"/>
      <c r="R589" s="56"/>
      <c r="S589" s="58" t="str" cm="1">
        <f t="array" ref="S589">_xlfn._xlws.FILTER(Competitions[compType], (Fixtures[[#This Row],[competition]] = Competitions[name]), "N/A")</f>
        <v>N/A</v>
      </c>
      <c r="T589" s="58" t="str" cm="1">
        <f t="array" ref="T589">_xlfn._xlws.FILTER(Competitions[exhibition], (Fixtures[[#This Row],[competition]] = Competitions[name]), "N/A")</f>
        <v>N/A</v>
      </c>
      <c r="U589" s="58" t="str" cm="1">
        <f t="array" ref="U589">_xlfn._xlws.FILTER(Competitions[compID], (Fixtures[[#This Row],[competition]] = Competitions[name]), "N/A")</f>
        <v>N/A</v>
      </c>
      <c r="V5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89" s="58" t="str" cm="1">
        <f t="array" ref="W5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89" s="58" t="str" cm="1">
        <f t="array" ref="X589">_xlfn._xlws.FILTER(Teams[name], (Fixtures[[#This Row],[userTeamID]] = Teams[teamID]), "N/A")</f>
        <v>N/A</v>
      </c>
      <c r="Y589" s="58" t="str" cm="1">
        <f t="array" ref="Y589">_xlfn._xlws.FILTER(Teams[teamType], (Fixtures[[#This Row],[userTeamID]] = Teams[teamID]), "N/A")</f>
        <v>N/A</v>
      </c>
      <c r="Z589" s="58" t="str" cm="1">
        <f t="array" ref="Z5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89" s="58" t="str">
        <f>IF(Fixtures[[#This Row],[userSide]] = "N/A", "N/A", IF(Fixtures[[#This Row],[userSide]] = "H", Fixtures[[#This Row],[awayTeam]], Fixtures[[#This Row],[homeTeam]]))</f>
        <v>N/A</v>
      </c>
      <c r="AB589" s="58" t="str" cm="1">
        <f t="array" ref="AB589">_xlfn._xlws.FILTER(Teams[teamID], Fixtures[[#This Row],[oppTeam]] = Teams[name], "N/A")</f>
        <v>N/A</v>
      </c>
      <c r="AC589" s="58" t="str" cm="1">
        <f t="array" ref="AC589">_xlfn._xlws.FILTER(Teams[teamType], Fixtures[[#This Row],[oppTeam]] = Teams[name], "N/A")</f>
        <v>N/A</v>
      </c>
      <c r="AD589" s="58" t="str">
        <f>IF(ISBLANK(Fixtures[[#This Row],[date]]), "N/A", IF(Fixtures[[#This Row],[userSide]]="H", Fixtures[[#This Row],[homeScore]], Fixtures[[#This Row],[awayScore]]))</f>
        <v>N/A</v>
      </c>
      <c r="AE589" s="58" t="str">
        <f>IF(ISBLANK(Fixtures[[#This Row],[date]]), "N/A", IF(Fixtures[[#This Row],[userScore]] = Fixtures[[#This Row],[homeScore]], Fixtures[[#This Row],[awayScore]], Fixtures[[#This Row],[homeScore]]))</f>
        <v>N/A</v>
      </c>
      <c r="AF589" s="58" t="b">
        <f>NOT(AND(ISBLANK(Fixtures[[#This Row],[homePens]]), ISBLANK(Fixtures[[#This Row],[awayPens]])))</f>
        <v>0</v>
      </c>
      <c r="AG589" s="58" t="str">
        <f>IF(Fixtures[[#This Row],[penalties]], IF(Fixtures[[#This Row],[userSide]]="H", Fixtures[[#This Row],[homePens]], Fixtures[[#This Row],[awayPens]]), "N/A")</f>
        <v>N/A</v>
      </c>
      <c r="AH589" s="58" t="str">
        <f>IF(Fixtures[[#This Row],[penalties]], IF(Fixtures[[#This Row],[userPens]]=Fixtures[[#This Row],[homePens]],Fixtures[[#This Row],[awayPens]],Fixtures[[#This Row],[homePens]]), "N/A")</f>
        <v>N/A</v>
      </c>
      <c r="AI589" s="58" t="b">
        <f>COUNTBLANK(Fixtures[[#This Row],[G]:[MOTM]]) = 0</f>
        <v>0</v>
      </c>
      <c r="AJ589" s="58" t="str">
        <f>IF(Fixtures[[#This Row],[APP]], Fixtures[[#This Row],[G]]+Fixtures[[#This Row],[A]], "N/A")</f>
        <v>N/A</v>
      </c>
      <c r="AK5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0" spans="1:39" ht="13">
      <c r="A590" s="55"/>
      <c r="B590" s="61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7"/>
      <c r="R590" s="56"/>
      <c r="S590" s="58" t="str" cm="1">
        <f t="array" ref="S590">_xlfn._xlws.FILTER(Competitions[compType], (Fixtures[[#This Row],[competition]] = Competitions[name]), "N/A")</f>
        <v>N/A</v>
      </c>
      <c r="T590" s="58" t="str" cm="1">
        <f t="array" ref="T590">_xlfn._xlws.FILTER(Competitions[exhibition], (Fixtures[[#This Row],[competition]] = Competitions[name]), "N/A")</f>
        <v>N/A</v>
      </c>
      <c r="U590" s="58" t="str" cm="1">
        <f t="array" ref="U590">_xlfn._xlws.FILTER(Competitions[compID], (Fixtures[[#This Row],[competition]] = Competitions[name]), "N/A")</f>
        <v>N/A</v>
      </c>
      <c r="V5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0" s="58" t="str" cm="1">
        <f t="array" ref="W5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0" s="58" t="str" cm="1">
        <f t="array" ref="X590">_xlfn._xlws.FILTER(Teams[name], (Fixtures[[#This Row],[userTeamID]] = Teams[teamID]), "N/A")</f>
        <v>N/A</v>
      </c>
      <c r="Y590" s="58" t="str" cm="1">
        <f t="array" ref="Y590">_xlfn._xlws.FILTER(Teams[teamType], (Fixtures[[#This Row],[userTeamID]] = Teams[teamID]), "N/A")</f>
        <v>N/A</v>
      </c>
      <c r="Z590" s="58" t="str" cm="1">
        <f t="array" ref="Z5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0" s="58" t="str">
        <f>IF(Fixtures[[#This Row],[userSide]] = "N/A", "N/A", IF(Fixtures[[#This Row],[userSide]] = "H", Fixtures[[#This Row],[awayTeam]], Fixtures[[#This Row],[homeTeam]]))</f>
        <v>N/A</v>
      </c>
      <c r="AB590" s="58" t="str" cm="1">
        <f t="array" ref="AB590">_xlfn._xlws.FILTER(Teams[teamID], Fixtures[[#This Row],[oppTeam]] = Teams[name], "N/A")</f>
        <v>N/A</v>
      </c>
      <c r="AC590" s="58" t="str" cm="1">
        <f t="array" ref="AC590">_xlfn._xlws.FILTER(Teams[teamType], Fixtures[[#This Row],[oppTeam]] = Teams[name], "N/A")</f>
        <v>N/A</v>
      </c>
      <c r="AD590" s="58" t="str">
        <f>IF(ISBLANK(Fixtures[[#This Row],[date]]), "N/A", IF(Fixtures[[#This Row],[userSide]]="H", Fixtures[[#This Row],[homeScore]], Fixtures[[#This Row],[awayScore]]))</f>
        <v>N/A</v>
      </c>
      <c r="AE590" s="58" t="str">
        <f>IF(ISBLANK(Fixtures[[#This Row],[date]]), "N/A", IF(Fixtures[[#This Row],[userScore]] = Fixtures[[#This Row],[homeScore]], Fixtures[[#This Row],[awayScore]], Fixtures[[#This Row],[homeScore]]))</f>
        <v>N/A</v>
      </c>
      <c r="AF590" s="58" t="b">
        <f>NOT(AND(ISBLANK(Fixtures[[#This Row],[homePens]]), ISBLANK(Fixtures[[#This Row],[awayPens]])))</f>
        <v>0</v>
      </c>
      <c r="AG590" s="58" t="str">
        <f>IF(Fixtures[[#This Row],[penalties]], IF(Fixtures[[#This Row],[userSide]]="H", Fixtures[[#This Row],[homePens]], Fixtures[[#This Row],[awayPens]]), "N/A")</f>
        <v>N/A</v>
      </c>
      <c r="AH590" s="58" t="str">
        <f>IF(Fixtures[[#This Row],[penalties]], IF(Fixtures[[#This Row],[userPens]]=Fixtures[[#This Row],[homePens]],Fixtures[[#This Row],[awayPens]],Fixtures[[#This Row],[homePens]]), "N/A")</f>
        <v>N/A</v>
      </c>
      <c r="AI590" s="58" t="b">
        <f>COUNTBLANK(Fixtures[[#This Row],[G]:[MOTM]]) = 0</f>
        <v>0</v>
      </c>
      <c r="AJ590" s="58" t="str">
        <f>IF(Fixtures[[#This Row],[APP]], Fixtures[[#This Row],[G]]+Fixtures[[#This Row],[A]], "N/A")</f>
        <v>N/A</v>
      </c>
      <c r="AK5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1" spans="1:39" ht="13">
      <c r="A591" s="55"/>
      <c r="B591" s="61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7"/>
      <c r="R591" s="56"/>
      <c r="S591" s="58" t="str" cm="1">
        <f t="array" ref="S591">_xlfn._xlws.FILTER(Competitions[compType], (Fixtures[[#This Row],[competition]] = Competitions[name]), "N/A")</f>
        <v>N/A</v>
      </c>
      <c r="T591" s="58" t="str" cm="1">
        <f t="array" ref="T591">_xlfn._xlws.FILTER(Competitions[exhibition], (Fixtures[[#This Row],[competition]] = Competitions[name]), "N/A")</f>
        <v>N/A</v>
      </c>
      <c r="U591" s="58" t="str" cm="1">
        <f t="array" ref="U591">_xlfn._xlws.FILTER(Competitions[compID], (Fixtures[[#This Row],[competition]] = Competitions[name]), "N/A")</f>
        <v>N/A</v>
      </c>
      <c r="V5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1" s="58" t="str" cm="1">
        <f t="array" ref="W5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1" s="58" t="str" cm="1">
        <f t="array" ref="X591">_xlfn._xlws.FILTER(Teams[name], (Fixtures[[#This Row],[userTeamID]] = Teams[teamID]), "N/A")</f>
        <v>N/A</v>
      </c>
      <c r="Y591" s="58" t="str" cm="1">
        <f t="array" ref="Y591">_xlfn._xlws.FILTER(Teams[teamType], (Fixtures[[#This Row],[userTeamID]] = Teams[teamID]), "N/A")</f>
        <v>N/A</v>
      </c>
      <c r="Z591" s="58" t="str" cm="1">
        <f t="array" ref="Z5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1" s="58" t="str">
        <f>IF(Fixtures[[#This Row],[userSide]] = "N/A", "N/A", IF(Fixtures[[#This Row],[userSide]] = "H", Fixtures[[#This Row],[awayTeam]], Fixtures[[#This Row],[homeTeam]]))</f>
        <v>N/A</v>
      </c>
      <c r="AB591" s="58" t="str" cm="1">
        <f t="array" ref="AB591">_xlfn._xlws.FILTER(Teams[teamID], Fixtures[[#This Row],[oppTeam]] = Teams[name], "N/A")</f>
        <v>N/A</v>
      </c>
      <c r="AC591" s="58" t="str" cm="1">
        <f t="array" ref="AC591">_xlfn._xlws.FILTER(Teams[teamType], Fixtures[[#This Row],[oppTeam]] = Teams[name], "N/A")</f>
        <v>N/A</v>
      </c>
      <c r="AD591" s="58" t="str">
        <f>IF(ISBLANK(Fixtures[[#This Row],[date]]), "N/A", IF(Fixtures[[#This Row],[userSide]]="H", Fixtures[[#This Row],[homeScore]], Fixtures[[#This Row],[awayScore]]))</f>
        <v>N/A</v>
      </c>
      <c r="AE591" s="58" t="str">
        <f>IF(ISBLANK(Fixtures[[#This Row],[date]]), "N/A", IF(Fixtures[[#This Row],[userScore]] = Fixtures[[#This Row],[homeScore]], Fixtures[[#This Row],[awayScore]], Fixtures[[#This Row],[homeScore]]))</f>
        <v>N/A</v>
      </c>
      <c r="AF591" s="58" t="b">
        <f>NOT(AND(ISBLANK(Fixtures[[#This Row],[homePens]]), ISBLANK(Fixtures[[#This Row],[awayPens]])))</f>
        <v>0</v>
      </c>
      <c r="AG591" s="58" t="str">
        <f>IF(Fixtures[[#This Row],[penalties]], IF(Fixtures[[#This Row],[userSide]]="H", Fixtures[[#This Row],[homePens]], Fixtures[[#This Row],[awayPens]]), "N/A")</f>
        <v>N/A</v>
      </c>
      <c r="AH591" s="58" t="str">
        <f>IF(Fixtures[[#This Row],[penalties]], IF(Fixtures[[#This Row],[userPens]]=Fixtures[[#This Row],[homePens]],Fixtures[[#This Row],[awayPens]],Fixtures[[#This Row],[homePens]]), "N/A")</f>
        <v>N/A</v>
      </c>
      <c r="AI591" s="58" t="b">
        <f>COUNTBLANK(Fixtures[[#This Row],[G]:[MOTM]]) = 0</f>
        <v>0</v>
      </c>
      <c r="AJ591" s="58" t="str">
        <f>IF(Fixtures[[#This Row],[APP]], Fixtures[[#This Row],[G]]+Fixtures[[#This Row],[A]], "N/A")</f>
        <v>N/A</v>
      </c>
      <c r="AK5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2" spans="1:39" ht="13">
      <c r="A592" s="55"/>
      <c r="B592" s="61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7"/>
      <c r="R592" s="56"/>
      <c r="S592" s="58" t="str" cm="1">
        <f t="array" ref="S592">_xlfn._xlws.FILTER(Competitions[compType], (Fixtures[[#This Row],[competition]] = Competitions[name]), "N/A")</f>
        <v>N/A</v>
      </c>
      <c r="T592" s="58" t="str" cm="1">
        <f t="array" ref="T592">_xlfn._xlws.FILTER(Competitions[exhibition], (Fixtures[[#This Row],[competition]] = Competitions[name]), "N/A")</f>
        <v>N/A</v>
      </c>
      <c r="U592" s="58" t="str" cm="1">
        <f t="array" ref="U592">_xlfn._xlws.FILTER(Competitions[compID], (Fixtures[[#This Row],[competition]] = Competitions[name]), "N/A")</f>
        <v>N/A</v>
      </c>
      <c r="V5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2" s="58" t="str" cm="1">
        <f t="array" ref="W5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2" s="58" t="str" cm="1">
        <f t="array" ref="X592">_xlfn._xlws.FILTER(Teams[name], (Fixtures[[#This Row],[userTeamID]] = Teams[teamID]), "N/A")</f>
        <v>N/A</v>
      </c>
      <c r="Y592" s="58" t="str" cm="1">
        <f t="array" ref="Y592">_xlfn._xlws.FILTER(Teams[teamType], (Fixtures[[#This Row],[userTeamID]] = Teams[teamID]), "N/A")</f>
        <v>N/A</v>
      </c>
      <c r="Z592" s="58" t="str" cm="1">
        <f t="array" ref="Z5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2" s="58" t="str">
        <f>IF(Fixtures[[#This Row],[userSide]] = "N/A", "N/A", IF(Fixtures[[#This Row],[userSide]] = "H", Fixtures[[#This Row],[awayTeam]], Fixtures[[#This Row],[homeTeam]]))</f>
        <v>N/A</v>
      </c>
      <c r="AB592" s="58" t="str" cm="1">
        <f t="array" ref="AB592">_xlfn._xlws.FILTER(Teams[teamID], Fixtures[[#This Row],[oppTeam]] = Teams[name], "N/A")</f>
        <v>N/A</v>
      </c>
      <c r="AC592" s="58" t="str" cm="1">
        <f t="array" ref="AC592">_xlfn._xlws.FILTER(Teams[teamType], Fixtures[[#This Row],[oppTeam]] = Teams[name], "N/A")</f>
        <v>N/A</v>
      </c>
      <c r="AD592" s="58" t="str">
        <f>IF(ISBLANK(Fixtures[[#This Row],[date]]), "N/A", IF(Fixtures[[#This Row],[userSide]]="H", Fixtures[[#This Row],[homeScore]], Fixtures[[#This Row],[awayScore]]))</f>
        <v>N/A</v>
      </c>
      <c r="AE592" s="58" t="str">
        <f>IF(ISBLANK(Fixtures[[#This Row],[date]]), "N/A", IF(Fixtures[[#This Row],[userScore]] = Fixtures[[#This Row],[homeScore]], Fixtures[[#This Row],[awayScore]], Fixtures[[#This Row],[homeScore]]))</f>
        <v>N/A</v>
      </c>
      <c r="AF592" s="58" t="b">
        <f>NOT(AND(ISBLANK(Fixtures[[#This Row],[homePens]]), ISBLANK(Fixtures[[#This Row],[awayPens]])))</f>
        <v>0</v>
      </c>
      <c r="AG592" s="58" t="str">
        <f>IF(Fixtures[[#This Row],[penalties]], IF(Fixtures[[#This Row],[userSide]]="H", Fixtures[[#This Row],[homePens]], Fixtures[[#This Row],[awayPens]]), "N/A")</f>
        <v>N/A</v>
      </c>
      <c r="AH592" s="58" t="str">
        <f>IF(Fixtures[[#This Row],[penalties]], IF(Fixtures[[#This Row],[userPens]]=Fixtures[[#This Row],[homePens]],Fixtures[[#This Row],[awayPens]],Fixtures[[#This Row],[homePens]]), "N/A")</f>
        <v>N/A</v>
      </c>
      <c r="AI592" s="58" t="b">
        <f>COUNTBLANK(Fixtures[[#This Row],[G]:[MOTM]]) = 0</f>
        <v>0</v>
      </c>
      <c r="AJ592" s="58" t="str">
        <f>IF(Fixtures[[#This Row],[APP]], Fixtures[[#This Row],[G]]+Fixtures[[#This Row],[A]], "N/A")</f>
        <v>N/A</v>
      </c>
      <c r="AK5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3" spans="1:39" ht="13">
      <c r="A593" s="55"/>
      <c r="B593" s="61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7"/>
      <c r="R593" s="56"/>
      <c r="S593" s="58" t="str" cm="1">
        <f t="array" ref="S593">_xlfn._xlws.FILTER(Competitions[compType], (Fixtures[[#This Row],[competition]] = Competitions[name]), "N/A")</f>
        <v>N/A</v>
      </c>
      <c r="T593" s="58" t="str" cm="1">
        <f t="array" ref="T593">_xlfn._xlws.FILTER(Competitions[exhibition], (Fixtures[[#This Row],[competition]] = Competitions[name]), "N/A")</f>
        <v>N/A</v>
      </c>
      <c r="U593" s="58" t="str" cm="1">
        <f t="array" ref="U593">_xlfn._xlws.FILTER(Competitions[compID], (Fixtures[[#This Row],[competition]] = Competitions[name]), "N/A")</f>
        <v>N/A</v>
      </c>
      <c r="V5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3" s="58" t="str" cm="1">
        <f t="array" ref="W5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3" s="58" t="str" cm="1">
        <f t="array" ref="X593">_xlfn._xlws.FILTER(Teams[name], (Fixtures[[#This Row],[userTeamID]] = Teams[teamID]), "N/A")</f>
        <v>N/A</v>
      </c>
      <c r="Y593" s="58" t="str" cm="1">
        <f t="array" ref="Y593">_xlfn._xlws.FILTER(Teams[teamType], (Fixtures[[#This Row],[userTeamID]] = Teams[teamID]), "N/A")</f>
        <v>N/A</v>
      </c>
      <c r="Z593" s="58" t="str" cm="1">
        <f t="array" ref="Z5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3" s="58" t="str">
        <f>IF(Fixtures[[#This Row],[userSide]] = "N/A", "N/A", IF(Fixtures[[#This Row],[userSide]] = "H", Fixtures[[#This Row],[awayTeam]], Fixtures[[#This Row],[homeTeam]]))</f>
        <v>N/A</v>
      </c>
      <c r="AB593" s="58" t="str" cm="1">
        <f t="array" ref="AB593">_xlfn._xlws.FILTER(Teams[teamID], Fixtures[[#This Row],[oppTeam]] = Teams[name], "N/A")</f>
        <v>N/A</v>
      </c>
      <c r="AC593" s="58" t="str" cm="1">
        <f t="array" ref="AC593">_xlfn._xlws.FILTER(Teams[teamType], Fixtures[[#This Row],[oppTeam]] = Teams[name], "N/A")</f>
        <v>N/A</v>
      </c>
      <c r="AD593" s="58" t="str">
        <f>IF(ISBLANK(Fixtures[[#This Row],[date]]), "N/A", IF(Fixtures[[#This Row],[userSide]]="H", Fixtures[[#This Row],[homeScore]], Fixtures[[#This Row],[awayScore]]))</f>
        <v>N/A</v>
      </c>
      <c r="AE593" s="58" t="str">
        <f>IF(ISBLANK(Fixtures[[#This Row],[date]]), "N/A", IF(Fixtures[[#This Row],[userScore]] = Fixtures[[#This Row],[homeScore]], Fixtures[[#This Row],[awayScore]], Fixtures[[#This Row],[homeScore]]))</f>
        <v>N/A</v>
      </c>
      <c r="AF593" s="58" t="b">
        <f>NOT(AND(ISBLANK(Fixtures[[#This Row],[homePens]]), ISBLANK(Fixtures[[#This Row],[awayPens]])))</f>
        <v>0</v>
      </c>
      <c r="AG593" s="58" t="str">
        <f>IF(Fixtures[[#This Row],[penalties]], IF(Fixtures[[#This Row],[userSide]]="H", Fixtures[[#This Row],[homePens]], Fixtures[[#This Row],[awayPens]]), "N/A")</f>
        <v>N/A</v>
      </c>
      <c r="AH593" s="58" t="str">
        <f>IF(Fixtures[[#This Row],[penalties]], IF(Fixtures[[#This Row],[userPens]]=Fixtures[[#This Row],[homePens]],Fixtures[[#This Row],[awayPens]],Fixtures[[#This Row],[homePens]]), "N/A")</f>
        <v>N/A</v>
      </c>
      <c r="AI593" s="58" t="b">
        <f>COUNTBLANK(Fixtures[[#This Row],[G]:[MOTM]]) = 0</f>
        <v>0</v>
      </c>
      <c r="AJ593" s="58" t="str">
        <f>IF(Fixtures[[#This Row],[APP]], Fixtures[[#This Row],[G]]+Fixtures[[#This Row],[A]], "N/A")</f>
        <v>N/A</v>
      </c>
      <c r="AK5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4" spans="1:39" ht="13">
      <c r="A594" s="55"/>
      <c r="B594" s="61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7"/>
      <c r="R594" s="56"/>
      <c r="S594" s="58" t="str" cm="1">
        <f t="array" ref="S594">_xlfn._xlws.FILTER(Competitions[compType], (Fixtures[[#This Row],[competition]] = Competitions[name]), "N/A")</f>
        <v>N/A</v>
      </c>
      <c r="T594" s="58" t="str" cm="1">
        <f t="array" ref="T594">_xlfn._xlws.FILTER(Competitions[exhibition], (Fixtures[[#This Row],[competition]] = Competitions[name]), "N/A")</f>
        <v>N/A</v>
      </c>
      <c r="U594" s="58" t="str" cm="1">
        <f t="array" ref="U594">_xlfn._xlws.FILTER(Competitions[compID], (Fixtures[[#This Row],[competition]] = Competitions[name]), "N/A")</f>
        <v>N/A</v>
      </c>
      <c r="V5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4" s="58" t="str" cm="1">
        <f t="array" ref="W5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4" s="58" t="str" cm="1">
        <f t="array" ref="X594">_xlfn._xlws.FILTER(Teams[name], (Fixtures[[#This Row],[userTeamID]] = Teams[teamID]), "N/A")</f>
        <v>N/A</v>
      </c>
      <c r="Y594" s="58" t="str" cm="1">
        <f t="array" ref="Y594">_xlfn._xlws.FILTER(Teams[teamType], (Fixtures[[#This Row],[userTeamID]] = Teams[teamID]), "N/A")</f>
        <v>N/A</v>
      </c>
      <c r="Z594" s="58" t="str" cm="1">
        <f t="array" ref="Z5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4" s="58" t="str">
        <f>IF(Fixtures[[#This Row],[userSide]] = "N/A", "N/A", IF(Fixtures[[#This Row],[userSide]] = "H", Fixtures[[#This Row],[awayTeam]], Fixtures[[#This Row],[homeTeam]]))</f>
        <v>N/A</v>
      </c>
      <c r="AB594" s="58" t="str" cm="1">
        <f t="array" ref="AB594">_xlfn._xlws.FILTER(Teams[teamID], Fixtures[[#This Row],[oppTeam]] = Teams[name], "N/A")</f>
        <v>N/A</v>
      </c>
      <c r="AC594" s="58" t="str" cm="1">
        <f t="array" ref="AC594">_xlfn._xlws.FILTER(Teams[teamType], Fixtures[[#This Row],[oppTeam]] = Teams[name], "N/A")</f>
        <v>N/A</v>
      </c>
      <c r="AD594" s="58" t="str">
        <f>IF(ISBLANK(Fixtures[[#This Row],[date]]), "N/A", IF(Fixtures[[#This Row],[userSide]]="H", Fixtures[[#This Row],[homeScore]], Fixtures[[#This Row],[awayScore]]))</f>
        <v>N/A</v>
      </c>
      <c r="AE594" s="58" t="str">
        <f>IF(ISBLANK(Fixtures[[#This Row],[date]]), "N/A", IF(Fixtures[[#This Row],[userScore]] = Fixtures[[#This Row],[homeScore]], Fixtures[[#This Row],[awayScore]], Fixtures[[#This Row],[homeScore]]))</f>
        <v>N/A</v>
      </c>
      <c r="AF594" s="58" t="b">
        <f>NOT(AND(ISBLANK(Fixtures[[#This Row],[homePens]]), ISBLANK(Fixtures[[#This Row],[awayPens]])))</f>
        <v>0</v>
      </c>
      <c r="AG594" s="58" t="str">
        <f>IF(Fixtures[[#This Row],[penalties]], IF(Fixtures[[#This Row],[userSide]]="H", Fixtures[[#This Row],[homePens]], Fixtures[[#This Row],[awayPens]]), "N/A")</f>
        <v>N/A</v>
      </c>
      <c r="AH594" s="58" t="str">
        <f>IF(Fixtures[[#This Row],[penalties]], IF(Fixtures[[#This Row],[userPens]]=Fixtures[[#This Row],[homePens]],Fixtures[[#This Row],[awayPens]],Fixtures[[#This Row],[homePens]]), "N/A")</f>
        <v>N/A</v>
      </c>
      <c r="AI594" s="58" t="b">
        <f>COUNTBLANK(Fixtures[[#This Row],[G]:[MOTM]]) = 0</f>
        <v>0</v>
      </c>
      <c r="AJ594" s="58" t="str">
        <f>IF(Fixtures[[#This Row],[APP]], Fixtures[[#This Row],[G]]+Fixtures[[#This Row],[A]], "N/A")</f>
        <v>N/A</v>
      </c>
      <c r="AK5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5" spans="1:39" ht="13">
      <c r="A595" s="55"/>
      <c r="B595" s="61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7"/>
      <c r="R595" s="56"/>
      <c r="S595" s="58" t="str" cm="1">
        <f t="array" ref="S595">_xlfn._xlws.FILTER(Competitions[compType], (Fixtures[[#This Row],[competition]] = Competitions[name]), "N/A")</f>
        <v>N/A</v>
      </c>
      <c r="T595" s="58" t="str" cm="1">
        <f t="array" ref="T595">_xlfn._xlws.FILTER(Competitions[exhibition], (Fixtures[[#This Row],[competition]] = Competitions[name]), "N/A")</f>
        <v>N/A</v>
      </c>
      <c r="U595" s="58" t="str" cm="1">
        <f t="array" ref="U595">_xlfn._xlws.FILTER(Competitions[compID], (Fixtures[[#This Row],[competition]] = Competitions[name]), "N/A")</f>
        <v>N/A</v>
      </c>
      <c r="V5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5" s="58" t="str" cm="1">
        <f t="array" ref="W5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5" s="58" t="str" cm="1">
        <f t="array" ref="X595">_xlfn._xlws.FILTER(Teams[name], (Fixtures[[#This Row],[userTeamID]] = Teams[teamID]), "N/A")</f>
        <v>N/A</v>
      </c>
      <c r="Y595" s="58" t="str" cm="1">
        <f t="array" ref="Y595">_xlfn._xlws.FILTER(Teams[teamType], (Fixtures[[#This Row],[userTeamID]] = Teams[teamID]), "N/A")</f>
        <v>N/A</v>
      </c>
      <c r="Z595" s="58" t="str" cm="1">
        <f t="array" ref="Z5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5" s="58" t="str">
        <f>IF(Fixtures[[#This Row],[userSide]] = "N/A", "N/A", IF(Fixtures[[#This Row],[userSide]] = "H", Fixtures[[#This Row],[awayTeam]], Fixtures[[#This Row],[homeTeam]]))</f>
        <v>N/A</v>
      </c>
      <c r="AB595" s="58" t="str" cm="1">
        <f t="array" ref="AB595">_xlfn._xlws.FILTER(Teams[teamID], Fixtures[[#This Row],[oppTeam]] = Teams[name], "N/A")</f>
        <v>N/A</v>
      </c>
      <c r="AC595" s="58" t="str" cm="1">
        <f t="array" ref="AC595">_xlfn._xlws.FILTER(Teams[teamType], Fixtures[[#This Row],[oppTeam]] = Teams[name], "N/A")</f>
        <v>N/A</v>
      </c>
      <c r="AD595" s="58" t="str">
        <f>IF(ISBLANK(Fixtures[[#This Row],[date]]), "N/A", IF(Fixtures[[#This Row],[userSide]]="H", Fixtures[[#This Row],[homeScore]], Fixtures[[#This Row],[awayScore]]))</f>
        <v>N/A</v>
      </c>
      <c r="AE595" s="58" t="str">
        <f>IF(ISBLANK(Fixtures[[#This Row],[date]]), "N/A", IF(Fixtures[[#This Row],[userScore]] = Fixtures[[#This Row],[homeScore]], Fixtures[[#This Row],[awayScore]], Fixtures[[#This Row],[homeScore]]))</f>
        <v>N/A</v>
      </c>
      <c r="AF595" s="58" t="b">
        <f>NOT(AND(ISBLANK(Fixtures[[#This Row],[homePens]]), ISBLANK(Fixtures[[#This Row],[awayPens]])))</f>
        <v>0</v>
      </c>
      <c r="AG595" s="58" t="str">
        <f>IF(Fixtures[[#This Row],[penalties]], IF(Fixtures[[#This Row],[userSide]]="H", Fixtures[[#This Row],[homePens]], Fixtures[[#This Row],[awayPens]]), "N/A")</f>
        <v>N/A</v>
      </c>
      <c r="AH595" s="58" t="str">
        <f>IF(Fixtures[[#This Row],[penalties]], IF(Fixtures[[#This Row],[userPens]]=Fixtures[[#This Row],[homePens]],Fixtures[[#This Row],[awayPens]],Fixtures[[#This Row],[homePens]]), "N/A")</f>
        <v>N/A</v>
      </c>
      <c r="AI595" s="58" t="b">
        <f>COUNTBLANK(Fixtures[[#This Row],[G]:[MOTM]]) = 0</f>
        <v>0</v>
      </c>
      <c r="AJ595" s="58" t="str">
        <f>IF(Fixtures[[#This Row],[APP]], Fixtures[[#This Row],[G]]+Fixtures[[#This Row],[A]], "N/A")</f>
        <v>N/A</v>
      </c>
      <c r="AK5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6" spans="1:39" ht="13">
      <c r="A596" s="55"/>
      <c r="B596" s="61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7"/>
      <c r="R596" s="56"/>
      <c r="S596" s="58" t="str" cm="1">
        <f t="array" ref="S596">_xlfn._xlws.FILTER(Competitions[compType], (Fixtures[[#This Row],[competition]] = Competitions[name]), "N/A")</f>
        <v>N/A</v>
      </c>
      <c r="T596" s="58" t="str" cm="1">
        <f t="array" ref="T596">_xlfn._xlws.FILTER(Competitions[exhibition], (Fixtures[[#This Row],[competition]] = Competitions[name]), "N/A")</f>
        <v>N/A</v>
      </c>
      <c r="U596" s="58" t="str" cm="1">
        <f t="array" ref="U596">_xlfn._xlws.FILTER(Competitions[compID], (Fixtures[[#This Row],[competition]] = Competitions[name]), "N/A")</f>
        <v>N/A</v>
      </c>
      <c r="V5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6" s="58" t="str" cm="1">
        <f t="array" ref="W5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6" s="58" t="str" cm="1">
        <f t="array" ref="X596">_xlfn._xlws.FILTER(Teams[name], (Fixtures[[#This Row],[userTeamID]] = Teams[teamID]), "N/A")</f>
        <v>N/A</v>
      </c>
      <c r="Y596" s="58" t="str" cm="1">
        <f t="array" ref="Y596">_xlfn._xlws.FILTER(Teams[teamType], (Fixtures[[#This Row],[userTeamID]] = Teams[teamID]), "N/A")</f>
        <v>N/A</v>
      </c>
      <c r="Z596" s="58" t="str" cm="1">
        <f t="array" ref="Z5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6" s="58" t="str">
        <f>IF(Fixtures[[#This Row],[userSide]] = "N/A", "N/A", IF(Fixtures[[#This Row],[userSide]] = "H", Fixtures[[#This Row],[awayTeam]], Fixtures[[#This Row],[homeTeam]]))</f>
        <v>N/A</v>
      </c>
      <c r="AB596" s="58" t="str" cm="1">
        <f t="array" ref="AB596">_xlfn._xlws.FILTER(Teams[teamID], Fixtures[[#This Row],[oppTeam]] = Teams[name], "N/A")</f>
        <v>N/A</v>
      </c>
      <c r="AC596" s="58" t="str" cm="1">
        <f t="array" ref="AC596">_xlfn._xlws.FILTER(Teams[teamType], Fixtures[[#This Row],[oppTeam]] = Teams[name], "N/A")</f>
        <v>N/A</v>
      </c>
      <c r="AD596" s="58" t="str">
        <f>IF(ISBLANK(Fixtures[[#This Row],[date]]), "N/A", IF(Fixtures[[#This Row],[userSide]]="H", Fixtures[[#This Row],[homeScore]], Fixtures[[#This Row],[awayScore]]))</f>
        <v>N/A</v>
      </c>
      <c r="AE596" s="58" t="str">
        <f>IF(ISBLANK(Fixtures[[#This Row],[date]]), "N/A", IF(Fixtures[[#This Row],[userScore]] = Fixtures[[#This Row],[homeScore]], Fixtures[[#This Row],[awayScore]], Fixtures[[#This Row],[homeScore]]))</f>
        <v>N/A</v>
      </c>
      <c r="AF596" s="58" t="b">
        <f>NOT(AND(ISBLANK(Fixtures[[#This Row],[homePens]]), ISBLANK(Fixtures[[#This Row],[awayPens]])))</f>
        <v>0</v>
      </c>
      <c r="AG596" s="58" t="str">
        <f>IF(Fixtures[[#This Row],[penalties]], IF(Fixtures[[#This Row],[userSide]]="H", Fixtures[[#This Row],[homePens]], Fixtures[[#This Row],[awayPens]]), "N/A")</f>
        <v>N/A</v>
      </c>
      <c r="AH596" s="58" t="str">
        <f>IF(Fixtures[[#This Row],[penalties]], IF(Fixtures[[#This Row],[userPens]]=Fixtures[[#This Row],[homePens]],Fixtures[[#This Row],[awayPens]],Fixtures[[#This Row],[homePens]]), "N/A")</f>
        <v>N/A</v>
      </c>
      <c r="AI596" s="58" t="b">
        <f>COUNTBLANK(Fixtures[[#This Row],[G]:[MOTM]]) = 0</f>
        <v>0</v>
      </c>
      <c r="AJ596" s="58" t="str">
        <f>IF(Fixtures[[#This Row],[APP]], Fixtures[[#This Row],[G]]+Fixtures[[#This Row],[A]], "N/A")</f>
        <v>N/A</v>
      </c>
      <c r="AK5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7" spans="1:39" ht="13">
      <c r="A597" s="55"/>
      <c r="B597" s="61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7"/>
      <c r="R597" s="56"/>
      <c r="S597" s="58" t="str" cm="1">
        <f t="array" ref="S597">_xlfn._xlws.FILTER(Competitions[compType], (Fixtures[[#This Row],[competition]] = Competitions[name]), "N/A")</f>
        <v>N/A</v>
      </c>
      <c r="T597" s="58" t="str" cm="1">
        <f t="array" ref="T597">_xlfn._xlws.FILTER(Competitions[exhibition], (Fixtures[[#This Row],[competition]] = Competitions[name]), "N/A")</f>
        <v>N/A</v>
      </c>
      <c r="U597" s="58" t="str" cm="1">
        <f t="array" ref="U597">_xlfn._xlws.FILTER(Competitions[compID], (Fixtures[[#This Row],[competition]] = Competitions[name]), "N/A")</f>
        <v>N/A</v>
      </c>
      <c r="V5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7" s="58" t="str" cm="1">
        <f t="array" ref="W5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7" s="58" t="str" cm="1">
        <f t="array" ref="X597">_xlfn._xlws.FILTER(Teams[name], (Fixtures[[#This Row],[userTeamID]] = Teams[teamID]), "N/A")</f>
        <v>N/A</v>
      </c>
      <c r="Y597" s="58" t="str" cm="1">
        <f t="array" ref="Y597">_xlfn._xlws.FILTER(Teams[teamType], (Fixtures[[#This Row],[userTeamID]] = Teams[teamID]), "N/A")</f>
        <v>N/A</v>
      </c>
      <c r="Z597" s="58" t="str" cm="1">
        <f t="array" ref="Z5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7" s="58" t="str">
        <f>IF(Fixtures[[#This Row],[userSide]] = "N/A", "N/A", IF(Fixtures[[#This Row],[userSide]] = "H", Fixtures[[#This Row],[awayTeam]], Fixtures[[#This Row],[homeTeam]]))</f>
        <v>N/A</v>
      </c>
      <c r="AB597" s="58" t="str" cm="1">
        <f t="array" ref="AB597">_xlfn._xlws.FILTER(Teams[teamID], Fixtures[[#This Row],[oppTeam]] = Teams[name], "N/A")</f>
        <v>N/A</v>
      </c>
      <c r="AC597" s="58" t="str" cm="1">
        <f t="array" ref="AC597">_xlfn._xlws.FILTER(Teams[teamType], Fixtures[[#This Row],[oppTeam]] = Teams[name], "N/A")</f>
        <v>N/A</v>
      </c>
      <c r="AD597" s="58" t="str">
        <f>IF(ISBLANK(Fixtures[[#This Row],[date]]), "N/A", IF(Fixtures[[#This Row],[userSide]]="H", Fixtures[[#This Row],[homeScore]], Fixtures[[#This Row],[awayScore]]))</f>
        <v>N/A</v>
      </c>
      <c r="AE597" s="58" t="str">
        <f>IF(ISBLANK(Fixtures[[#This Row],[date]]), "N/A", IF(Fixtures[[#This Row],[userScore]] = Fixtures[[#This Row],[homeScore]], Fixtures[[#This Row],[awayScore]], Fixtures[[#This Row],[homeScore]]))</f>
        <v>N/A</v>
      </c>
      <c r="AF597" s="58" t="b">
        <f>NOT(AND(ISBLANK(Fixtures[[#This Row],[homePens]]), ISBLANK(Fixtures[[#This Row],[awayPens]])))</f>
        <v>0</v>
      </c>
      <c r="AG597" s="58" t="str">
        <f>IF(Fixtures[[#This Row],[penalties]], IF(Fixtures[[#This Row],[userSide]]="H", Fixtures[[#This Row],[homePens]], Fixtures[[#This Row],[awayPens]]), "N/A")</f>
        <v>N/A</v>
      </c>
      <c r="AH597" s="58" t="str">
        <f>IF(Fixtures[[#This Row],[penalties]], IF(Fixtures[[#This Row],[userPens]]=Fixtures[[#This Row],[homePens]],Fixtures[[#This Row],[awayPens]],Fixtures[[#This Row],[homePens]]), "N/A")</f>
        <v>N/A</v>
      </c>
      <c r="AI597" s="58" t="b">
        <f>COUNTBLANK(Fixtures[[#This Row],[G]:[MOTM]]) = 0</f>
        <v>0</v>
      </c>
      <c r="AJ597" s="58" t="str">
        <f>IF(Fixtures[[#This Row],[APP]], Fixtures[[#This Row],[G]]+Fixtures[[#This Row],[A]], "N/A")</f>
        <v>N/A</v>
      </c>
      <c r="AK5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8" spans="1:39" ht="13">
      <c r="A598" s="55"/>
      <c r="B598" s="61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7"/>
      <c r="R598" s="56"/>
      <c r="S598" s="58" t="str" cm="1">
        <f t="array" ref="S598">_xlfn._xlws.FILTER(Competitions[compType], (Fixtures[[#This Row],[competition]] = Competitions[name]), "N/A")</f>
        <v>N/A</v>
      </c>
      <c r="T598" s="58" t="str" cm="1">
        <f t="array" ref="T598">_xlfn._xlws.FILTER(Competitions[exhibition], (Fixtures[[#This Row],[competition]] = Competitions[name]), "N/A")</f>
        <v>N/A</v>
      </c>
      <c r="U598" s="58" t="str" cm="1">
        <f t="array" ref="U598">_xlfn._xlws.FILTER(Competitions[compID], (Fixtures[[#This Row],[competition]] = Competitions[name]), "N/A")</f>
        <v>N/A</v>
      </c>
      <c r="V5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8" s="58" t="str" cm="1">
        <f t="array" ref="W5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8" s="58" t="str" cm="1">
        <f t="array" ref="X598">_xlfn._xlws.FILTER(Teams[name], (Fixtures[[#This Row],[userTeamID]] = Teams[teamID]), "N/A")</f>
        <v>N/A</v>
      </c>
      <c r="Y598" s="58" t="str" cm="1">
        <f t="array" ref="Y598">_xlfn._xlws.FILTER(Teams[teamType], (Fixtures[[#This Row],[userTeamID]] = Teams[teamID]), "N/A")</f>
        <v>N/A</v>
      </c>
      <c r="Z598" s="58" t="str" cm="1">
        <f t="array" ref="Z5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8" s="58" t="str">
        <f>IF(Fixtures[[#This Row],[userSide]] = "N/A", "N/A", IF(Fixtures[[#This Row],[userSide]] = "H", Fixtures[[#This Row],[awayTeam]], Fixtures[[#This Row],[homeTeam]]))</f>
        <v>N/A</v>
      </c>
      <c r="AB598" s="58" t="str" cm="1">
        <f t="array" ref="AB598">_xlfn._xlws.FILTER(Teams[teamID], Fixtures[[#This Row],[oppTeam]] = Teams[name], "N/A")</f>
        <v>N/A</v>
      </c>
      <c r="AC598" s="58" t="str" cm="1">
        <f t="array" ref="AC598">_xlfn._xlws.FILTER(Teams[teamType], Fixtures[[#This Row],[oppTeam]] = Teams[name], "N/A")</f>
        <v>N/A</v>
      </c>
      <c r="AD598" s="58" t="str">
        <f>IF(ISBLANK(Fixtures[[#This Row],[date]]), "N/A", IF(Fixtures[[#This Row],[userSide]]="H", Fixtures[[#This Row],[homeScore]], Fixtures[[#This Row],[awayScore]]))</f>
        <v>N/A</v>
      </c>
      <c r="AE598" s="58" t="str">
        <f>IF(ISBLANK(Fixtures[[#This Row],[date]]), "N/A", IF(Fixtures[[#This Row],[userScore]] = Fixtures[[#This Row],[homeScore]], Fixtures[[#This Row],[awayScore]], Fixtures[[#This Row],[homeScore]]))</f>
        <v>N/A</v>
      </c>
      <c r="AF598" s="58" t="b">
        <f>NOT(AND(ISBLANK(Fixtures[[#This Row],[homePens]]), ISBLANK(Fixtures[[#This Row],[awayPens]])))</f>
        <v>0</v>
      </c>
      <c r="AG598" s="58" t="str">
        <f>IF(Fixtures[[#This Row],[penalties]], IF(Fixtures[[#This Row],[userSide]]="H", Fixtures[[#This Row],[homePens]], Fixtures[[#This Row],[awayPens]]), "N/A")</f>
        <v>N/A</v>
      </c>
      <c r="AH598" s="58" t="str">
        <f>IF(Fixtures[[#This Row],[penalties]], IF(Fixtures[[#This Row],[userPens]]=Fixtures[[#This Row],[homePens]],Fixtures[[#This Row],[awayPens]],Fixtures[[#This Row],[homePens]]), "N/A")</f>
        <v>N/A</v>
      </c>
      <c r="AI598" s="58" t="b">
        <f>COUNTBLANK(Fixtures[[#This Row],[G]:[MOTM]]) = 0</f>
        <v>0</v>
      </c>
      <c r="AJ598" s="58" t="str">
        <f>IF(Fixtures[[#This Row],[APP]], Fixtures[[#This Row],[G]]+Fixtures[[#This Row],[A]], "N/A")</f>
        <v>N/A</v>
      </c>
      <c r="AK5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599" spans="1:39" ht="13">
      <c r="A599" s="55"/>
      <c r="B599" s="61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7"/>
      <c r="R599" s="56"/>
      <c r="S599" s="58" t="str" cm="1">
        <f t="array" ref="S599">_xlfn._xlws.FILTER(Competitions[compType], (Fixtures[[#This Row],[competition]] = Competitions[name]), "N/A")</f>
        <v>N/A</v>
      </c>
      <c r="T599" s="58" t="str" cm="1">
        <f t="array" ref="T599">_xlfn._xlws.FILTER(Competitions[exhibition], (Fixtures[[#This Row],[competition]] = Competitions[name]), "N/A")</f>
        <v>N/A</v>
      </c>
      <c r="U599" s="58" t="str" cm="1">
        <f t="array" ref="U599">_xlfn._xlws.FILTER(Competitions[compID], (Fixtures[[#This Row],[competition]] = Competitions[name]), "N/A")</f>
        <v>N/A</v>
      </c>
      <c r="V5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599" s="58" t="str" cm="1">
        <f t="array" ref="W5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599" s="58" t="str" cm="1">
        <f t="array" ref="X599">_xlfn._xlws.FILTER(Teams[name], (Fixtures[[#This Row],[userTeamID]] = Teams[teamID]), "N/A")</f>
        <v>N/A</v>
      </c>
      <c r="Y599" s="58" t="str" cm="1">
        <f t="array" ref="Y599">_xlfn._xlws.FILTER(Teams[teamType], (Fixtures[[#This Row],[userTeamID]] = Teams[teamID]), "N/A")</f>
        <v>N/A</v>
      </c>
      <c r="Z599" s="58" t="str" cm="1">
        <f t="array" ref="Z5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599" s="58" t="str">
        <f>IF(Fixtures[[#This Row],[userSide]] = "N/A", "N/A", IF(Fixtures[[#This Row],[userSide]] = "H", Fixtures[[#This Row],[awayTeam]], Fixtures[[#This Row],[homeTeam]]))</f>
        <v>N/A</v>
      </c>
      <c r="AB599" s="58" t="str" cm="1">
        <f t="array" ref="AB599">_xlfn._xlws.FILTER(Teams[teamID], Fixtures[[#This Row],[oppTeam]] = Teams[name], "N/A")</f>
        <v>N/A</v>
      </c>
      <c r="AC599" s="58" t="str" cm="1">
        <f t="array" ref="AC599">_xlfn._xlws.FILTER(Teams[teamType], Fixtures[[#This Row],[oppTeam]] = Teams[name], "N/A")</f>
        <v>N/A</v>
      </c>
      <c r="AD599" s="58" t="str">
        <f>IF(ISBLANK(Fixtures[[#This Row],[date]]), "N/A", IF(Fixtures[[#This Row],[userSide]]="H", Fixtures[[#This Row],[homeScore]], Fixtures[[#This Row],[awayScore]]))</f>
        <v>N/A</v>
      </c>
      <c r="AE599" s="58" t="str">
        <f>IF(ISBLANK(Fixtures[[#This Row],[date]]), "N/A", IF(Fixtures[[#This Row],[userScore]] = Fixtures[[#This Row],[homeScore]], Fixtures[[#This Row],[awayScore]], Fixtures[[#This Row],[homeScore]]))</f>
        <v>N/A</v>
      </c>
      <c r="AF599" s="58" t="b">
        <f>NOT(AND(ISBLANK(Fixtures[[#This Row],[homePens]]), ISBLANK(Fixtures[[#This Row],[awayPens]])))</f>
        <v>0</v>
      </c>
      <c r="AG599" s="58" t="str">
        <f>IF(Fixtures[[#This Row],[penalties]], IF(Fixtures[[#This Row],[userSide]]="H", Fixtures[[#This Row],[homePens]], Fixtures[[#This Row],[awayPens]]), "N/A")</f>
        <v>N/A</v>
      </c>
      <c r="AH599" s="58" t="str">
        <f>IF(Fixtures[[#This Row],[penalties]], IF(Fixtures[[#This Row],[userPens]]=Fixtures[[#This Row],[homePens]],Fixtures[[#This Row],[awayPens]],Fixtures[[#This Row],[homePens]]), "N/A")</f>
        <v>N/A</v>
      </c>
      <c r="AI599" s="58" t="b">
        <f>COUNTBLANK(Fixtures[[#This Row],[G]:[MOTM]]) = 0</f>
        <v>0</v>
      </c>
      <c r="AJ599" s="58" t="str">
        <f>IF(Fixtures[[#This Row],[APP]], Fixtures[[#This Row],[G]]+Fixtures[[#This Row],[A]], "N/A")</f>
        <v>N/A</v>
      </c>
      <c r="AK5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5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5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0" spans="1:39" ht="13">
      <c r="A600" s="55"/>
      <c r="B600" s="61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7"/>
      <c r="R600" s="56"/>
      <c r="S600" s="58" t="str" cm="1">
        <f t="array" ref="S600">_xlfn._xlws.FILTER(Competitions[compType], (Fixtures[[#This Row],[competition]] = Competitions[name]), "N/A")</f>
        <v>N/A</v>
      </c>
      <c r="T600" s="58" t="str" cm="1">
        <f t="array" ref="T600">_xlfn._xlws.FILTER(Competitions[exhibition], (Fixtures[[#This Row],[competition]] = Competitions[name]), "N/A")</f>
        <v>N/A</v>
      </c>
      <c r="U600" s="58" t="str" cm="1">
        <f t="array" ref="U600">_xlfn._xlws.FILTER(Competitions[compID], (Fixtures[[#This Row],[competition]] = Competitions[name]), "N/A")</f>
        <v>N/A</v>
      </c>
      <c r="V6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0" s="58" t="str" cm="1">
        <f t="array" ref="W6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0" s="58" t="str" cm="1">
        <f t="array" ref="X600">_xlfn._xlws.FILTER(Teams[name], (Fixtures[[#This Row],[userTeamID]] = Teams[teamID]), "N/A")</f>
        <v>N/A</v>
      </c>
      <c r="Y600" s="58" t="str" cm="1">
        <f t="array" ref="Y600">_xlfn._xlws.FILTER(Teams[teamType], (Fixtures[[#This Row],[userTeamID]] = Teams[teamID]), "N/A")</f>
        <v>N/A</v>
      </c>
      <c r="Z600" s="58" t="str" cm="1">
        <f t="array" ref="Z6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0" s="58" t="str">
        <f>IF(Fixtures[[#This Row],[userSide]] = "N/A", "N/A", IF(Fixtures[[#This Row],[userSide]] = "H", Fixtures[[#This Row],[awayTeam]], Fixtures[[#This Row],[homeTeam]]))</f>
        <v>N/A</v>
      </c>
      <c r="AB600" s="58" t="str" cm="1">
        <f t="array" ref="AB600">_xlfn._xlws.FILTER(Teams[teamID], Fixtures[[#This Row],[oppTeam]] = Teams[name], "N/A")</f>
        <v>N/A</v>
      </c>
      <c r="AC600" s="58" t="str" cm="1">
        <f t="array" ref="AC600">_xlfn._xlws.FILTER(Teams[teamType], Fixtures[[#This Row],[oppTeam]] = Teams[name], "N/A")</f>
        <v>N/A</v>
      </c>
      <c r="AD600" s="58" t="str">
        <f>IF(ISBLANK(Fixtures[[#This Row],[date]]), "N/A", IF(Fixtures[[#This Row],[userSide]]="H", Fixtures[[#This Row],[homeScore]], Fixtures[[#This Row],[awayScore]]))</f>
        <v>N/A</v>
      </c>
      <c r="AE600" s="58" t="str">
        <f>IF(ISBLANK(Fixtures[[#This Row],[date]]), "N/A", IF(Fixtures[[#This Row],[userScore]] = Fixtures[[#This Row],[homeScore]], Fixtures[[#This Row],[awayScore]], Fixtures[[#This Row],[homeScore]]))</f>
        <v>N/A</v>
      </c>
      <c r="AF600" s="58" t="b">
        <f>NOT(AND(ISBLANK(Fixtures[[#This Row],[homePens]]), ISBLANK(Fixtures[[#This Row],[awayPens]])))</f>
        <v>0</v>
      </c>
      <c r="AG600" s="58" t="str">
        <f>IF(Fixtures[[#This Row],[penalties]], IF(Fixtures[[#This Row],[userSide]]="H", Fixtures[[#This Row],[homePens]], Fixtures[[#This Row],[awayPens]]), "N/A")</f>
        <v>N/A</v>
      </c>
      <c r="AH600" s="58" t="str">
        <f>IF(Fixtures[[#This Row],[penalties]], IF(Fixtures[[#This Row],[userPens]]=Fixtures[[#This Row],[homePens]],Fixtures[[#This Row],[awayPens]],Fixtures[[#This Row],[homePens]]), "N/A")</f>
        <v>N/A</v>
      </c>
      <c r="AI600" s="58" t="b">
        <f>COUNTBLANK(Fixtures[[#This Row],[G]:[MOTM]]) = 0</f>
        <v>0</v>
      </c>
      <c r="AJ600" s="58" t="str">
        <f>IF(Fixtures[[#This Row],[APP]], Fixtures[[#This Row],[G]]+Fixtures[[#This Row],[A]], "N/A")</f>
        <v>N/A</v>
      </c>
      <c r="AK6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1" spans="1:39" ht="13">
      <c r="A601" s="55"/>
      <c r="B601" s="61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7"/>
      <c r="R601" s="56"/>
      <c r="S601" s="58" t="str" cm="1">
        <f t="array" ref="S601">_xlfn._xlws.FILTER(Competitions[compType], (Fixtures[[#This Row],[competition]] = Competitions[name]), "N/A")</f>
        <v>N/A</v>
      </c>
      <c r="T601" s="58" t="str" cm="1">
        <f t="array" ref="T601">_xlfn._xlws.FILTER(Competitions[exhibition], (Fixtures[[#This Row],[competition]] = Competitions[name]), "N/A")</f>
        <v>N/A</v>
      </c>
      <c r="U601" s="58" t="str" cm="1">
        <f t="array" ref="U601">_xlfn._xlws.FILTER(Competitions[compID], (Fixtures[[#This Row],[competition]] = Competitions[name]), "N/A")</f>
        <v>N/A</v>
      </c>
      <c r="V6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1" s="58" t="str" cm="1">
        <f t="array" ref="W6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1" s="58" t="str" cm="1">
        <f t="array" ref="X601">_xlfn._xlws.FILTER(Teams[name], (Fixtures[[#This Row],[userTeamID]] = Teams[teamID]), "N/A")</f>
        <v>N/A</v>
      </c>
      <c r="Y601" s="58" t="str" cm="1">
        <f t="array" ref="Y601">_xlfn._xlws.FILTER(Teams[teamType], (Fixtures[[#This Row],[userTeamID]] = Teams[teamID]), "N/A")</f>
        <v>N/A</v>
      </c>
      <c r="Z601" s="58" t="str" cm="1">
        <f t="array" ref="Z6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1" s="58" t="str">
        <f>IF(Fixtures[[#This Row],[userSide]] = "N/A", "N/A", IF(Fixtures[[#This Row],[userSide]] = "H", Fixtures[[#This Row],[awayTeam]], Fixtures[[#This Row],[homeTeam]]))</f>
        <v>N/A</v>
      </c>
      <c r="AB601" s="58" t="str" cm="1">
        <f t="array" ref="AB601">_xlfn._xlws.FILTER(Teams[teamID], Fixtures[[#This Row],[oppTeam]] = Teams[name], "N/A")</f>
        <v>N/A</v>
      </c>
      <c r="AC601" s="58" t="str" cm="1">
        <f t="array" ref="AC601">_xlfn._xlws.FILTER(Teams[teamType], Fixtures[[#This Row],[oppTeam]] = Teams[name], "N/A")</f>
        <v>N/A</v>
      </c>
      <c r="AD601" s="58" t="str">
        <f>IF(ISBLANK(Fixtures[[#This Row],[date]]), "N/A", IF(Fixtures[[#This Row],[userSide]]="H", Fixtures[[#This Row],[homeScore]], Fixtures[[#This Row],[awayScore]]))</f>
        <v>N/A</v>
      </c>
      <c r="AE601" s="58" t="str">
        <f>IF(ISBLANK(Fixtures[[#This Row],[date]]), "N/A", IF(Fixtures[[#This Row],[userScore]] = Fixtures[[#This Row],[homeScore]], Fixtures[[#This Row],[awayScore]], Fixtures[[#This Row],[homeScore]]))</f>
        <v>N/A</v>
      </c>
      <c r="AF601" s="58" t="b">
        <f>NOT(AND(ISBLANK(Fixtures[[#This Row],[homePens]]), ISBLANK(Fixtures[[#This Row],[awayPens]])))</f>
        <v>0</v>
      </c>
      <c r="AG601" s="58" t="str">
        <f>IF(Fixtures[[#This Row],[penalties]], IF(Fixtures[[#This Row],[userSide]]="H", Fixtures[[#This Row],[homePens]], Fixtures[[#This Row],[awayPens]]), "N/A")</f>
        <v>N/A</v>
      </c>
      <c r="AH601" s="58" t="str">
        <f>IF(Fixtures[[#This Row],[penalties]], IF(Fixtures[[#This Row],[userPens]]=Fixtures[[#This Row],[homePens]],Fixtures[[#This Row],[awayPens]],Fixtures[[#This Row],[homePens]]), "N/A")</f>
        <v>N/A</v>
      </c>
      <c r="AI601" s="58" t="b">
        <f>COUNTBLANK(Fixtures[[#This Row],[G]:[MOTM]]) = 0</f>
        <v>0</v>
      </c>
      <c r="AJ601" s="58" t="str">
        <f>IF(Fixtures[[#This Row],[APP]], Fixtures[[#This Row],[G]]+Fixtures[[#This Row],[A]], "N/A")</f>
        <v>N/A</v>
      </c>
      <c r="AK6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2" spans="1:39" ht="13">
      <c r="A602" s="55"/>
      <c r="B602" s="61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7"/>
      <c r="R602" s="56"/>
      <c r="S602" s="58" t="str" cm="1">
        <f t="array" ref="S602">_xlfn._xlws.FILTER(Competitions[compType], (Fixtures[[#This Row],[competition]] = Competitions[name]), "N/A")</f>
        <v>N/A</v>
      </c>
      <c r="T602" s="58" t="str" cm="1">
        <f t="array" ref="T602">_xlfn._xlws.FILTER(Competitions[exhibition], (Fixtures[[#This Row],[competition]] = Competitions[name]), "N/A")</f>
        <v>N/A</v>
      </c>
      <c r="U602" s="58" t="str" cm="1">
        <f t="array" ref="U602">_xlfn._xlws.FILTER(Competitions[compID], (Fixtures[[#This Row],[competition]] = Competitions[name]), "N/A")</f>
        <v>N/A</v>
      </c>
      <c r="V6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2" s="58" t="str" cm="1">
        <f t="array" ref="W6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2" s="58" t="str" cm="1">
        <f t="array" ref="X602">_xlfn._xlws.FILTER(Teams[name], (Fixtures[[#This Row],[userTeamID]] = Teams[teamID]), "N/A")</f>
        <v>N/A</v>
      </c>
      <c r="Y602" s="58" t="str" cm="1">
        <f t="array" ref="Y602">_xlfn._xlws.FILTER(Teams[teamType], (Fixtures[[#This Row],[userTeamID]] = Teams[teamID]), "N/A")</f>
        <v>N/A</v>
      </c>
      <c r="Z602" s="58" t="str" cm="1">
        <f t="array" ref="Z6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2" s="58" t="str">
        <f>IF(Fixtures[[#This Row],[userSide]] = "N/A", "N/A", IF(Fixtures[[#This Row],[userSide]] = "H", Fixtures[[#This Row],[awayTeam]], Fixtures[[#This Row],[homeTeam]]))</f>
        <v>N/A</v>
      </c>
      <c r="AB602" s="58" t="str" cm="1">
        <f t="array" ref="AB602">_xlfn._xlws.FILTER(Teams[teamID], Fixtures[[#This Row],[oppTeam]] = Teams[name], "N/A")</f>
        <v>N/A</v>
      </c>
      <c r="AC602" s="58" t="str" cm="1">
        <f t="array" ref="AC602">_xlfn._xlws.FILTER(Teams[teamType], Fixtures[[#This Row],[oppTeam]] = Teams[name], "N/A")</f>
        <v>N/A</v>
      </c>
      <c r="AD602" s="58" t="str">
        <f>IF(ISBLANK(Fixtures[[#This Row],[date]]), "N/A", IF(Fixtures[[#This Row],[userSide]]="H", Fixtures[[#This Row],[homeScore]], Fixtures[[#This Row],[awayScore]]))</f>
        <v>N/A</v>
      </c>
      <c r="AE602" s="58" t="str">
        <f>IF(ISBLANK(Fixtures[[#This Row],[date]]), "N/A", IF(Fixtures[[#This Row],[userScore]] = Fixtures[[#This Row],[homeScore]], Fixtures[[#This Row],[awayScore]], Fixtures[[#This Row],[homeScore]]))</f>
        <v>N/A</v>
      </c>
      <c r="AF602" s="58" t="b">
        <f>NOT(AND(ISBLANK(Fixtures[[#This Row],[homePens]]), ISBLANK(Fixtures[[#This Row],[awayPens]])))</f>
        <v>0</v>
      </c>
      <c r="AG602" s="58" t="str">
        <f>IF(Fixtures[[#This Row],[penalties]], IF(Fixtures[[#This Row],[userSide]]="H", Fixtures[[#This Row],[homePens]], Fixtures[[#This Row],[awayPens]]), "N/A")</f>
        <v>N/A</v>
      </c>
      <c r="AH602" s="58" t="str">
        <f>IF(Fixtures[[#This Row],[penalties]], IF(Fixtures[[#This Row],[userPens]]=Fixtures[[#This Row],[homePens]],Fixtures[[#This Row],[awayPens]],Fixtures[[#This Row],[homePens]]), "N/A")</f>
        <v>N/A</v>
      </c>
      <c r="AI602" s="58" t="b">
        <f>COUNTBLANK(Fixtures[[#This Row],[G]:[MOTM]]) = 0</f>
        <v>0</v>
      </c>
      <c r="AJ602" s="58" t="str">
        <f>IF(Fixtures[[#This Row],[APP]], Fixtures[[#This Row],[G]]+Fixtures[[#This Row],[A]], "N/A")</f>
        <v>N/A</v>
      </c>
      <c r="AK6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3" spans="1:39" ht="13">
      <c r="A603" s="55"/>
      <c r="B603" s="61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7"/>
      <c r="R603" s="56"/>
      <c r="S603" s="58" t="str" cm="1">
        <f t="array" ref="S603">_xlfn._xlws.FILTER(Competitions[compType], (Fixtures[[#This Row],[competition]] = Competitions[name]), "N/A")</f>
        <v>N/A</v>
      </c>
      <c r="T603" s="58" t="str" cm="1">
        <f t="array" ref="T603">_xlfn._xlws.FILTER(Competitions[exhibition], (Fixtures[[#This Row],[competition]] = Competitions[name]), "N/A")</f>
        <v>N/A</v>
      </c>
      <c r="U603" s="58" t="str" cm="1">
        <f t="array" ref="U603">_xlfn._xlws.FILTER(Competitions[compID], (Fixtures[[#This Row],[competition]] = Competitions[name]), "N/A")</f>
        <v>N/A</v>
      </c>
      <c r="V6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3" s="58" t="str" cm="1">
        <f t="array" ref="W6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3" s="58" t="str" cm="1">
        <f t="array" ref="X603">_xlfn._xlws.FILTER(Teams[name], (Fixtures[[#This Row],[userTeamID]] = Teams[teamID]), "N/A")</f>
        <v>N/A</v>
      </c>
      <c r="Y603" s="58" t="str" cm="1">
        <f t="array" ref="Y603">_xlfn._xlws.FILTER(Teams[teamType], (Fixtures[[#This Row],[userTeamID]] = Teams[teamID]), "N/A")</f>
        <v>N/A</v>
      </c>
      <c r="Z603" s="58" t="str" cm="1">
        <f t="array" ref="Z6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3" s="58" t="str">
        <f>IF(Fixtures[[#This Row],[userSide]] = "N/A", "N/A", IF(Fixtures[[#This Row],[userSide]] = "H", Fixtures[[#This Row],[awayTeam]], Fixtures[[#This Row],[homeTeam]]))</f>
        <v>N/A</v>
      </c>
      <c r="AB603" s="58" t="str" cm="1">
        <f t="array" ref="AB603">_xlfn._xlws.FILTER(Teams[teamID], Fixtures[[#This Row],[oppTeam]] = Teams[name], "N/A")</f>
        <v>N/A</v>
      </c>
      <c r="AC603" s="58" t="str" cm="1">
        <f t="array" ref="AC603">_xlfn._xlws.FILTER(Teams[teamType], Fixtures[[#This Row],[oppTeam]] = Teams[name], "N/A")</f>
        <v>N/A</v>
      </c>
      <c r="AD603" s="58" t="str">
        <f>IF(ISBLANK(Fixtures[[#This Row],[date]]), "N/A", IF(Fixtures[[#This Row],[userSide]]="H", Fixtures[[#This Row],[homeScore]], Fixtures[[#This Row],[awayScore]]))</f>
        <v>N/A</v>
      </c>
      <c r="AE603" s="58" t="str">
        <f>IF(ISBLANK(Fixtures[[#This Row],[date]]), "N/A", IF(Fixtures[[#This Row],[userScore]] = Fixtures[[#This Row],[homeScore]], Fixtures[[#This Row],[awayScore]], Fixtures[[#This Row],[homeScore]]))</f>
        <v>N/A</v>
      </c>
      <c r="AF603" s="58" t="b">
        <f>NOT(AND(ISBLANK(Fixtures[[#This Row],[homePens]]), ISBLANK(Fixtures[[#This Row],[awayPens]])))</f>
        <v>0</v>
      </c>
      <c r="AG603" s="58" t="str">
        <f>IF(Fixtures[[#This Row],[penalties]], IF(Fixtures[[#This Row],[userSide]]="H", Fixtures[[#This Row],[homePens]], Fixtures[[#This Row],[awayPens]]), "N/A")</f>
        <v>N/A</v>
      </c>
      <c r="AH603" s="58" t="str">
        <f>IF(Fixtures[[#This Row],[penalties]], IF(Fixtures[[#This Row],[userPens]]=Fixtures[[#This Row],[homePens]],Fixtures[[#This Row],[awayPens]],Fixtures[[#This Row],[homePens]]), "N/A")</f>
        <v>N/A</v>
      </c>
      <c r="AI603" s="58" t="b">
        <f>COUNTBLANK(Fixtures[[#This Row],[G]:[MOTM]]) = 0</f>
        <v>0</v>
      </c>
      <c r="AJ603" s="58" t="str">
        <f>IF(Fixtures[[#This Row],[APP]], Fixtures[[#This Row],[G]]+Fixtures[[#This Row],[A]], "N/A")</f>
        <v>N/A</v>
      </c>
      <c r="AK6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4" spans="1:39" ht="13">
      <c r="A604" s="55"/>
      <c r="B604" s="61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7"/>
      <c r="R604" s="56"/>
      <c r="S604" s="58" t="str" cm="1">
        <f t="array" ref="S604">_xlfn._xlws.FILTER(Competitions[compType], (Fixtures[[#This Row],[competition]] = Competitions[name]), "N/A")</f>
        <v>N/A</v>
      </c>
      <c r="T604" s="58" t="str" cm="1">
        <f t="array" ref="T604">_xlfn._xlws.FILTER(Competitions[exhibition], (Fixtures[[#This Row],[competition]] = Competitions[name]), "N/A")</f>
        <v>N/A</v>
      </c>
      <c r="U604" s="58" t="str" cm="1">
        <f t="array" ref="U604">_xlfn._xlws.FILTER(Competitions[compID], (Fixtures[[#This Row],[competition]] = Competitions[name]), "N/A")</f>
        <v>N/A</v>
      </c>
      <c r="V6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4" s="58" t="str" cm="1">
        <f t="array" ref="W6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4" s="58" t="str" cm="1">
        <f t="array" ref="X604">_xlfn._xlws.FILTER(Teams[name], (Fixtures[[#This Row],[userTeamID]] = Teams[teamID]), "N/A")</f>
        <v>N/A</v>
      </c>
      <c r="Y604" s="58" t="str" cm="1">
        <f t="array" ref="Y604">_xlfn._xlws.FILTER(Teams[teamType], (Fixtures[[#This Row],[userTeamID]] = Teams[teamID]), "N/A")</f>
        <v>N/A</v>
      </c>
      <c r="Z604" s="58" t="str" cm="1">
        <f t="array" ref="Z6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4" s="58" t="str">
        <f>IF(Fixtures[[#This Row],[userSide]] = "N/A", "N/A", IF(Fixtures[[#This Row],[userSide]] = "H", Fixtures[[#This Row],[awayTeam]], Fixtures[[#This Row],[homeTeam]]))</f>
        <v>N/A</v>
      </c>
      <c r="AB604" s="58" t="str" cm="1">
        <f t="array" ref="AB604">_xlfn._xlws.FILTER(Teams[teamID], Fixtures[[#This Row],[oppTeam]] = Teams[name], "N/A")</f>
        <v>N/A</v>
      </c>
      <c r="AC604" s="58" t="str" cm="1">
        <f t="array" ref="AC604">_xlfn._xlws.FILTER(Teams[teamType], Fixtures[[#This Row],[oppTeam]] = Teams[name], "N/A")</f>
        <v>N/A</v>
      </c>
      <c r="AD604" s="58" t="str">
        <f>IF(ISBLANK(Fixtures[[#This Row],[date]]), "N/A", IF(Fixtures[[#This Row],[userSide]]="H", Fixtures[[#This Row],[homeScore]], Fixtures[[#This Row],[awayScore]]))</f>
        <v>N/A</v>
      </c>
      <c r="AE604" s="58" t="str">
        <f>IF(ISBLANK(Fixtures[[#This Row],[date]]), "N/A", IF(Fixtures[[#This Row],[userScore]] = Fixtures[[#This Row],[homeScore]], Fixtures[[#This Row],[awayScore]], Fixtures[[#This Row],[homeScore]]))</f>
        <v>N/A</v>
      </c>
      <c r="AF604" s="58" t="b">
        <f>NOT(AND(ISBLANK(Fixtures[[#This Row],[homePens]]), ISBLANK(Fixtures[[#This Row],[awayPens]])))</f>
        <v>0</v>
      </c>
      <c r="AG604" s="58" t="str">
        <f>IF(Fixtures[[#This Row],[penalties]], IF(Fixtures[[#This Row],[userSide]]="H", Fixtures[[#This Row],[homePens]], Fixtures[[#This Row],[awayPens]]), "N/A")</f>
        <v>N/A</v>
      </c>
      <c r="AH604" s="58" t="str">
        <f>IF(Fixtures[[#This Row],[penalties]], IF(Fixtures[[#This Row],[userPens]]=Fixtures[[#This Row],[homePens]],Fixtures[[#This Row],[awayPens]],Fixtures[[#This Row],[homePens]]), "N/A")</f>
        <v>N/A</v>
      </c>
      <c r="AI604" s="58" t="b">
        <f>COUNTBLANK(Fixtures[[#This Row],[G]:[MOTM]]) = 0</f>
        <v>0</v>
      </c>
      <c r="AJ604" s="58" t="str">
        <f>IF(Fixtures[[#This Row],[APP]], Fixtures[[#This Row],[G]]+Fixtures[[#This Row],[A]], "N/A")</f>
        <v>N/A</v>
      </c>
      <c r="AK6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5" spans="1:39" ht="13">
      <c r="A605" s="55"/>
      <c r="B605" s="61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7"/>
      <c r="R605" s="56"/>
      <c r="S605" s="58" t="str" cm="1">
        <f t="array" ref="S605">_xlfn._xlws.FILTER(Competitions[compType], (Fixtures[[#This Row],[competition]] = Competitions[name]), "N/A")</f>
        <v>N/A</v>
      </c>
      <c r="T605" s="58" t="str" cm="1">
        <f t="array" ref="T605">_xlfn._xlws.FILTER(Competitions[exhibition], (Fixtures[[#This Row],[competition]] = Competitions[name]), "N/A")</f>
        <v>N/A</v>
      </c>
      <c r="U605" s="58" t="str" cm="1">
        <f t="array" ref="U605">_xlfn._xlws.FILTER(Competitions[compID], (Fixtures[[#This Row],[competition]] = Competitions[name]), "N/A")</f>
        <v>N/A</v>
      </c>
      <c r="V6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5" s="58" t="str" cm="1">
        <f t="array" ref="W6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5" s="58" t="str" cm="1">
        <f t="array" ref="X605">_xlfn._xlws.FILTER(Teams[name], (Fixtures[[#This Row],[userTeamID]] = Teams[teamID]), "N/A")</f>
        <v>N/A</v>
      </c>
      <c r="Y605" s="58" t="str" cm="1">
        <f t="array" ref="Y605">_xlfn._xlws.FILTER(Teams[teamType], (Fixtures[[#This Row],[userTeamID]] = Teams[teamID]), "N/A")</f>
        <v>N/A</v>
      </c>
      <c r="Z605" s="58" t="str" cm="1">
        <f t="array" ref="Z6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5" s="58" t="str">
        <f>IF(Fixtures[[#This Row],[userSide]] = "N/A", "N/A", IF(Fixtures[[#This Row],[userSide]] = "H", Fixtures[[#This Row],[awayTeam]], Fixtures[[#This Row],[homeTeam]]))</f>
        <v>N/A</v>
      </c>
      <c r="AB605" s="58" t="str" cm="1">
        <f t="array" ref="AB605">_xlfn._xlws.FILTER(Teams[teamID], Fixtures[[#This Row],[oppTeam]] = Teams[name], "N/A")</f>
        <v>N/A</v>
      </c>
      <c r="AC605" s="58" t="str" cm="1">
        <f t="array" ref="AC605">_xlfn._xlws.FILTER(Teams[teamType], Fixtures[[#This Row],[oppTeam]] = Teams[name], "N/A")</f>
        <v>N/A</v>
      </c>
      <c r="AD605" s="58" t="str">
        <f>IF(ISBLANK(Fixtures[[#This Row],[date]]), "N/A", IF(Fixtures[[#This Row],[userSide]]="H", Fixtures[[#This Row],[homeScore]], Fixtures[[#This Row],[awayScore]]))</f>
        <v>N/A</v>
      </c>
      <c r="AE605" s="58" t="str">
        <f>IF(ISBLANK(Fixtures[[#This Row],[date]]), "N/A", IF(Fixtures[[#This Row],[userScore]] = Fixtures[[#This Row],[homeScore]], Fixtures[[#This Row],[awayScore]], Fixtures[[#This Row],[homeScore]]))</f>
        <v>N/A</v>
      </c>
      <c r="AF605" s="58" t="b">
        <f>NOT(AND(ISBLANK(Fixtures[[#This Row],[homePens]]), ISBLANK(Fixtures[[#This Row],[awayPens]])))</f>
        <v>0</v>
      </c>
      <c r="AG605" s="58" t="str">
        <f>IF(Fixtures[[#This Row],[penalties]], IF(Fixtures[[#This Row],[userSide]]="H", Fixtures[[#This Row],[homePens]], Fixtures[[#This Row],[awayPens]]), "N/A")</f>
        <v>N/A</v>
      </c>
      <c r="AH605" s="58" t="str">
        <f>IF(Fixtures[[#This Row],[penalties]], IF(Fixtures[[#This Row],[userPens]]=Fixtures[[#This Row],[homePens]],Fixtures[[#This Row],[awayPens]],Fixtures[[#This Row],[homePens]]), "N/A")</f>
        <v>N/A</v>
      </c>
      <c r="AI605" s="58" t="b">
        <f>COUNTBLANK(Fixtures[[#This Row],[G]:[MOTM]]) = 0</f>
        <v>0</v>
      </c>
      <c r="AJ605" s="58" t="str">
        <f>IF(Fixtures[[#This Row],[APP]], Fixtures[[#This Row],[G]]+Fixtures[[#This Row],[A]], "N/A")</f>
        <v>N/A</v>
      </c>
      <c r="AK6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6" spans="1:39" ht="13">
      <c r="A606" s="55"/>
      <c r="B606" s="61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7"/>
      <c r="R606" s="56"/>
      <c r="S606" s="58" t="str" cm="1">
        <f t="array" ref="S606">_xlfn._xlws.FILTER(Competitions[compType], (Fixtures[[#This Row],[competition]] = Competitions[name]), "N/A")</f>
        <v>N/A</v>
      </c>
      <c r="T606" s="58" t="str" cm="1">
        <f t="array" ref="T606">_xlfn._xlws.FILTER(Competitions[exhibition], (Fixtures[[#This Row],[competition]] = Competitions[name]), "N/A")</f>
        <v>N/A</v>
      </c>
      <c r="U606" s="58" t="str" cm="1">
        <f t="array" ref="U606">_xlfn._xlws.FILTER(Competitions[compID], (Fixtures[[#This Row],[competition]] = Competitions[name]), "N/A")</f>
        <v>N/A</v>
      </c>
      <c r="V6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6" s="58" t="str" cm="1">
        <f t="array" ref="W6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6" s="58" t="str" cm="1">
        <f t="array" ref="X606">_xlfn._xlws.FILTER(Teams[name], (Fixtures[[#This Row],[userTeamID]] = Teams[teamID]), "N/A")</f>
        <v>N/A</v>
      </c>
      <c r="Y606" s="58" t="str" cm="1">
        <f t="array" ref="Y606">_xlfn._xlws.FILTER(Teams[teamType], (Fixtures[[#This Row],[userTeamID]] = Teams[teamID]), "N/A")</f>
        <v>N/A</v>
      </c>
      <c r="Z606" s="58" t="str" cm="1">
        <f t="array" ref="Z6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6" s="58" t="str">
        <f>IF(Fixtures[[#This Row],[userSide]] = "N/A", "N/A", IF(Fixtures[[#This Row],[userSide]] = "H", Fixtures[[#This Row],[awayTeam]], Fixtures[[#This Row],[homeTeam]]))</f>
        <v>N/A</v>
      </c>
      <c r="AB606" s="58" t="str" cm="1">
        <f t="array" ref="AB606">_xlfn._xlws.FILTER(Teams[teamID], Fixtures[[#This Row],[oppTeam]] = Teams[name], "N/A")</f>
        <v>N/A</v>
      </c>
      <c r="AC606" s="58" t="str" cm="1">
        <f t="array" ref="AC606">_xlfn._xlws.FILTER(Teams[teamType], Fixtures[[#This Row],[oppTeam]] = Teams[name], "N/A")</f>
        <v>N/A</v>
      </c>
      <c r="AD606" s="58" t="str">
        <f>IF(ISBLANK(Fixtures[[#This Row],[date]]), "N/A", IF(Fixtures[[#This Row],[userSide]]="H", Fixtures[[#This Row],[homeScore]], Fixtures[[#This Row],[awayScore]]))</f>
        <v>N/A</v>
      </c>
      <c r="AE606" s="58" t="str">
        <f>IF(ISBLANK(Fixtures[[#This Row],[date]]), "N/A", IF(Fixtures[[#This Row],[userScore]] = Fixtures[[#This Row],[homeScore]], Fixtures[[#This Row],[awayScore]], Fixtures[[#This Row],[homeScore]]))</f>
        <v>N/A</v>
      </c>
      <c r="AF606" s="58" t="b">
        <f>NOT(AND(ISBLANK(Fixtures[[#This Row],[homePens]]), ISBLANK(Fixtures[[#This Row],[awayPens]])))</f>
        <v>0</v>
      </c>
      <c r="AG606" s="58" t="str">
        <f>IF(Fixtures[[#This Row],[penalties]], IF(Fixtures[[#This Row],[userSide]]="H", Fixtures[[#This Row],[homePens]], Fixtures[[#This Row],[awayPens]]), "N/A")</f>
        <v>N/A</v>
      </c>
      <c r="AH606" s="58" t="str">
        <f>IF(Fixtures[[#This Row],[penalties]], IF(Fixtures[[#This Row],[userPens]]=Fixtures[[#This Row],[homePens]],Fixtures[[#This Row],[awayPens]],Fixtures[[#This Row],[homePens]]), "N/A")</f>
        <v>N/A</v>
      </c>
      <c r="AI606" s="58" t="b">
        <f>COUNTBLANK(Fixtures[[#This Row],[G]:[MOTM]]) = 0</f>
        <v>0</v>
      </c>
      <c r="AJ606" s="58" t="str">
        <f>IF(Fixtures[[#This Row],[APP]], Fixtures[[#This Row],[G]]+Fixtures[[#This Row],[A]], "N/A")</f>
        <v>N/A</v>
      </c>
      <c r="AK6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7" spans="1:39" ht="13">
      <c r="A607" s="55"/>
      <c r="B607" s="61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7"/>
      <c r="R607" s="56"/>
      <c r="S607" s="58" t="str" cm="1">
        <f t="array" ref="S607">_xlfn._xlws.FILTER(Competitions[compType], (Fixtures[[#This Row],[competition]] = Competitions[name]), "N/A")</f>
        <v>N/A</v>
      </c>
      <c r="T607" s="58" t="str" cm="1">
        <f t="array" ref="T607">_xlfn._xlws.FILTER(Competitions[exhibition], (Fixtures[[#This Row],[competition]] = Competitions[name]), "N/A")</f>
        <v>N/A</v>
      </c>
      <c r="U607" s="58" t="str" cm="1">
        <f t="array" ref="U607">_xlfn._xlws.FILTER(Competitions[compID], (Fixtures[[#This Row],[competition]] = Competitions[name]), "N/A")</f>
        <v>N/A</v>
      </c>
      <c r="V6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7" s="58" t="str" cm="1">
        <f t="array" ref="W6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7" s="58" t="str" cm="1">
        <f t="array" ref="X607">_xlfn._xlws.FILTER(Teams[name], (Fixtures[[#This Row],[userTeamID]] = Teams[teamID]), "N/A")</f>
        <v>N/A</v>
      </c>
      <c r="Y607" s="58" t="str" cm="1">
        <f t="array" ref="Y607">_xlfn._xlws.FILTER(Teams[teamType], (Fixtures[[#This Row],[userTeamID]] = Teams[teamID]), "N/A")</f>
        <v>N/A</v>
      </c>
      <c r="Z607" s="58" t="str" cm="1">
        <f t="array" ref="Z6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7" s="58" t="str">
        <f>IF(Fixtures[[#This Row],[userSide]] = "N/A", "N/A", IF(Fixtures[[#This Row],[userSide]] = "H", Fixtures[[#This Row],[awayTeam]], Fixtures[[#This Row],[homeTeam]]))</f>
        <v>N/A</v>
      </c>
      <c r="AB607" s="58" t="str" cm="1">
        <f t="array" ref="AB607">_xlfn._xlws.FILTER(Teams[teamID], Fixtures[[#This Row],[oppTeam]] = Teams[name], "N/A")</f>
        <v>N/A</v>
      </c>
      <c r="AC607" s="58" t="str" cm="1">
        <f t="array" ref="AC607">_xlfn._xlws.FILTER(Teams[teamType], Fixtures[[#This Row],[oppTeam]] = Teams[name], "N/A")</f>
        <v>N/A</v>
      </c>
      <c r="AD607" s="58" t="str">
        <f>IF(ISBLANK(Fixtures[[#This Row],[date]]), "N/A", IF(Fixtures[[#This Row],[userSide]]="H", Fixtures[[#This Row],[homeScore]], Fixtures[[#This Row],[awayScore]]))</f>
        <v>N/A</v>
      </c>
      <c r="AE607" s="58" t="str">
        <f>IF(ISBLANK(Fixtures[[#This Row],[date]]), "N/A", IF(Fixtures[[#This Row],[userScore]] = Fixtures[[#This Row],[homeScore]], Fixtures[[#This Row],[awayScore]], Fixtures[[#This Row],[homeScore]]))</f>
        <v>N/A</v>
      </c>
      <c r="AF607" s="58" t="b">
        <f>NOT(AND(ISBLANK(Fixtures[[#This Row],[homePens]]), ISBLANK(Fixtures[[#This Row],[awayPens]])))</f>
        <v>0</v>
      </c>
      <c r="AG607" s="58" t="str">
        <f>IF(Fixtures[[#This Row],[penalties]], IF(Fixtures[[#This Row],[userSide]]="H", Fixtures[[#This Row],[homePens]], Fixtures[[#This Row],[awayPens]]), "N/A")</f>
        <v>N/A</v>
      </c>
      <c r="AH607" s="58" t="str">
        <f>IF(Fixtures[[#This Row],[penalties]], IF(Fixtures[[#This Row],[userPens]]=Fixtures[[#This Row],[homePens]],Fixtures[[#This Row],[awayPens]],Fixtures[[#This Row],[homePens]]), "N/A")</f>
        <v>N/A</v>
      </c>
      <c r="AI607" s="58" t="b">
        <f>COUNTBLANK(Fixtures[[#This Row],[G]:[MOTM]]) = 0</f>
        <v>0</v>
      </c>
      <c r="AJ607" s="58" t="str">
        <f>IF(Fixtures[[#This Row],[APP]], Fixtures[[#This Row],[G]]+Fixtures[[#This Row],[A]], "N/A")</f>
        <v>N/A</v>
      </c>
      <c r="AK6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8" spans="1:39" ht="13">
      <c r="A608" s="55"/>
      <c r="B608" s="61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7"/>
      <c r="R608" s="56"/>
      <c r="S608" s="58" t="str" cm="1">
        <f t="array" ref="S608">_xlfn._xlws.FILTER(Competitions[compType], (Fixtures[[#This Row],[competition]] = Competitions[name]), "N/A")</f>
        <v>N/A</v>
      </c>
      <c r="T608" s="58" t="str" cm="1">
        <f t="array" ref="T608">_xlfn._xlws.FILTER(Competitions[exhibition], (Fixtures[[#This Row],[competition]] = Competitions[name]), "N/A")</f>
        <v>N/A</v>
      </c>
      <c r="U608" s="58" t="str" cm="1">
        <f t="array" ref="U608">_xlfn._xlws.FILTER(Competitions[compID], (Fixtures[[#This Row],[competition]] = Competitions[name]), "N/A")</f>
        <v>N/A</v>
      </c>
      <c r="V6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8" s="58" t="str" cm="1">
        <f t="array" ref="W6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8" s="58" t="str" cm="1">
        <f t="array" ref="X608">_xlfn._xlws.FILTER(Teams[name], (Fixtures[[#This Row],[userTeamID]] = Teams[teamID]), "N/A")</f>
        <v>N/A</v>
      </c>
      <c r="Y608" s="58" t="str" cm="1">
        <f t="array" ref="Y608">_xlfn._xlws.FILTER(Teams[teamType], (Fixtures[[#This Row],[userTeamID]] = Teams[teamID]), "N/A")</f>
        <v>N/A</v>
      </c>
      <c r="Z608" s="58" t="str" cm="1">
        <f t="array" ref="Z6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8" s="58" t="str">
        <f>IF(Fixtures[[#This Row],[userSide]] = "N/A", "N/A", IF(Fixtures[[#This Row],[userSide]] = "H", Fixtures[[#This Row],[awayTeam]], Fixtures[[#This Row],[homeTeam]]))</f>
        <v>N/A</v>
      </c>
      <c r="AB608" s="58" t="str" cm="1">
        <f t="array" ref="AB608">_xlfn._xlws.FILTER(Teams[teamID], Fixtures[[#This Row],[oppTeam]] = Teams[name], "N/A")</f>
        <v>N/A</v>
      </c>
      <c r="AC608" s="58" t="str" cm="1">
        <f t="array" ref="AC608">_xlfn._xlws.FILTER(Teams[teamType], Fixtures[[#This Row],[oppTeam]] = Teams[name], "N/A")</f>
        <v>N/A</v>
      </c>
      <c r="AD608" s="58" t="str">
        <f>IF(ISBLANK(Fixtures[[#This Row],[date]]), "N/A", IF(Fixtures[[#This Row],[userSide]]="H", Fixtures[[#This Row],[homeScore]], Fixtures[[#This Row],[awayScore]]))</f>
        <v>N/A</v>
      </c>
      <c r="AE608" s="58" t="str">
        <f>IF(ISBLANK(Fixtures[[#This Row],[date]]), "N/A", IF(Fixtures[[#This Row],[userScore]] = Fixtures[[#This Row],[homeScore]], Fixtures[[#This Row],[awayScore]], Fixtures[[#This Row],[homeScore]]))</f>
        <v>N/A</v>
      </c>
      <c r="AF608" s="58" t="b">
        <f>NOT(AND(ISBLANK(Fixtures[[#This Row],[homePens]]), ISBLANK(Fixtures[[#This Row],[awayPens]])))</f>
        <v>0</v>
      </c>
      <c r="AG608" s="58" t="str">
        <f>IF(Fixtures[[#This Row],[penalties]], IF(Fixtures[[#This Row],[userSide]]="H", Fixtures[[#This Row],[homePens]], Fixtures[[#This Row],[awayPens]]), "N/A")</f>
        <v>N/A</v>
      </c>
      <c r="AH608" s="58" t="str">
        <f>IF(Fixtures[[#This Row],[penalties]], IF(Fixtures[[#This Row],[userPens]]=Fixtures[[#This Row],[homePens]],Fixtures[[#This Row],[awayPens]],Fixtures[[#This Row],[homePens]]), "N/A")</f>
        <v>N/A</v>
      </c>
      <c r="AI608" s="58" t="b">
        <f>COUNTBLANK(Fixtures[[#This Row],[G]:[MOTM]]) = 0</f>
        <v>0</v>
      </c>
      <c r="AJ608" s="58" t="str">
        <f>IF(Fixtures[[#This Row],[APP]], Fixtures[[#This Row],[G]]+Fixtures[[#This Row],[A]], "N/A")</f>
        <v>N/A</v>
      </c>
      <c r="AK6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09" spans="1:39" ht="13">
      <c r="A609" s="55"/>
      <c r="B609" s="61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7"/>
      <c r="R609" s="56"/>
      <c r="S609" s="58" t="str" cm="1">
        <f t="array" ref="S609">_xlfn._xlws.FILTER(Competitions[compType], (Fixtures[[#This Row],[competition]] = Competitions[name]), "N/A")</f>
        <v>N/A</v>
      </c>
      <c r="T609" s="58" t="str" cm="1">
        <f t="array" ref="T609">_xlfn._xlws.FILTER(Competitions[exhibition], (Fixtures[[#This Row],[competition]] = Competitions[name]), "N/A")</f>
        <v>N/A</v>
      </c>
      <c r="U609" s="58" t="str" cm="1">
        <f t="array" ref="U609">_xlfn._xlws.FILTER(Competitions[compID], (Fixtures[[#This Row],[competition]] = Competitions[name]), "N/A")</f>
        <v>N/A</v>
      </c>
      <c r="V6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09" s="58" t="str" cm="1">
        <f t="array" ref="W6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09" s="58" t="str" cm="1">
        <f t="array" ref="X609">_xlfn._xlws.FILTER(Teams[name], (Fixtures[[#This Row],[userTeamID]] = Teams[teamID]), "N/A")</f>
        <v>N/A</v>
      </c>
      <c r="Y609" s="58" t="str" cm="1">
        <f t="array" ref="Y609">_xlfn._xlws.FILTER(Teams[teamType], (Fixtures[[#This Row],[userTeamID]] = Teams[teamID]), "N/A")</f>
        <v>N/A</v>
      </c>
      <c r="Z609" s="58" t="str" cm="1">
        <f t="array" ref="Z6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09" s="58" t="str">
        <f>IF(Fixtures[[#This Row],[userSide]] = "N/A", "N/A", IF(Fixtures[[#This Row],[userSide]] = "H", Fixtures[[#This Row],[awayTeam]], Fixtures[[#This Row],[homeTeam]]))</f>
        <v>N/A</v>
      </c>
      <c r="AB609" s="58" t="str" cm="1">
        <f t="array" ref="AB609">_xlfn._xlws.FILTER(Teams[teamID], Fixtures[[#This Row],[oppTeam]] = Teams[name], "N/A")</f>
        <v>N/A</v>
      </c>
      <c r="AC609" s="58" t="str" cm="1">
        <f t="array" ref="AC609">_xlfn._xlws.FILTER(Teams[teamType], Fixtures[[#This Row],[oppTeam]] = Teams[name], "N/A")</f>
        <v>N/A</v>
      </c>
      <c r="AD609" s="58" t="str">
        <f>IF(ISBLANK(Fixtures[[#This Row],[date]]), "N/A", IF(Fixtures[[#This Row],[userSide]]="H", Fixtures[[#This Row],[homeScore]], Fixtures[[#This Row],[awayScore]]))</f>
        <v>N/A</v>
      </c>
      <c r="AE609" s="58" t="str">
        <f>IF(ISBLANK(Fixtures[[#This Row],[date]]), "N/A", IF(Fixtures[[#This Row],[userScore]] = Fixtures[[#This Row],[homeScore]], Fixtures[[#This Row],[awayScore]], Fixtures[[#This Row],[homeScore]]))</f>
        <v>N/A</v>
      </c>
      <c r="AF609" s="58" t="b">
        <f>NOT(AND(ISBLANK(Fixtures[[#This Row],[homePens]]), ISBLANK(Fixtures[[#This Row],[awayPens]])))</f>
        <v>0</v>
      </c>
      <c r="AG609" s="58" t="str">
        <f>IF(Fixtures[[#This Row],[penalties]], IF(Fixtures[[#This Row],[userSide]]="H", Fixtures[[#This Row],[homePens]], Fixtures[[#This Row],[awayPens]]), "N/A")</f>
        <v>N/A</v>
      </c>
      <c r="AH609" s="58" t="str">
        <f>IF(Fixtures[[#This Row],[penalties]], IF(Fixtures[[#This Row],[userPens]]=Fixtures[[#This Row],[homePens]],Fixtures[[#This Row],[awayPens]],Fixtures[[#This Row],[homePens]]), "N/A")</f>
        <v>N/A</v>
      </c>
      <c r="AI609" s="58" t="b">
        <f>COUNTBLANK(Fixtures[[#This Row],[G]:[MOTM]]) = 0</f>
        <v>0</v>
      </c>
      <c r="AJ609" s="58" t="str">
        <f>IF(Fixtures[[#This Row],[APP]], Fixtures[[#This Row],[G]]+Fixtures[[#This Row],[A]], "N/A")</f>
        <v>N/A</v>
      </c>
      <c r="AK6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0" spans="1:39" ht="13">
      <c r="A610" s="55"/>
      <c r="B610" s="61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7"/>
      <c r="R610" s="56"/>
      <c r="S610" s="58" t="str" cm="1">
        <f t="array" ref="S610">_xlfn._xlws.FILTER(Competitions[compType], (Fixtures[[#This Row],[competition]] = Competitions[name]), "N/A")</f>
        <v>N/A</v>
      </c>
      <c r="T610" s="58" t="str" cm="1">
        <f t="array" ref="T610">_xlfn._xlws.FILTER(Competitions[exhibition], (Fixtures[[#This Row],[competition]] = Competitions[name]), "N/A")</f>
        <v>N/A</v>
      </c>
      <c r="U610" s="58" t="str" cm="1">
        <f t="array" ref="U610">_xlfn._xlws.FILTER(Competitions[compID], (Fixtures[[#This Row],[competition]] = Competitions[name]), "N/A")</f>
        <v>N/A</v>
      </c>
      <c r="V6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0" s="58" t="str" cm="1">
        <f t="array" ref="W6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0" s="58" t="str" cm="1">
        <f t="array" ref="X610">_xlfn._xlws.FILTER(Teams[name], (Fixtures[[#This Row],[userTeamID]] = Teams[teamID]), "N/A")</f>
        <v>N/A</v>
      </c>
      <c r="Y610" s="58" t="str" cm="1">
        <f t="array" ref="Y610">_xlfn._xlws.FILTER(Teams[teamType], (Fixtures[[#This Row],[userTeamID]] = Teams[teamID]), "N/A")</f>
        <v>N/A</v>
      </c>
      <c r="Z610" s="58" t="str" cm="1">
        <f t="array" ref="Z6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0" s="58" t="str">
        <f>IF(Fixtures[[#This Row],[userSide]] = "N/A", "N/A", IF(Fixtures[[#This Row],[userSide]] = "H", Fixtures[[#This Row],[awayTeam]], Fixtures[[#This Row],[homeTeam]]))</f>
        <v>N/A</v>
      </c>
      <c r="AB610" s="58" t="str" cm="1">
        <f t="array" ref="AB610">_xlfn._xlws.FILTER(Teams[teamID], Fixtures[[#This Row],[oppTeam]] = Teams[name], "N/A")</f>
        <v>N/A</v>
      </c>
      <c r="AC610" s="58" t="str" cm="1">
        <f t="array" ref="AC610">_xlfn._xlws.FILTER(Teams[teamType], Fixtures[[#This Row],[oppTeam]] = Teams[name], "N/A")</f>
        <v>N/A</v>
      </c>
      <c r="AD610" s="58" t="str">
        <f>IF(ISBLANK(Fixtures[[#This Row],[date]]), "N/A", IF(Fixtures[[#This Row],[userSide]]="H", Fixtures[[#This Row],[homeScore]], Fixtures[[#This Row],[awayScore]]))</f>
        <v>N/A</v>
      </c>
      <c r="AE610" s="58" t="str">
        <f>IF(ISBLANK(Fixtures[[#This Row],[date]]), "N/A", IF(Fixtures[[#This Row],[userScore]] = Fixtures[[#This Row],[homeScore]], Fixtures[[#This Row],[awayScore]], Fixtures[[#This Row],[homeScore]]))</f>
        <v>N/A</v>
      </c>
      <c r="AF610" s="58" t="b">
        <f>NOT(AND(ISBLANK(Fixtures[[#This Row],[homePens]]), ISBLANK(Fixtures[[#This Row],[awayPens]])))</f>
        <v>0</v>
      </c>
      <c r="AG610" s="58" t="str">
        <f>IF(Fixtures[[#This Row],[penalties]], IF(Fixtures[[#This Row],[userSide]]="H", Fixtures[[#This Row],[homePens]], Fixtures[[#This Row],[awayPens]]), "N/A")</f>
        <v>N/A</v>
      </c>
      <c r="AH610" s="58" t="str">
        <f>IF(Fixtures[[#This Row],[penalties]], IF(Fixtures[[#This Row],[userPens]]=Fixtures[[#This Row],[homePens]],Fixtures[[#This Row],[awayPens]],Fixtures[[#This Row],[homePens]]), "N/A")</f>
        <v>N/A</v>
      </c>
      <c r="AI610" s="58" t="b">
        <f>COUNTBLANK(Fixtures[[#This Row],[G]:[MOTM]]) = 0</f>
        <v>0</v>
      </c>
      <c r="AJ610" s="58" t="str">
        <f>IF(Fixtures[[#This Row],[APP]], Fixtures[[#This Row],[G]]+Fixtures[[#This Row],[A]], "N/A")</f>
        <v>N/A</v>
      </c>
      <c r="AK6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1" spans="1:39" ht="13">
      <c r="A611" s="55"/>
      <c r="B611" s="61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7"/>
      <c r="R611" s="56"/>
      <c r="S611" s="58" t="str" cm="1">
        <f t="array" ref="S611">_xlfn._xlws.FILTER(Competitions[compType], (Fixtures[[#This Row],[competition]] = Competitions[name]), "N/A")</f>
        <v>N/A</v>
      </c>
      <c r="T611" s="58" t="str" cm="1">
        <f t="array" ref="T611">_xlfn._xlws.FILTER(Competitions[exhibition], (Fixtures[[#This Row],[competition]] = Competitions[name]), "N/A")</f>
        <v>N/A</v>
      </c>
      <c r="U611" s="58" t="str" cm="1">
        <f t="array" ref="U611">_xlfn._xlws.FILTER(Competitions[compID], (Fixtures[[#This Row],[competition]] = Competitions[name]), "N/A")</f>
        <v>N/A</v>
      </c>
      <c r="V6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1" s="58" t="str" cm="1">
        <f t="array" ref="W6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1" s="58" t="str" cm="1">
        <f t="array" ref="X611">_xlfn._xlws.FILTER(Teams[name], (Fixtures[[#This Row],[userTeamID]] = Teams[teamID]), "N/A")</f>
        <v>N/A</v>
      </c>
      <c r="Y611" s="58" t="str" cm="1">
        <f t="array" ref="Y611">_xlfn._xlws.FILTER(Teams[teamType], (Fixtures[[#This Row],[userTeamID]] = Teams[teamID]), "N/A")</f>
        <v>N/A</v>
      </c>
      <c r="Z611" s="58" t="str" cm="1">
        <f t="array" ref="Z6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1" s="58" t="str">
        <f>IF(Fixtures[[#This Row],[userSide]] = "N/A", "N/A", IF(Fixtures[[#This Row],[userSide]] = "H", Fixtures[[#This Row],[awayTeam]], Fixtures[[#This Row],[homeTeam]]))</f>
        <v>N/A</v>
      </c>
      <c r="AB611" s="58" t="str" cm="1">
        <f t="array" ref="AB611">_xlfn._xlws.FILTER(Teams[teamID], Fixtures[[#This Row],[oppTeam]] = Teams[name], "N/A")</f>
        <v>N/A</v>
      </c>
      <c r="AC611" s="58" t="str" cm="1">
        <f t="array" ref="AC611">_xlfn._xlws.FILTER(Teams[teamType], Fixtures[[#This Row],[oppTeam]] = Teams[name], "N/A")</f>
        <v>N/A</v>
      </c>
      <c r="AD611" s="58" t="str">
        <f>IF(ISBLANK(Fixtures[[#This Row],[date]]), "N/A", IF(Fixtures[[#This Row],[userSide]]="H", Fixtures[[#This Row],[homeScore]], Fixtures[[#This Row],[awayScore]]))</f>
        <v>N/A</v>
      </c>
      <c r="AE611" s="58" t="str">
        <f>IF(ISBLANK(Fixtures[[#This Row],[date]]), "N/A", IF(Fixtures[[#This Row],[userScore]] = Fixtures[[#This Row],[homeScore]], Fixtures[[#This Row],[awayScore]], Fixtures[[#This Row],[homeScore]]))</f>
        <v>N/A</v>
      </c>
      <c r="AF611" s="58" t="b">
        <f>NOT(AND(ISBLANK(Fixtures[[#This Row],[homePens]]), ISBLANK(Fixtures[[#This Row],[awayPens]])))</f>
        <v>0</v>
      </c>
      <c r="AG611" s="58" t="str">
        <f>IF(Fixtures[[#This Row],[penalties]], IF(Fixtures[[#This Row],[userSide]]="H", Fixtures[[#This Row],[homePens]], Fixtures[[#This Row],[awayPens]]), "N/A")</f>
        <v>N/A</v>
      </c>
      <c r="AH611" s="58" t="str">
        <f>IF(Fixtures[[#This Row],[penalties]], IF(Fixtures[[#This Row],[userPens]]=Fixtures[[#This Row],[homePens]],Fixtures[[#This Row],[awayPens]],Fixtures[[#This Row],[homePens]]), "N/A")</f>
        <v>N/A</v>
      </c>
      <c r="AI611" s="58" t="b">
        <f>COUNTBLANK(Fixtures[[#This Row],[G]:[MOTM]]) = 0</f>
        <v>0</v>
      </c>
      <c r="AJ611" s="58" t="str">
        <f>IF(Fixtures[[#This Row],[APP]], Fixtures[[#This Row],[G]]+Fixtures[[#This Row],[A]], "N/A")</f>
        <v>N/A</v>
      </c>
      <c r="AK6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2" spans="1:39" ht="13">
      <c r="A612" s="55"/>
      <c r="B612" s="61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7"/>
      <c r="R612" s="56"/>
      <c r="S612" s="58" t="str" cm="1">
        <f t="array" ref="S612">_xlfn._xlws.FILTER(Competitions[compType], (Fixtures[[#This Row],[competition]] = Competitions[name]), "N/A")</f>
        <v>N/A</v>
      </c>
      <c r="T612" s="58" t="str" cm="1">
        <f t="array" ref="T612">_xlfn._xlws.FILTER(Competitions[exhibition], (Fixtures[[#This Row],[competition]] = Competitions[name]), "N/A")</f>
        <v>N/A</v>
      </c>
      <c r="U612" s="58" t="str" cm="1">
        <f t="array" ref="U612">_xlfn._xlws.FILTER(Competitions[compID], (Fixtures[[#This Row],[competition]] = Competitions[name]), "N/A")</f>
        <v>N/A</v>
      </c>
      <c r="V6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2" s="58" t="str" cm="1">
        <f t="array" ref="W6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2" s="58" t="str" cm="1">
        <f t="array" ref="X612">_xlfn._xlws.FILTER(Teams[name], (Fixtures[[#This Row],[userTeamID]] = Teams[teamID]), "N/A")</f>
        <v>N/A</v>
      </c>
      <c r="Y612" s="58" t="str" cm="1">
        <f t="array" ref="Y612">_xlfn._xlws.FILTER(Teams[teamType], (Fixtures[[#This Row],[userTeamID]] = Teams[teamID]), "N/A")</f>
        <v>N/A</v>
      </c>
      <c r="Z612" s="58" t="str" cm="1">
        <f t="array" ref="Z6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2" s="58" t="str">
        <f>IF(Fixtures[[#This Row],[userSide]] = "N/A", "N/A", IF(Fixtures[[#This Row],[userSide]] = "H", Fixtures[[#This Row],[awayTeam]], Fixtures[[#This Row],[homeTeam]]))</f>
        <v>N/A</v>
      </c>
      <c r="AB612" s="58" t="str" cm="1">
        <f t="array" ref="AB612">_xlfn._xlws.FILTER(Teams[teamID], Fixtures[[#This Row],[oppTeam]] = Teams[name], "N/A")</f>
        <v>N/A</v>
      </c>
      <c r="AC612" s="58" t="str" cm="1">
        <f t="array" ref="AC612">_xlfn._xlws.FILTER(Teams[teamType], Fixtures[[#This Row],[oppTeam]] = Teams[name], "N/A")</f>
        <v>N/A</v>
      </c>
      <c r="AD612" s="58" t="str">
        <f>IF(ISBLANK(Fixtures[[#This Row],[date]]), "N/A", IF(Fixtures[[#This Row],[userSide]]="H", Fixtures[[#This Row],[homeScore]], Fixtures[[#This Row],[awayScore]]))</f>
        <v>N/A</v>
      </c>
      <c r="AE612" s="58" t="str">
        <f>IF(ISBLANK(Fixtures[[#This Row],[date]]), "N/A", IF(Fixtures[[#This Row],[userScore]] = Fixtures[[#This Row],[homeScore]], Fixtures[[#This Row],[awayScore]], Fixtures[[#This Row],[homeScore]]))</f>
        <v>N/A</v>
      </c>
      <c r="AF612" s="58" t="b">
        <f>NOT(AND(ISBLANK(Fixtures[[#This Row],[homePens]]), ISBLANK(Fixtures[[#This Row],[awayPens]])))</f>
        <v>0</v>
      </c>
      <c r="AG612" s="58" t="str">
        <f>IF(Fixtures[[#This Row],[penalties]], IF(Fixtures[[#This Row],[userSide]]="H", Fixtures[[#This Row],[homePens]], Fixtures[[#This Row],[awayPens]]), "N/A")</f>
        <v>N/A</v>
      </c>
      <c r="AH612" s="58" t="str">
        <f>IF(Fixtures[[#This Row],[penalties]], IF(Fixtures[[#This Row],[userPens]]=Fixtures[[#This Row],[homePens]],Fixtures[[#This Row],[awayPens]],Fixtures[[#This Row],[homePens]]), "N/A")</f>
        <v>N/A</v>
      </c>
      <c r="AI612" s="58" t="b">
        <f>COUNTBLANK(Fixtures[[#This Row],[G]:[MOTM]]) = 0</f>
        <v>0</v>
      </c>
      <c r="AJ612" s="58" t="str">
        <f>IF(Fixtures[[#This Row],[APP]], Fixtures[[#This Row],[G]]+Fixtures[[#This Row],[A]], "N/A")</f>
        <v>N/A</v>
      </c>
      <c r="AK6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3" spans="1:39" ht="13">
      <c r="A613" s="55"/>
      <c r="B613" s="61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7"/>
      <c r="R613" s="56"/>
      <c r="S613" s="58" t="str" cm="1">
        <f t="array" ref="S613">_xlfn._xlws.FILTER(Competitions[compType], (Fixtures[[#This Row],[competition]] = Competitions[name]), "N/A")</f>
        <v>N/A</v>
      </c>
      <c r="T613" s="58" t="str" cm="1">
        <f t="array" ref="T613">_xlfn._xlws.FILTER(Competitions[exhibition], (Fixtures[[#This Row],[competition]] = Competitions[name]), "N/A")</f>
        <v>N/A</v>
      </c>
      <c r="U613" s="58" t="str" cm="1">
        <f t="array" ref="U613">_xlfn._xlws.FILTER(Competitions[compID], (Fixtures[[#This Row],[competition]] = Competitions[name]), "N/A")</f>
        <v>N/A</v>
      </c>
      <c r="V6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3" s="58" t="str" cm="1">
        <f t="array" ref="W6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3" s="58" t="str" cm="1">
        <f t="array" ref="X613">_xlfn._xlws.FILTER(Teams[name], (Fixtures[[#This Row],[userTeamID]] = Teams[teamID]), "N/A")</f>
        <v>N/A</v>
      </c>
      <c r="Y613" s="58" t="str" cm="1">
        <f t="array" ref="Y613">_xlfn._xlws.FILTER(Teams[teamType], (Fixtures[[#This Row],[userTeamID]] = Teams[teamID]), "N/A")</f>
        <v>N/A</v>
      </c>
      <c r="Z613" s="58" t="str" cm="1">
        <f t="array" ref="Z6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3" s="58" t="str">
        <f>IF(Fixtures[[#This Row],[userSide]] = "N/A", "N/A", IF(Fixtures[[#This Row],[userSide]] = "H", Fixtures[[#This Row],[awayTeam]], Fixtures[[#This Row],[homeTeam]]))</f>
        <v>N/A</v>
      </c>
      <c r="AB613" s="58" t="str" cm="1">
        <f t="array" ref="AB613">_xlfn._xlws.FILTER(Teams[teamID], Fixtures[[#This Row],[oppTeam]] = Teams[name], "N/A")</f>
        <v>N/A</v>
      </c>
      <c r="AC613" s="58" t="str" cm="1">
        <f t="array" ref="AC613">_xlfn._xlws.FILTER(Teams[teamType], Fixtures[[#This Row],[oppTeam]] = Teams[name], "N/A")</f>
        <v>N/A</v>
      </c>
      <c r="AD613" s="58" t="str">
        <f>IF(ISBLANK(Fixtures[[#This Row],[date]]), "N/A", IF(Fixtures[[#This Row],[userSide]]="H", Fixtures[[#This Row],[homeScore]], Fixtures[[#This Row],[awayScore]]))</f>
        <v>N/A</v>
      </c>
      <c r="AE613" s="58" t="str">
        <f>IF(ISBLANK(Fixtures[[#This Row],[date]]), "N/A", IF(Fixtures[[#This Row],[userScore]] = Fixtures[[#This Row],[homeScore]], Fixtures[[#This Row],[awayScore]], Fixtures[[#This Row],[homeScore]]))</f>
        <v>N/A</v>
      </c>
      <c r="AF613" s="58" t="b">
        <f>NOT(AND(ISBLANK(Fixtures[[#This Row],[homePens]]), ISBLANK(Fixtures[[#This Row],[awayPens]])))</f>
        <v>0</v>
      </c>
      <c r="AG613" s="58" t="str">
        <f>IF(Fixtures[[#This Row],[penalties]], IF(Fixtures[[#This Row],[userSide]]="H", Fixtures[[#This Row],[homePens]], Fixtures[[#This Row],[awayPens]]), "N/A")</f>
        <v>N/A</v>
      </c>
      <c r="AH613" s="58" t="str">
        <f>IF(Fixtures[[#This Row],[penalties]], IF(Fixtures[[#This Row],[userPens]]=Fixtures[[#This Row],[homePens]],Fixtures[[#This Row],[awayPens]],Fixtures[[#This Row],[homePens]]), "N/A")</f>
        <v>N/A</v>
      </c>
      <c r="AI613" s="58" t="b">
        <f>COUNTBLANK(Fixtures[[#This Row],[G]:[MOTM]]) = 0</f>
        <v>0</v>
      </c>
      <c r="AJ613" s="58" t="str">
        <f>IF(Fixtures[[#This Row],[APP]], Fixtures[[#This Row],[G]]+Fixtures[[#This Row],[A]], "N/A")</f>
        <v>N/A</v>
      </c>
      <c r="AK6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4" spans="1:39" ht="13">
      <c r="A614" s="55"/>
      <c r="B614" s="61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7"/>
      <c r="R614" s="56"/>
      <c r="S614" s="58" t="str" cm="1">
        <f t="array" ref="S614">_xlfn._xlws.FILTER(Competitions[compType], (Fixtures[[#This Row],[competition]] = Competitions[name]), "N/A")</f>
        <v>N/A</v>
      </c>
      <c r="T614" s="58" t="str" cm="1">
        <f t="array" ref="T614">_xlfn._xlws.FILTER(Competitions[exhibition], (Fixtures[[#This Row],[competition]] = Competitions[name]), "N/A")</f>
        <v>N/A</v>
      </c>
      <c r="U614" s="58" t="str" cm="1">
        <f t="array" ref="U614">_xlfn._xlws.FILTER(Competitions[compID], (Fixtures[[#This Row],[competition]] = Competitions[name]), "N/A")</f>
        <v>N/A</v>
      </c>
      <c r="V6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4" s="58" t="str" cm="1">
        <f t="array" ref="W6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4" s="58" t="str" cm="1">
        <f t="array" ref="X614">_xlfn._xlws.FILTER(Teams[name], (Fixtures[[#This Row],[userTeamID]] = Teams[teamID]), "N/A")</f>
        <v>N/A</v>
      </c>
      <c r="Y614" s="58" t="str" cm="1">
        <f t="array" ref="Y614">_xlfn._xlws.FILTER(Teams[teamType], (Fixtures[[#This Row],[userTeamID]] = Teams[teamID]), "N/A")</f>
        <v>N/A</v>
      </c>
      <c r="Z614" s="58" t="str" cm="1">
        <f t="array" ref="Z6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4" s="58" t="str">
        <f>IF(Fixtures[[#This Row],[userSide]] = "N/A", "N/A", IF(Fixtures[[#This Row],[userSide]] = "H", Fixtures[[#This Row],[awayTeam]], Fixtures[[#This Row],[homeTeam]]))</f>
        <v>N/A</v>
      </c>
      <c r="AB614" s="58" t="str" cm="1">
        <f t="array" ref="AB614">_xlfn._xlws.FILTER(Teams[teamID], Fixtures[[#This Row],[oppTeam]] = Teams[name], "N/A")</f>
        <v>N/A</v>
      </c>
      <c r="AC614" s="58" t="str" cm="1">
        <f t="array" ref="AC614">_xlfn._xlws.FILTER(Teams[teamType], Fixtures[[#This Row],[oppTeam]] = Teams[name], "N/A")</f>
        <v>N/A</v>
      </c>
      <c r="AD614" s="58" t="str">
        <f>IF(ISBLANK(Fixtures[[#This Row],[date]]), "N/A", IF(Fixtures[[#This Row],[userSide]]="H", Fixtures[[#This Row],[homeScore]], Fixtures[[#This Row],[awayScore]]))</f>
        <v>N/A</v>
      </c>
      <c r="AE614" s="58" t="str">
        <f>IF(ISBLANK(Fixtures[[#This Row],[date]]), "N/A", IF(Fixtures[[#This Row],[userScore]] = Fixtures[[#This Row],[homeScore]], Fixtures[[#This Row],[awayScore]], Fixtures[[#This Row],[homeScore]]))</f>
        <v>N/A</v>
      </c>
      <c r="AF614" s="58" t="b">
        <f>NOT(AND(ISBLANK(Fixtures[[#This Row],[homePens]]), ISBLANK(Fixtures[[#This Row],[awayPens]])))</f>
        <v>0</v>
      </c>
      <c r="AG614" s="58" t="str">
        <f>IF(Fixtures[[#This Row],[penalties]], IF(Fixtures[[#This Row],[userSide]]="H", Fixtures[[#This Row],[homePens]], Fixtures[[#This Row],[awayPens]]), "N/A")</f>
        <v>N/A</v>
      </c>
      <c r="AH614" s="58" t="str">
        <f>IF(Fixtures[[#This Row],[penalties]], IF(Fixtures[[#This Row],[userPens]]=Fixtures[[#This Row],[homePens]],Fixtures[[#This Row],[awayPens]],Fixtures[[#This Row],[homePens]]), "N/A")</f>
        <v>N/A</v>
      </c>
      <c r="AI614" s="58" t="b">
        <f>COUNTBLANK(Fixtures[[#This Row],[G]:[MOTM]]) = 0</f>
        <v>0</v>
      </c>
      <c r="AJ614" s="58" t="str">
        <f>IF(Fixtures[[#This Row],[APP]], Fixtures[[#This Row],[G]]+Fixtures[[#This Row],[A]], "N/A")</f>
        <v>N/A</v>
      </c>
      <c r="AK6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5" spans="1:39" ht="13">
      <c r="A615" s="55"/>
      <c r="B615" s="61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7"/>
      <c r="R615" s="56"/>
      <c r="S615" s="58" t="str" cm="1">
        <f t="array" ref="S615">_xlfn._xlws.FILTER(Competitions[compType], (Fixtures[[#This Row],[competition]] = Competitions[name]), "N/A")</f>
        <v>N/A</v>
      </c>
      <c r="T615" s="58" t="str" cm="1">
        <f t="array" ref="T615">_xlfn._xlws.FILTER(Competitions[exhibition], (Fixtures[[#This Row],[competition]] = Competitions[name]), "N/A")</f>
        <v>N/A</v>
      </c>
      <c r="U615" s="58" t="str" cm="1">
        <f t="array" ref="U615">_xlfn._xlws.FILTER(Competitions[compID], (Fixtures[[#This Row],[competition]] = Competitions[name]), "N/A")</f>
        <v>N/A</v>
      </c>
      <c r="V6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5" s="58" t="str" cm="1">
        <f t="array" ref="W6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5" s="58" t="str" cm="1">
        <f t="array" ref="X615">_xlfn._xlws.FILTER(Teams[name], (Fixtures[[#This Row],[userTeamID]] = Teams[teamID]), "N/A")</f>
        <v>N/A</v>
      </c>
      <c r="Y615" s="58" t="str" cm="1">
        <f t="array" ref="Y615">_xlfn._xlws.FILTER(Teams[teamType], (Fixtures[[#This Row],[userTeamID]] = Teams[teamID]), "N/A")</f>
        <v>N/A</v>
      </c>
      <c r="Z615" s="58" t="str" cm="1">
        <f t="array" ref="Z6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5" s="58" t="str">
        <f>IF(Fixtures[[#This Row],[userSide]] = "N/A", "N/A", IF(Fixtures[[#This Row],[userSide]] = "H", Fixtures[[#This Row],[awayTeam]], Fixtures[[#This Row],[homeTeam]]))</f>
        <v>N/A</v>
      </c>
      <c r="AB615" s="58" t="str" cm="1">
        <f t="array" ref="AB615">_xlfn._xlws.FILTER(Teams[teamID], Fixtures[[#This Row],[oppTeam]] = Teams[name], "N/A")</f>
        <v>N/A</v>
      </c>
      <c r="AC615" s="58" t="str" cm="1">
        <f t="array" ref="AC615">_xlfn._xlws.FILTER(Teams[teamType], Fixtures[[#This Row],[oppTeam]] = Teams[name], "N/A")</f>
        <v>N/A</v>
      </c>
      <c r="AD615" s="58" t="str">
        <f>IF(ISBLANK(Fixtures[[#This Row],[date]]), "N/A", IF(Fixtures[[#This Row],[userSide]]="H", Fixtures[[#This Row],[homeScore]], Fixtures[[#This Row],[awayScore]]))</f>
        <v>N/A</v>
      </c>
      <c r="AE615" s="58" t="str">
        <f>IF(ISBLANK(Fixtures[[#This Row],[date]]), "N/A", IF(Fixtures[[#This Row],[userScore]] = Fixtures[[#This Row],[homeScore]], Fixtures[[#This Row],[awayScore]], Fixtures[[#This Row],[homeScore]]))</f>
        <v>N/A</v>
      </c>
      <c r="AF615" s="58" t="b">
        <f>NOT(AND(ISBLANK(Fixtures[[#This Row],[homePens]]), ISBLANK(Fixtures[[#This Row],[awayPens]])))</f>
        <v>0</v>
      </c>
      <c r="AG615" s="58" t="str">
        <f>IF(Fixtures[[#This Row],[penalties]], IF(Fixtures[[#This Row],[userSide]]="H", Fixtures[[#This Row],[homePens]], Fixtures[[#This Row],[awayPens]]), "N/A")</f>
        <v>N/A</v>
      </c>
      <c r="AH615" s="58" t="str">
        <f>IF(Fixtures[[#This Row],[penalties]], IF(Fixtures[[#This Row],[userPens]]=Fixtures[[#This Row],[homePens]],Fixtures[[#This Row],[awayPens]],Fixtures[[#This Row],[homePens]]), "N/A")</f>
        <v>N/A</v>
      </c>
      <c r="AI615" s="58" t="b">
        <f>COUNTBLANK(Fixtures[[#This Row],[G]:[MOTM]]) = 0</f>
        <v>0</v>
      </c>
      <c r="AJ615" s="58" t="str">
        <f>IF(Fixtures[[#This Row],[APP]], Fixtures[[#This Row],[G]]+Fixtures[[#This Row],[A]], "N/A")</f>
        <v>N/A</v>
      </c>
      <c r="AK6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6" spans="1:39" ht="13">
      <c r="A616" s="55"/>
      <c r="B616" s="61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7"/>
      <c r="R616" s="56"/>
      <c r="S616" s="58" t="str" cm="1">
        <f t="array" ref="S616">_xlfn._xlws.FILTER(Competitions[compType], (Fixtures[[#This Row],[competition]] = Competitions[name]), "N/A")</f>
        <v>N/A</v>
      </c>
      <c r="T616" s="58" t="str" cm="1">
        <f t="array" ref="T616">_xlfn._xlws.FILTER(Competitions[exhibition], (Fixtures[[#This Row],[competition]] = Competitions[name]), "N/A")</f>
        <v>N/A</v>
      </c>
      <c r="U616" s="58" t="str" cm="1">
        <f t="array" ref="U616">_xlfn._xlws.FILTER(Competitions[compID], (Fixtures[[#This Row],[competition]] = Competitions[name]), "N/A")</f>
        <v>N/A</v>
      </c>
      <c r="V6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6" s="58" t="str" cm="1">
        <f t="array" ref="W6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6" s="58" t="str" cm="1">
        <f t="array" ref="X616">_xlfn._xlws.FILTER(Teams[name], (Fixtures[[#This Row],[userTeamID]] = Teams[teamID]), "N/A")</f>
        <v>N/A</v>
      </c>
      <c r="Y616" s="58" t="str" cm="1">
        <f t="array" ref="Y616">_xlfn._xlws.FILTER(Teams[teamType], (Fixtures[[#This Row],[userTeamID]] = Teams[teamID]), "N/A")</f>
        <v>N/A</v>
      </c>
      <c r="Z616" s="58" t="str" cm="1">
        <f t="array" ref="Z6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6" s="58" t="str">
        <f>IF(Fixtures[[#This Row],[userSide]] = "N/A", "N/A", IF(Fixtures[[#This Row],[userSide]] = "H", Fixtures[[#This Row],[awayTeam]], Fixtures[[#This Row],[homeTeam]]))</f>
        <v>N/A</v>
      </c>
      <c r="AB616" s="58" t="str" cm="1">
        <f t="array" ref="AB616">_xlfn._xlws.FILTER(Teams[teamID], Fixtures[[#This Row],[oppTeam]] = Teams[name], "N/A")</f>
        <v>N/A</v>
      </c>
      <c r="AC616" s="58" t="str" cm="1">
        <f t="array" ref="AC616">_xlfn._xlws.FILTER(Teams[teamType], Fixtures[[#This Row],[oppTeam]] = Teams[name], "N/A")</f>
        <v>N/A</v>
      </c>
      <c r="AD616" s="58" t="str">
        <f>IF(ISBLANK(Fixtures[[#This Row],[date]]), "N/A", IF(Fixtures[[#This Row],[userSide]]="H", Fixtures[[#This Row],[homeScore]], Fixtures[[#This Row],[awayScore]]))</f>
        <v>N/A</v>
      </c>
      <c r="AE616" s="58" t="str">
        <f>IF(ISBLANK(Fixtures[[#This Row],[date]]), "N/A", IF(Fixtures[[#This Row],[userScore]] = Fixtures[[#This Row],[homeScore]], Fixtures[[#This Row],[awayScore]], Fixtures[[#This Row],[homeScore]]))</f>
        <v>N/A</v>
      </c>
      <c r="AF616" s="58" t="b">
        <f>NOT(AND(ISBLANK(Fixtures[[#This Row],[homePens]]), ISBLANK(Fixtures[[#This Row],[awayPens]])))</f>
        <v>0</v>
      </c>
      <c r="AG616" s="58" t="str">
        <f>IF(Fixtures[[#This Row],[penalties]], IF(Fixtures[[#This Row],[userSide]]="H", Fixtures[[#This Row],[homePens]], Fixtures[[#This Row],[awayPens]]), "N/A")</f>
        <v>N/A</v>
      </c>
      <c r="AH616" s="58" t="str">
        <f>IF(Fixtures[[#This Row],[penalties]], IF(Fixtures[[#This Row],[userPens]]=Fixtures[[#This Row],[homePens]],Fixtures[[#This Row],[awayPens]],Fixtures[[#This Row],[homePens]]), "N/A")</f>
        <v>N/A</v>
      </c>
      <c r="AI616" s="58" t="b">
        <f>COUNTBLANK(Fixtures[[#This Row],[G]:[MOTM]]) = 0</f>
        <v>0</v>
      </c>
      <c r="AJ616" s="58" t="str">
        <f>IF(Fixtures[[#This Row],[APP]], Fixtures[[#This Row],[G]]+Fixtures[[#This Row],[A]], "N/A")</f>
        <v>N/A</v>
      </c>
      <c r="AK6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7" spans="1:39" ht="13">
      <c r="A617" s="55"/>
      <c r="B617" s="61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7"/>
      <c r="R617" s="56"/>
      <c r="S617" s="58" t="str" cm="1">
        <f t="array" ref="S617">_xlfn._xlws.FILTER(Competitions[compType], (Fixtures[[#This Row],[competition]] = Competitions[name]), "N/A")</f>
        <v>N/A</v>
      </c>
      <c r="T617" s="58" t="str" cm="1">
        <f t="array" ref="T617">_xlfn._xlws.FILTER(Competitions[exhibition], (Fixtures[[#This Row],[competition]] = Competitions[name]), "N/A")</f>
        <v>N/A</v>
      </c>
      <c r="U617" s="58" t="str" cm="1">
        <f t="array" ref="U617">_xlfn._xlws.FILTER(Competitions[compID], (Fixtures[[#This Row],[competition]] = Competitions[name]), "N/A")</f>
        <v>N/A</v>
      </c>
      <c r="V6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7" s="58" t="str" cm="1">
        <f t="array" ref="W6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7" s="58" t="str" cm="1">
        <f t="array" ref="X617">_xlfn._xlws.FILTER(Teams[name], (Fixtures[[#This Row],[userTeamID]] = Teams[teamID]), "N/A")</f>
        <v>N/A</v>
      </c>
      <c r="Y617" s="58" t="str" cm="1">
        <f t="array" ref="Y617">_xlfn._xlws.FILTER(Teams[teamType], (Fixtures[[#This Row],[userTeamID]] = Teams[teamID]), "N/A")</f>
        <v>N/A</v>
      </c>
      <c r="Z617" s="58" t="str" cm="1">
        <f t="array" ref="Z6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7" s="58" t="str">
        <f>IF(Fixtures[[#This Row],[userSide]] = "N/A", "N/A", IF(Fixtures[[#This Row],[userSide]] = "H", Fixtures[[#This Row],[awayTeam]], Fixtures[[#This Row],[homeTeam]]))</f>
        <v>N/A</v>
      </c>
      <c r="AB617" s="58" t="str" cm="1">
        <f t="array" ref="AB617">_xlfn._xlws.FILTER(Teams[teamID], Fixtures[[#This Row],[oppTeam]] = Teams[name], "N/A")</f>
        <v>N/A</v>
      </c>
      <c r="AC617" s="58" t="str" cm="1">
        <f t="array" ref="AC617">_xlfn._xlws.FILTER(Teams[teamType], Fixtures[[#This Row],[oppTeam]] = Teams[name], "N/A")</f>
        <v>N/A</v>
      </c>
      <c r="AD617" s="58" t="str">
        <f>IF(ISBLANK(Fixtures[[#This Row],[date]]), "N/A", IF(Fixtures[[#This Row],[userSide]]="H", Fixtures[[#This Row],[homeScore]], Fixtures[[#This Row],[awayScore]]))</f>
        <v>N/A</v>
      </c>
      <c r="AE617" s="58" t="str">
        <f>IF(ISBLANK(Fixtures[[#This Row],[date]]), "N/A", IF(Fixtures[[#This Row],[userScore]] = Fixtures[[#This Row],[homeScore]], Fixtures[[#This Row],[awayScore]], Fixtures[[#This Row],[homeScore]]))</f>
        <v>N/A</v>
      </c>
      <c r="AF617" s="58" t="b">
        <f>NOT(AND(ISBLANK(Fixtures[[#This Row],[homePens]]), ISBLANK(Fixtures[[#This Row],[awayPens]])))</f>
        <v>0</v>
      </c>
      <c r="AG617" s="58" t="str">
        <f>IF(Fixtures[[#This Row],[penalties]], IF(Fixtures[[#This Row],[userSide]]="H", Fixtures[[#This Row],[homePens]], Fixtures[[#This Row],[awayPens]]), "N/A")</f>
        <v>N/A</v>
      </c>
      <c r="AH617" s="58" t="str">
        <f>IF(Fixtures[[#This Row],[penalties]], IF(Fixtures[[#This Row],[userPens]]=Fixtures[[#This Row],[homePens]],Fixtures[[#This Row],[awayPens]],Fixtures[[#This Row],[homePens]]), "N/A")</f>
        <v>N/A</v>
      </c>
      <c r="AI617" s="58" t="b">
        <f>COUNTBLANK(Fixtures[[#This Row],[G]:[MOTM]]) = 0</f>
        <v>0</v>
      </c>
      <c r="AJ617" s="58" t="str">
        <f>IF(Fixtures[[#This Row],[APP]], Fixtures[[#This Row],[G]]+Fixtures[[#This Row],[A]], "N/A")</f>
        <v>N/A</v>
      </c>
      <c r="AK6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8" spans="1:39" ht="13">
      <c r="A618" s="55"/>
      <c r="B618" s="61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7"/>
      <c r="R618" s="56"/>
      <c r="S618" s="58" t="str" cm="1">
        <f t="array" ref="S618">_xlfn._xlws.FILTER(Competitions[compType], (Fixtures[[#This Row],[competition]] = Competitions[name]), "N/A")</f>
        <v>N/A</v>
      </c>
      <c r="T618" s="58" t="str" cm="1">
        <f t="array" ref="T618">_xlfn._xlws.FILTER(Competitions[exhibition], (Fixtures[[#This Row],[competition]] = Competitions[name]), "N/A")</f>
        <v>N/A</v>
      </c>
      <c r="U618" s="58" t="str" cm="1">
        <f t="array" ref="U618">_xlfn._xlws.FILTER(Competitions[compID], (Fixtures[[#This Row],[competition]] = Competitions[name]), "N/A")</f>
        <v>N/A</v>
      </c>
      <c r="V6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8" s="58" t="str" cm="1">
        <f t="array" ref="W6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8" s="58" t="str" cm="1">
        <f t="array" ref="X618">_xlfn._xlws.FILTER(Teams[name], (Fixtures[[#This Row],[userTeamID]] = Teams[teamID]), "N/A")</f>
        <v>N/A</v>
      </c>
      <c r="Y618" s="58" t="str" cm="1">
        <f t="array" ref="Y618">_xlfn._xlws.FILTER(Teams[teamType], (Fixtures[[#This Row],[userTeamID]] = Teams[teamID]), "N/A")</f>
        <v>N/A</v>
      </c>
      <c r="Z618" s="58" t="str" cm="1">
        <f t="array" ref="Z6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8" s="58" t="str">
        <f>IF(Fixtures[[#This Row],[userSide]] = "N/A", "N/A", IF(Fixtures[[#This Row],[userSide]] = "H", Fixtures[[#This Row],[awayTeam]], Fixtures[[#This Row],[homeTeam]]))</f>
        <v>N/A</v>
      </c>
      <c r="AB618" s="58" t="str" cm="1">
        <f t="array" ref="AB618">_xlfn._xlws.FILTER(Teams[teamID], Fixtures[[#This Row],[oppTeam]] = Teams[name], "N/A")</f>
        <v>N/A</v>
      </c>
      <c r="AC618" s="58" t="str" cm="1">
        <f t="array" ref="AC618">_xlfn._xlws.FILTER(Teams[teamType], Fixtures[[#This Row],[oppTeam]] = Teams[name], "N/A")</f>
        <v>N/A</v>
      </c>
      <c r="AD618" s="58" t="str">
        <f>IF(ISBLANK(Fixtures[[#This Row],[date]]), "N/A", IF(Fixtures[[#This Row],[userSide]]="H", Fixtures[[#This Row],[homeScore]], Fixtures[[#This Row],[awayScore]]))</f>
        <v>N/A</v>
      </c>
      <c r="AE618" s="58" t="str">
        <f>IF(ISBLANK(Fixtures[[#This Row],[date]]), "N/A", IF(Fixtures[[#This Row],[userScore]] = Fixtures[[#This Row],[homeScore]], Fixtures[[#This Row],[awayScore]], Fixtures[[#This Row],[homeScore]]))</f>
        <v>N/A</v>
      </c>
      <c r="AF618" s="58" t="b">
        <f>NOT(AND(ISBLANK(Fixtures[[#This Row],[homePens]]), ISBLANK(Fixtures[[#This Row],[awayPens]])))</f>
        <v>0</v>
      </c>
      <c r="AG618" s="58" t="str">
        <f>IF(Fixtures[[#This Row],[penalties]], IF(Fixtures[[#This Row],[userSide]]="H", Fixtures[[#This Row],[homePens]], Fixtures[[#This Row],[awayPens]]), "N/A")</f>
        <v>N/A</v>
      </c>
      <c r="AH618" s="58" t="str">
        <f>IF(Fixtures[[#This Row],[penalties]], IF(Fixtures[[#This Row],[userPens]]=Fixtures[[#This Row],[homePens]],Fixtures[[#This Row],[awayPens]],Fixtures[[#This Row],[homePens]]), "N/A")</f>
        <v>N/A</v>
      </c>
      <c r="AI618" s="58" t="b">
        <f>COUNTBLANK(Fixtures[[#This Row],[G]:[MOTM]]) = 0</f>
        <v>0</v>
      </c>
      <c r="AJ618" s="58" t="str">
        <f>IF(Fixtures[[#This Row],[APP]], Fixtures[[#This Row],[G]]+Fixtures[[#This Row],[A]], "N/A")</f>
        <v>N/A</v>
      </c>
      <c r="AK6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19" spans="1:39" ht="13">
      <c r="A619" s="55"/>
      <c r="B619" s="61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7"/>
      <c r="R619" s="56"/>
      <c r="S619" s="58" t="str" cm="1">
        <f t="array" ref="S619">_xlfn._xlws.FILTER(Competitions[compType], (Fixtures[[#This Row],[competition]] = Competitions[name]), "N/A")</f>
        <v>N/A</v>
      </c>
      <c r="T619" s="58" t="str" cm="1">
        <f t="array" ref="T619">_xlfn._xlws.FILTER(Competitions[exhibition], (Fixtures[[#This Row],[competition]] = Competitions[name]), "N/A")</f>
        <v>N/A</v>
      </c>
      <c r="U619" s="58" t="str" cm="1">
        <f t="array" ref="U619">_xlfn._xlws.FILTER(Competitions[compID], (Fixtures[[#This Row],[competition]] = Competitions[name]), "N/A")</f>
        <v>N/A</v>
      </c>
      <c r="V6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19" s="58" t="str" cm="1">
        <f t="array" ref="W6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19" s="58" t="str" cm="1">
        <f t="array" ref="X619">_xlfn._xlws.FILTER(Teams[name], (Fixtures[[#This Row],[userTeamID]] = Teams[teamID]), "N/A")</f>
        <v>N/A</v>
      </c>
      <c r="Y619" s="58" t="str" cm="1">
        <f t="array" ref="Y619">_xlfn._xlws.FILTER(Teams[teamType], (Fixtures[[#This Row],[userTeamID]] = Teams[teamID]), "N/A")</f>
        <v>N/A</v>
      </c>
      <c r="Z619" s="58" t="str" cm="1">
        <f t="array" ref="Z6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19" s="58" t="str">
        <f>IF(Fixtures[[#This Row],[userSide]] = "N/A", "N/A", IF(Fixtures[[#This Row],[userSide]] = "H", Fixtures[[#This Row],[awayTeam]], Fixtures[[#This Row],[homeTeam]]))</f>
        <v>N/A</v>
      </c>
      <c r="AB619" s="58" t="str" cm="1">
        <f t="array" ref="AB619">_xlfn._xlws.FILTER(Teams[teamID], Fixtures[[#This Row],[oppTeam]] = Teams[name], "N/A")</f>
        <v>N/A</v>
      </c>
      <c r="AC619" s="58" t="str" cm="1">
        <f t="array" ref="AC619">_xlfn._xlws.FILTER(Teams[teamType], Fixtures[[#This Row],[oppTeam]] = Teams[name], "N/A")</f>
        <v>N/A</v>
      </c>
      <c r="AD619" s="58" t="str">
        <f>IF(ISBLANK(Fixtures[[#This Row],[date]]), "N/A", IF(Fixtures[[#This Row],[userSide]]="H", Fixtures[[#This Row],[homeScore]], Fixtures[[#This Row],[awayScore]]))</f>
        <v>N/A</v>
      </c>
      <c r="AE619" s="58" t="str">
        <f>IF(ISBLANK(Fixtures[[#This Row],[date]]), "N/A", IF(Fixtures[[#This Row],[userScore]] = Fixtures[[#This Row],[homeScore]], Fixtures[[#This Row],[awayScore]], Fixtures[[#This Row],[homeScore]]))</f>
        <v>N/A</v>
      </c>
      <c r="AF619" s="58" t="b">
        <f>NOT(AND(ISBLANK(Fixtures[[#This Row],[homePens]]), ISBLANK(Fixtures[[#This Row],[awayPens]])))</f>
        <v>0</v>
      </c>
      <c r="AG619" s="58" t="str">
        <f>IF(Fixtures[[#This Row],[penalties]], IF(Fixtures[[#This Row],[userSide]]="H", Fixtures[[#This Row],[homePens]], Fixtures[[#This Row],[awayPens]]), "N/A")</f>
        <v>N/A</v>
      </c>
      <c r="AH619" s="58" t="str">
        <f>IF(Fixtures[[#This Row],[penalties]], IF(Fixtures[[#This Row],[userPens]]=Fixtures[[#This Row],[homePens]],Fixtures[[#This Row],[awayPens]],Fixtures[[#This Row],[homePens]]), "N/A")</f>
        <v>N/A</v>
      </c>
      <c r="AI619" s="58" t="b">
        <f>COUNTBLANK(Fixtures[[#This Row],[G]:[MOTM]]) = 0</f>
        <v>0</v>
      </c>
      <c r="AJ619" s="58" t="str">
        <f>IF(Fixtures[[#This Row],[APP]], Fixtures[[#This Row],[G]]+Fixtures[[#This Row],[A]], "N/A")</f>
        <v>N/A</v>
      </c>
      <c r="AK6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0" spans="1:39" ht="13">
      <c r="A620" s="55"/>
      <c r="B620" s="61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7"/>
      <c r="R620" s="56"/>
      <c r="S620" s="58" t="str" cm="1">
        <f t="array" ref="S620">_xlfn._xlws.FILTER(Competitions[compType], (Fixtures[[#This Row],[competition]] = Competitions[name]), "N/A")</f>
        <v>N/A</v>
      </c>
      <c r="T620" s="58" t="str" cm="1">
        <f t="array" ref="T620">_xlfn._xlws.FILTER(Competitions[exhibition], (Fixtures[[#This Row],[competition]] = Competitions[name]), "N/A")</f>
        <v>N/A</v>
      </c>
      <c r="U620" s="58" t="str" cm="1">
        <f t="array" ref="U620">_xlfn._xlws.FILTER(Competitions[compID], (Fixtures[[#This Row],[competition]] = Competitions[name]), "N/A")</f>
        <v>N/A</v>
      </c>
      <c r="V6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0" s="58" t="str" cm="1">
        <f t="array" ref="W6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0" s="58" t="str" cm="1">
        <f t="array" ref="X620">_xlfn._xlws.FILTER(Teams[name], (Fixtures[[#This Row],[userTeamID]] = Teams[teamID]), "N/A")</f>
        <v>N/A</v>
      </c>
      <c r="Y620" s="58" t="str" cm="1">
        <f t="array" ref="Y620">_xlfn._xlws.FILTER(Teams[teamType], (Fixtures[[#This Row],[userTeamID]] = Teams[teamID]), "N/A")</f>
        <v>N/A</v>
      </c>
      <c r="Z620" s="58" t="str" cm="1">
        <f t="array" ref="Z6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0" s="58" t="str">
        <f>IF(Fixtures[[#This Row],[userSide]] = "N/A", "N/A", IF(Fixtures[[#This Row],[userSide]] = "H", Fixtures[[#This Row],[awayTeam]], Fixtures[[#This Row],[homeTeam]]))</f>
        <v>N/A</v>
      </c>
      <c r="AB620" s="58" t="str" cm="1">
        <f t="array" ref="AB620">_xlfn._xlws.FILTER(Teams[teamID], Fixtures[[#This Row],[oppTeam]] = Teams[name], "N/A")</f>
        <v>N/A</v>
      </c>
      <c r="AC620" s="58" t="str" cm="1">
        <f t="array" ref="AC620">_xlfn._xlws.FILTER(Teams[teamType], Fixtures[[#This Row],[oppTeam]] = Teams[name], "N/A")</f>
        <v>N/A</v>
      </c>
      <c r="AD620" s="58" t="str">
        <f>IF(ISBLANK(Fixtures[[#This Row],[date]]), "N/A", IF(Fixtures[[#This Row],[userSide]]="H", Fixtures[[#This Row],[homeScore]], Fixtures[[#This Row],[awayScore]]))</f>
        <v>N/A</v>
      </c>
      <c r="AE620" s="58" t="str">
        <f>IF(ISBLANK(Fixtures[[#This Row],[date]]), "N/A", IF(Fixtures[[#This Row],[userScore]] = Fixtures[[#This Row],[homeScore]], Fixtures[[#This Row],[awayScore]], Fixtures[[#This Row],[homeScore]]))</f>
        <v>N/A</v>
      </c>
      <c r="AF620" s="58" t="b">
        <f>NOT(AND(ISBLANK(Fixtures[[#This Row],[homePens]]), ISBLANK(Fixtures[[#This Row],[awayPens]])))</f>
        <v>0</v>
      </c>
      <c r="AG620" s="58" t="str">
        <f>IF(Fixtures[[#This Row],[penalties]], IF(Fixtures[[#This Row],[userSide]]="H", Fixtures[[#This Row],[homePens]], Fixtures[[#This Row],[awayPens]]), "N/A")</f>
        <v>N/A</v>
      </c>
      <c r="AH620" s="58" t="str">
        <f>IF(Fixtures[[#This Row],[penalties]], IF(Fixtures[[#This Row],[userPens]]=Fixtures[[#This Row],[homePens]],Fixtures[[#This Row],[awayPens]],Fixtures[[#This Row],[homePens]]), "N/A")</f>
        <v>N/A</v>
      </c>
      <c r="AI620" s="58" t="b">
        <f>COUNTBLANK(Fixtures[[#This Row],[G]:[MOTM]]) = 0</f>
        <v>0</v>
      </c>
      <c r="AJ620" s="58" t="str">
        <f>IF(Fixtures[[#This Row],[APP]], Fixtures[[#This Row],[G]]+Fixtures[[#This Row],[A]], "N/A")</f>
        <v>N/A</v>
      </c>
      <c r="AK6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1" spans="1:39" ht="13">
      <c r="A621" s="55"/>
      <c r="B621" s="61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7"/>
      <c r="R621" s="56"/>
      <c r="S621" s="58" t="str" cm="1">
        <f t="array" ref="S621">_xlfn._xlws.FILTER(Competitions[compType], (Fixtures[[#This Row],[competition]] = Competitions[name]), "N/A")</f>
        <v>N/A</v>
      </c>
      <c r="T621" s="58" t="str" cm="1">
        <f t="array" ref="T621">_xlfn._xlws.FILTER(Competitions[exhibition], (Fixtures[[#This Row],[competition]] = Competitions[name]), "N/A")</f>
        <v>N/A</v>
      </c>
      <c r="U621" s="58" t="str" cm="1">
        <f t="array" ref="U621">_xlfn._xlws.FILTER(Competitions[compID], (Fixtures[[#This Row],[competition]] = Competitions[name]), "N/A")</f>
        <v>N/A</v>
      </c>
      <c r="V6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1" s="58" t="str" cm="1">
        <f t="array" ref="W6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1" s="58" t="str" cm="1">
        <f t="array" ref="X621">_xlfn._xlws.FILTER(Teams[name], (Fixtures[[#This Row],[userTeamID]] = Teams[teamID]), "N/A")</f>
        <v>N/A</v>
      </c>
      <c r="Y621" s="58" t="str" cm="1">
        <f t="array" ref="Y621">_xlfn._xlws.FILTER(Teams[teamType], (Fixtures[[#This Row],[userTeamID]] = Teams[teamID]), "N/A")</f>
        <v>N/A</v>
      </c>
      <c r="Z621" s="58" t="str" cm="1">
        <f t="array" ref="Z6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1" s="58" t="str">
        <f>IF(Fixtures[[#This Row],[userSide]] = "N/A", "N/A", IF(Fixtures[[#This Row],[userSide]] = "H", Fixtures[[#This Row],[awayTeam]], Fixtures[[#This Row],[homeTeam]]))</f>
        <v>N/A</v>
      </c>
      <c r="AB621" s="58" t="str" cm="1">
        <f t="array" ref="AB621">_xlfn._xlws.FILTER(Teams[teamID], Fixtures[[#This Row],[oppTeam]] = Teams[name], "N/A")</f>
        <v>N/A</v>
      </c>
      <c r="AC621" s="58" t="str" cm="1">
        <f t="array" ref="AC621">_xlfn._xlws.FILTER(Teams[teamType], Fixtures[[#This Row],[oppTeam]] = Teams[name], "N/A")</f>
        <v>N/A</v>
      </c>
      <c r="AD621" s="58" t="str">
        <f>IF(ISBLANK(Fixtures[[#This Row],[date]]), "N/A", IF(Fixtures[[#This Row],[userSide]]="H", Fixtures[[#This Row],[homeScore]], Fixtures[[#This Row],[awayScore]]))</f>
        <v>N/A</v>
      </c>
      <c r="AE621" s="58" t="str">
        <f>IF(ISBLANK(Fixtures[[#This Row],[date]]), "N/A", IF(Fixtures[[#This Row],[userScore]] = Fixtures[[#This Row],[homeScore]], Fixtures[[#This Row],[awayScore]], Fixtures[[#This Row],[homeScore]]))</f>
        <v>N/A</v>
      </c>
      <c r="AF621" s="58" t="b">
        <f>NOT(AND(ISBLANK(Fixtures[[#This Row],[homePens]]), ISBLANK(Fixtures[[#This Row],[awayPens]])))</f>
        <v>0</v>
      </c>
      <c r="AG621" s="58" t="str">
        <f>IF(Fixtures[[#This Row],[penalties]], IF(Fixtures[[#This Row],[userSide]]="H", Fixtures[[#This Row],[homePens]], Fixtures[[#This Row],[awayPens]]), "N/A")</f>
        <v>N/A</v>
      </c>
      <c r="AH621" s="58" t="str">
        <f>IF(Fixtures[[#This Row],[penalties]], IF(Fixtures[[#This Row],[userPens]]=Fixtures[[#This Row],[homePens]],Fixtures[[#This Row],[awayPens]],Fixtures[[#This Row],[homePens]]), "N/A")</f>
        <v>N/A</v>
      </c>
      <c r="AI621" s="58" t="b">
        <f>COUNTBLANK(Fixtures[[#This Row],[G]:[MOTM]]) = 0</f>
        <v>0</v>
      </c>
      <c r="AJ621" s="58" t="str">
        <f>IF(Fixtures[[#This Row],[APP]], Fixtures[[#This Row],[G]]+Fixtures[[#This Row],[A]], "N/A")</f>
        <v>N/A</v>
      </c>
      <c r="AK6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2" spans="1:39" ht="13">
      <c r="A622" s="55"/>
      <c r="B622" s="61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7"/>
      <c r="R622" s="56"/>
      <c r="S622" s="58" t="str" cm="1">
        <f t="array" ref="S622">_xlfn._xlws.FILTER(Competitions[compType], (Fixtures[[#This Row],[competition]] = Competitions[name]), "N/A")</f>
        <v>N/A</v>
      </c>
      <c r="T622" s="58" t="str" cm="1">
        <f t="array" ref="T622">_xlfn._xlws.FILTER(Competitions[exhibition], (Fixtures[[#This Row],[competition]] = Competitions[name]), "N/A")</f>
        <v>N/A</v>
      </c>
      <c r="U622" s="58" t="str" cm="1">
        <f t="array" ref="U622">_xlfn._xlws.FILTER(Competitions[compID], (Fixtures[[#This Row],[competition]] = Competitions[name]), "N/A")</f>
        <v>N/A</v>
      </c>
      <c r="V6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2" s="58" t="str" cm="1">
        <f t="array" ref="W6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2" s="58" t="str" cm="1">
        <f t="array" ref="X622">_xlfn._xlws.FILTER(Teams[name], (Fixtures[[#This Row],[userTeamID]] = Teams[teamID]), "N/A")</f>
        <v>N/A</v>
      </c>
      <c r="Y622" s="58" t="str" cm="1">
        <f t="array" ref="Y622">_xlfn._xlws.FILTER(Teams[teamType], (Fixtures[[#This Row],[userTeamID]] = Teams[teamID]), "N/A")</f>
        <v>N/A</v>
      </c>
      <c r="Z622" s="58" t="str" cm="1">
        <f t="array" ref="Z6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2" s="58" t="str">
        <f>IF(Fixtures[[#This Row],[userSide]] = "N/A", "N/A", IF(Fixtures[[#This Row],[userSide]] = "H", Fixtures[[#This Row],[awayTeam]], Fixtures[[#This Row],[homeTeam]]))</f>
        <v>N/A</v>
      </c>
      <c r="AB622" s="58" t="str" cm="1">
        <f t="array" ref="AB622">_xlfn._xlws.FILTER(Teams[teamID], Fixtures[[#This Row],[oppTeam]] = Teams[name], "N/A")</f>
        <v>N/A</v>
      </c>
      <c r="AC622" s="58" t="str" cm="1">
        <f t="array" ref="AC622">_xlfn._xlws.FILTER(Teams[teamType], Fixtures[[#This Row],[oppTeam]] = Teams[name], "N/A")</f>
        <v>N/A</v>
      </c>
      <c r="AD622" s="58" t="str">
        <f>IF(ISBLANK(Fixtures[[#This Row],[date]]), "N/A", IF(Fixtures[[#This Row],[userSide]]="H", Fixtures[[#This Row],[homeScore]], Fixtures[[#This Row],[awayScore]]))</f>
        <v>N/A</v>
      </c>
      <c r="AE622" s="58" t="str">
        <f>IF(ISBLANK(Fixtures[[#This Row],[date]]), "N/A", IF(Fixtures[[#This Row],[userScore]] = Fixtures[[#This Row],[homeScore]], Fixtures[[#This Row],[awayScore]], Fixtures[[#This Row],[homeScore]]))</f>
        <v>N/A</v>
      </c>
      <c r="AF622" s="58" t="b">
        <f>NOT(AND(ISBLANK(Fixtures[[#This Row],[homePens]]), ISBLANK(Fixtures[[#This Row],[awayPens]])))</f>
        <v>0</v>
      </c>
      <c r="AG622" s="58" t="str">
        <f>IF(Fixtures[[#This Row],[penalties]], IF(Fixtures[[#This Row],[userSide]]="H", Fixtures[[#This Row],[homePens]], Fixtures[[#This Row],[awayPens]]), "N/A")</f>
        <v>N/A</v>
      </c>
      <c r="AH622" s="58" t="str">
        <f>IF(Fixtures[[#This Row],[penalties]], IF(Fixtures[[#This Row],[userPens]]=Fixtures[[#This Row],[homePens]],Fixtures[[#This Row],[awayPens]],Fixtures[[#This Row],[homePens]]), "N/A")</f>
        <v>N/A</v>
      </c>
      <c r="AI622" s="58" t="b">
        <f>COUNTBLANK(Fixtures[[#This Row],[G]:[MOTM]]) = 0</f>
        <v>0</v>
      </c>
      <c r="AJ622" s="58" t="str">
        <f>IF(Fixtures[[#This Row],[APP]], Fixtures[[#This Row],[G]]+Fixtures[[#This Row],[A]], "N/A")</f>
        <v>N/A</v>
      </c>
      <c r="AK6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3" spans="1:39" ht="13">
      <c r="A623" s="55"/>
      <c r="B623" s="61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7"/>
      <c r="R623" s="56"/>
      <c r="S623" s="58" t="str" cm="1">
        <f t="array" ref="S623">_xlfn._xlws.FILTER(Competitions[compType], (Fixtures[[#This Row],[competition]] = Competitions[name]), "N/A")</f>
        <v>N/A</v>
      </c>
      <c r="T623" s="58" t="str" cm="1">
        <f t="array" ref="T623">_xlfn._xlws.FILTER(Competitions[exhibition], (Fixtures[[#This Row],[competition]] = Competitions[name]), "N/A")</f>
        <v>N/A</v>
      </c>
      <c r="U623" s="58" t="str" cm="1">
        <f t="array" ref="U623">_xlfn._xlws.FILTER(Competitions[compID], (Fixtures[[#This Row],[competition]] = Competitions[name]), "N/A")</f>
        <v>N/A</v>
      </c>
      <c r="V6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3" s="58" t="str" cm="1">
        <f t="array" ref="W6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3" s="58" t="str" cm="1">
        <f t="array" ref="X623">_xlfn._xlws.FILTER(Teams[name], (Fixtures[[#This Row],[userTeamID]] = Teams[teamID]), "N/A")</f>
        <v>N/A</v>
      </c>
      <c r="Y623" s="58" t="str" cm="1">
        <f t="array" ref="Y623">_xlfn._xlws.FILTER(Teams[teamType], (Fixtures[[#This Row],[userTeamID]] = Teams[teamID]), "N/A")</f>
        <v>N/A</v>
      </c>
      <c r="Z623" s="58" t="str" cm="1">
        <f t="array" ref="Z6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3" s="58" t="str">
        <f>IF(Fixtures[[#This Row],[userSide]] = "N/A", "N/A", IF(Fixtures[[#This Row],[userSide]] = "H", Fixtures[[#This Row],[awayTeam]], Fixtures[[#This Row],[homeTeam]]))</f>
        <v>N/A</v>
      </c>
      <c r="AB623" s="58" t="str" cm="1">
        <f t="array" ref="AB623">_xlfn._xlws.FILTER(Teams[teamID], Fixtures[[#This Row],[oppTeam]] = Teams[name], "N/A")</f>
        <v>N/A</v>
      </c>
      <c r="AC623" s="58" t="str" cm="1">
        <f t="array" ref="AC623">_xlfn._xlws.FILTER(Teams[teamType], Fixtures[[#This Row],[oppTeam]] = Teams[name], "N/A")</f>
        <v>N/A</v>
      </c>
      <c r="AD623" s="58" t="str">
        <f>IF(ISBLANK(Fixtures[[#This Row],[date]]), "N/A", IF(Fixtures[[#This Row],[userSide]]="H", Fixtures[[#This Row],[homeScore]], Fixtures[[#This Row],[awayScore]]))</f>
        <v>N/A</v>
      </c>
      <c r="AE623" s="58" t="str">
        <f>IF(ISBLANK(Fixtures[[#This Row],[date]]), "N/A", IF(Fixtures[[#This Row],[userScore]] = Fixtures[[#This Row],[homeScore]], Fixtures[[#This Row],[awayScore]], Fixtures[[#This Row],[homeScore]]))</f>
        <v>N/A</v>
      </c>
      <c r="AF623" s="58" t="b">
        <f>NOT(AND(ISBLANK(Fixtures[[#This Row],[homePens]]), ISBLANK(Fixtures[[#This Row],[awayPens]])))</f>
        <v>0</v>
      </c>
      <c r="AG623" s="58" t="str">
        <f>IF(Fixtures[[#This Row],[penalties]], IF(Fixtures[[#This Row],[userSide]]="H", Fixtures[[#This Row],[homePens]], Fixtures[[#This Row],[awayPens]]), "N/A")</f>
        <v>N/A</v>
      </c>
      <c r="AH623" s="58" t="str">
        <f>IF(Fixtures[[#This Row],[penalties]], IF(Fixtures[[#This Row],[userPens]]=Fixtures[[#This Row],[homePens]],Fixtures[[#This Row],[awayPens]],Fixtures[[#This Row],[homePens]]), "N/A")</f>
        <v>N/A</v>
      </c>
      <c r="AI623" s="58" t="b">
        <f>COUNTBLANK(Fixtures[[#This Row],[G]:[MOTM]]) = 0</f>
        <v>0</v>
      </c>
      <c r="AJ623" s="58" t="str">
        <f>IF(Fixtures[[#This Row],[APP]], Fixtures[[#This Row],[G]]+Fixtures[[#This Row],[A]], "N/A")</f>
        <v>N/A</v>
      </c>
      <c r="AK6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4" spans="1:39" ht="13">
      <c r="A624" s="55"/>
      <c r="B624" s="61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7"/>
      <c r="R624" s="56"/>
      <c r="S624" s="58" t="str" cm="1">
        <f t="array" ref="S624">_xlfn._xlws.FILTER(Competitions[compType], (Fixtures[[#This Row],[competition]] = Competitions[name]), "N/A")</f>
        <v>N/A</v>
      </c>
      <c r="T624" s="58" t="str" cm="1">
        <f t="array" ref="T624">_xlfn._xlws.FILTER(Competitions[exhibition], (Fixtures[[#This Row],[competition]] = Competitions[name]), "N/A")</f>
        <v>N/A</v>
      </c>
      <c r="U624" s="58" t="str" cm="1">
        <f t="array" ref="U624">_xlfn._xlws.FILTER(Competitions[compID], (Fixtures[[#This Row],[competition]] = Competitions[name]), "N/A")</f>
        <v>N/A</v>
      </c>
      <c r="V6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4" s="58" t="str" cm="1">
        <f t="array" ref="W6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4" s="58" t="str" cm="1">
        <f t="array" ref="X624">_xlfn._xlws.FILTER(Teams[name], (Fixtures[[#This Row],[userTeamID]] = Teams[teamID]), "N/A")</f>
        <v>N/A</v>
      </c>
      <c r="Y624" s="58" t="str" cm="1">
        <f t="array" ref="Y624">_xlfn._xlws.FILTER(Teams[teamType], (Fixtures[[#This Row],[userTeamID]] = Teams[teamID]), "N/A")</f>
        <v>N/A</v>
      </c>
      <c r="Z624" s="58" t="str" cm="1">
        <f t="array" ref="Z6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4" s="58" t="str">
        <f>IF(Fixtures[[#This Row],[userSide]] = "N/A", "N/A", IF(Fixtures[[#This Row],[userSide]] = "H", Fixtures[[#This Row],[awayTeam]], Fixtures[[#This Row],[homeTeam]]))</f>
        <v>N/A</v>
      </c>
      <c r="AB624" s="58" t="str" cm="1">
        <f t="array" ref="AB624">_xlfn._xlws.FILTER(Teams[teamID], Fixtures[[#This Row],[oppTeam]] = Teams[name], "N/A")</f>
        <v>N/A</v>
      </c>
      <c r="AC624" s="58" t="str" cm="1">
        <f t="array" ref="AC624">_xlfn._xlws.FILTER(Teams[teamType], Fixtures[[#This Row],[oppTeam]] = Teams[name], "N/A")</f>
        <v>N/A</v>
      </c>
      <c r="AD624" s="58" t="str">
        <f>IF(ISBLANK(Fixtures[[#This Row],[date]]), "N/A", IF(Fixtures[[#This Row],[userSide]]="H", Fixtures[[#This Row],[homeScore]], Fixtures[[#This Row],[awayScore]]))</f>
        <v>N/A</v>
      </c>
      <c r="AE624" s="58" t="str">
        <f>IF(ISBLANK(Fixtures[[#This Row],[date]]), "N/A", IF(Fixtures[[#This Row],[userScore]] = Fixtures[[#This Row],[homeScore]], Fixtures[[#This Row],[awayScore]], Fixtures[[#This Row],[homeScore]]))</f>
        <v>N/A</v>
      </c>
      <c r="AF624" s="58" t="b">
        <f>NOT(AND(ISBLANK(Fixtures[[#This Row],[homePens]]), ISBLANK(Fixtures[[#This Row],[awayPens]])))</f>
        <v>0</v>
      </c>
      <c r="AG624" s="58" t="str">
        <f>IF(Fixtures[[#This Row],[penalties]], IF(Fixtures[[#This Row],[userSide]]="H", Fixtures[[#This Row],[homePens]], Fixtures[[#This Row],[awayPens]]), "N/A")</f>
        <v>N/A</v>
      </c>
      <c r="AH624" s="58" t="str">
        <f>IF(Fixtures[[#This Row],[penalties]], IF(Fixtures[[#This Row],[userPens]]=Fixtures[[#This Row],[homePens]],Fixtures[[#This Row],[awayPens]],Fixtures[[#This Row],[homePens]]), "N/A")</f>
        <v>N/A</v>
      </c>
      <c r="AI624" s="58" t="b">
        <f>COUNTBLANK(Fixtures[[#This Row],[G]:[MOTM]]) = 0</f>
        <v>0</v>
      </c>
      <c r="AJ624" s="58" t="str">
        <f>IF(Fixtures[[#This Row],[APP]], Fixtures[[#This Row],[G]]+Fixtures[[#This Row],[A]], "N/A")</f>
        <v>N/A</v>
      </c>
      <c r="AK6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5" spans="1:39" ht="13">
      <c r="A625" s="55"/>
      <c r="B625" s="61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7"/>
      <c r="R625" s="56"/>
      <c r="S625" s="58" t="str" cm="1">
        <f t="array" ref="S625">_xlfn._xlws.FILTER(Competitions[compType], (Fixtures[[#This Row],[competition]] = Competitions[name]), "N/A")</f>
        <v>N/A</v>
      </c>
      <c r="T625" s="58" t="str" cm="1">
        <f t="array" ref="T625">_xlfn._xlws.FILTER(Competitions[exhibition], (Fixtures[[#This Row],[competition]] = Competitions[name]), "N/A")</f>
        <v>N/A</v>
      </c>
      <c r="U625" s="58" t="str" cm="1">
        <f t="array" ref="U625">_xlfn._xlws.FILTER(Competitions[compID], (Fixtures[[#This Row],[competition]] = Competitions[name]), "N/A")</f>
        <v>N/A</v>
      </c>
      <c r="V6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5" s="58" t="str" cm="1">
        <f t="array" ref="W6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5" s="58" t="str" cm="1">
        <f t="array" ref="X625">_xlfn._xlws.FILTER(Teams[name], (Fixtures[[#This Row],[userTeamID]] = Teams[teamID]), "N/A")</f>
        <v>N/A</v>
      </c>
      <c r="Y625" s="58" t="str" cm="1">
        <f t="array" ref="Y625">_xlfn._xlws.FILTER(Teams[teamType], (Fixtures[[#This Row],[userTeamID]] = Teams[teamID]), "N/A")</f>
        <v>N/A</v>
      </c>
      <c r="Z625" s="58" t="str" cm="1">
        <f t="array" ref="Z6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5" s="58" t="str">
        <f>IF(Fixtures[[#This Row],[userSide]] = "N/A", "N/A", IF(Fixtures[[#This Row],[userSide]] = "H", Fixtures[[#This Row],[awayTeam]], Fixtures[[#This Row],[homeTeam]]))</f>
        <v>N/A</v>
      </c>
      <c r="AB625" s="58" t="str" cm="1">
        <f t="array" ref="AB625">_xlfn._xlws.FILTER(Teams[teamID], Fixtures[[#This Row],[oppTeam]] = Teams[name], "N/A")</f>
        <v>N/A</v>
      </c>
      <c r="AC625" s="58" t="str" cm="1">
        <f t="array" ref="AC625">_xlfn._xlws.FILTER(Teams[teamType], Fixtures[[#This Row],[oppTeam]] = Teams[name], "N/A")</f>
        <v>N/A</v>
      </c>
      <c r="AD625" s="58" t="str">
        <f>IF(ISBLANK(Fixtures[[#This Row],[date]]), "N/A", IF(Fixtures[[#This Row],[userSide]]="H", Fixtures[[#This Row],[homeScore]], Fixtures[[#This Row],[awayScore]]))</f>
        <v>N/A</v>
      </c>
      <c r="AE625" s="58" t="str">
        <f>IF(ISBLANK(Fixtures[[#This Row],[date]]), "N/A", IF(Fixtures[[#This Row],[userScore]] = Fixtures[[#This Row],[homeScore]], Fixtures[[#This Row],[awayScore]], Fixtures[[#This Row],[homeScore]]))</f>
        <v>N/A</v>
      </c>
      <c r="AF625" s="58" t="b">
        <f>NOT(AND(ISBLANK(Fixtures[[#This Row],[homePens]]), ISBLANK(Fixtures[[#This Row],[awayPens]])))</f>
        <v>0</v>
      </c>
      <c r="AG625" s="58" t="str">
        <f>IF(Fixtures[[#This Row],[penalties]], IF(Fixtures[[#This Row],[userSide]]="H", Fixtures[[#This Row],[homePens]], Fixtures[[#This Row],[awayPens]]), "N/A")</f>
        <v>N/A</v>
      </c>
      <c r="AH625" s="58" t="str">
        <f>IF(Fixtures[[#This Row],[penalties]], IF(Fixtures[[#This Row],[userPens]]=Fixtures[[#This Row],[homePens]],Fixtures[[#This Row],[awayPens]],Fixtures[[#This Row],[homePens]]), "N/A")</f>
        <v>N/A</v>
      </c>
      <c r="AI625" s="58" t="b">
        <f>COUNTBLANK(Fixtures[[#This Row],[G]:[MOTM]]) = 0</f>
        <v>0</v>
      </c>
      <c r="AJ625" s="58" t="str">
        <f>IF(Fixtures[[#This Row],[APP]], Fixtures[[#This Row],[G]]+Fixtures[[#This Row],[A]], "N/A")</f>
        <v>N/A</v>
      </c>
      <c r="AK6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6" spans="1:39" ht="13">
      <c r="A626" s="55"/>
      <c r="B626" s="61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7"/>
      <c r="R626" s="56"/>
      <c r="S626" s="58" t="str" cm="1">
        <f t="array" ref="S626">_xlfn._xlws.FILTER(Competitions[compType], (Fixtures[[#This Row],[competition]] = Competitions[name]), "N/A")</f>
        <v>N/A</v>
      </c>
      <c r="T626" s="58" t="str" cm="1">
        <f t="array" ref="T626">_xlfn._xlws.FILTER(Competitions[exhibition], (Fixtures[[#This Row],[competition]] = Competitions[name]), "N/A")</f>
        <v>N/A</v>
      </c>
      <c r="U626" s="58" t="str" cm="1">
        <f t="array" ref="U626">_xlfn._xlws.FILTER(Competitions[compID], (Fixtures[[#This Row],[competition]] = Competitions[name]), "N/A")</f>
        <v>N/A</v>
      </c>
      <c r="V6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6" s="58" t="str" cm="1">
        <f t="array" ref="W6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6" s="58" t="str" cm="1">
        <f t="array" ref="X626">_xlfn._xlws.FILTER(Teams[name], (Fixtures[[#This Row],[userTeamID]] = Teams[teamID]), "N/A")</f>
        <v>N/A</v>
      </c>
      <c r="Y626" s="58" t="str" cm="1">
        <f t="array" ref="Y626">_xlfn._xlws.FILTER(Teams[teamType], (Fixtures[[#This Row],[userTeamID]] = Teams[teamID]), "N/A")</f>
        <v>N/A</v>
      </c>
      <c r="Z626" s="58" t="str" cm="1">
        <f t="array" ref="Z6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6" s="58" t="str">
        <f>IF(Fixtures[[#This Row],[userSide]] = "N/A", "N/A", IF(Fixtures[[#This Row],[userSide]] = "H", Fixtures[[#This Row],[awayTeam]], Fixtures[[#This Row],[homeTeam]]))</f>
        <v>N/A</v>
      </c>
      <c r="AB626" s="58" t="str" cm="1">
        <f t="array" ref="AB626">_xlfn._xlws.FILTER(Teams[teamID], Fixtures[[#This Row],[oppTeam]] = Teams[name], "N/A")</f>
        <v>N/A</v>
      </c>
      <c r="AC626" s="58" t="str" cm="1">
        <f t="array" ref="AC626">_xlfn._xlws.FILTER(Teams[teamType], Fixtures[[#This Row],[oppTeam]] = Teams[name], "N/A")</f>
        <v>N/A</v>
      </c>
      <c r="AD626" s="58" t="str">
        <f>IF(ISBLANK(Fixtures[[#This Row],[date]]), "N/A", IF(Fixtures[[#This Row],[userSide]]="H", Fixtures[[#This Row],[homeScore]], Fixtures[[#This Row],[awayScore]]))</f>
        <v>N/A</v>
      </c>
      <c r="AE626" s="58" t="str">
        <f>IF(ISBLANK(Fixtures[[#This Row],[date]]), "N/A", IF(Fixtures[[#This Row],[userScore]] = Fixtures[[#This Row],[homeScore]], Fixtures[[#This Row],[awayScore]], Fixtures[[#This Row],[homeScore]]))</f>
        <v>N/A</v>
      </c>
      <c r="AF626" s="58" t="b">
        <f>NOT(AND(ISBLANK(Fixtures[[#This Row],[homePens]]), ISBLANK(Fixtures[[#This Row],[awayPens]])))</f>
        <v>0</v>
      </c>
      <c r="AG626" s="58" t="str">
        <f>IF(Fixtures[[#This Row],[penalties]], IF(Fixtures[[#This Row],[userSide]]="H", Fixtures[[#This Row],[homePens]], Fixtures[[#This Row],[awayPens]]), "N/A")</f>
        <v>N/A</v>
      </c>
      <c r="AH626" s="58" t="str">
        <f>IF(Fixtures[[#This Row],[penalties]], IF(Fixtures[[#This Row],[userPens]]=Fixtures[[#This Row],[homePens]],Fixtures[[#This Row],[awayPens]],Fixtures[[#This Row],[homePens]]), "N/A")</f>
        <v>N/A</v>
      </c>
      <c r="AI626" s="58" t="b">
        <f>COUNTBLANK(Fixtures[[#This Row],[G]:[MOTM]]) = 0</f>
        <v>0</v>
      </c>
      <c r="AJ626" s="58" t="str">
        <f>IF(Fixtures[[#This Row],[APP]], Fixtures[[#This Row],[G]]+Fixtures[[#This Row],[A]], "N/A")</f>
        <v>N/A</v>
      </c>
      <c r="AK6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7" spans="1:39" ht="13">
      <c r="A627" s="55"/>
      <c r="B627" s="61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7"/>
      <c r="R627" s="56"/>
      <c r="S627" s="58" t="str" cm="1">
        <f t="array" ref="S627">_xlfn._xlws.FILTER(Competitions[compType], (Fixtures[[#This Row],[competition]] = Competitions[name]), "N/A")</f>
        <v>N/A</v>
      </c>
      <c r="T627" s="58" t="str" cm="1">
        <f t="array" ref="T627">_xlfn._xlws.FILTER(Competitions[exhibition], (Fixtures[[#This Row],[competition]] = Competitions[name]), "N/A")</f>
        <v>N/A</v>
      </c>
      <c r="U627" s="58" t="str" cm="1">
        <f t="array" ref="U627">_xlfn._xlws.FILTER(Competitions[compID], (Fixtures[[#This Row],[competition]] = Competitions[name]), "N/A")</f>
        <v>N/A</v>
      </c>
      <c r="V6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7" s="58" t="str" cm="1">
        <f t="array" ref="W6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7" s="58" t="str" cm="1">
        <f t="array" ref="X627">_xlfn._xlws.FILTER(Teams[name], (Fixtures[[#This Row],[userTeamID]] = Teams[teamID]), "N/A")</f>
        <v>N/A</v>
      </c>
      <c r="Y627" s="58" t="str" cm="1">
        <f t="array" ref="Y627">_xlfn._xlws.FILTER(Teams[teamType], (Fixtures[[#This Row],[userTeamID]] = Teams[teamID]), "N/A")</f>
        <v>N/A</v>
      </c>
      <c r="Z627" s="58" t="str" cm="1">
        <f t="array" ref="Z6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7" s="58" t="str">
        <f>IF(Fixtures[[#This Row],[userSide]] = "N/A", "N/A", IF(Fixtures[[#This Row],[userSide]] = "H", Fixtures[[#This Row],[awayTeam]], Fixtures[[#This Row],[homeTeam]]))</f>
        <v>N/A</v>
      </c>
      <c r="AB627" s="58" t="str" cm="1">
        <f t="array" ref="AB627">_xlfn._xlws.FILTER(Teams[teamID], Fixtures[[#This Row],[oppTeam]] = Teams[name], "N/A")</f>
        <v>N/A</v>
      </c>
      <c r="AC627" s="58" t="str" cm="1">
        <f t="array" ref="AC627">_xlfn._xlws.FILTER(Teams[teamType], Fixtures[[#This Row],[oppTeam]] = Teams[name], "N/A")</f>
        <v>N/A</v>
      </c>
      <c r="AD627" s="58" t="str">
        <f>IF(ISBLANK(Fixtures[[#This Row],[date]]), "N/A", IF(Fixtures[[#This Row],[userSide]]="H", Fixtures[[#This Row],[homeScore]], Fixtures[[#This Row],[awayScore]]))</f>
        <v>N/A</v>
      </c>
      <c r="AE627" s="58" t="str">
        <f>IF(ISBLANK(Fixtures[[#This Row],[date]]), "N/A", IF(Fixtures[[#This Row],[userScore]] = Fixtures[[#This Row],[homeScore]], Fixtures[[#This Row],[awayScore]], Fixtures[[#This Row],[homeScore]]))</f>
        <v>N/A</v>
      </c>
      <c r="AF627" s="58" t="b">
        <f>NOT(AND(ISBLANK(Fixtures[[#This Row],[homePens]]), ISBLANK(Fixtures[[#This Row],[awayPens]])))</f>
        <v>0</v>
      </c>
      <c r="AG627" s="58" t="str">
        <f>IF(Fixtures[[#This Row],[penalties]], IF(Fixtures[[#This Row],[userSide]]="H", Fixtures[[#This Row],[homePens]], Fixtures[[#This Row],[awayPens]]), "N/A")</f>
        <v>N/A</v>
      </c>
      <c r="AH627" s="58" t="str">
        <f>IF(Fixtures[[#This Row],[penalties]], IF(Fixtures[[#This Row],[userPens]]=Fixtures[[#This Row],[homePens]],Fixtures[[#This Row],[awayPens]],Fixtures[[#This Row],[homePens]]), "N/A")</f>
        <v>N/A</v>
      </c>
      <c r="AI627" s="58" t="b">
        <f>COUNTBLANK(Fixtures[[#This Row],[G]:[MOTM]]) = 0</f>
        <v>0</v>
      </c>
      <c r="AJ627" s="58" t="str">
        <f>IF(Fixtures[[#This Row],[APP]], Fixtures[[#This Row],[G]]+Fixtures[[#This Row],[A]], "N/A")</f>
        <v>N/A</v>
      </c>
      <c r="AK6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8" spans="1:39" ht="13">
      <c r="A628" s="55"/>
      <c r="B628" s="61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7"/>
      <c r="R628" s="56"/>
      <c r="S628" s="58" t="str" cm="1">
        <f t="array" ref="S628">_xlfn._xlws.FILTER(Competitions[compType], (Fixtures[[#This Row],[competition]] = Competitions[name]), "N/A")</f>
        <v>N/A</v>
      </c>
      <c r="T628" s="58" t="str" cm="1">
        <f t="array" ref="T628">_xlfn._xlws.FILTER(Competitions[exhibition], (Fixtures[[#This Row],[competition]] = Competitions[name]), "N/A")</f>
        <v>N/A</v>
      </c>
      <c r="U628" s="58" t="str" cm="1">
        <f t="array" ref="U628">_xlfn._xlws.FILTER(Competitions[compID], (Fixtures[[#This Row],[competition]] = Competitions[name]), "N/A")</f>
        <v>N/A</v>
      </c>
      <c r="V6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8" s="58" t="str" cm="1">
        <f t="array" ref="W6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8" s="58" t="str" cm="1">
        <f t="array" ref="X628">_xlfn._xlws.FILTER(Teams[name], (Fixtures[[#This Row],[userTeamID]] = Teams[teamID]), "N/A")</f>
        <v>N/A</v>
      </c>
      <c r="Y628" s="58" t="str" cm="1">
        <f t="array" ref="Y628">_xlfn._xlws.FILTER(Teams[teamType], (Fixtures[[#This Row],[userTeamID]] = Teams[teamID]), "N/A")</f>
        <v>N/A</v>
      </c>
      <c r="Z628" s="58" t="str" cm="1">
        <f t="array" ref="Z6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8" s="58" t="str">
        <f>IF(Fixtures[[#This Row],[userSide]] = "N/A", "N/A", IF(Fixtures[[#This Row],[userSide]] = "H", Fixtures[[#This Row],[awayTeam]], Fixtures[[#This Row],[homeTeam]]))</f>
        <v>N/A</v>
      </c>
      <c r="AB628" s="58" t="str" cm="1">
        <f t="array" ref="AB628">_xlfn._xlws.FILTER(Teams[teamID], Fixtures[[#This Row],[oppTeam]] = Teams[name], "N/A")</f>
        <v>N/A</v>
      </c>
      <c r="AC628" s="58" t="str" cm="1">
        <f t="array" ref="AC628">_xlfn._xlws.FILTER(Teams[teamType], Fixtures[[#This Row],[oppTeam]] = Teams[name], "N/A")</f>
        <v>N/A</v>
      </c>
      <c r="AD628" s="58" t="str">
        <f>IF(ISBLANK(Fixtures[[#This Row],[date]]), "N/A", IF(Fixtures[[#This Row],[userSide]]="H", Fixtures[[#This Row],[homeScore]], Fixtures[[#This Row],[awayScore]]))</f>
        <v>N/A</v>
      </c>
      <c r="AE628" s="58" t="str">
        <f>IF(ISBLANK(Fixtures[[#This Row],[date]]), "N/A", IF(Fixtures[[#This Row],[userScore]] = Fixtures[[#This Row],[homeScore]], Fixtures[[#This Row],[awayScore]], Fixtures[[#This Row],[homeScore]]))</f>
        <v>N/A</v>
      </c>
      <c r="AF628" s="58" t="b">
        <f>NOT(AND(ISBLANK(Fixtures[[#This Row],[homePens]]), ISBLANK(Fixtures[[#This Row],[awayPens]])))</f>
        <v>0</v>
      </c>
      <c r="AG628" s="58" t="str">
        <f>IF(Fixtures[[#This Row],[penalties]], IF(Fixtures[[#This Row],[userSide]]="H", Fixtures[[#This Row],[homePens]], Fixtures[[#This Row],[awayPens]]), "N/A")</f>
        <v>N/A</v>
      </c>
      <c r="AH628" s="58" t="str">
        <f>IF(Fixtures[[#This Row],[penalties]], IF(Fixtures[[#This Row],[userPens]]=Fixtures[[#This Row],[homePens]],Fixtures[[#This Row],[awayPens]],Fixtures[[#This Row],[homePens]]), "N/A")</f>
        <v>N/A</v>
      </c>
      <c r="AI628" s="58" t="b">
        <f>COUNTBLANK(Fixtures[[#This Row],[G]:[MOTM]]) = 0</f>
        <v>0</v>
      </c>
      <c r="AJ628" s="58" t="str">
        <f>IF(Fixtures[[#This Row],[APP]], Fixtures[[#This Row],[G]]+Fixtures[[#This Row],[A]], "N/A")</f>
        <v>N/A</v>
      </c>
      <c r="AK6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29" spans="1:39" ht="13">
      <c r="A629" s="55"/>
      <c r="B629" s="61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7"/>
      <c r="R629" s="56"/>
      <c r="S629" s="58" t="str" cm="1">
        <f t="array" ref="S629">_xlfn._xlws.FILTER(Competitions[compType], (Fixtures[[#This Row],[competition]] = Competitions[name]), "N/A")</f>
        <v>N/A</v>
      </c>
      <c r="T629" s="58" t="str" cm="1">
        <f t="array" ref="T629">_xlfn._xlws.FILTER(Competitions[exhibition], (Fixtures[[#This Row],[competition]] = Competitions[name]), "N/A")</f>
        <v>N/A</v>
      </c>
      <c r="U629" s="58" t="str" cm="1">
        <f t="array" ref="U629">_xlfn._xlws.FILTER(Competitions[compID], (Fixtures[[#This Row],[competition]] = Competitions[name]), "N/A")</f>
        <v>N/A</v>
      </c>
      <c r="V6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29" s="58" t="str" cm="1">
        <f t="array" ref="W6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29" s="58" t="str" cm="1">
        <f t="array" ref="X629">_xlfn._xlws.FILTER(Teams[name], (Fixtures[[#This Row],[userTeamID]] = Teams[teamID]), "N/A")</f>
        <v>N/A</v>
      </c>
      <c r="Y629" s="58" t="str" cm="1">
        <f t="array" ref="Y629">_xlfn._xlws.FILTER(Teams[teamType], (Fixtures[[#This Row],[userTeamID]] = Teams[teamID]), "N/A")</f>
        <v>N/A</v>
      </c>
      <c r="Z629" s="58" t="str" cm="1">
        <f t="array" ref="Z6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29" s="58" t="str">
        <f>IF(Fixtures[[#This Row],[userSide]] = "N/A", "N/A", IF(Fixtures[[#This Row],[userSide]] = "H", Fixtures[[#This Row],[awayTeam]], Fixtures[[#This Row],[homeTeam]]))</f>
        <v>N/A</v>
      </c>
      <c r="AB629" s="58" t="str" cm="1">
        <f t="array" ref="AB629">_xlfn._xlws.FILTER(Teams[teamID], Fixtures[[#This Row],[oppTeam]] = Teams[name], "N/A")</f>
        <v>N/A</v>
      </c>
      <c r="AC629" s="58" t="str" cm="1">
        <f t="array" ref="AC629">_xlfn._xlws.FILTER(Teams[teamType], Fixtures[[#This Row],[oppTeam]] = Teams[name], "N/A")</f>
        <v>N/A</v>
      </c>
      <c r="AD629" s="58" t="str">
        <f>IF(ISBLANK(Fixtures[[#This Row],[date]]), "N/A", IF(Fixtures[[#This Row],[userSide]]="H", Fixtures[[#This Row],[homeScore]], Fixtures[[#This Row],[awayScore]]))</f>
        <v>N/A</v>
      </c>
      <c r="AE629" s="58" t="str">
        <f>IF(ISBLANK(Fixtures[[#This Row],[date]]), "N/A", IF(Fixtures[[#This Row],[userScore]] = Fixtures[[#This Row],[homeScore]], Fixtures[[#This Row],[awayScore]], Fixtures[[#This Row],[homeScore]]))</f>
        <v>N/A</v>
      </c>
      <c r="AF629" s="58" t="b">
        <f>NOT(AND(ISBLANK(Fixtures[[#This Row],[homePens]]), ISBLANK(Fixtures[[#This Row],[awayPens]])))</f>
        <v>0</v>
      </c>
      <c r="AG629" s="58" t="str">
        <f>IF(Fixtures[[#This Row],[penalties]], IF(Fixtures[[#This Row],[userSide]]="H", Fixtures[[#This Row],[homePens]], Fixtures[[#This Row],[awayPens]]), "N/A")</f>
        <v>N/A</v>
      </c>
      <c r="AH629" s="58" t="str">
        <f>IF(Fixtures[[#This Row],[penalties]], IF(Fixtures[[#This Row],[userPens]]=Fixtures[[#This Row],[homePens]],Fixtures[[#This Row],[awayPens]],Fixtures[[#This Row],[homePens]]), "N/A")</f>
        <v>N/A</v>
      </c>
      <c r="AI629" s="58" t="b">
        <f>COUNTBLANK(Fixtures[[#This Row],[G]:[MOTM]]) = 0</f>
        <v>0</v>
      </c>
      <c r="AJ629" s="58" t="str">
        <f>IF(Fixtures[[#This Row],[APP]], Fixtures[[#This Row],[G]]+Fixtures[[#This Row],[A]], "N/A")</f>
        <v>N/A</v>
      </c>
      <c r="AK6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0" spans="1:39" ht="13">
      <c r="A630" s="55"/>
      <c r="B630" s="61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7"/>
      <c r="R630" s="56"/>
      <c r="S630" s="58" t="str" cm="1">
        <f t="array" ref="S630">_xlfn._xlws.FILTER(Competitions[compType], (Fixtures[[#This Row],[competition]] = Competitions[name]), "N/A")</f>
        <v>N/A</v>
      </c>
      <c r="T630" s="58" t="str" cm="1">
        <f t="array" ref="T630">_xlfn._xlws.FILTER(Competitions[exhibition], (Fixtures[[#This Row],[competition]] = Competitions[name]), "N/A")</f>
        <v>N/A</v>
      </c>
      <c r="U630" s="58" t="str" cm="1">
        <f t="array" ref="U630">_xlfn._xlws.FILTER(Competitions[compID], (Fixtures[[#This Row],[competition]] = Competitions[name]), "N/A")</f>
        <v>N/A</v>
      </c>
      <c r="V6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0" s="58" t="str" cm="1">
        <f t="array" ref="W6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0" s="58" t="str" cm="1">
        <f t="array" ref="X630">_xlfn._xlws.FILTER(Teams[name], (Fixtures[[#This Row],[userTeamID]] = Teams[teamID]), "N/A")</f>
        <v>N/A</v>
      </c>
      <c r="Y630" s="58" t="str" cm="1">
        <f t="array" ref="Y630">_xlfn._xlws.FILTER(Teams[teamType], (Fixtures[[#This Row],[userTeamID]] = Teams[teamID]), "N/A")</f>
        <v>N/A</v>
      </c>
      <c r="Z630" s="58" t="str" cm="1">
        <f t="array" ref="Z6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0" s="58" t="str">
        <f>IF(Fixtures[[#This Row],[userSide]] = "N/A", "N/A", IF(Fixtures[[#This Row],[userSide]] = "H", Fixtures[[#This Row],[awayTeam]], Fixtures[[#This Row],[homeTeam]]))</f>
        <v>N/A</v>
      </c>
      <c r="AB630" s="58" t="str" cm="1">
        <f t="array" ref="AB630">_xlfn._xlws.FILTER(Teams[teamID], Fixtures[[#This Row],[oppTeam]] = Teams[name], "N/A")</f>
        <v>N/A</v>
      </c>
      <c r="AC630" s="58" t="str" cm="1">
        <f t="array" ref="AC630">_xlfn._xlws.FILTER(Teams[teamType], Fixtures[[#This Row],[oppTeam]] = Teams[name], "N/A")</f>
        <v>N/A</v>
      </c>
      <c r="AD630" s="58" t="str">
        <f>IF(ISBLANK(Fixtures[[#This Row],[date]]), "N/A", IF(Fixtures[[#This Row],[userSide]]="H", Fixtures[[#This Row],[homeScore]], Fixtures[[#This Row],[awayScore]]))</f>
        <v>N/A</v>
      </c>
      <c r="AE630" s="58" t="str">
        <f>IF(ISBLANK(Fixtures[[#This Row],[date]]), "N/A", IF(Fixtures[[#This Row],[userScore]] = Fixtures[[#This Row],[homeScore]], Fixtures[[#This Row],[awayScore]], Fixtures[[#This Row],[homeScore]]))</f>
        <v>N/A</v>
      </c>
      <c r="AF630" s="58" t="b">
        <f>NOT(AND(ISBLANK(Fixtures[[#This Row],[homePens]]), ISBLANK(Fixtures[[#This Row],[awayPens]])))</f>
        <v>0</v>
      </c>
      <c r="AG630" s="58" t="str">
        <f>IF(Fixtures[[#This Row],[penalties]], IF(Fixtures[[#This Row],[userSide]]="H", Fixtures[[#This Row],[homePens]], Fixtures[[#This Row],[awayPens]]), "N/A")</f>
        <v>N/A</v>
      </c>
      <c r="AH630" s="58" t="str">
        <f>IF(Fixtures[[#This Row],[penalties]], IF(Fixtures[[#This Row],[userPens]]=Fixtures[[#This Row],[homePens]],Fixtures[[#This Row],[awayPens]],Fixtures[[#This Row],[homePens]]), "N/A")</f>
        <v>N/A</v>
      </c>
      <c r="AI630" s="58" t="b">
        <f>COUNTBLANK(Fixtures[[#This Row],[G]:[MOTM]]) = 0</f>
        <v>0</v>
      </c>
      <c r="AJ630" s="58" t="str">
        <f>IF(Fixtures[[#This Row],[APP]], Fixtures[[#This Row],[G]]+Fixtures[[#This Row],[A]], "N/A")</f>
        <v>N/A</v>
      </c>
      <c r="AK6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1" spans="1:39" ht="13">
      <c r="A631" s="55"/>
      <c r="B631" s="61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7"/>
      <c r="R631" s="56"/>
      <c r="S631" s="58" t="str" cm="1">
        <f t="array" ref="S631">_xlfn._xlws.FILTER(Competitions[compType], (Fixtures[[#This Row],[competition]] = Competitions[name]), "N/A")</f>
        <v>N/A</v>
      </c>
      <c r="T631" s="58" t="str" cm="1">
        <f t="array" ref="T631">_xlfn._xlws.FILTER(Competitions[exhibition], (Fixtures[[#This Row],[competition]] = Competitions[name]), "N/A")</f>
        <v>N/A</v>
      </c>
      <c r="U631" s="58" t="str" cm="1">
        <f t="array" ref="U631">_xlfn._xlws.FILTER(Competitions[compID], (Fixtures[[#This Row],[competition]] = Competitions[name]), "N/A")</f>
        <v>N/A</v>
      </c>
      <c r="V6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1" s="58" t="str" cm="1">
        <f t="array" ref="W6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1" s="58" t="str" cm="1">
        <f t="array" ref="X631">_xlfn._xlws.FILTER(Teams[name], (Fixtures[[#This Row],[userTeamID]] = Teams[teamID]), "N/A")</f>
        <v>N/A</v>
      </c>
      <c r="Y631" s="58" t="str" cm="1">
        <f t="array" ref="Y631">_xlfn._xlws.FILTER(Teams[teamType], (Fixtures[[#This Row],[userTeamID]] = Teams[teamID]), "N/A")</f>
        <v>N/A</v>
      </c>
      <c r="Z631" s="58" t="str" cm="1">
        <f t="array" ref="Z6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1" s="58" t="str">
        <f>IF(Fixtures[[#This Row],[userSide]] = "N/A", "N/A", IF(Fixtures[[#This Row],[userSide]] = "H", Fixtures[[#This Row],[awayTeam]], Fixtures[[#This Row],[homeTeam]]))</f>
        <v>N/A</v>
      </c>
      <c r="AB631" s="58" t="str" cm="1">
        <f t="array" ref="AB631">_xlfn._xlws.FILTER(Teams[teamID], Fixtures[[#This Row],[oppTeam]] = Teams[name], "N/A")</f>
        <v>N/A</v>
      </c>
      <c r="AC631" s="58" t="str" cm="1">
        <f t="array" ref="AC631">_xlfn._xlws.FILTER(Teams[teamType], Fixtures[[#This Row],[oppTeam]] = Teams[name], "N/A")</f>
        <v>N/A</v>
      </c>
      <c r="AD631" s="58" t="str">
        <f>IF(ISBLANK(Fixtures[[#This Row],[date]]), "N/A", IF(Fixtures[[#This Row],[userSide]]="H", Fixtures[[#This Row],[homeScore]], Fixtures[[#This Row],[awayScore]]))</f>
        <v>N/A</v>
      </c>
      <c r="AE631" s="58" t="str">
        <f>IF(ISBLANK(Fixtures[[#This Row],[date]]), "N/A", IF(Fixtures[[#This Row],[userScore]] = Fixtures[[#This Row],[homeScore]], Fixtures[[#This Row],[awayScore]], Fixtures[[#This Row],[homeScore]]))</f>
        <v>N/A</v>
      </c>
      <c r="AF631" s="58" t="b">
        <f>NOT(AND(ISBLANK(Fixtures[[#This Row],[homePens]]), ISBLANK(Fixtures[[#This Row],[awayPens]])))</f>
        <v>0</v>
      </c>
      <c r="AG631" s="58" t="str">
        <f>IF(Fixtures[[#This Row],[penalties]], IF(Fixtures[[#This Row],[userSide]]="H", Fixtures[[#This Row],[homePens]], Fixtures[[#This Row],[awayPens]]), "N/A")</f>
        <v>N/A</v>
      </c>
      <c r="AH631" s="58" t="str">
        <f>IF(Fixtures[[#This Row],[penalties]], IF(Fixtures[[#This Row],[userPens]]=Fixtures[[#This Row],[homePens]],Fixtures[[#This Row],[awayPens]],Fixtures[[#This Row],[homePens]]), "N/A")</f>
        <v>N/A</v>
      </c>
      <c r="AI631" s="58" t="b">
        <f>COUNTBLANK(Fixtures[[#This Row],[G]:[MOTM]]) = 0</f>
        <v>0</v>
      </c>
      <c r="AJ631" s="58" t="str">
        <f>IF(Fixtures[[#This Row],[APP]], Fixtures[[#This Row],[G]]+Fixtures[[#This Row],[A]], "N/A")</f>
        <v>N/A</v>
      </c>
      <c r="AK6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2" spans="1:39" ht="13">
      <c r="A632" s="55"/>
      <c r="B632" s="61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7"/>
      <c r="R632" s="56"/>
      <c r="S632" s="58" t="str" cm="1">
        <f t="array" ref="S632">_xlfn._xlws.FILTER(Competitions[compType], (Fixtures[[#This Row],[competition]] = Competitions[name]), "N/A")</f>
        <v>N/A</v>
      </c>
      <c r="T632" s="58" t="str" cm="1">
        <f t="array" ref="T632">_xlfn._xlws.FILTER(Competitions[exhibition], (Fixtures[[#This Row],[competition]] = Competitions[name]), "N/A")</f>
        <v>N/A</v>
      </c>
      <c r="U632" s="58" t="str" cm="1">
        <f t="array" ref="U632">_xlfn._xlws.FILTER(Competitions[compID], (Fixtures[[#This Row],[competition]] = Competitions[name]), "N/A")</f>
        <v>N/A</v>
      </c>
      <c r="V6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2" s="58" t="str" cm="1">
        <f t="array" ref="W6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2" s="58" t="str" cm="1">
        <f t="array" ref="X632">_xlfn._xlws.FILTER(Teams[name], (Fixtures[[#This Row],[userTeamID]] = Teams[teamID]), "N/A")</f>
        <v>N/A</v>
      </c>
      <c r="Y632" s="58" t="str" cm="1">
        <f t="array" ref="Y632">_xlfn._xlws.FILTER(Teams[teamType], (Fixtures[[#This Row],[userTeamID]] = Teams[teamID]), "N/A")</f>
        <v>N/A</v>
      </c>
      <c r="Z632" s="58" t="str" cm="1">
        <f t="array" ref="Z6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2" s="58" t="str">
        <f>IF(Fixtures[[#This Row],[userSide]] = "N/A", "N/A", IF(Fixtures[[#This Row],[userSide]] = "H", Fixtures[[#This Row],[awayTeam]], Fixtures[[#This Row],[homeTeam]]))</f>
        <v>N/A</v>
      </c>
      <c r="AB632" s="58" t="str" cm="1">
        <f t="array" ref="AB632">_xlfn._xlws.FILTER(Teams[teamID], Fixtures[[#This Row],[oppTeam]] = Teams[name], "N/A")</f>
        <v>N/A</v>
      </c>
      <c r="AC632" s="58" t="str" cm="1">
        <f t="array" ref="AC632">_xlfn._xlws.FILTER(Teams[teamType], Fixtures[[#This Row],[oppTeam]] = Teams[name], "N/A")</f>
        <v>N/A</v>
      </c>
      <c r="AD632" s="58" t="str">
        <f>IF(ISBLANK(Fixtures[[#This Row],[date]]), "N/A", IF(Fixtures[[#This Row],[userSide]]="H", Fixtures[[#This Row],[homeScore]], Fixtures[[#This Row],[awayScore]]))</f>
        <v>N/A</v>
      </c>
      <c r="AE632" s="58" t="str">
        <f>IF(ISBLANK(Fixtures[[#This Row],[date]]), "N/A", IF(Fixtures[[#This Row],[userScore]] = Fixtures[[#This Row],[homeScore]], Fixtures[[#This Row],[awayScore]], Fixtures[[#This Row],[homeScore]]))</f>
        <v>N/A</v>
      </c>
      <c r="AF632" s="58" t="b">
        <f>NOT(AND(ISBLANK(Fixtures[[#This Row],[homePens]]), ISBLANK(Fixtures[[#This Row],[awayPens]])))</f>
        <v>0</v>
      </c>
      <c r="AG632" s="58" t="str">
        <f>IF(Fixtures[[#This Row],[penalties]], IF(Fixtures[[#This Row],[userSide]]="H", Fixtures[[#This Row],[homePens]], Fixtures[[#This Row],[awayPens]]), "N/A")</f>
        <v>N/A</v>
      </c>
      <c r="AH632" s="58" t="str">
        <f>IF(Fixtures[[#This Row],[penalties]], IF(Fixtures[[#This Row],[userPens]]=Fixtures[[#This Row],[homePens]],Fixtures[[#This Row],[awayPens]],Fixtures[[#This Row],[homePens]]), "N/A")</f>
        <v>N/A</v>
      </c>
      <c r="AI632" s="58" t="b">
        <f>COUNTBLANK(Fixtures[[#This Row],[G]:[MOTM]]) = 0</f>
        <v>0</v>
      </c>
      <c r="AJ632" s="58" t="str">
        <f>IF(Fixtures[[#This Row],[APP]], Fixtures[[#This Row],[G]]+Fixtures[[#This Row],[A]], "N/A")</f>
        <v>N/A</v>
      </c>
      <c r="AK6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3" spans="1:39" ht="13">
      <c r="A633" s="55"/>
      <c r="B633" s="61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7"/>
      <c r="R633" s="56"/>
      <c r="S633" s="58" t="str" cm="1">
        <f t="array" ref="S633">_xlfn._xlws.FILTER(Competitions[compType], (Fixtures[[#This Row],[competition]] = Competitions[name]), "N/A")</f>
        <v>N/A</v>
      </c>
      <c r="T633" s="58" t="str" cm="1">
        <f t="array" ref="T633">_xlfn._xlws.FILTER(Competitions[exhibition], (Fixtures[[#This Row],[competition]] = Competitions[name]), "N/A")</f>
        <v>N/A</v>
      </c>
      <c r="U633" s="58" t="str" cm="1">
        <f t="array" ref="U633">_xlfn._xlws.FILTER(Competitions[compID], (Fixtures[[#This Row],[competition]] = Competitions[name]), "N/A")</f>
        <v>N/A</v>
      </c>
      <c r="V6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3" s="58" t="str" cm="1">
        <f t="array" ref="W6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3" s="58" t="str" cm="1">
        <f t="array" ref="X633">_xlfn._xlws.FILTER(Teams[name], (Fixtures[[#This Row],[userTeamID]] = Teams[teamID]), "N/A")</f>
        <v>N/A</v>
      </c>
      <c r="Y633" s="58" t="str" cm="1">
        <f t="array" ref="Y633">_xlfn._xlws.FILTER(Teams[teamType], (Fixtures[[#This Row],[userTeamID]] = Teams[teamID]), "N/A")</f>
        <v>N/A</v>
      </c>
      <c r="Z633" s="58" t="str" cm="1">
        <f t="array" ref="Z6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3" s="58" t="str">
        <f>IF(Fixtures[[#This Row],[userSide]] = "N/A", "N/A", IF(Fixtures[[#This Row],[userSide]] = "H", Fixtures[[#This Row],[awayTeam]], Fixtures[[#This Row],[homeTeam]]))</f>
        <v>N/A</v>
      </c>
      <c r="AB633" s="58" t="str" cm="1">
        <f t="array" ref="AB633">_xlfn._xlws.FILTER(Teams[teamID], Fixtures[[#This Row],[oppTeam]] = Teams[name], "N/A")</f>
        <v>N/A</v>
      </c>
      <c r="AC633" s="58" t="str" cm="1">
        <f t="array" ref="AC633">_xlfn._xlws.FILTER(Teams[teamType], Fixtures[[#This Row],[oppTeam]] = Teams[name], "N/A")</f>
        <v>N/A</v>
      </c>
      <c r="AD633" s="58" t="str">
        <f>IF(ISBLANK(Fixtures[[#This Row],[date]]), "N/A", IF(Fixtures[[#This Row],[userSide]]="H", Fixtures[[#This Row],[homeScore]], Fixtures[[#This Row],[awayScore]]))</f>
        <v>N/A</v>
      </c>
      <c r="AE633" s="58" t="str">
        <f>IF(ISBLANK(Fixtures[[#This Row],[date]]), "N/A", IF(Fixtures[[#This Row],[userScore]] = Fixtures[[#This Row],[homeScore]], Fixtures[[#This Row],[awayScore]], Fixtures[[#This Row],[homeScore]]))</f>
        <v>N/A</v>
      </c>
      <c r="AF633" s="58" t="b">
        <f>NOT(AND(ISBLANK(Fixtures[[#This Row],[homePens]]), ISBLANK(Fixtures[[#This Row],[awayPens]])))</f>
        <v>0</v>
      </c>
      <c r="AG633" s="58" t="str">
        <f>IF(Fixtures[[#This Row],[penalties]], IF(Fixtures[[#This Row],[userSide]]="H", Fixtures[[#This Row],[homePens]], Fixtures[[#This Row],[awayPens]]), "N/A")</f>
        <v>N/A</v>
      </c>
      <c r="AH633" s="58" t="str">
        <f>IF(Fixtures[[#This Row],[penalties]], IF(Fixtures[[#This Row],[userPens]]=Fixtures[[#This Row],[homePens]],Fixtures[[#This Row],[awayPens]],Fixtures[[#This Row],[homePens]]), "N/A")</f>
        <v>N/A</v>
      </c>
      <c r="AI633" s="58" t="b">
        <f>COUNTBLANK(Fixtures[[#This Row],[G]:[MOTM]]) = 0</f>
        <v>0</v>
      </c>
      <c r="AJ633" s="58" t="str">
        <f>IF(Fixtures[[#This Row],[APP]], Fixtures[[#This Row],[G]]+Fixtures[[#This Row],[A]], "N/A")</f>
        <v>N/A</v>
      </c>
      <c r="AK6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4" spans="1:39" ht="13">
      <c r="A634" s="55"/>
      <c r="B634" s="61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7"/>
      <c r="R634" s="56"/>
      <c r="S634" s="58" t="str" cm="1">
        <f t="array" ref="S634">_xlfn._xlws.FILTER(Competitions[compType], (Fixtures[[#This Row],[competition]] = Competitions[name]), "N/A")</f>
        <v>N/A</v>
      </c>
      <c r="T634" s="58" t="str" cm="1">
        <f t="array" ref="T634">_xlfn._xlws.FILTER(Competitions[exhibition], (Fixtures[[#This Row],[competition]] = Competitions[name]), "N/A")</f>
        <v>N/A</v>
      </c>
      <c r="U634" s="58" t="str" cm="1">
        <f t="array" ref="U634">_xlfn._xlws.FILTER(Competitions[compID], (Fixtures[[#This Row],[competition]] = Competitions[name]), "N/A")</f>
        <v>N/A</v>
      </c>
      <c r="V6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4" s="58" t="str" cm="1">
        <f t="array" ref="W6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4" s="58" t="str" cm="1">
        <f t="array" ref="X634">_xlfn._xlws.FILTER(Teams[name], (Fixtures[[#This Row],[userTeamID]] = Teams[teamID]), "N/A")</f>
        <v>N/A</v>
      </c>
      <c r="Y634" s="58" t="str" cm="1">
        <f t="array" ref="Y634">_xlfn._xlws.FILTER(Teams[teamType], (Fixtures[[#This Row],[userTeamID]] = Teams[teamID]), "N/A")</f>
        <v>N/A</v>
      </c>
      <c r="Z634" s="58" t="str" cm="1">
        <f t="array" ref="Z6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4" s="58" t="str">
        <f>IF(Fixtures[[#This Row],[userSide]] = "N/A", "N/A", IF(Fixtures[[#This Row],[userSide]] = "H", Fixtures[[#This Row],[awayTeam]], Fixtures[[#This Row],[homeTeam]]))</f>
        <v>N/A</v>
      </c>
      <c r="AB634" s="58" t="str" cm="1">
        <f t="array" ref="AB634">_xlfn._xlws.FILTER(Teams[teamID], Fixtures[[#This Row],[oppTeam]] = Teams[name], "N/A")</f>
        <v>N/A</v>
      </c>
      <c r="AC634" s="58" t="str" cm="1">
        <f t="array" ref="AC634">_xlfn._xlws.FILTER(Teams[teamType], Fixtures[[#This Row],[oppTeam]] = Teams[name], "N/A")</f>
        <v>N/A</v>
      </c>
      <c r="AD634" s="58" t="str">
        <f>IF(ISBLANK(Fixtures[[#This Row],[date]]), "N/A", IF(Fixtures[[#This Row],[userSide]]="H", Fixtures[[#This Row],[homeScore]], Fixtures[[#This Row],[awayScore]]))</f>
        <v>N/A</v>
      </c>
      <c r="AE634" s="58" t="str">
        <f>IF(ISBLANK(Fixtures[[#This Row],[date]]), "N/A", IF(Fixtures[[#This Row],[userScore]] = Fixtures[[#This Row],[homeScore]], Fixtures[[#This Row],[awayScore]], Fixtures[[#This Row],[homeScore]]))</f>
        <v>N/A</v>
      </c>
      <c r="AF634" s="58" t="b">
        <f>NOT(AND(ISBLANK(Fixtures[[#This Row],[homePens]]), ISBLANK(Fixtures[[#This Row],[awayPens]])))</f>
        <v>0</v>
      </c>
      <c r="AG634" s="58" t="str">
        <f>IF(Fixtures[[#This Row],[penalties]], IF(Fixtures[[#This Row],[userSide]]="H", Fixtures[[#This Row],[homePens]], Fixtures[[#This Row],[awayPens]]), "N/A")</f>
        <v>N/A</v>
      </c>
      <c r="AH634" s="58" t="str">
        <f>IF(Fixtures[[#This Row],[penalties]], IF(Fixtures[[#This Row],[userPens]]=Fixtures[[#This Row],[homePens]],Fixtures[[#This Row],[awayPens]],Fixtures[[#This Row],[homePens]]), "N/A")</f>
        <v>N/A</v>
      </c>
      <c r="AI634" s="58" t="b">
        <f>COUNTBLANK(Fixtures[[#This Row],[G]:[MOTM]]) = 0</f>
        <v>0</v>
      </c>
      <c r="AJ634" s="58" t="str">
        <f>IF(Fixtures[[#This Row],[APP]], Fixtures[[#This Row],[G]]+Fixtures[[#This Row],[A]], "N/A")</f>
        <v>N/A</v>
      </c>
      <c r="AK6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5" spans="1:39" ht="13">
      <c r="A635" s="55"/>
      <c r="B635" s="61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7"/>
      <c r="R635" s="56"/>
      <c r="S635" s="58" t="str" cm="1">
        <f t="array" ref="S635">_xlfn._xlws.FILTER(Competitions[compType], (Fixtures[[#This Row],[competition]] = Competitions[name]), "N/A")</f>
        <v>N/A</v>
      </c>
      <c r="T635" s="58" t="str" cm="1">
        <f t="array" ref="T635">_xlfn._xlws.FILTER(Competitions[exhibition], (Fixtures[[#This Row],[competition]] = Competitions[name]), "N/A")</f>
        <v>N/A</v>
      </c>
      <c r="U635" s="58" t="str" cm="1">
        <f t="array" ref="U635">_xlfn._xlws.FILTER(Competitions[compID], (Fixtures[[#This Row],[competition]] = Competitions[name]), "N/A")</f>
        <v>N/A</v>
      </c>
      <c r="V6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5" s="58" t="str" cm="1">
        <f t="array" ref="W6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5" s="58" t="str" cm="1">
        <f t="array" ref="X635">_xlfn._xlws.FILTER(Teams[name], (Fixtures[[#This Row],[userTeamID]] = Teams[teamID]), "N/A")</f>
        <v>N/A</v>
      </c>
      <c r="Y635" s="58" t="str" cm="1">
        <f t="array" ref="Y635">_xlfn._xlws.FILTER(Teams[teamType], (Fixtures[[#This Row],[userTeamID]] = Teams[teamID]), "N/A")</f>
        <v>N/A</v>
      </c>
      <c r="Z635" s="58" t="str" cm="1">
        <f t="array" ref="Z6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5" s="58" t="str">
        <f>IF(Fixtures[[#This Row],[userSide]] = "N/A", "N/A", IF(Fixtures[[#This Row],[userSide]] = "H", Fixtures[[#This Row],[awayTeam]], Fixtures[[#This Row],[homeTeam]]))</f>
        <v>N/A</v>
      </c>
      <c r="AB635" s="58" t="str" cm="1">
        <f t="array" ref="AB635">_xlfn._xlws.FILTER(Teams[teamID], Fixtures[[#This Row],[oppTeam]] = Teams[name], "N/A")</f>
        <v>N/A</v>
      </c>
      <c r="AC635" s="58" t="str" cm="1">
        <f t="array" ref="AC635">_xlfn._xlws.FILTER(Teams[teamType], Fixtures[[#This Row],[oppTeam]] = Teams[name], "N/A")</f>
        <v>N/A</v>
      </c>
      <c r="AD635" s="58" t="str">
        <f>IF(ISBLANK(Fixtures[[#This Row],[date]]), "N/A", IF(Fixtures[[#This Row],[userSide]]="H", Fixtures[[#This Row],[homeScore]], Fixtures[[#This Row],[awayScore]]))</f>
        <v>N/A</v>
      </c>
      <c r="AE635" s="58" t="str">
        <f>IF(ISBLANK(Fixtures[[#This Row],[date]]), "N/A", IF(Fixtures[[#This Row],[userScore]] = Fixtures[[#This Row],[homeScore]], Fixtures[[#This Row],[awayScore]], Fixtures[[#This Row],[homeScore]]))</f>
        <v>N/A</v>
      </c>
      <c r="AF635" s="58" t="b">
        <f>NOT(AND(ISBLANK(Fixtures[[#This Row],[homePens]]), ISBLANK(Fixtures[[#This Row],[awayPens]])))</f>
        <v>0</v>
      </c>
      <c r="AG635" s="58" t="str">
        <f>IF(Fixtures[[#This Row],[penalties]], IF(Fixtures[[#This Row],[userSide]]="H", Fixtures[[#This Row],[homePens]], Fixtures[[#This Row],[awayPens]]), "N/A")</f>
        <v>N/A</v>
      </c>
      <c r="AH635" s="58" t="str">
        <f>IF(Fixtures[[#This Row],[penalties]], IF(Fixtures[[#This Row],[userPens]]=Fixtures[[#This Row],[homePens]],Fixtures[[#This Row],[awayPens]],Fixtures[[#This Row],[homePens]]), "N/A")</f>
        <v>N/A</v>
      </c>
      <c r="AI635" s="58" t="b">
        <f>COUNTBLANK(Fixtures[[#This Row],[G]:[MOTM]]) = 0</f>
        <v>0</v>
      </c>
      <c r="AJ635" s="58" t="str">
        <f>IF(Fixtures[[#This Row],[APP]], Fixtures[[#This Row],[G]]+Fixtures[[#This Row],[A]], "N/A")</f>
        <v>N/A</v>
      </c>
      <c r="AK6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6" spans="1:39" ht="13">
      <c r="A636" s="55"/>
      <c r="B636" s="61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7"/>
      <c r="R636" s="56"/>
      <c r="S636" s="58" t="str" cm="1">
        <f t="array" ref="S636">_xlfn._xlws.FILTER(Competitions[compType], (Fixtures[[#This Row],[competition]] = Competitions[name]), "N/A")</f>
        <v>N/A</v>
      </c>
      <c r="T636" s="58" t="str" cm="1">
        <f t="array" ref="T636">_xlfn._xlws.FILTER(Competitions[exhibition], (Fixtures[[#This Row],[competition]] = Competitions[name]), "N/A")</f>
        <v>N/A</v>
      </c>
      <c r="U636" s="58" t="str" cm="1">
        <f t="array" ref="U636">_xlfn._xlws.FILTER(Competitions[compID], (Fixtures[[#This Row],[competition]] = Competitions[name]), "N/A")</f>
        <v>N/A</v>
      </c>
      <c r="V6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6" s="58" t="str" cm="1">
        <f t="array" ref="W6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6" s="58" t="str" cm="1">
        <f t="array" ref="X636">_xlfn._xlws.FILTER(Teams[name], (Fixtures[[#This Row],[userTeamID]] = Teams[teamID]), "N/A")</f>
        <v>N/A</v>
      </c>
      <c r="Y636" s="58" t="str" cm="1">
        <f t="array" ref="Y636">_xlfn._xlws.FILTER(Teams[teamType], (Fixtures[[#This Row],[userTeamID]] = Teams[teamID]), "N/A")</f>
        <v>N/A</v>
      </c>
      <c r="Z636" s="58" t="str" cm="1">
        <f t="array" ref="Z6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6" s="58" t="str">
        <f>IF(Fixtures[[#This Row],[userSide]] = "N/A", "N/A", IF(Fixtures[[#This Row],[userSide]] = "H", Fixtures[[#This Row],[awayTeam]], Fixtures[[#This Row],[homeTeam]]))</f>
        <v>N/A</v>
      </c>
      <c r="AB636" s="58" t="str" cm="1">
        <f t="array" ref="AB636">_xlfn._xlws.FILTER(Teams[teamID], Fixtures[[#This Row],[oppTeam]] = Teams[name], "N/A")</f>
        <v>N/A</v>
      </c>
      <c r="AC636" s="58" t="str" cm="1">
        <f t="array" ref="AC636">_xlfn._xlws.FILTER(Teams[teamType], Fixtures[[#This Row],[oppTeam]] = Teams[name], "N/A")</f>
        <v>N/A</v>
      </c>
      <c r="AD636" s="58" t="str">
        <f>IF(ISBLANK(Fixtures[[#This Row],[date]]), "N/A", IF(Fixtures[[#This Row],[userSide]]="H", Fixtures[[#This Row],[homeScore]], Fixtures[[#This Row],[awayScore]]))</f>
        <v>N/A</v>
      </c>
      <c r="AE636" s="58" t="str">
        <f>IF(ISBLANK(Fixtures[[#This Row],[date]]), "N/A", IF(Fixtures[[#This Row],[userScore]] = Fixtures[[#This Row],[homeScore]], Fixtures[[#This Row],[awayScore]], Fixtures[[#This Row],[homeScore]]))</f>
        <v>N/A</v>
      </c>
      <c r="AF636" s="58" t="b">
        <f>NOT(AND(ISBLANK(Fixtures[[#This Row],[homePens]]), ISBLANK(Fixtures[[#This Row],[awayPens]])))</f>
        <v>0</v>
      </c>
      <c r="AG636" s="58" t="str">
        <f>IF(Fixtures[[#This Row],[penalties]], IF(Fixtures[[#This Row],[userSide]]="H", Fixtures[[#This Row],[homePens]], Fixtures[[#This Row],[awayPens]]), "N/A")</f>
        <v>N/A</v>
      </c>
      <c r="AH636" s="58" t="str">
        <f>IF(Fixtures[[#This Row],[penalties]], IF(Fixtures[[#This Row],[userPens]]=Fixtures[[#This Row],[homePens]],Fixtures[[#This Row],[awayPens]],Fixtures[[#This Row],[homePens]]), "N/A")</f>
        <v>N/A</v>
      </c>
      <c r="AI636" s="58" t="b">
        <f>COUNTBLANK(Fixtures[[#This Row],[G]:[MOTM]]) = 0</f>
        <v>0</v>
      </c>
      <c r="AJ636" s="58" t="str">
        <f>IF(Fixtures[[#This Row],[APP]], Fixtures[[#This Row],[G]]+Fixtures[[#This Row],[A]], "N/A")</f>
        <v>N/A</v>
      </c>
      <c r="AK6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7" spans="1:39" ht="13">
      <c r="A637" s="55"/>
      <c r="B637" s="61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7"/>
      <c r="R637" s="56"/>
      <c r="S637" s="58" t="str" cm="1">
        <f t="array" ref="S637">_xlfn._xlws.FILTER(Competitions[compType], (Fixtures[[#This Row],[competition]] = Competitions[name]), "N/A")</f>
        <v>N/A</v>
      </c>
      <c r="T637" s="58" t="str" cm="1">
        <f t="array" ref="T637">_xlfn._xlws.FILTER(Competitions[exhibition], (Fixtures[[#This Row],[competition]] = Competitions[name]), "N/A")</f>
        <v>N/A</v>
      </c>
      <c r="U637" s="58" t="str" cm="1">
        <f t="array" ref="U637">_xlfn._xlws.FILTER(Competitions[compID], (Fixtures[[#This Row],[competition]] = Competitions[name]), "N/A")</f>
        <v>N/A</v>
      </c>
      <c r="V6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7" s="58" t="str" cm="1">
        <f t="array" ref="W6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7" s="58" t="str" cm="1">
        <f t="array" ref="X637">_xlfn._xlws.FILTER(Teams[name], (Fixtures[[#This Row],[userTeamID]] = Teams[teamID]), "N/A")</f>
        <v>N/A</v>
      </c>
      <c r="Y637" s="58" t="str" cm="1">
        <f t="array" ref="Y637">_xlfn._xlws.FILTER(Teams[teamType], (Fixtures[[#This Row],[userTeamID]] = Teams[teamID]), "N/A")</f>
        <v>N/A</v>
      </c>
      <c r="Z637" s="58" t="str" cm="1">
        <f t="array" ref="Z6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7" s="58" t="str">
        <f>IF(Fixtures[[#This Row],[userSide]] = "N/A", "N/A", IF(Fixtures[[#This Row],[userSide]] = "H", Fixtures[[#This Row],[awayTeam]], Fixtures[[#This Row],[homeTeam]]))</f>
        <v>N/A</v>
      </c>
      <c r="AB637" s="58" t="str" cm="1">
        <f t="array" ref="AB637">_xlfn._xlws.FILTER(Teams[teamID], Fixtures[[#This Row],[oppTeam]] = Teams[name], "N/A")</f>
        <v>N/A</v>
      </c>
      <c r="AC637" s="58" t="str" cm="1">
        <f t="array" ref="AC637">_xlfn._xlws.FILTER(Teams[teamType], Fixtures[[#This Row],[oppTeam]] = Teams[name], "N/A")</f>
        <v>N/A</v>
      </c>
      <c r="AD637" s="58" t="str">
        <f>IF(ISBLANK(Fixtures[[#This Row],[date]]), "N/A", IF(Fixtures[[#This Row],[userSide]]="H", Fixtures[[#This Row],[homeScore]], Fixtures[[#This Row],[awayScore]]))</f>
        <v>N/A</v>
      </c>
      <c r="AE637" s="58" t="str">
        <f>IF(ISBLANK(Fixtures[[#This Row],[date]]), "N/A", IF(Fixtures[[#This Row],[userScore]] = Fixtures[[#This Row],[homeScore]], Fixtures[[#This Row],[awayScore]], Fixtures[[#This Row],[homeScore]]))</f>
        <v>N/A</v>
      </c>
      <c r="AF637" s="58" t="b">
        <f>NOT(AND(ISBLANK(Fixtures[[#This Row],[homePens]]), ISBLANK(Fixtures[[#This Row],[awayPens]])))</f>
        <v>0</v>
      </c>
      <c r="AG637" s="58" t="str">
        <f>IF(Fixtures[[#This Row],[penalties]], IF(Fixtures[[#This Row],[userSide]]="H", Fixtures[[#This Row],[homePens]], Fixtures[[#This Row],[awayPens]]), "N/A")</f>
        <v>N/A</v>
      </c>
      <c r="AH637" s="58" t="str">
        <f>IF(Fixtures[[#This Row],[penalties]], IF(Fixtures[[#This Row],[userPens]]=Fixtures[[#This Row],[homePens]],Fixtures[[#This Row],[awayPens]],Fixtures[[#This Row],[homePens]]), "N/A")</f>
        <v>N/A</v>
      </c>
      <c r="AI637" s="58" t="b">
        <f>COUNTBLANK(Fixtures[[#This Row],[G]:[MOTM]]) = 0</f>
        <v>0</v>
      </c>
      <c r="AJ637" s="58" t="str">
        <f>IF(Fixtures[[#This Row],[APP]], Fixtures[[#This Row],[G]]+Fixtures[[#This Row],[A]], "N/A")</f>
        <v>N/A</v>
      </c>
      <c r="AK6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8" spans="1:39" ht="13">
      <c r="A638" s="55"/>
      <c r="B638" s="61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7"/>
      <c r="R638" s="56"/>
      <c r="S638" s="58" t="str" cm="1">
        <f t="array" ref="S638">_xlfn._xlws.FILTER(Competitions[compType], (Fixtures[[#This Row],[competition]] = Competitions[name]), "N/A")</f>
        <v>N/A</v>
      </c>
      <c r="T638" s="58" t="str" cm="1">
        <f t="array" ref="T638">_xlfn._xlws.FILTER(Competitions[exhibition], (Fixtures[[#This Row],[competition]] = Competitions[name]), "N/A")</f>
        <v>N/A</v>
      </c>
      <c r="U638" s="58" t="str" cm="1">
        <f t="array" ref="U638">_xlfn._xlws.FILTER(Competitions[compID], (Fixtures[[#This Row],[competition]] = Competitions[name]), "N/A")</f>
        <v>N/A</v>
      </c>
      <c r="V6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8" s="58" t="str" cm="1">
        <f t="array" ref="W6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8" s="58" t="str" cm="1">
        <f t="array" ref="X638">_xlfn._xlws.FILTER(Teams[name], (Fixtures[[#This Row],[userTeamID]] = Teams[teamID]), "N/A")</f>
        <v>N/A</v>
      </c>
      <c r="Y638" s="58" t="str" cm="1">
        <f t="array" ref="Y638">_xlfn._xlws.FILTER(Teams[teamType], (Fixtures[[#This Row],[userTeamID]] = Teams[teamID]), "N/A")</f>
        <v>N/A</v>
      </c>
      <c r="Z638" s="58" t="str" cm="1">
        <f t="array" ref="Z6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8" s="58" t="str">
        <f>IF(Fixtures[[#This Row],[userSide]] = "N/A", "N/A", IF(Fixtures[[#This Row],[userSide]] = "H", Fixtures[[#This Row],[awayTeam]], Fixtures[[#This Row],[homeTeam]]))</f>
        <v>N/A</v>
      </c>
      <c r="AB638" s="58" t="str" cm="1">
        <f t="array" ref="AB638">_xlfn._xlws.FILTER(Teams[teamID], Fixtures[[#This Row],[oppTeam]] = Teams[name], "N/A")</f>
        <v>N/A</v>
      </c>
      <c r="AC638" s="58" t="str" cm="1">
        <f t="array" ref="AC638">_xlfn._xlws.FILTER(Teams[teamType], Fixtures[[#This Row],[oppTeam]] = Teams[name], "N/A")</f>
        <v>N/A</v>
      </c>
      <c r="AD638" s="58" t="str">
        <f>IF(ISBLANK(Fixtures[[#This Row],[date]]), "N/A", IF(Fixtures[[#This Row],[userSide]]="H", Fixtures[[#This Row],[homeScore]], Fixtures[[#This Row],[awayScore]]))</f>
        <v>N/A</v>
      </c>
      <c r="AE638" s="58" t="str">
        <f>IF(ISBLANK(Fixtures[[#This Row],[date]]), "N/A", IF(Fixtures[[#This Row],[userScore]] = Fixtures[[#This Row],[homeScore]], Fixtures[[#This Row],[awayScore]], Fixtures[[#This Row],[homeScore]]))</f>
        <v>N/A</v>
      </c>
      <c r="AF638" s="58" t="b">
        <f>NOT(AND(ISBLANK(Fixtures[[#This Row],[homePens]]), ISBLANK(Fixtures[[#This Row],[awayPens]])))</f>
        <v>0</v>
      </c>
      <c r="AG638" s="58" t="str">
        <f>IF(Fixtures[[#This Row],[penalties]], IF(Fixtures[[#This Row],[userSide]]="H", Fixtures[[#This Row],[homePens]], Fixtures[[#This Row],[awayPens]]), "N/A")</f>
        <v>N/A</v>
      </c>
      <c r="AH638" s="58" t="str">
        <f>IF(Fixtures[[#This Row],[penalties]], IF(Fixtures[[#This Row],[userPens]]=Fixtures[[#This Row],[homePens]],Fixtures[[#This Row],[awayPens]],Fixtures[[#This Row],[homePens]]), "N/A")</f>
        <v>N/A</v>
      </c>
      <c r="AI638" s="58" t="b">
        <f>COUNTBLANK(Fixtures[[#This Row],[G]:[MOTM]]) = 0</f>
        <v>0</v>
      </c>
      <c r="AJ638" s="58" t="str">
        <f>IF(Fixtures[[#This Row],[APP]], Fixtures[[#This Row],[G]]+Fixtures[[#This Row],[A]], "N/A")</f>
        <v>N/A</v>
      </c>
      <c r="AK6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39" spans="1:39" ht="13">
      <c r="A639" s="55"/>
      <c r="B639" s="61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7"/>
      <c r="R639" s="56"/>
      <c r="S639" s="58" t="str" cm="1">
        <f t="array" ref="S639">_xlfn._xlws.FILTER(Competitions[compType], (Fixtures[[#This Row],[competition]] = Competitions[name]), "N/A")</f>
        <v>N/A</v>
      </c>
      <c r="T639" s="58" t="str" cm="1">
        <f t="array" ref="T639">_xlfn._xlws.FILTER(Competitions[exhibition], (Fixtures[[#This Row],[competition]] = Competitions[name]), "N/A")</f>
        <v>N/A</v>
      </c>
      <c r="U639" s="58" t="str" cm="1">
        <f t="array" ref="U639">_xlfn._xlws.FILTER(Competitions[compID], (Fixtures[[#This Row],[competition]] = Competitions[name]), "N/A")</f>
        <v>N/A</v>
      </c>
      <c r="V6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39" s="58" t="str" cm="1">
        <f t="array" ref="W6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39" s="58" t="str" cm="1">
        <f t="array" ref="X639">_xlfn._xlws.FILTER(Teams[name], (Fixtures[[#This Row],[userTeamID]] = Teams[teamID]), "N/A")</f>
        <v>N/A</v>
      </c>
      <c r="Y639" s="58" t="str" cm="1">
        <f t="array" ref="Y639">_xlfn._xlws.FILTER(Teams[teamType], (Fixtures[[#This Row],[userTeamID]] = Teams[teamID]), "N/A")</f>
        <v>N/A</v>
      </c>
      <c r="Z639" s="58" t="str" cm="1">
        <f t="array" ref="Z6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39" s="58" t="str">
        <f>IF(Fixtures[[#This Row],[userSide]] = "N/A", "N/A", IF(Fixtures[[#This Row],[userSide]] = "H", Fixtures[[#This Row],[awayTeam]], Fixtures[[#This Row],[homeTeam]]))</f>
        <v>N/A</v>
      </c>
      <c r="AB639" s="58" t="str" cm="1">
        <f t="array" ref="AB639">_xlfn._xlws.FILTER(Teams[teamID], Fixtures[[#This Row],[oppTeam]] = Teams[name], "N/A")</f>
        <v>N/A</v>
      </c>
      <c r="AC639" s="58" t="str" cm="1">
        <f t="array" ref="AC639">_xlfn._xlws.FILTER(Teams[teamType], Fixtures[[#This Row],[oppTeam]] = Teams[name], "N/A")</f>
        <v>N/A</v>
      </c>
      <c r="AD639" s="58" t="str">
        <f>IF(ISBLANK(Fixtures[[#This Row],[date]]), "N/A", IF(Fixtures[[#This Row],[userSide]]="H", Fixtures[[#This Row],[homeScore]], Fixtures[[#This Row],[awayScore]]))</f>
        <v>N/A</v>
      </c>
      <c r="AE639" s="58" t="str">
        <f>IF(ISBLANK(Fixtures[[#This Row],[date]]), "N/A", IF(Fixtures[[#This Row],[userScore]] = Fixtures[[#This Row],[homeScore]], Fixtures[[#This Row],[awayScore]], Fixtures[[#This Row],[homeScore]]))</f>
        <v>N/A</v>
      </c>
      <c r="AF639" s="58" t="b">
        <f>NOT(AND(ISBLANK(Fixtures[[#This Row],[homePens]]), ISBLANK(Fixtures[[#This Row],[awayPens]])))</f>
        <v>0</v>
      </c>
      <c r="AG639" s="58" t="str">
        <f>IF(Fixtures[[#This Row],[penalties]], IF(Fixtures[[#This Row],[userSide]]="H", Fixtures[[#This Row],[homePens]], Fixtures[[#This Row],[awayPens]]), "N/A")</f>
        <v>N/A</v>
      </c>
      <c r="AH639" s="58" t="str">
        <f>IF(Fixtures[[#This Row],[penalties]], IF(Fixtures[[#This Row],[userPens]]=Fixtures[[#This Row],[homePens]],Fixtures[[#This Row],[awayPens]],Fixtures[[#This Row],[homePens]]), "N/A")</f>
        <v>N/A</v>
      </c>
      <c r="AI639" s="58" t="b">
        <f>COUNTBLANK(Fixtures[[#This Row],[G]:[MOTM]]) = 0</f>
        <v>0</v>
      </c>
      <c r="AJ639" s="58" t="str">
        <f>IF(Fixtures[[#This Row],[APP]], Fixtures[[#This Row],[G]]+Fixtures[[#This Row],[A]], "N/A")</f>
        <v>N/A</v>
      </c>
      <c r="AK6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0" spans="1:39" ht="13">
      <c r="A640" s="55"/>
      <c r="B640" s="61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7"/>
      <c r="R640" s="56"/>
      <c r="S640" s="58" t="str" cm="1">
        <f t="array" ref="S640">_xlfn._xlws.FILTER(Competitions[compType], (Fixtures[[#This Row],[competition]] = Competitions[name]), "N/A")</f>
        <v>N/A</v>
      </c>
      <c r="T640" s="58" t="str" cm="1">
        <f t="array" ref="T640">_xlfn._xlws.FILTER(Competitions[exhibition], (Fixtures[[#This Row],[competition]] = Competitions[name]), "N/A")</f>
        <v>N/A</v>
      </c>
      <c r="U640" s="58" t="str" cm="1">
        <f t="array" ref="U640">_xlfn._xlws.FILTER(Competitions[compID], (Fixtures[[#This Row],[competition]] = Competitions[name]), "N/A")</f>
        <v>N/A</v>
      </c>
      <c r="V6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0" s="58" t="str" cm="1">
        <f t="array" ref="W6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0" s="58" t="str" cm="1">
        <f t="array" ref="X640">_xlfn._xlws.FILTER(Teams[name], (Fixtures[[#This Row],[userTeamID]] = Teams[teamID]), "N/A")</f>
        <v>N/A</v>
      </c>
      <c r="Y640" s="58" t="str" cm="1">
        <f t="array" ref="Y640">_xlfn._xlws.FILTER(Teams[teamType], (Fixtures[[#This Row],[userTeamID]] = Teams[teamID]), "N/A")</f>
        <v>N/A</v>
      </c>
      <c r="Z640" s="58" t="str" cm="1">
        <f t="array" ref="Z6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0" s="58" t="str">
        <f>IF(Fixtures[[#This Row],[userSide]] = "N/A", "N/A", IF(Fixtures[[#This Row],[userSide]] = "H", Fixtures[[#This Row],[awayTeam]], Fixtures[[#This Row],[homeTeam]]))</f>
        <v>N/A</v>
      </c>
      <c r="AB640" s="58" t="str" cm="1">
        <f t="array" ref="AB640">_xlfn._xlws.FILTER(Teams[teamID], Fixtures[[#This Row],[oppTeam]] = Teams[name], "N/A")</f>
        <v>N/A</v>
      </c>
      <c r="AC640" s="58" t="str" cm="1">
        <f t="array" ref="AC640">_xlfn._xlws.FILTER(Teams[teamType], Fixtures[[#This Row],[oppTeam]] = Teams[name], "N/A")</f>
        <v>N/A</v>
      </c>
      <c r="AD640" s="58" t="str">
        <f>IF(ISBLANK(Fixtures[[#This Row],[date]]), "N/A", IF(Fixtures[[#This Row],[userSide]]="H", Fixtures[[#This Row],[homeScore]], Fixtures[[#This Row],[awayScore]]))</f>
        <v>N/A</v>
      </c>
      <c r="AE640" s="58" t="str">
        <f>IF(ISBLANK(Fixtures[[#This Row],[date]]), "N/A", IF(Fixtures[[#This Row],[userScore]] = Fixtures[[#This Row],[homeScore]], Fixtures[[#This Row],[awayScore]], Fixtures[[#This Row],[homeScore]]))</f>
        <v>N/A</v>
      </c>
      <c r="AF640" s="58" t="b">
        <f>NOT(AND(ISBLANK(Fixtures[[#This Row],[homePens]]), ISBLANK(Fixtures[[#This Row],[awayPens]])))</f>
        <v>0</v>
      </c>
      <c r="AG640" s="58" t="str">
        <f>IF(Fixtures[[#This Row],[penalties]], IF(Fixtures[[#This Row],[userSide]]="H", Fixtures[[#This Row],[homePens]], Fixtures[[#This Row],[awayPens]]), "N/A")</f>
        <v>N/A</v>
      </c>
      <c r="AH640" s="58" t="str">
        <f>IF(Fixtures[[#This Row],[penalties]], IF(Fixtures[[#This Row],[userPens]]=Fixtures[[#This Row],[homePens]],Fixtures[[#This Row],[awayPens]],Fixtures[[#This Row],[homePens]]), "N/A")</f>
        <v>N/A</v>
      </c>
      <c r="AI640" s="58" t="b">
        <f>COUNTBLANK(Fixtures[[#This Row],[G]:[MOTM]]) = 0</f>
        <v>0</v>
      </c>
      <c r="AJ640" s="58" t="str">
        <f>IF(Fixtures[[#This Row],[APP]], Fixtures[[#This Row],[G]]+Fixtures[[#This Row],[A]], "N/A")</f>
        <v>N/A</v>
      </c>
      <c r="AK6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1" spans="1:39" ht="13">
      <c r="A641" s="55"/>
      <c r="B641" s="61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7"/>
      <c r="R641" s="56"/>
      <c r="S641" s="58" t="str" cm="1">
        <f t="array" ref="S641">_xlfn._xlws.FILTER(Competitions[compType], (Fixtures[[#This Row],[competition]] = Competitions[name]), "N/A")</f>
        <v>N/A</v>
      </c>
      <c r="T641" s="58" t="str" cm="1">
        <f t="array" ref="T641">_xlfn._xlws.FILTER(Competitions[exhibition], (Fixtures[[#This Row],[competition]] = Competitions[name]), "N/A")</f>
        <v>N/A</v>
      </c>
      <c r="U641" s="58" t="str" cm="1">
        <f t="array" ref="U641">_xlfn._xlws.FILTER(Competitions[compID], (Fixtures[[#This Row],[competition]] = Competitions[name]), "N/A")</f>
        <v>N/A</v>
      </c>
      <c r="V6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1" s="58" t="str" cm="1">
        <f t="array" ref="W6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1" s="58" t="str" cm="1">
        <f t="array" ref="X641">_xlfn._xlws.FILTER(Teams[name], (Fixtures[[#This Row],[userTeamID]] = Teams[teamID]), "N/A")</f>
        <v>N/A</v>
      </c>
      <c r="Y641" s="58" t="str" cm="1">
        <f t="array" ref="Y641">_xlfn._xlws.FILTER(Teams[teamType], (Fixtures[[#This Row],[userTeamID]] = Teams[teamID]), "N/A")</f>
        <v>N/A</v>
      </c>
      <c r="Z641" s="58" t="str" cm="1">
        <f t="array" ref="Z6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1" s="58" t="str">
        <f>IF(Fixtures[[#This Row],[userSide]] = "N/A", "N/A", IF(Fixtures[[#This Row],[userSide]] = "H", Fixtures[[#This Row],[awayTeam]], Fixtures[[#This Row],[homeTeam]]))</f>
        <v>N/A</v>
      </c>
      <c r="AB641" s="58" t="str" cm="1">
        <f t="array" ref="AB641">_xlfn._xlws.FILTER(Teams[teamID], Fixtures[[#This Row],[oppTeam]] = Teams[name], "N/A")</f>
        <v>N/A</v>
      </c>
      <c r="AC641" s="58" t="str" cm="1">
        <f t="array" ref="AC641">_xlfn._xlws.FILTER(Teams[teamType], Fixtures[[#This Row],[oppTeam]] = Teams[name], "N/A")</f>
        <v>N/A</v>
      </c>
      <c r="AD641" s="58" t="str">
        <f>IF(ISBLANK(Fixtures[[#This Row],[date]]), "N/A", IF(Fixtures[[#This Row],[userSide]]="H", Fixtures[[#This Row],[homeScore]], Fixtures[[#This Row],[awayScore]]))</f>
        <v>N/A</v>
      </c>
      <c r="AE641" s="58" t="str">
        <f>IF(ISBLANK(Fixtures[[#This Row],[date]]), "N/A", IF(Fixtures[[#This Row],[userScore]] = Fixtures[[#This Row],[homeScore]], Fixtures[[#This Row],[awayScore]], Fixtures[[#This Row],[homeScore]]))</f>
        <v>N/A</v>
      </c>
      <c r="AF641" s="58" t="b">
        <f>NOT(AND(ISBLANK(Fixtures[[#This Row],[homePens]]), ISBLANK(Fixtures[[#This Row],[awayPens]])))</f>
        <v>0</v>
      </c>
      <c r="AG641" s="58" t="str">
        <f>IF(Fixtures[[#This Row],[penalties]], IF(Fixtures[[#This Row],[userSide]]="H", Fixtures[[#This Row],[homePens]], Fixtures[[#This Row],[awayPens]]), "N/A")</f>
        <v>N/A</v>
      </c>
      <c r="AH641" s="58" t="str">
        <f>IF(Fixtures[[#This Row],[penalties]], IF(Fixtures[[#This Row],[userPens]]=Fixtures[[#This Row],[homePens]],Fixtures[[#This Row],[awayPens]],Fixtures[[#This Row],[homePens]]), "N/A")</f>
        <v>N/A</v>
      </c>
      <c r="AI641" s="58" t="b">
        <f>COUNTBLANK(Fixtures[[#This Row],[G]:[MOTM]]) = 0</f>
        <v>0</v>
      </c>
      <c r="AJ641" s="58" t="str">
        <f>IF(Fixtures[[#This Row],[APP]], Fixtures[[#This Row],[G]]+Fixtures[[#This Row],[A]], "N/A")</f>
        <v>N/A</v>
      </c>
      <c r="AK6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2" spans="1:39" ht="13">
      <c r="A642" s="55"/>
      <c r="B642" s="61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7"/>
      <c r="R642" s="56"/>
      <c r="S642" s="58" t="str" cm="1">
        <f t="array" ref="S642">_xlfn._xlws.FILTER(Competitions[compType], (Fixtures[[#This Row],[competition]] = Competitions[name]), "N/A")</f>
        <v>N/A</v>
      </c>
      <c r="T642" s="58" t="str" cm="1">
        <f t="array" ref="T642">_xlfn._xlws.FILTER(Competitions[exhibition], (Fixtures[[#This Row],[competition]] = Competitions[name]), "N/A")</f>
        <v>N/A</v>
      </c>
      <c r="U642" s="58" t="str" cm="1">
        <f t="array" ref="U642">_xlfn._xlws.FILTER(Competitions[compID], (Fixtures[[#This Row],[competition]] = Competitions[name]), "N/A")</f>
        <v>N/A</v>
      </c>
      <c r="V6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2" s="58" t="str" cm="1">
        <f t="array" ref="W6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2" s="58" t="str" cm="1">
        <f t="array" ref="X642">_xlfn._xlws.FILTER(Teams[name], (Fixtures[[#This Row],[userTeamID]] = Teams[teamID]), "N/A")</f>
        <v>N/A</v>
      </c>
      <c r="Y642" s="58" t="str" cm="1">
        <f t="array" ref="Y642">_xlfn._xlws.FILTER(Teams[teamType], (Fixtures[[#This Row],[userTeamID]] = Teams[teamID]), "N/A")</f>
        <v>N/A</v>
      </c>
      <c r="Z642" s="58" t="str" cm="1">
        <f t="array" ref="Z6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2" s="58" t="str">
        <f>IF(Fixtures[[#This Row],[userSide]] = "N/A", "N/A", IF(Fixtures[[#This Row],[userSide]] = "H", Fixtures[[#This Row],[awayTeam]], Fixtures[[#This Row],[homeTeam]]))</f>
        <v>N/A</v>
      </c>
      <c r="AB642" s="58" t="str" cm="1">
        <f t="array" ref="AB642">_xlfn._xlws.FILTER(Teams[teamID], Fixtures[[#This Row],[oppTeam]] = Teams[name], "N/A")</f>
        <v>N/A</v>
      </c>
      <c r="AC642" s="58" t="str" cm="1">
        <f t="array" ref="AC642">_xlfn._xlws.FILTER(Teams[teamType], Fixtures[[#This Row],[oppTeam]] = Teams[name], "N/A")</f>
        <v>N/A</v>
      </c>
      <c r="AD642" s="58" t="str">
        <f>IF(ISBLANK(Fixtures[[#This Row],[date]]), "N/A", IF(Fixtures[[#This Row],[userSide]]="H", Fixtures[[#This Row],[homeScore]], Fixtures[[#This Row],[awayScore]]))</f>
        <v>N/A</v>
      </c>
      <c r="AE642" s="58" t="str">
        <f>IF(ISBLANK(Fixtures[[#This Row],[date]]), "N/A", IF(Fixtures[[#This Row],[userScore]] = Fixtures[[#This Row],[homeScore]], Fixtures[[#This Row],[awayScore]], Fixtures[[#This Row],[homeScore]]))</f>
        <v>N/A</v>
      </c>
      <c r="AF642" s="58" t="b">
        <f>NOT(AND(ISBLANK(Fixtures[[#This Row],[homePens]]), ISBLANK(Fixtures[[#This Row],[awayPens]])))</f>
        <v>0</v>
      </c>
      <c r="AG642" s="58" t="str">
        <f>IF(Fixtures[[#This Row],[penalties]], IF(Fixtures[[#This Row],[userSide]]="H", Fixtures[[#This Row],[homePens]], Fixtures[[#This Row],[awayPens]]), "N/A")</f>
        <v>N/A</v>
      </c>
      <c r="AH642" s="58" t="str">
        <f>IF(Fixtures[[#This Row],[penalties]], IF(Fixtures[[#This Row],[userPens]]=Fixtures[[#This Row],[homePens]],Fixtures[[#This Row],[awayPens]],Fixtures[[#This Row],[homePens]]), "N/A")</f>
        <v>N/A</v>
      </c>
      <c r="AI642" s="58" t="b">
        <f>COUNTBLANK(Fixtures[[#This Row],[G]:[MOTM]]) = 0</f>
        <v>0</v>
      </c>
      <c r="AJ642" s="58" t="str">
        <f>IF(Fixtures[[#This Row],[APP]], Fixtures[[#This Row],[G]]+Fixtures[[#This Row],[A]], "N/A")</f>
        <v>N/A</v>
      </c>
      <c r="AK6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3" spans="1:39" ht="13">
      <c r="A643" s="55"/>
      <c r="B643" s="61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7"/>
      <c r="R643" s="56"/>
      <c r="S643" s="58" t="str" cm="1">
        <f t="array" ref="S643">_xlfn._xlws.FILTER(Competitions[compType], (Fixtures[[#This Row],[competition]] = Competitions[name]), "N/A")</f>
        <v>N/A</v>
      </c>
      <c r="T643" s="58" t="str" cm="1">
        <f t="array" ref="T643">_xlfn._xlws.FILTER(Competitions[exhibition], (Fixtures[[#This Row],[competition]] = Competitions[name]), "N/A")</f>
        <v>N/A</v>
      </c>
      <c r="U643" s="58" t="str" cm="1">
        <f t="array" ref="U643">_xlfn._xlws.FILTER(Competitions[compID], (Fixtures[[#This Row],[competition]] = Competitions[name]), "N/A")</f>
        <v>N/A</v>
      </c>
      <c r="V6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3" s="58" t="str" cm="1">
        <f t="array" ref="W6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3" s="58" t="str" cm="1">
        <f t="array" ref="X643">_xlfn._xlws.FILTER(Teams[name], (Fixtures[[#This Row],[userTeamID]] = Teams[teamID]), "N/A")</f>
        <v>N/A</v>
      </c>
      <c r="Y643" s="58" t="str" cm="1">
        <f t="array" ref="Y643">_xlfn._xlws.FILTER(Teams[teamType], (Fixtures[[#This Row],[userTeamID]] = Teams[teamID]), "N/A")</f>
        <v>N/A</v>
      </c>
      <c r="Z643" s="58" t="str" cm="1">
        <f t="array" ref="Z6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3" s="58" t="str">
        <f>IF(Fixtures[[#This Row],[userSide]] = "N/A", "N/A", IF(Fixtures[[#This Row],[userSide]] = "H", Fixtures[[#This Row],[awayTeam]], Fixtures[[#This Row],[homeTeam]]))</f>
        <v>N/A</v>
      </c>
      <c r="AB643" s="58" t="str" cm="1">
        <f t="array" ref="AB643">_xlfn._xlws.FILTER(Teams[teamID], Fixtures[[#This Row],[oppTeam]] = Teams[name], "N/A")</f>
        <v>N/A</v>
      </c>
      <c r="AC643" s="58" t="str" cm="1">
        <f t="array" ref="AC643">_xlfn._xlws.FILTER(Teams[teamType], Fixtures[[#This Row],[oppTeam]] = Teams[name], "N/A")</f>
        <v>N/A</v>
      </c>
      <c r="AD643" s="58" t="str">
        <f>IF(ISBLANK(Fixtures[[#This Row],[date]]), "N/A", IF(Fixtures[[#This Row],[userSide]]="H", Fixtures[[#This Row],[homeScore]], Fixtures[[#This Row],[awayScore]]))</f>
        <v>N/A</v>
      </c>
      <c r="AE643" s="58" t="str">
        <f>IF(ISBLANK(Fixtures[[#This Row],[date]]), "N/A", IF(Fixtures[[#This Row],[userScore]] = Fixtures[[#This Row],[homeScore]], Fixtures[[#This Row],[awayScore]], Fixtures[[#This Row],[homeScore]]))</f>
        <v>N/A</v>
      </c>
      <c r="AF643" s="58" t="b">
        <f>NOT(AND(ISBLANK(Fixtures[[#This Row],[homePens]]), ISBLANK(Fixtures[[#This Row],[awayPens]])))</f>
        <v>0</v>
      </c>
      <c r="AG643" s="58" t="str">
        <f>IF(Fixtures[[#This Row],[penalties]], IF(Fixtures[[#This Row],[userSide]]="H", Fixtures[[#This Row],[homePens]], Fixtures[[#This Row],[awayPens]]), "N/A")</f>
        <v>N/A</v>
      </c>
      <c r="AH643" s="58" t="str">
        <f>IF(Fixtures[[#This Row],[penalties]], IF(Fixtures[[#This Row],[userPens]]=Fixtures[[#This Row],[homePens]],Fixtures[[#This Row],[awayPens]],Fixtures[[#This Row],[homePens]]), "N/A")</f>
        <v>N/A</v>
      </c>
      <c r="AI643" s="58" t="b">
        <f>COUNTBLANK(Fixtures[[#This Row],[G]:[MOTM]]) = 0</f>
        <v>0</v>
      </c>
      <c r="AJ643" s="58" t="str">
        <f>IF(Fixtures[[#This Row],[APP]], Fixtures[[#This Row],[G]]+Fixtures[[#This Row],[A]], "N/A")</f>
        <v>N/A</v>
      </c>
      <c r="AK6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4" spans="1:39" ht="13">
      <c r="A644" s="55"/>
      <c r="B644" s="61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7"/>
      <c r="R644" s="56"/>
      <c r="S644" s="58" t="str" cm="1">
        <f t="array" ref="S644">_xlfn._xlws.FILTER(Competitions[compType], (Fixtures[[#This Row],[competition]] = Competitions[name]), "N/A")</f>
        <v>N/A</v>
      </c>
      <c r="T644" s="58" t="str" cm="1">
        <f t="array" ref="T644">_xlfn._xlws.FILTER(Competitions[exhibition], (Fixtures[[#This Row],[competition]] = Competitions[name]), "N/A")</f>
        <v>N/A</v>
      </c>
      <c r="U644" s="58" t="str" cm="1">
        <f t="array" ref="U644">_xlfn._xlws.FILTER(Competitions[compID], (Fixtures[[#This Row],[competition]] = Competitions[name]), "N/A")</f>
        <v>N/A</v>
      </c>
      <c r="V6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4" s="58" t="str" cm="1">
        <f t="array" ref="W6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4" s="58" t="str" cm="1">
        <f t="array" ref="X644">_xlfn._xlws.FILTER(Teams[name], (Fixtures[[#This Row],[userTeamID]] = Teams[teamID]), "N/A")</f>
        <v>N/A</v>
      </c>
      <c r="Y644" s="58" t="str" cm="1">
        <f t="array" ref="Y644">_xlfn._xlws.FILTER(Teams[teamType], (Fixtures[[#This Row],[userTeamID]] = Teams[teamID]), "N/A")</f>
        <v>N/A</v>
      </c>
      <c r="Z644" s="58" t="str" cm="1">
        <f t="array" ref="Z6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4" s="58" t="str">
        <f>IF(Fixtures[[#This Row],[userSide]] = "N/A", "N/A", IF(Fixtures[[#This Row],[userSide]] = "H", Fixtures[[#This Row],[awayTeam]], Fixtures[[#This Row],[homeTeam]]))</f>
        <v>N/A</v>
      </c>
      <c r="AB644" s="58" t="str" cm="1">
        <f t="array" ref="AB644">_xlfn._xlws.FILTER(Teams[teamID], Fixtures[[#This Row],[oppTeam]] = Teams[name], "N/A")</f>
        <v>N/A</v>
      </c>
      <c r="AC644" s="58" t="str" cm="1">
        <f t="array" ref="AC644">_xlfn._xlws.FILTER(Teams[teamType], Fixtures[[#This Row],[oppTeam]] = Teams[name], "N/A")</f>
        <v>N/A</v>
      </c>
      <c r="AD644" s="58" t="str">
        <f>IF(ISBLANK(Fixtures[[#This Row],[date]]), "N/A", IF(Fixtures[[#This Row],[userSide]]="H", Fixtures[[#This Row],[homeScore]], Fixtures[[#This Row],[awayScore]]))</f>
        <v>N/A</v>
      </c>
      <c r="AE644" s="58" t="str">
        <f>IF(ISBLANK(Fixtures[[#This Row],[date]]), "N/A", IF(Fixtures[[#This Row],[userScore]] = Fixtures[[#This Row],[homeScore]], Fixtures[[#This Row],[awayScore]], Fixtures[[#This Row],[homeScore]]))</f>
        <v>N/A</v>
      </c>
      <c r="AF644" s="58" t="b">
        <f>NOT(AND(ISBLANK(Fixtures[[#This Row],[homePens]]), ISBLANK(Fixtures[[#This Row],[awayPens]])))</f>
        <v>0</v>
      </c>
      <c r="AG644" s="58" t="str">
        <f>IF(Fixtures[[#This Row],[penalties]], IF(Fixtures[[#This Row],[userSide]]="H", Fixtures[[#This Row],[homePens]], Fixtures[[#This Row],[awayPens]]), "N/A")</f>
        <v>N/A</v>
      </c>
      <c r="AH644" s="58" t="str">
        <f>IF(Fixtures[[#This Row],[penalties]], IF(Fixtures[[#This Row],[userPens]]=Fixtures[[#This Row],[homePens]],Fixtures[[#This Row],[awayPens]],Fixtures[[#This Row],[homePens]]), "N/A")</f>
        <v>N/A</v>
      </c>
      <c r="AI644" s="58" t="b">
        <f>COUNTBLANK(Fixtures[[#This Row],[G]:[MOTM]]) = 0</f>
        <v>0</v>
      </c>
      <c r="AJ644" s="58" t="str">
        <f>IF(Fixtures[[#This Row],[APP]], Fixtures[[#This Row],[G]]+Fixtures[[#This Row],[A]], "N/A")</f>
        <v>N/A</v>
      </c>
      <c r="AK6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5" spans="1:39" ht="13">
      <c r="A645" s="55"/>
      <c r="B645" s="61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7"/>
      <c r="R645" s="56"/>
      <c r="S645" s="58" t="str" cm="1">
        <f t="array" ref="S645">_xlfn._xlws.FILTER(Competitions[compType], (Fixtures[[#This Row],[competition]] = Competitions[name]), "N/A")</f>
        <v>N/A</v>
      </c>
      <c r="T645" s="58" t="str" cm="1">
        <f t="array" ref="T645">_xlfn._xlws.FILTER(Competitions[exhibition], (Fixtures[[#This Row],[competition]] = Competitions[name]), "N/A")</f>
        <v>N/A</v>
      </c>
      <c r="U645" s="58" t="str" cm="1">
        <f t="array" ref="U645">_xlfn._xlws.FILTER(Competitions[compID], (Fixtures[[#This Row],[competition]] = Competitions[name]), "N/A")</f>
        <v>N/A</v>
      </c>
      <c r="V6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5" s="58" t="str" cm="1">
        <f t="array" ref="W6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5" s="58" t="str" cm="1">
        <f t="array" ref="X645">_xlfn._xlws.FILTER(Teams[name], (Fixtures[[#This Row],[userTeamID]] = Teams[teamID]), "N/A")</f>
        <v>N/A</v>
      </c>
      <c r="Y645" s="58" t="str" cm="1">
        <f t="array" ref="Y645">_xlfn._xlws.FILTER(Teams[teamType], (Fixtures[[#This Row],[userTeamID]] = Teams[teamID]), "N/A")</f>
        <v>N/A</v>
      </c>
      <c r="Z645" s="58" t="str" cm="1">
        <f t="array" ref="Z6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5" s="58" t="str">
        <f>IF(Fixtures[[#This Row],[userSide]] = "N/A", "N/A", IF(Fixtures[[#This Row],[userSide]] = "H", Fixtures[[#This Row],[awayTeam]], Fixtures[[#This Row],[homeTeam]]))</f>
        <v>N/A</v>
      </c>
      <c r="AB645" s="58" t="str" cm="1">
        <f t="array" ref="AB645">_xlfn._xlws.FILTER(Teams[teamID], Fixtures[[#This Row],[oppTeam]] = Teams[name], "N/A")</f>
        <v>N/A</v>
      </c>
      <c r="AC645" s="58" t="str" cm="1">
        <f t="array" ref="AC645">_xlfn._xlws.FILTER(Teams[teamType], Fixtures[[#This Row],[oppTeam]] = Teams[name], "N/A")</f>
        <v>N/A</v>
      </c>
      <c r="AD645" s="58" t="str">
        <f>IF(ISBLANK(Fixtures[[#This Row],[date]]), "N/A", IF(Fixtures[[#This Row],[userSide]]="H", Fixtures[[#This Row],[homeScore]], Fixtures[[#This Row],[awayScore]]))</f>
        <v>N/A</v>
      </c>
      <c r="AE645" s="58" t="str">
        <f>IF(ISBLANK(Fixtures[[#This Row],[date]]), "N/A", IF(Fixtures[[#This Row],[userScore]] = Fixtures[[#This Row],[homeScore]], Fixtures[[#This Row],[awayScore]], Fixtures[[#This Row],[homeScore]]))</f>
        <v>N/A</v>
      </c>
      <c r="AF645" s="58" t="b">
        <f>NOT(AND(ISBLANK(Fixtures[[#This Row],[homePens]]), ISBLANK(Fixtures[[#This Row],[awayPens]])))</f>
        <v>0</v>
      </c>
      <c r="AG645" s="58" t="str">
        <f>IF(Fixtures[[#This Row],[penalties]], IF(Fixtures[[#This Row],[userSide]]="H", Fixtures[[#This Row],[homePens]], Fixtures[[#This Row],[awayPens]]), "N/A")</f>
        <v>N/A</v>
      </c>
      <c r="AH645" s="58" t="str">
        <f>IF(Fixtures[[#This Row],[penalties]], IF(Fixtures[[#This Row],[userPens]]=Fixtures[[#This Row],[homePens]],Fixtures[[#This Row],[awayPens]],Fixtures[[#This Row],[homePens]]), "N/A")</f>
        <v>N/A</v>
      </c>
      <c r="AI645" s="58" t="b">
        <f>COUNTBLANK(Fixtures[[#This Row],[G]:[MOTM]]) = 0</f>
        <v>0</v>
      </c>
      <c r="AJ645" s="58" t="str">
        <f>IF(Fixtures[[#This Row],[APP]], Fixtures[[#This Row],[G]]+Fixtures[[#This Row],[A]], "N/A")</f>
        <v>N/A</v>
      </c>
      <c r="AK6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6" spans="1:39" ht="13">
      <c r="A646" s="55"/>
      <c r="B646" s="61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7"/>
      <c r="R646" s="56"/>
      <c r="S646" s="58" t="str" cm="1">
        <f t="array" ref="S646">_xlfn._xlws.FILTER(Competitions[compType], (Fixtures[[#This Row],[competition]] = Competitions[name]), "N/A")</f>
        <v>N/A</v>
      </c>
      <c r="T646" s="58" t="str" cm="1">
        <f t="array" ref="T646">_xlfn._xlws.FILTER(Competitions[exhibition], (Fixtures[[#This Row],[competition]] = Competitions[name]), "N/A")</f>
        <v>N/A</v>
      </c>
      <c r="U646" s="58" t="str" cm="1">
        <f t="array" ref="U646">_xlfn._xlws.FILTER(Competitions[compID], (Fixtures[[#This Row],[competition]] = Competitions[name]), "N/A")</f>
        <v>N/A</v>
      </c>
      <c r="V6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6" s="58" t="str" cm="1">
        <f t="array" ref="W6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6" s="58" t="str" cm="1">
        <f t="array" ref="X646">_xlfn._xlws.FILTER(Teams[name], (Fixtures[[#This Row],[userTeamID]] = Teams[teamID]), "N/A")</f>
        <v>N/A</v>
      </c>
      <c r="Y646" s="58" t="str" cm="1">
        <f t="array" ref="Y646">_xlfn._xlws.FILTER(Teams[teamType], (Fixtures[[#This Row],[userTeamID]] = Teams[teamID]), "N/A")</f>
        <v>N/A</v>
      </c>
      <c r="Z646" s="58" t="str" cm="1">
        <f t="array" ref="Z6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6" s="58" t="str">
        <f>IF(Fixtures[[#This Row],[userSide]] = "N/A", "N/A", IF(Fixtures[[#This Row],[userSide]] = "H", Fixtures[[#This Row],[awayTeam]], Fixtures[[#This Row],[homeTeam]]))</f>
        <v>N/A</v>
      </c>
      <c r="AB646" s="58" t="str" cm="1">
        <f t="array" ref="AB646">_xlfn._xlws.FILTER(Teams[teamID], Fixtures[[#This Row],[oppTeam]] = Teams[name], "N/A")</f>
        <v>N/A</v>
      </c>
      <c r="AC646" s="58" t="str" cm="1">
        <f t="array" ref="AC646">_xlfn._xlws.FILTER(Teams[teamType], Fixtures[[#This Row],[oppTeam]] = Teams[name], "N/A")</f>
        <v>N/A</v>
      </c>
      <c r="AD646" s="58" t="str">
        <f>IF(ISBLANK(Fixtures[[#This Row],[date]]), "N/A", IF(Fixtures[[#This Row],[userSide]]="H", Fixtures[[#This Row],[homeScore]], Fixtures[[#This Row],[awayScore]]))</f>
        <v>N/A</v>
      </c>
      <c r="AE646" s="58" t="str">
        <f>IF(ISBLANK(Fixtures[[#This Row],[date]]), "N/A", IF(Fixtures[[#This Row],[userScore]] = Fixtures[[#This Row],[homeScore]], Fixtures[[#This Row],[awayScore]], Fixtures[[#This Row],[homeScore]]))</f>
        <v>N/A</v>
      </c>
      <c r="AF646" s="58" t="b">
        <f>NOT(AND(ISBLANK(Fixtures[[#This Row],[homePens]]), ISBLANK(Fixtures[[#This Row],[awayPens]])))</f>
        <v>0</v>
      </c>
      <c r="AG646" s="58" t="str">
        <f>IF(Fixtures[[#This Row],[penalties]], IF(Fixtures[[#This Row],[userSide]]="H", Fixtures[[#This Row],[homePens]], Fixtures[[#This Row],[awayPens]]), "N/A")</f>
        <v>N/A</v>
      </c>
      <c r="AH646" s="58" t="str">
        <f>IF(Fixtures[[#This Row],[penalties]], IF(Fixtures[[#This Row],[userPens]]=Fixtures[[#This Row],[homePens]],Fixtures[[#This Row],[awayPens]],Fixtures[[#This Row],[homePens]]), "N/A")</f>
        <v>N/A</v>
      </c>
      <c r="AI646" s="58" t="b">
        <f>COUNTBLANK(Fixtures[[#This Row],[G]:[MOTM]]) = 0</f>
        <v>0</v>
      </c>
      <c r="AJ646" s="58" t="str">
        <f>IF(Fixtures[[#This Row],[APP]], Fixtures[[#This Row],[G]]+Fixtures[[#This Row],[A]], "N/A")</f>
        <v>N/A</v>
      </c>
      <c r="AK6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7" spans="1:39" ht="13">
      <c r="A647" s="55"/>
      <c r="B647" s="61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7"/>
      <c r="R647" s="56"/>
      <c r="S647" s="58" t="str" cm="1">
        <f t="array" ref="S647">_xlfn._xlws.FILTER(Competitions[compType], (Fixtures[[#This Row],[competition]] = Competitions[name]), "N/A")</f>
        <v>N/A</v>
      </c>
      <c r="T647" s="58" t="str" cm="1">
        <f t="array" ref="T647">_xlfn._xlws.FILTER(Competitions[exhibition], (Fixtures[[#This Row],[competition]] = Competitions[name]), "N/A")</f>
        <v>N/A</v>
      </c>
      <c r="U647" s="58" t="str" cm="1">
        <f t="array" ref="U647">_xlfn._xlws.FILTER(Competitions[compID], (Fixtures[[#This Row],[competition]] = Competitions[name]), "N/A")</f>
        <v>N/A</v>
      </c>
      <c r="V6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7" s="58" t="str" cm="1">
        <f t="array" ref="W6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7" s="58" t="str" cm="1">
        <f t="array" ref="X647">_xlfn._xlws.FILTER(Teams[name], (Fixtures[[#This Row],[userTeamID]] = Teams[teamID]), "N/A")</f>
        <v>N/A</v>
      </c>
      <c r="Y647" s="58" t="str" cm="1">
        <f t="array" ref="Y647">_xlfn._xlws.FILTER(Teams[teamType], (Fixtures[[#This Row],[userTeamID]] = Teams[teamID]), "N/A")</f>
        <v>N/A</v>
      </c>
      <c r="Z647" s="58" t="str" cm="1">
        <f t="array" ref="Z6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7" s="58" t="str">
        <f>IF(Fixtures[[#This Row],[userSide]] = "N/A", "N/A", IF(Fixtures[[#This Row],[userSide]] = "H", Fixtures[[#This Row],[awayTeam]], Fixtures[[#This Row],[homeTeam]]))</f>
        <v>N/A</v>
      </c>
      <c r="AB647" s="58" t="str" cm="1">
        <f t="array" ref="AB647">_xlfn._xlws.FILTER(Teams[teamID], Fixtures[[#This Row],[oppTeam]] = Teams[name], "N/A")</f>
        <v>N/A</v>
      </c>
      <c r="AC647" s="58" t="str" cm="1">
        <f t="array" ref="AC647">_xlfn._xlws.FILTER(Teams[teamType], Fixtures[[#This Row],[oppTeam]] = Teams[name], "N/A")</f>
        <v>N/A</v>
      </c>
      <c r="AD647" s="58" t="str">
        <f>IF(ISBLANK(Fixtures[[#This Row],[date]]), "N/A", IF(Fixtures[[#This Row],[userSide]]="H", Fixtures[[#This Row],[homeScore]], Fixtures[[#This Row],[awayScore]]))</f>
        <v>N/A</v>
      </c>
      <c r="AE647" s="58" t="str">
        <f>IF(ISBLANK(Fixtures[[#This Row],[date]]), "N/A", IF(Fixtures[[#This Row],[userScore]] = Fixtures[[#This Row],[homeScore]], Fixtures[[#This Row],[awayScore]], Fixtures[[#This Row],[homeScore]]))</f>
        <v>N/A</v>
      </c>
      <c r="AF647" s="58" t="b">
        <f>NOT(AND(ISBLANK(Fixtures[[#This Row],[homePens]]), ISBLANK(Fixtures[[#This Row],[awayPens]])))</f>
        <v>0</v>
      </c>
      <c r="AG647" s="58" t="str">
        <f>IF(Fixtures[[#This Row],[penalties]], IF(Fixtures[[#This Row],[userSide]]="H", Fixtures[[#This Row],[homePens]], Fixtures[[#This Row],[awayPens]]), "N/A")</f>
        <v>N/A</v>
      </c>
      <c r="AH647" s="58" t="str">
        <f>IF(Fixtures[[#This Row],[penalties]], IF(Fixtures[[#This Row],[userPens]]=Fixtures[[#This Row],[homePens]],Fixtures[[#This Row],[awayPens]],Fixtures[[#This Row],[homePens]]), "N/A")</f>
        <v>N/A</v>
      </c>
      <c r="AI647" s="58" t="b">
        <f>COUNTBLANK(Fixtures[[#This Row],[G]:[MOTM]]) = 0</f>
        <v>0</v>
      </c>
      <c r="AJ647" s="58" t="str">
        <f>IF(Fixtures[[#This Row],[APP]], Fixtures[[#This Row],[G]]+Fixtures[[#This Row],[A]], "N/A")</f>
        <v>N/A</v>
      </c>
      <c r="AK6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8" spans="1:39" ht="13">
      <c r="A648" s="55"/>
      <c r="B648" s="61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7"/>
      <c r="R648" s="56"/>
      <c r="S648" s="58" t="str" cm="1">
        <f t="array" ref="S648">_xlfn._xlws.FILTER(Competitions[compType], (Fixtures[[#This Row],[competition]] = Competitions[name]), "N/A")</f>
        <v>N/A</v>
      </c>
      <c r="T648" s="58" t="str" cm="1">
        <f t="array" ref="T648">_xlfn._xlws.FILTER(Competitions[exhibition], (Fixtures[[#This Row],[competition]] = Competitions[name]), "N/A")</f>
        <v>N/A</v>
      </c>
      <c r="U648" s="58" t="str" cm="1">
        <f t="array" ref="U648">_xlfn._xlws.FILTER(Competitions[compID], (Fixtures[[#This Row],[competition]] = Competitions[name]), "N/A")</f>
        <v>N/A</v>
      </c>
      <c r="V6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8" s="58" t="str" cm="1">
        <f t="array" ref="W6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8" s="58" t="str" cm="1">
        <f t="array" ref="X648">_xlfn._xlws.FILTER(Teams[name], (Fixtures[[#This Row],[userTeamID]] = Teams[teamID]), "N/A")</f>
        <v>N/A</v>
      </c>
      <c r="Y648" s="58" t="str" cm="1">
        <f t="array" ref="Y648">_xlfn._xlws.FILTER(Teams[teamType], (Fixtures[[#This Row],[userTeamID]] = Teams[teamID]), "N/A")</f>
        <v>N/A</v>
      </c>
      <c r="Z648" s="58" t="str" cm="1">
        <f t="array" ref="Z6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8" s="58" t="str">
        <f>IF(Fixtures[[#This Row],[userSide]] = "N/A", "N/A", IF(Fixtures[[#This Row],[userSide]] = "H", Fixtures[[#This Row],[awayTeam]], Fixtures[[#This Row],[homeTeam]]))</f>
        <v>N/A</v>
      </c>
      <c r="AB648" s="58" t="str" cm="1">
        <f t="array" ref="AB648">_xlfn._xlws.FILTER(Teams[teamID], Fixtures[[#This Row],[oppTeam]] = Teams[name], "N/A")</f>
        <v>N/A</v>
      </c>
      <c r="AC648" s="58" t="str" cm="1">
        <f t="array" ref="AC648">_xlfn._xlws.FILTER(Teams[teamType], Fixtures[[#This Row],[oppTeam]] = Teams[name], "N/A")</f>
        <v>N/A</v>
      </c>
      <c r="AD648" s="58" t="str">
        <f>IF(ISBLANK(Fixtures[[#This Row],[date]]), "N/A", IF(Fixtures[[#This Row],[userSide]]="H", Fixtures[[#This Row],[homeScore]], Fixtures[[#This Row],[awayScore]]))</f>
        <v>N/A</v>
      </c>
      <c r="AE648" s="58" t="str">
        <f>IF(ISBLANK(Fixtures[[#This Row],[date]]), "N/A", IF(Fixtures[[#This Row],[userScore]] = Fixtures[[#This Row],[homeScore]], Fixtures[[#This Row],[awayScore]], Fixtures[[#This Row],[homeScore]]))</f>
        <v>N/A</v>
      </c>
      <c r="AF648" s="58" t="b">
        <f>NOT(AND(ISBLANK(Fixtures[[#This Row],[homePens]]), ISBLANK(Fixtures[[#This Row],[awayPens]])))</f>
        <v>0</v>
      </c>
      <c r="AG648" s="58" t="str">
        <f>IF(Fixtures[[#This Row],[penalties]], IF(Fixtures[[#This Row],[userSide]]="H", Fixtures[[#This Row],[homePens]], Fixtures[[#This Row],[awayPens]]), "N/A")</f>
        <v>N/A</v>
      </c>
      <c r="AH648" s="58" t="str">
        <f>IF(Fixtures[[#This Row],[penalties]], IF(Fixtures[[#This Row],[userPens]]=Fixtures[[#This Row],[homePens]],Fixtures[[#This Row],[awayPens]],Fixtures[[#This Row],[homePens]]), "N/A")</f>
        <v>N/A</v>
      </c>
      <c r="AI648" s="58" t="b">
        <f>COUNTBLANK(Fixtures[[#This Row],[G]:[MOTM]]) = 0</f>
        <v>0</v>
      </c>
      <c r="AJ648" s="58" t="str">
        <f>IF(Fixtures[[#This Row],[APP]], Fixtures[[#This Row],[G]]+Fixtures[[#This Row],[A]], "N/A")</f>
        <v>N/A</v>
      </c>
      <c r="AK6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49" spans="1:39" ht="13">
      <c r="A649" s="55"/>
      <c r="B649" s="61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7"/>
      <c r="R649" s="56"/>
      <c r="S649" s="58" t="str" cm="1">
        <f t="array" ref="S649">_xlfn._xlws.FILTER(Competitions[compType], (Fixtures[[#This Row],[competition]] = Competitions[name]), "N/A")</f>
        <v>N/A</v>
      </c>
      <c r="T649" s="58" t="str" cm="1">
        <f t="array" ref="T649">_xlfn._xlws.FILTER(Competitions[exhibition], (Fixtures[[#This Row],[competition]] = Competitions[name]), "N/A")</f>
        <v>N/A</v>
      </c>
      <c r="U649" s="58" t="str" cm="1">
        <f t="array" ref="U649">_xlfn._xlws.FILTER(Competitions[compID], (Fixtures[[#This Row],[competition]] = Competitions[name]), "N/A")</f>
        <v>N/A</v>
      </c>
      <c r="V6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49" s="58" t="str" cm="1">
        <f t="array" ref="W6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49" s="58" t="str" cm="1">
        <f t="array" ref="X649">_xlfn._xlws.FILTER(Teams[name], (Fixtures[[#This Row],[userTeamID]] = Teams[teamID]), "N/A")</f>
        <v>N/A</v>
      </c>
      <c r="Y649" s="58" t="str" cm="1">
        <f t="array" ref="Y649">_xlfn._xlws.FILTER(Teams[teamType], (Fixtures[[#This Row],[userTeamID]] = Teams[teamID]), "N/A")</f>
        <v>N/A</v>
      </c>
      <c r="Z649" s="58" t="str" cm="1">
        <f t="array" ref="Z6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49" s="58" t="str">
        <f>IF(Fixtures[[#This Row],[userSide]] = "N/A", "N/A", IF(Fixtures[[#This Row],[userSide]] = "H", Fixtures[[#This Row],[awayTeam]], Fixtures[[#This Row],[homeTeam]]))</f>
        <v>N/A</v>
      </c>
      <c r="AB649" s="58" t="str" cm="1">
        <f t="array" ref="AB649">_xlfn._xlws.FILTER(Teams[teamID], Fixtures[[#This Row],[oppTeam]] = Teams[name], "N/A")</f>
        <v>N/A</v>
      </c>
      <c r="AC649" s="58" t="str" cm="1">
        <f t="array" ref="AC649">_xlfn._xlws.FILTER(Teams[teamType], Fixtures[[#This Row],[oppTeam]] = Teams[name], "N/A")</f>
        <v>N/A</v>
      </c>
      <c r="AD649" s="58" t="str">
        <f>IF(ISBLANK(Fixtures[[#This Row],[date]]), "N/A", IF(Fixtures[[#This Row],[userSide]]="H", Fixtures[[#This Row],[homeScore]], Fixtures[[#This Row],[awayScore]]))</f>
        <v>N/A</v>
      </c>
      <c r="AE649" s="58" t="str">
        <f>IF(ISBLANK(Fixtures[[#This Row],[date]]), "N/A", IF(Fixtures[[#This Row],[userScore]] = Fixtures[[#This Row],[homeScore]], Fixtures[[#This Row],[awayScore]], Fixtures[[#This Row],[homeScore]]))</f>
        <v>N/A</v>
      </c>
      <c r="AF649" s="58" t="b">
        <f>NOT(AND(ISBLANK(Fixtures[[#This Row],[homePens]]), ISBLANK(Fixtures[[#This Row],[awayPens]])))</f>
        <v>0</v>
      </c>
      <c r="AG649" s="58" t="str">
        <f>IF(Fixtures[[#This Row],[penalties]], IF(Fixtures[[#This Row],[userSide]]="H", Fixtures[[#This Row],[homePens]], Fixtures[[#This Row],[awayPens]]), "N/A")</f>
        <v>N/A</v>
      </c>
      <c r="AH649" s="58" t="str">
        <f>IF(Fixtures[[#This Row],[penalties]], IF(Fixtures[[#This Row],[userPens]]=Fixtures[[#This Row],[homePens]],Fixtures[[#This Row],[awayPens]],Fixtures[[#This Row],[homePens]]), "N/A")</f>
        <v>N/A</v>
      </c>
      <c r="AI649" s="58" t="b">
        <f>COUNTBLANK(Fixtures[[#This Row],[G]:[MOTM]]) = 0</f>
        <v>0</v>
      </c>
      <c r="AJ649" s="58" t="str">
        <f>IF(Fixtures[[#This Row],[APP]], Fixtures[[#This Row],[G]]+Fixtures[[#This Row],[A]], "N/A")</f>
        <v>N/A</v>
      </c>
      <c r="AK6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0" spans="1:39" ht="13">
      <c r="A650" s="55"/>
      <c r="B650" s="61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7"/>
      <c r="R650" s="56"/>
      <c r="S650" s="58" t="str" cm="1">
        <f t="array" ref="S650">_xlfn._xlws.FILTER(Competitions[compType], (Fixtures[[#This Row],[competition]] = Competitions[name]), "N/A")</f>
        <v>N/A</v>
      </c>
      <c r="T650" s="58" t="str" cm="1">
        <f t="array" ref="T650">_xlfn._xlws.FILTER(Competitions[exhibition], (Fixtures[[#This Row],[competition]] = Competitions[name]), "N/A")</f>
        <v>N/A</v>
      </c>
      <c r="U650" s="58" t="str" cm="1">
        <f t="array" ref="U650">_xlfn._xlws.FILTER(Competitions[compID], (Fixtures[[#This Row],[competition]] = Competitions[name]), "N/A")</f>
        <v>N/A</v>
      </c>
      <c r="V6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0" s="58" t="str" cm="1">
        <f t="array" ref="W6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0" s="58" t="str" cm="1">
        <f t="array" ref="X650">_xlfn._xlws.FILTER(Teams[name], (Fixtures[[#This Row],[userTeamID]] = Teams[teamID]), "N/A")</f>
        <v>N/A</v>
      </c>
      <c r="Y650" s="58" t="str" cm="1">
        <f t="array" ref="Y650">_xlfn._xlws.FILTER(Teams[teamType], (Fixtures[[#This Row],[userTeamID]] = Teams[teamID]), "N/A")</f>
        <v>N/A</v>
      </c>
      <c r="Z650" s="58" t="str" cm="1">
        <f t="array" ref="Z6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0" s="58" t="str">
        <f>IF(Fixtures[[#This Row],[userSide]] = "N/A", "N/A", IF(Fixtures[[#This Row],[userSide]] = "H", Fixtures[[#This Row],[awayTeam]], Fixtures[[#This Row],[homeTeam]]))</f>
        <v>N/A</v>
      </c>
      <c r="AB650" s="58" t="str" cm="1">
        <f t="array" ref="AB650">_xlfn._xlws.FILTER(Teams[teamID], Fixtures[[#This Row],[oppTeam]] = Teams[name], "N/A")</f>
        <v>N/A</v>
      </c>
      <c r="AC650" s="58" t="str" cm="1">
        <f t="array" ref="AC650">_xlfn._xlws.FILTER(Teams[teamType], Fixtures[[#This Row],[oppTeam]] = Teams[name], "N/A")</f>
        <v>N/A</v>
      </c>
      <c r="AD650" s="58" t="str">
        <f>IF(ISBLANK(Fixtures[[#This Row],[date]]), "N/A", IF(Fixtures[[#This Row],[userSide]]="H", Fixtures[[#This Row],[homeScore]], Fixtures[[#This Row],[awayScore]]))</f>
        <v>N/A</v>
      </c>
      <c r="AE650" s="58" t="str">
        <f>IF(ISBLANK(Fixtures[[#This Row],[date]]), "N/A", IF(Fixtures[[#This Row],[userScore]] = Fixtures[[#This Row],[homeScore]], Fixtures[[#This Row],[awayScore]], Fixtures[[#This Row],[homeScore]]))</f>
        <v>N/A</v>
      </c>
      <c r="AF650" s="58" t="b">
        <f>NOT(AND(ISBLANK(Fixtures[[#This Row],[homePens]]), ISBLANK(Fixtures[[#This Row],[awayPens]])))</f>
        <v>0</v>
      </c>
      <c r="AG650" s="58" t="str">
        <f>IF(Fixtures[[#This Row],[penalties]], IF(Fixtures[[#This Row],[userSide]]="H", Fixtures[[#This Row],[homePens]], Fixtures[[#This Row],[awayPens]]), "N/A")</f>
        <v>N/A</v>
      </c>
      <c r="AH650" s="58" t="str">
        <f>IF(Fixtures[[#This Row],[penalties]], IF(Fixtures[[#This Row],[userPens]]=Fixtures[[#This Row],[homePens]],Fixtures[[#This Row],[awayPens]],Fixtures[[#This Row],[homePens]]), "N/A")</f>
        <v>N/A</v>
      </c>
      <c r="AI650" s="58" t="b">
        <f>COUNTBLANK(Fixtures[[#This Row],[G]:[MOTM]]) = 0</f>
        <v>0</v>
      </c>
      <c r="AJ650" s="58" t="str">
        <f>IF(Fixtures[[#This Row],[APP]], Fixtures[[#This Row],[G]]+Fixtures[[#This Row],[A]], "N/A")</f>
        <v>N/A</v>
      </c>
      <c r="AK6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1" spans="1:39" ht="13">
      <c r="A651" s="55"/>
      <c r="B651" s="61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7"/>
      <c r="R651" s="56"/>
      <c r="S651" s="58" t="str" cm="1">
        <f t="array" ref="S651">_xlfn._xlws.FILTER(Competitions[compType], (Fixtures[[#This Row],[competition]] = Competitions[name]), "N/A")</f>
        <v>N/A</v>
      </c>
      <c r="T651" s="58" t="str" cm="1">
        <f t="array" ref="T651">_xlfn._xlws.FILTER(Competitions[exhibition], (Fixtures[[#This Row],[competition]] = Competitions[name]), "N/A")</f>
        <v>N/A</v>
      </c>
      <c r="U651" s="58" t="str" cm="1">
        <f t="array" ref="U651">_xlfn._xlws.FILTER(Competitions[compID], (Fixtures[[#This Row],[competition]] = Competitions[name]), "N/A")</f>
        <v>N/A</v>
      </c>
      <c r="V6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1" s="58" t="str" cm="1">
        <f t="array" ref="W6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1" s="58" t="str" cm="1">
        <f t="array" ref="X651">_xlfn._xlws.FILTER(Teams[name], (Fixtures[[#This Row],[userTeamID]] = Teams[teamID]), "N/A")</f>
        <v>N/A</v>
      </c>
      <c r="Y651" s="58" t="str" cm="1">
        <f t="array" ref="Y651">_xlfn._xlws.FILTER(Teams[teamType], (Fixtures[[#This Row],[userTeamID]] = Teams[teamID]), "N/A")</f>
        <v>N/A</v>
      </c>
      <c r="Z651" s="58" t="str" cm="1">
        <f t="array" ref="Z6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1" s="58" t="str">
        <f>IF(Fixtures[[#This Row],[userSide]] = "N/A", "N/A", IF(Fixtures[[#This Row],[userSide]] = "H", Fixtures[[#This Row],[awayTeam]], Fixtures[[#This Row],[homeTeam]]))</f>
        <v>N/A</v>
      </c>
      <c r="AB651" s="58" t="str" cm="1">
        <f t="array" ref="AB651">_xlfn._xlws.FILTER(Teams[teamID], Fixtures[[#This Row],[oppTeam]] = Teams[name], "N/A")</f>
        <v>N/A</v>
      </c>
      <c r="AC651" s="58" t="str" cm="1">
        <f t="array" ref="AC651">_xlfn._xlws.FILTER(Teams[teamType], Fixtures[[#This Row],[oppTeam]] = Teams[name], "N/A")</f>
        <v>N/A</v>
      </c>
      <c r="AD651" s="58" t="str">
        <f>IF(ISBLANK(Fixtures[[#This Row],[date]]), "N/A", IF(Fixtures[[#This Row],[userSide]]="H", Fixtures[[#This Row],[homeScore]], Fixtures[[#This Row],[awayScore]]))</f>
        <v>N/A</v>
      </c>
      <c r="AE651" s="58" t="str">
        <f>IF(ISBLANK(Fixtures[[#This Row],[date]]), "N/A", IF(Fixtures[[#This Row],[userScore]] = Fixtures[[#This Row],[homeScore]], Fixtures[[#This Row],[awayScore]], Fixtures[[#This Row],[homeScore]]))</f>
        <v>N/A</v>
      </c>
      <c r="AF651" s="58" t="b">
        <f>NOT(AND(ISBLANK(Fixtures[[#This Row],[homePens]]), ISBLANK(Fixtures[[#This Row],[awayPens]])))</f>
        <v>0</v>
      </c>
      <c r="AG651" s="58" t="str">
        <f>IF(Fixtures[[#This Row],[penalties]], IF(Fixtures[[#This Row],[userSide]]="H", Fixtures[[#This Row],[homePens]], Fixtures[[#This Row],[awayPens]]), "N/A")</f>
        <v>N/A</v>
      </c>
      <c r="AH651" s="58" t="str">
        <f>IF(Fixtures[[#This Row],[penalties]], IF(Fixtures[[#This Row],[userPens]]=Fixtures[[#This Row],[homePens]],Fixtures[[#This Row],[awayPens]],Fixtures[[#This Row],[homePens]]), "N/A")</f>
        <v>N/A</v>
      </c>
      <c r="AI651" s="58" t="b">
        <f>COUNTBLANK(Fixtures[[#This Row],[G]:[MOTM]]) = 0</f>
        <v>0</v>
      </c>
      <c r="AJ651" s="58" t="str">
        <f>IF(Fixtures[[#This Row],[APP]], Fixtures[[#This Row],[G]]+Fixtures[[#This Row],[A]], "N/A")</f>
        <v>N/A</v>
      </c>
      <c r="AK6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2" spans="1:39" ht="13">
      <c r="A652" s="55"/>
      <c r="B652" s="61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7"/>
      <c r="R652" s="56"/>
      <c r="S652" s="58" t="str" cm="1">
        <f t="array" ref="S652">_xlfn._xlws.FILTER(Competitions[compType], (Fixtures[[#This Row],[competition]] = Competitions[name]), "N/A")</f>
        <v>N/A</v>
      </c>
      <c r="T652" s="58" t="str" cm="1">
        <f t="array" ref="T652">_xlfn._xlws.FILTER(Competitions[exhibition], (Fixtures[[#This Row],[competition]] = Competitions[name]), "N/A")</f>
        <v>N/A</v>
      </c>
      <c r="U652" s="58" t="str" cm="1">
        <f t="array" ref="U652">_xlfn._xlws.FILTER(Competitions[compID], (Fixtures[[#This Row],[competition]] = Competitions[name]), "N/A")</f>
        <v>N/A</v>
      </c>
      <c r="V6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2" s="58" t="str" cm="1">
        <f t="array" ref="W6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2" s="58" t="str" cm="1">
        <f t="array" ref="X652">_xlfn._xlws.FILTER(Teams[name], (Fixtures[[#This Row],[userTeamID]] = Teams[teamID]), "N/A")</f>
        <v>N/A</v>
      </c>
      <c r="Y652" s="58" t="str" cm="1">
        <f t="array" ref="Y652">_xlfn._xlws.FILTER(Teams[teamType], (Fixtures[[#This Row],[userTeamID]] = Teams[teamID]), "N/A")</f>
        <v>N/A</v>
      </c>
      <c r="Z652" s="58" t="str" cm="1">
        <f t="array" ref="Z6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2" s="58" t="str">
        <f>IF(Fixtures[[#This Row],[userSide]] = "N/A", "N/A", IF(Fixtures[[#This Row],[userSide]] = "H", Fixtures[[#This Row],[awayTeam]], Fixtures[[#This Row],[homeTeam]]))</f>
        <v>N/A</v>
      </c>
      <c r="AB652" s="58" t="str" cm="1">
        <f t="array" ref="AB652">_xlfn._xlws.FILTER(Teams[teamID], Fixtures[[#This Row],[oppTeam]] = Teams[name], "N/A")</f>
        <v>N/A</v>
      </c>
      <c r="AC652" s="58" t="str" cm="1">
        <f t="array" ref="AC652">_xlfn._xlws.FILTER(Teams[teamType], Fixtures[[#This Row],[oppTeam]] = Teams[name], "N/A")</f>
        <v>N/A</v>
      </c>
      <c r="AD652" s="58" t="str">
        <f>IF(ISBLANK(Fixtures[[#This Row],[date]]), "N/A", IF(Fixtures[[#This Row],[userSide]]="H", Fixtures[[#This Row],[homeScore]], Fixtures[[#This Row],[awayScore]]))</f>
        <v>N/A</v>
      </c>
      <c r="AE652" s="58" t="str">
        <f>IF(ISBLANK(Fixtures[[#This Row],[date]]), "N/A", IF(Fixtures[[#This Row],[userScore]] = Fixtures[[#This Row],[homeScore]], Fixtures[[#This Row],[awayScore]], Fixtures[[#This Row],[homeScore]]))</f>
        <v>N/A</v>
      </c>
      <c r="AF652" s="58" t="b">
        <f>NOT(AND(ISBLANK(Fixtures[[#This Row],[homePens]]), ISBLANK(Fixtures[[#This Row],[awayPens]])))</f>
        <v>0</v>
      </c>
      <c r="AG652" s="58" t="str">
        <f>IF(Fixtures[[#This Row],[penalties]], IF(Fixtures[[#This Row],[userSide]]="H", Fixtures[[#This Row],[homePens]], Fixtures[[#This Row],[awayPens]]), "N/A")</f>
        <v>N/A</v>
      </c>
      <c r="AH652" s="58" t="str">
        <f>IF(Fixtures[[#This Row],[penalties]], IF(Fixtures[[#This Row],[userPens]]=Fixtures[[#This Row],[homePens]],Fixtures[[#This Row],[awayPens]],Fixtures[[#This Row],[homePens]]), "N/A")</f>
        <v>N/A</v>
      </c>
      <c r="AI652" s="58" t="b">
        <f>COUNTBLANK(Fixtures[[#This Row],[G]:[MOTM]]) = 0</f>
        <v>0</v>
      </c>
      <c r="AJ652" s="58" t="str">
        <f>IF(Fixtures[[#This Row],[APP]], Fixtures[[#This Row],[G]]+Fixtures[[#This Row],[A]], "N/A")</f>
        <v>N/A</v>
      </c>
      <c r="AK6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3" spans="1:39" ht="13">
      <c r="A653" s="55"/>
      <c r="B653" s="61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7"/>
      <c r="R653" s="56"/>
      <c r="S653" s="58" t="str" cm="1">
        <f t="array" ref="S653">_xlfn._xlws.FILTER(Competitions[compType], (Fixtures[[#This Row],[competition]] = Competitions[name]), "N/A")</f>
        <v>N/A</v>
      </c>
      <c r="T653" s="58" t="str" cm="1">
        <f t="array" ref="T653">_xlfn._xlws.FILTER(Competitions[exhibition], (Fixtures[[#This Row],[competition]] = Competitions[name]), "N/A")</f>
        <v>N/A</v>
      </c>
      <c r="U653" s="58" t="str" cm="1">
        <f t="array" ref="U653">_xlfn._xlws.FILTER(Competitions[compID], (Fixtures[[#This Row],[competition]] = Competitions[name]), "N/A")</f>
        <v>N/A</v>
      </c>
      <c r="V6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3" s="58" t="str" cm="1">
        <f t="array" ref="W6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3" s="58" t="str" cm="1">
        <f t="array" ref="X653">_xlfn._xlws.FILTER(Teams[name], (Fixtures[[#This Row],[userTeamID]] = Teams[teamID]), "N/A")</f>
        <v>N/A</v>
      </c>
      <c r="Y653" s="58" t="str" cm="1">
        <f t="array" ref="Y653">_xlfn._xlws.FILTER(Teams[teamType], (Fixtures[[#This Row],[userTeamID]] = Teams[teamID]), "N/A")</f>
        <v>N/A</v>
      </c>
      <c r="Z653" s="58" t="str" cm="1">
        <f t="array" ref="Z6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3" s="58" t="str">
        <f>IF(Fixtures[[#This Row],[userSide]] = "N/A", "N/A", IF(Fixtures[[#This Row],[userSide]] = "H", Fixtures[[#This Row],[awayTeam]], Fixtures[[#This Row],[homeTeam]]))</f>
        <v>N/A</v>
      </c>
      <c r="AB653" s="58" t="str" cm="1">
        <f t="array" ref="AB653">_xlfn._xlws.FILTER(Teams[teamID], Fixtures[[#This Row],[oppTeam]] = Teams[name], "N/A")</f>
        <v>N/A</v>
      </c>
      <c r="AC653" s="58" t="str" cm="1">
        <f t="array" ref="AC653">_xlfn._xlws.FILTER(Teams[teamType], Fixtures[[#This Row],[oppTeam]] = Teams[name], "N/A")</f>
        <v>N/A</v>
      </c>
      <c r="AD653" s="58" t="str">
        <f>IF(ISBLANK(Fixtures[[#This Row],[date]]), "N/A", IF(Fixtures[[#This Row],[userSide]]="H", Fixtures[[#This Row],[homeScore]], Fixtures[[#This Row],[awayScore]]))</f>
        <v>N/A</v>
      </c>
      <c r="AE653" s="58" t="str">
        <f>IF(ISBLANK(Fixtures[[#This Row],[date]]), "N/A", IF(Fixtures[[#This Row],[userScore]] = Fixtures[[#This Row],[homeScore]], Fixtures[[#This Row],[awayScore]], Fixtures[[#This Row],[homeScore]]))</f>
        <v>N/A</v>
      </c>
      <c r="AF653" s="58" t="b">
        <f>NOT(AND(ISBLANK(Fixtures[[#This Row],[homePens]]), ISBLANK(Fixtures[[#This Row],[awayPens]])))</f>
        <v>0</v>
      </c>
      <c r="AG653" s="58" t="str">
        <f>IF(Fixtures[[#This Row],[penalties]], IF(Fixtures[[#This Row],[userSide]]="H", Fixtures[[#This Row],[homePens]], Fixtures[[#This Row],[awayPens]]), "N/A")</f>
        <v>N/A</v>
      </c>
      <c r="AH653" s="58" t="str">
        <f>IF(Fixtures[[#This Row],[penalties]], IF(Fixtures[[#This Row],[userPens]]=Fixtures[[#This Row],[homePens]],Fixtures[[#This Row],[awayPens]],Fixtures[[#This Row],[homePens]]), "N/A")</f>
        <v>N/A</v>
      </c>
      <c r="AI653" s="58" t="b">
        <f>COUNTBLANK(Fixtures[[#This Row],[G]:[MOTM]]) = 0</f>
        <v>0</v>
      </c>
      <c r="AJ653" s="58" t="str">
        <f>IF(Fixtures[[#This Row],[APP]], Fixtures[[#This Row],[G]]+Fixtures[[#This Row],[A]], "N/A")</f>
        <v>N/A</v>
      </c>
      <c r="AK6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4" spans="1:39" ht="13">
      <c r="A654" s="55"/>
      <c r="B654" s="61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7"/>
      <c r="R654" s="56"/>
      <c r="S654" s="58" t="str" cm="1">
        <f t="array" ref="S654">_xlfn._xlws.FILTER(Competitions[compType], (Fixtures[[#This Row],[competition]] = Competitions[name]), "N/A")</f>
        <v>N/A</v>
      </c>
      <c r="T654" s="58" t="str" cm="1">
        <f t="array" ref="T654">_xlfn._xlws.FILTER(Competitions[exhibition], (Fixtures[[#This Row],[competition]] = Competitions[name]), "N/A")</f>
        <v>N/A</v>
      </c>
      <c r="U654" s="58" t="str" cm="1">
        <f t="array" ref="U654">_xlfn._xlws.FILTER(Competitions[compID], (Fixtures[[#This Row],[competition]] = Competitions[name]), "N/A")</f>
        <v>N/A</v>
      </c>
      <c r="V6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4" s="58" t="str" cm="1">
        <f t="array" ref="W6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4" s="58" t="str" cm="1">
        <f t="array" ref="X654">_xlfn._xlws.FILTER(Teams[name], (Fixtures[[#This Row],[userTeamID]] = Teams[teamID]), "N/A")</f>
        <v>N/A</v>
      </c>
      <c r="Y654" s="58" t="str" cm="1">
        <f t="array" ref="Y654">_xlfn._xlws.FILTER(Teams[teamType], (Fixtures[[#This Row],[userTeamID]] = Teams[teamID]), "N/A")</f>
        <v>N/A</v>
      </c>
      <c r="Z654" s="58" t="str" cm="1">
        <f t="array" ref="Z6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4" s="58" t="str">
        <f>IF(Fixtures[[#This Row],[userSide]] = "N/A", "N/A", IF(Fixtures[[#This Row],[userSide]] = "H", Fixtures[[#This Row],[awayTeam]], Fixtures[[#This Row],[homeTeam]]))</f>
        <v>N/A</v>
      </c>
      <c r="AB654" s="58" t="str" cm="1">
        <f t="array" ref="AB654">_xlfn._xlws.FILTER(Teams[teamID], Fixtures[[#This Row],[oppTeam]] = Teams[name], "N/A")</f>
        <v>N/A</v>
      </c>
      <c r="AC654" s="58" t="str" cm="1">
        <f t="array" ref="AC654">_xlfn._xlws.FILTER(Teams[teamType], Fixtures[[#This Row],[oppTeam]] = Teams[name], "N/A")</f>
        <v>N/A</v>
      </c>
      <c r="AD654" s="58" t="str">
        <f>IF(ISBLANK(Fixtures[[#This Row],[date]]), "N/A", IF(Fixtures[[#This Row],[userSide]]="H", Fixtures[[#This Row],[homeScore]], Fixtures[[#This Row],[awayScore]]))</f>
        <v>N/A</v>
      </c>
      <c r="AE654" s="58" t="str">
        <f>IF(ISBLANK(Fixtures[[#This Row],[date]]), "N/A", IF(Fixtures[[#This Row],[userScore]] = Fixtures[[#This Row],[homeScore]], Fixtures[[#This Row],[awayScore]], Fixtures[[#This Row],[homeScore]]))</f>
        <v>N/A</v>
      </c>
      <c r="AF654" s="58" t="b">
        <f>NOT(AND(ISBLANK(Fixtures[[#This Row],[homePens]]), ISBLANK(Fixtures[[#This Row],[awayPens]])))</f>
        <v>0</v>
      </c>
      <c r="AG654" s="58" t="str">
        <f>IF(Fixtures[[#This Row],[penalties]], IF(Fixtures[[#This Row],[userSide]]="H", Fixtures[[#This Row],[homePens]], Fixtures[[#This Row],[awayPens]]), "N/A")</f>
        <v>N/A</v>
      </c>
      <c r="AH654" s="58" t="str">
        <f>IF(Fixtures[[#This Row],[penalties]], IF(Fixtures[[#This Row],[userPens]]=Fixtures[[#This Row],[homePens]],Fixtures[[#This Row],[awayPens]],Fixtures[[#This Row],[homePens]]), "N/A")</f>
        <v>N/A</v>
      </c>
      <c r="AI654" s="58" t="b">
        <f>COUNTBLANK(Fixtures[[#This Row],[G]:[MOTM]]) = 0</f>
        <v>0</v>
      </c>
      <c r="AJ654" s="58" t="str">
        <f>IF(Fixtures[[#This Row],[APP]], Fixtures[[#This Row],[G]]+Fixtures[[#This Row],[A]], "N/A")</f>
        <v>N/A</v>
      </c>
      <c r="AK6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5" spans="1:39" ht="13">
      <c r="A655" s="55"/>
      <c r="B655" s="61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7"/>
      <c r="R655" s="56"/>
      <c r="S655" s="58" t="str" cm="1">
        <f t="array" ref="S655">_xlfn._xlws.FILTER(Competitions[compType], (Fixtures[[#This Row],[competition]] = Competitions[name]), "N/A")</f>
        <v>N/A</v>
      </c>
      <c r="T655" s="58" t="str" cm="1">
        <f t="array" ref="T655">_xlfn._xlws.FILTER(Competitions[exhibition], (Fixtures[[#This Row],[competition]] = Competitions[name]), "N/A")</f>
        <v>N/A</v>
      </c>
      <c r="U655" s="58" t="str" cm="1">
        <f t="array" ref="U655">_xlfn._xlws.FILTER(Competitions[compID], (Fixtures[[#This Row],[competition]] = Competitions[name]), "N/A")</f>
        <v>N/A</v>
      </c>
      <c r="V6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5" s="58" t="str" cm="1">
        <f t="array" ref="W6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5" s="58" t="str" cm="1">
        <f t="array" ref="X655">_xlfn._xlws.FILTER(Teams[name], (Fixtures[[#This Row],[userTeamID]] = Teams[teamID]), "N/A")</f>
        <v>N/A</v>
      </c>
      <c r="Y655" s="58" t="str" cm="1">
        <f t="array" ref="Y655">_xlfn._xlws.FILTER(Teams[teamType], (Fixtures[[#This Row],[userTeamID]] = Teams[teamID]), "N/A")</f>
        <v>N/A</v>
      </c>
      <c r="Z655" s="58" t="str" cm="1">
        <f t="array" ref="Z6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5" s="58" t="str">
        <f>IF(Fixtures[[#This Row],[userSide]] = "N/A", "N/A", IF(Fixtures[[#This Row],[userSide]] = "H", Fixtures[[#This Row],[awayTeam]], Fixtures[[#This Row],[homeTeam]]))</f>
        <v>N/A</v>
      </c>
      <c r="AB655" s="58" t="str" cm="1">
        <f t="array" ref="AB655">_xlfn._xlws.FILTER(Teams[teamID], Fixtures[[#This Row],[oppTeam]] = Teams[name], "N/A")</f>
        <v>N/A</v>
      </c>
      <c r="AC655" s="58" t="str" cm="1">
        <f t="array" ref="AC655">_xlfn._xlws.FILTER(Teams[teamType], Fixtures[[#This Row],[oppTeam]] = Teams[name], "N/A")</f>
        <v>N/A</v>
      </c>
      <c r="AD655" s="58" t="str">
        <f>IF(ISBLANK(Fixtures[[#This Row],[date]]), "N/A", IF(Fixtures[[#This Row],[userSide]]="H", Fixtures[[#This Row],[homeScore]], Fixtures[[#This Row],[awayScore]]))</f>
        <v>N/A</v>
      </c>
      <c r="AE655" s="58" t="str">
        <f>IF(ISBLANK(Fixtures[[#This Row],[date]]), "N/A", IF(Fixtures[[#This Row],[userScore]] = Fixtures[[#This Row],[homeScore]], Fixtures[[#This Row],[awayScore]], Fixtures[[#This Row],[homeScore]]))</f>
        <v>N/A</v>
      </c>
      <c r="AF655" s="58" t="b">
        <f>NOT(AND(ISBLANK(Fixtures[[#This Row],[homePens]]), ISBLANK(Fixtures[[#This Row],[awayPens]])))</f>
        <v>0</v>
      </c>
      <c r="AG655" s="58" t="str">
        <f>IF(Fixtures[[#This Row],[penalties]], IF(Fixtures[[#This Row],[userSide]]="H", Fixtures[[#This Row],[homePens]], Fixtures[[#This Row],[awayPens]]), "N/A")</f>
        <v>N/A</v>
      </c>
      <c r="AH655" s="58" t="str">
        <f>IF(Fixtures[[#This Row],[penalties]], IF(Fixtures[[#This Row],[userPens]]=Fixtures[[#This Row],[homePens]],Fixtures[[#This Row],[awayPens]],Fixtures[[#This Row],[homePens]]), "N/A")</f>
        <v>N/A</v>
      </c>
      <c r="AI655" s="58" t="b">
        <f>COUNTBLANK(Fixtures[[#This Row],[G]:[MOTM]]) = 0</f>
        <v>0</v>
      </c>
      <c r="AJ655" s="58" t="str">
        <f>IF(Fixtures[[#This Row],[APP]], Fixtures[[#This Row],[G]]+Fixtures[[#This Row],[A]], "N/A")</f>
        <v>N/A</v>
      </c>
      <c r="AK6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6" spans="1:39" ht="13">
      <c r="A656" s="55"/>
      <c r="B656" s="61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7"/>
      <c r="R656" s="56"/>
      <c r="S656" s="58" t="str" cm="1">
        <f t="array" ref="S656">_xlfn._xlws.FILTER(Competitions[compType], (Fixtures[[#This Row],[competition]] = Competitions[name]), "N/A")</f>
        <v>N/A</v>
      </c>
      <c r="T656" s="58" t="str" cm="1">
        <f t="array" ref="T656">_xlfn._xlws.FILTER(Competitions[exhibition], (Fixtures[[#This Row],[competition]] = Competitions[name]), "N/A")</f>
        <v>N/A</v>
      </c>
      <c r="U656" s="58" t="str" cm="1">
        <f t="array" ref="U656">_xlfn._xlws.FILTER(Competitions[compID], (Fixtures[[#This Row],[competition]] = Competitions[name]), "N/A")</f>
        <v>N/A</v>
      </c>
      <c r="V6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6" s="58" t="str" cm="1">
        <f t="array" ref="W6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6" s="58" t="str" cm="1">
        <f t="array" ref="X656">_xlfn._xlws.FILTER(Teams[name], (Fixtures[[#This Row],[userTeamID]] = Teams[teamID]), "N/A")</f>
        <v>N/A</v>
      </c>
      <c r="Y656" s="58" t="str" cm="1">
        <f t="array" ref="Y656">_xlfn._xlws.FILTER(Teams[teamType], (Fixtures[[#This Row],[userTeamID]] = Teams[teamID]), "N/A")</f>
        <v>N/A</v>
      </c>
      <c r="Z656" s="58" t="str" cm="1">
        <f t="array" ref="Z6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6" s="58" t="str">
        <f>IF(Fixtures[[#This Row],[userSide]] = "N/A", "N/A", IF(Fixtures[[#This Row],[userSide]] = "H", Fixtures[[#This Row],[awayTeam]], Fixtures[[#This Row],[homeTeam]]))</f>
        <v>N/A</v>
      </c>
      <c r="AB656" s="58" t="str" cm="1">
        <f t="array" ref="AB656">_xlfn._xlws.FILTER(Teams[teamID], Fixtures[[#This Row],[oppTeam]] = Teams[name], "N/A")</f>
        <v>N/A</v>
      </c>
      <c r="AC656" s="58" t="str" cm="1">
        <f t="array" ref="AC656">_xlfn._xlws.FILTER(Teams[teamType], Fixtures[[#This Row],[oppTeam]] = Teams[name], "N/A")</f>
        <v>N/A</v>
      </c>
      <c r="AD656" s="58" t="str">
        <f>IF(ISBLANK(Fixtures[[#This Row],[date]]), "N/A", IF(Fixtures[[#This Row],[userSide]]="H", Fixtures[[#This Row],[homeScore]], Fixtures[[#This Row],[awayScore]]))</f>
        <v>N/A</v>
      </c>
      <c r="AE656" s="58" t="str">
        <f>IF(ISBLANK(Fixtures[[#This Row],[date]]), "N/A", IF(Fixtures[[#This Row],[userScore]] = Fixtures[[#This Row],[homeScore]], Fixtures[[#This Row],[awayScore]], Fixtures[[#This Row],[homeScore]]))</f>
        <v>N/A</v>
      </c>
      <c r="AF656" s="58" t="b">
        <f>NOT(AND(ISBLANK(Fixtures[[#This Row],[homePens]]), ISBLANK(Fixtures[[#This Row],[awayPens]])))</f>
        <v>0</v>
      </c>
      <c r="AG656" s="58" t="str">
        <f>IF(Fixtures[[#This Row],[penalties]], IF(Fixtures[[#This Row],[userSide]]="H", Fixtures[[#This Row],[homePens]], Fixtures[[#This Row],[awayPens]]), "N/A")</f>
        <v>N/A</v>
      </c>
      <c r="AH656" s="58" t="str">
        <f>IF(Fixtures[[#This Row],[penalties]], IF(Fixtures[[#This Row],[userPens]]=Fixtures[[#This Row],[homePens]],Fixtures[[#This Row],[awayPens]],Fixtures[[#This Row],[homePens]]), "N/A")</f>
        <v>N/A</v>
      </c>
      <c r="AI656" s="58" t="b">
        <f>COUNTBLANK(Fixtures[[#This Row],[G]:[MOTM]]) = 0</f>
        <v>0</v>
      </c>
      <c r="AJ656" s="58" t="str">
        <f>IF(Fixtures[[#This Row],[APP]], Fixtures[[#This Row],[G]]+Fixtures[[#This Row],[A]], "N/A")</f>
        <v>N/A</v>
      </c>
      <c r="AK6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7" spans="1:39" ht="13">
      <c r="A657" s="55"/>
      <c r="B657" s="61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7"/>
      <c r="R657" s="56"/>
      <c r="S657" s="58" t="str" cm="1">
        <f t="array" ref="S657">_xlfn._xlws.FILTER(Competitions[compType], (Fixtures[[#This Row],[competition]] = Competitions[name]), "N/A")</f>
        <v>N/A</v>
      </c>
      <c r="T657" s="58" t="str" cm="1">
        <f t="array" ref="T657">_xlfn._xlws.FILTER(Competitions[exhibition], (Fixtures[[#This Row],[competition]] = Competitions[name]), "N/A")</f>
        <v>N/A</v>
      </c>
      <c r="U657" s="58" t="str" cm="1">
        <f t="array" ref="U657">_xlfn._xlws.FILTER(Competitions[compID], (Fixtures[[#This Row],[competition]] = Competitions[name]), "N/A")</f>
        <v>N/A</v>
      </c>
      <c r="V6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7" s="58" t="str" cm="1">
        <f t="array" ref="W6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7" s="58" t="str" cm="1">
        <f t="array" ref="X657">_xlfn._xlws.FILTER(Teams[name], (Fixtures[[#This Row],[userTeamID]] = Teams[teamID]), "N/A")</f>
        <v>N/A</v>
      </c>
      <c r="Y657" s="58" t="str" cm="1">
        <f t="array" ref="Y657">_xlfn._xlws.FILTER(Teams[teamType], (Fixtures[[#This Row],[userTeamID]] = Teams[teamID]), "N/A")</f>
        <v>N/A</v>
      </c>
      <c r="Z657" s="58" t="str" cm="1">
        <f t="array" ref="Z6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7" s="58" t="str">
        <f>IF(Fixtures[[#This Row],[userSide]] = "N/A", "N/A", IF(Fixtures[[#This Row],[userSide]] = "H", Fixtures[[#This Row],[awayTeam]], Fixtures[[#This Row],[homeTeam]]))</f>
        <v>N/A</v>
      </c>
      <c r="AB657" s="58" t="str" cm="1">
        <f t="array" ref="AB657">_xlfn._xlws.FILTER(Teams[teamID], Fixtures[[#This Row],[oppTeam]] = Teams[name], "N/A")</f>
        <v>N/A</v>
      </c>
      <c r="AC657" s="58" t="str" cm="1">
        <f t="array" ref="AC657">_xlfn._xlws.FILTER(Teams[teamType], Fixtures[[#This Row],[oppTeam]] = Teams[name], "N/A")</f>
        <v>N/A</v>
      </c>
      <c r="AD657" s="58" t="str">
        <f>IF(ISBLANK(Fixtures[[#This Row],[date]]), "N/A", IF(Fixtures[[#This Row],[userSide]]="H", Fixtures[[#This Row],[homeScore]], Fixtures[[#This Row],[awayScore]]))</f>
        <v>N/A</v>
      </c>
      <c r="AE657" s="58" t="str">
        <f>IF(ISBLANK(Fixtures[[#This Row],[date]]), "N/A", IF(Fixtures[[#This Row],[userScore]] = Fixtures[[#This Row],[homeScore]], Fixtures[[#This Row],[awayScore]], Fixtures[[#This Row],[homeScore]]))</f>
        <v>N/A</v>
      </c>
      <c r="AF657" s="58" t="b">
        <f>NOT(AND(ISBLANK(Fixtures[[#This Row],[homePens]]), ISBLANK(Fixtures[[#This Row],[awayPens]])))</f>
        <v>0</v>
      </c>
      <c r="AG657" s="58" t="str">
        <f>IF(Fixtures[[#This Row],[penalties]], IF(Fixtures[[#This Row],[userSide]]="H", Fixtures[[#This Row],[homePens]], Fixtures[[#This Row],[awayPens]]), "N/A")</f>
        <v>N/A</v>
      </c>
      <c r="AH657" s="58" t="str">
        <f>IF(Fixtures[[#This Row],[penalties]], IF(Fixtures[[#This Row],[userPens]]=Fixtures[[#This Row],[homePens]],Fixtures[[#This Row],[awayPens]],Fixtures[[#This Row],[homePens]]), "N/A")</f>
        <v>N/A</v>
      </c>
      <c r="AI657" s="58" t="b">
        <f>COUNTBLANK(Fixtures[[#This Row],[G]:[MOTM]]) = 0</f>
        <v>0</v>
      </c>
      <c r="AJ657" s="58" t="str">
        <f>IF(Fixtures[[#This Row],[APP]], Fixtures[[#This Row],[G]]+Fixtures[[#This Row],[A]], "N/A")</f>
        <v>N/A</v>
      </c>
      <c r="AK6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8" spans="1:39" ht="13">
      <c r="A658" s="55"/>
      <c r="B658" s="61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7"/>
      <c r="R658" s="56"/>
      <c r="S658" s="58" t="str" cm="1">
        <f t="array" ref="S658">_xlfn._xlws.FILTER(Competitions[compType], (Fixtures[[#This Row],[competition]] = Competitions[name]), "N/A")</f>
        <v>N/A</v>
      </c>
      <c r="T658" s="58" t="str" cm="1">
        <f t="array" ref="T658">_xlfn._xlws.FILTER(Competitions[exhibition], (Fixtures[[#This Row],[competition]] = Competitions[name]), "N/A")</f>
        <v>N/A</v>
      </c>
      <c r="U658" s="58" t="str" cm="1">
        <f t="array" ref="U658">_xlfn._xlws.FILTER(Competitions[compID], (Fixtures[[#This Row],[competition]] = Competitions[name]), "N/A")</f>
        <v>N/A</v>
      </c>
      <c r="V6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8" s="58" t="str" cm="1">
        <f t="array" ref="W6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8" s="58" t="str" cm="1">
        <f t="array" ref="X658">_xlfn._xlws.FILTER(Teams[name], (Fixtures[[#This Row],[userTeamID]] = Teams[teamID]), "N/A")</f>
        <v>N/A</v>
      </c>
      <c r="Y658" s="58" t="str" cm="1">
        <f t="array" ref="Y658">_xlfn._xlws.FILTER(Teams[teamType], (Fixtures[[#This Row],[userTeamID]] = Teams[teamID]), "N/A")</f>
        <v>N/A</v>
      </c>
      <c r="Z658" s="58" t="str" cm="1">
        <f t="array" ref="Z6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8" s="58" t="str">
        <f>IF(Fixtures[[#This Row],[userSide]] = "N/A", "N/A", IF(Fixtures[[#This Row],[userSide]] = "H", Fixtures[[#This Row],[awayTeam]], Fixtures[[#This Row],[homeTeam]]))</f>
        <v>N/A</v>
      </c>
      <c r="AB658" s="58" t="str" cm="1">
        <f t="array" ref="AB658">_xlfn._xlws.FILTER(Teams[teamID], Fixtures[[#This Row],[oppTeam]] = Teams[name], "N/A")</f>
        <v>N/A</v>
      </c>
      <c r="AC658" s="58" t="str" cm="1">
        <f t="array" ref="AC658">_xlfn._xlws.FILTER(Teams[teamType], Fixtures[[#This Row],[oppTeam]] = Teams[name], "N/A")</f>
        <v>N/A</v>
      </c>
      <c r="AD658" s="58" t="str">
        <f>IF(ISBLANK(Fixtures[[#This Row],[date]]), "N/A", IF(Fixtures[[#This Row],[userSide]]="H", Fixtures[[#This Row],[homeScore]], Fixtures[[#This Row],[awayScore]]))</f>
        <v>N/A</v>
      </c>
      <c r="AE658" s="58" t="str">
        <f>IF(ISBLANK(Fixtures[[#This Row],[date]]), "N/A", IF(Fixtures[[#This Row],[userScore]] = Fixtures[[#This Row],[homeScore]], Fixtures[[#This Row],[awayScore]], Fixtures[[#This Row],[homeScore]]))</f>
        <v>N/A</v>
      </c>
      <c r="AF658" s="58" t="b">
        <f>NOT(AND(ISBLANK(Fixtures[[#This Row],[homePens]]), ISBLANK(Fixtures[[#This Row],[awayPens]])))</f>
        <v>0</v>
      </c>
      <c r="AG658" s="58" t="str">
        <f>IF(Fixtures[[#This Row],[penalties]], IF(Fixtures[[#This Row],[userSide]]="H", Fixtures[[#This Row],[homePens]], Fixtures[[#This Row],[awayPens]]), "N/A")</f>
        <v>N/A</v>
      </c>
      <c r="AH658" s="58" t="str">
        <f>IF(Fixtures[[#This Row],[penalties]], IF(Fixtures[[#This Row],[userPens]]=Fixtures[[#This Row],[homePens]],Fixtures[[#This Row],[awayPens]],Fixtures[[#This Row],[homePens]]), "N/A")</f>
        <v>N/A</v>
      </c>
      <c r="AI658" s="58" t="b">
        <f>COUNTBLANK(Fixtures[[#This Row],[G]:[MOTM]]) = 0</f>
        <v>0</v>
      </c>
      <c r="AJ658" s="58" t="str">
        <f>IF(Fixtures[[#This Row],[APP]], Fixtures[[#This Row],[G]]+Fixtures[[#This Row],[A]], "N/A")</f>
        <v>N/A</v>
      </c>
      <c r="AK6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59" spans="1:39" ht="13">
      <c r="A659" s="55"/>
      <c r="B659" s="61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7"/>
      <c r="R659" s="56"/>
      <c r="S659" s="58" t="str" cm="1">
        <f t="array" ref="S659">_xlfn._xlws.FILTER(Competitions[compType], (Fixtures[[#This Row],[competition]] = Competitions[name]), "N/A")</f>
        <v>N/A</v>
      </c>
      <c r="T659" s="58" t="str" cm="1">
        <f t="array" ref="T659">_xlfn._xlws.FILTER(Competitions[exhibition], (Fixtures[[#This Row],[competition]] = Competitions[name]), "N/A")</f>
        <v>N/A</v>
      </c>
      <c r="U659" s="58" t="str" cm="1">
        <f t="array" ref="U659">_xlfn._xlws.FILTER(Competitions[compID], (Fixtures[[#This Row],[competition]] = Competitions[name]), "N/A")</f>
        <v>N/A</v>
      </c>
      <c r="V6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59" s="58" t="str" cm="1">
        <f t="array" ref="W6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59" s="58" t="str" cm="1">
        <f t="array" ref="X659">_xlfn._xlws.FILTER(Teams[name], (Fixtures[[#This Row],[userTeamID]] = Teams[teamID]), "N/A")</f>
        <v>N/A</v>
      </c>
      <c r="Y659" s="58" t="str" cm="1">
        <f t="array" ref="Y659">_xlfn._xlws.FILTER(Teams[teamType], (Fixtures[[#This Row],[userTeamID]] = Teams[teamID]), "N/A")</f>
        <v>N/A</v>
      </c>
      <c r="Z659" s="58" t="str" cm="1">
        <f t="array" ref="Z6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59" s="58" t="str">
        <f>IF(Fixtures[[#This Row],[userSide]] = "N/A", "N/A", IF(Fixtures[[#This Row],[userSide]] = "H", Fixtures[[#This Row],[awayTeam]], Fixtures[[#This Row],[homeTeam]]))</f>
        <v>N/A</v>
      </c>
      <c r="AB659" s="58" t="str" cm="1">
        <f t="array" ref="AB659">_xlfn._xlws.FILTER(Teams[teamID], Fixtures[[#This Row],[oppTeam]] = Teams[name], "N/A")</f>
        <v>N/A</v>
      </c>
      <c r="AC659" s="58" t="str" cm="1">
        <f t="array" ref="AC659">_xlfn._xlws.FILTER(Teams[teamType], Fixtures[[#This Row],[oppTeam]] = Teams[name], "N/A")</f>
        <v>N/A</v>
      </c>
      <c r="AD659" s="58" t="str">
        <f>IF(ISBLANK(Fixtures[[#This Row],[date]]), "N/A", IF(Fixtures[[#This Row],[userSide]]="H", Fixtures[[#This Row],[homeScore]], Fixtures[[#This Row],[awayScore]]))</f>
        <v>N/A</v>
      </c>
      <c r="AE659" s="58" t="str">
        <f>IF(ISBLANK(Fixtures[[#This Row],[date]]), "N/A", IF(Fixtures[[#This Row],[userScore]] = Fixtures[[#This Row],[homeScore]], Fixtures[[#This Row],[awayScore]], Fixtures[[#This Row],[homeScore]]))</f>
        <v>N/A</v>
      </c>
      <c r="AF659" s="58" t="b">
        <f>NOT(AND(ISBLANK(Fixtures[[#This Row],[homePens]]), ISBLANK(Fixtures[[#This Row],[awayPens]])))</f>
        <v>0</v>
      </c>
      <c r="AG659" s="58" t="str">
        <f>IF(Fixtures[[#This Row],[penalties]], IF(Fixtures[[#This Row],[userSide]]="H", Fixtures[[#This Row],[homePens]], Fixtures[[#This Row],[awayPens]]), "N/A")</f>
        <v>N/A</v>
      </c>
      <c r="AH659" s="58" t="str">
        <f>IF(Fixtures[[#This Row],[penalties]], IF(Fixtures[[#This Row],[userPens]]=Fixtures[[#This Row],[homePens]],Fixtures[[#This Row],[awayPens]],Fixtures[[#This Row],[homePens]]), "N/A")</f>
        <v>N/A</v>
      </c>
      <c r="AI659" s="58" t="b">
        <f>COUNTBLANK(Fixtures[[#This Row],[G]:[MOTM]]) = 0</f>
        <v>0</v>
      </c>
      <c r="AJ659" s="58" t="str">
        <f>IF(Fixtures[[#This Row],[APP]], Fixtures[[#This Row],[G]]+Fixtures[[#This Row],[A]], "N/A")</f>
        <v>N/A</v>
      </c>
      <c r="AK6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0" spans="1:39" ht="13">
      <c r="A660" s="55"/>
      <c r="B660" s="61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7"/>
      <c r="R660" s="56"/>
      <c r="S660" s="58" t="str" cm="1">
        <f t="array" ref="S660">_xlfn._xlws.FILTER(Competitions[compType], (Fixtures[[#This Row],[competition]] = Competitions[name]), "N/A")</f>
        <v>N/A</v>
      </c>
      <c r="T660" s="58" t="str" cm="1">
        <f t="array" ref="T660">_xlfn._xlws.FILTER(Competitions[exhibition], (Fixtures[[#This Row],[competition]] = Competitions[name]), "N/A")</f>
        <v>N/A</v>
      </c>
      <c r="U660" s="58" t="str" cm="1">
        <f t="array" ref="U660">_xlfn._xlws.FILTER(Competitions[compID], (Fixtures[[#This Row],[competition]] = Competitions[name]), "N/A")</f>
        <v>N/A</v>
      </c>
      <c r="V6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0" s="58" t="str" cm="1">
        <f t="array" ref="W6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0" s="58" t="str" cm="1">
        <f t="array" ref="X660">_xlfn._xlws.FILTER(Teams[name], (Fixtures[[#This Row],[userTeamID]] = Teams[teamID]), "N/A")</f>
        <v>N/A</v>
      </c>
      <c r="Y660" s="58" t="str" cm="1">
        <f t="array" ref="Y660">_xlfn._xlws.FILTER(Teams[teamType], (Fixtures[[#This Row],[userTeamID]] = Teams[teamID]), "N/A")</f>
        <v>N/A</v>
      </c>
      <c r="Z660" s="58" t="str" cm="1">
        <f t="array" ref="Z6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0" s="58" t="str">
        <f>IF(Fixtures[[#This Row],[userSide]] = "N/A", "N/A", IF(Fixtures[[#This Row],[userSide]] = "H", Fixtures[[#This Row],[awayTeam]], Fixtures[[#This Row],[homeTeam]]))</f>
        <v>N/A</v>
      </c>
      <c r="AB660" s="58" t="str" cm="1">
        <f t="array" ref="AB660">_xlfn._xlws.FILTER(Teams[teamID], Fixtures[[#This Row],[oppTeam]] = Teams[name], "N/A")</f>
        <v>N/A</v>
      </c>
      <c r="AC660" s="58" t="str" cm="1">
        <f t="array" ref="AC660">_xlfn._xlws.FILTER(Teams[teamType], Fixtures[[#This Row],[oppTeam]] = Teams[name], "N/A")</f>
        <v>N/A</v>
      </c>
      <c r="AD660" s="58" t="str">
        <f>IF(ISBLANK(Fixtures[[#This Row],[date]]), "N/A", IF(Fixtures[[#This Row],[userSide]]="H", Fixtures[[#This Row],[homeScore]], Fixtures[[#This Row],[awayScore]]))</f>
        <v>N/A</v>
      </c>
      <c r="AE660" s="58" t="str">
        <f>IF(ISBLANK(Fixtures[[#This Row],[date]]), "N/A", IF(Fixtures[[#This Row],[userScore]] = Fixtures[[#This Row],[homeScore]], Fixtures[[#This Row],[awayScore]], Fixtures[[#This Row],[homeScore]]))</f>
        <v>N/A</v>
      </c>
      <c r="AF660" s="58" t="b">
        <f>NOT(AND(ISBLANK(Fixtures[[#This Row],[homePens]]), ISBLANK(Fixtures[[#This Row],[awayPens]])))</f>
        <v>0</v>
      </c>
      <c r="AG660" s="58" t="str">
        <f>IF(Fixtures[[#This Row],[penalties]], IF(Fixtures[[#This Row],[userSide]]="H", Fixtures[[#This Row],[homePens]], Fixtures[[#This Row],[awayPens]]), "N/A")</f>
        <v>N/A</v>
      </c>
      <c r="AH660" s="58" t="str">
        <f>IF(Fixtures[[#This Row],[penalties]], IF(Fixtures[[#This Row],[userPens]]=Fixtures[[#This Row],[homePens]],Fixtures[[#This Row],[awayPens]],Fixtures[[#This Row],[homePens]]), "N/A")</f>
        <v>N/A</v>
      </c>
      <c r="AI660" s="58" t="b">
        <f>COUNTBLANK(Fixtures[[#This Row],[G]:[MOTM]]) = 0</f>
        <v>0</v>
      </c>
      <c r="AJ660" s="58" t="str">
        <f>IF(Fixtures[[#This Row],[APP]], Fixtures[[#This Row],[G]]+Fixtures[[#This Row],[A]], "N/A")</f>
        <v>N/A</v>
      </c>
      <c r="AK6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1" spans="1:39" ht="13">
      <c r="A661" s="55"/>
      <c r="B661" s="61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7"/>
      <c r="R661" s="56"/>
      <c r="S661" s="58" t="str" cm="1">
        <f t="array" ref="S661">_xlfn._xlws.FILTER(Competitions[compType], (Fixtures[[#This Row],[competition]] = Competitions[name]), "N/A")</f>
        <v>N/A</v>
      </c>
      <c r="T661" s="58" t="str" cm="1">
        <f t="array" ref="T661">_xlfn._xlws.FILTER(Competitions[exhibition], (Fixtures[[#This Row],[competition]] = Competitions[name]), "N/A")</f>
        <v>N/A</v>
      </c>
      <c r="U661" s="58" t="str" cm="1">
        <f t="array" ref="U661">_xlfn._xlws.FILTER(Competitions[compID], (Fixtures[[#This Row],[competition]] = Competitions[name]), "N/A")</f>
        <v>N/A</v>
      </c>
      <c r="V6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1" s="58" t="str" cm="1">
        <f t="array" ref="W6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1" s="58" t="str" cm="1">
        <f t="array" ref="X661">_xlfn._xlws.FILTER(Teams[name], (Fixtures[[#This Row],[userTeamID]] = Teams[teamID]), "N/A")</f>
        <v>N/A</v>
      </c>
      <c r="Y661" s="58" t="str" cm="1">
        <f t="array" ref="Y661">_xlfn._xlws.FILTER(Teams[teamType], (Fixtures[[#This Row],[userTeamID]] = Teams[teamID]), "N/A")</f>
        <v>N/A</v>
      </c>
      <c r="Z661" s="58" t="str" cm="1">
        <f t="array" ref="Z6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1" s="58" t="str">
        <f>IF(Fixtures[[#This Row],[userSide]] = "N/A", "N/A", IF(Fixtures[[#This Row],[userSide]] = "H", Fixtures[[#This Row],[awayTeam]], Fixtures[[#This Row],[homeTeam]]))</f>
        <v>N/A</v>
      </c>
      <c r="AB661" s="58" t="str" cm="1">
        <f t="array" ref="AB661">_xlfn._xlws.FILTER(Teams[teamID], Fixtures[[#This Row],[oppTeam]] = Teams[name], "N/A")</f>
        <v>N/A</v>
      </c>
      <c r="AC661" s="58" t="str" cm="1">
        <f t="array" ref="AC661">_xlfn._xlws.FILTER(Teams[teamType], Fixtures[[#This Row],[oppTeam]] = Teams[name], "N/A")</f>
        <v>N/A</v>
      </c>
      <c r="AD661" s="58" t="str">
        <f>IF(ISBLANK(Fixtures[[#This Row],[date]]), "N/A", IF(Fixtures[[#This Row],[userSide]]="H", Fixtures[[#This Row],[homeScore]], Fixtures[[#This Row],[awayScore]]))</f>
        <v>N/A</v>
      </c>
      <c r="AE661" s="58" t="str">
        <f>IF(ISBLANK(Fixtures[[#This Row],[date]]), "N/A", IF(Fixtures[[#This Row],[userScore]] = Fixtures[[#This Row],[homeScore]], Fixtures[[#This Row],[awayScore]], Fixtures[[#This Row],[homeScore]]))</f>
        <v>N/A</v>
      </c>
      <c r="AF661" s="58" t="b">
        <f>NOT(AND(ISBLANK(Fixtures[[#This Row],[homePens]]), ISBLANK(Fixtures[[#This Row],[awayPens]])))</f>
        <v>0</v>
      </c>
      <c r="AG661" s="58" t="str">
        <f>IF(Fixtures[[#This Row],[penalties]], IF(Fixtures[[#This Row],[userSide]]="H", Fixtures[[#This Row],[homePens]], Fixtures[[#This Row],[awayPens]]), "N/A")</f>
        <v>N/A</v>
      </c>
      <c r="AH661" s="58" t="str">
        <f>IF(Fixtures[[#This Row],[penalties]], IF(Fixtures[[#This Row],[userPens]]=Fixtures[[#This Row],[homePens]],Fixtures[[#This Row],[awayPens]],Fixtures[[#This Row],[homePens]]), "N/A")</f>
        <v>N/A</v>
      </c>
      <c r="AI661" s="58" t="b">
        <f>COUNTBLANK(Fixtures[[#This Row],[G]:[MOTM]]) = 0</f>
        <v>0</v>
      </c>
      <c r="AJ661" s="58" t="str">
        <f>IF(Fixtures[[#This Row],[APP]], Fixtures[[#This Row],[G]]+Fixtures[[#This Row],[A]], "N/A")</f>
        <v>N/A</v>
      </c>
      <c r="AK6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2" spans="1:39" ht="13">
      <c r="A662" s="55"/>
      <c r="B662" s="61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7"/>
      <c r="R662" s="56"/>
      <c r="S662" s="58" t="str" cm="1">
        <f t="array" ref="S662">_xlfn._xlws.FILTER(Competitions[compType], (Fixtures[[#This Row],[competition]] = Competitions[name]), "N/A")</f>
        <v>N/A</v>
      </c>
      <c r="T662" s="58" t="str" cm="1">
        <f t="array" ref="T662">_xlfn._xlws.FILTER(Competitions[exhibition], (Fixtures[[#This Row],[competition]] = Competitions[name]), "N/A")</f>
        <v>N/A</v>
      </c>
      <c r="U662" s="58" t="str" cm="1">
        <f t="array" ref="U662">_xlfn._xlws.FILTER(Competitions[compID], (Fixtures[[#This Row],[competition]] = Competitions[name]), "N/A")</f>
        <v>N/A</v>
      </c>
      <c r="V6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2" s="58" t="str" cm="1">
        <f t="array" ref="W6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2" s="58" t="str" cm="1">
        <f t="array" ref="X662">_xlfn._xlws.FILTER(Teams[name], (Fixtures[[#This Row],[userTeamID]] = Teams[teamID]), "N/A")</f>
        <v>N/A</v>
      </c>
      <c r="Y662" s="58" t="str" cm="1">
        <f t="array" ref="Y662">_xlfn._xlws.FILTER(Teams[teamType], (Fixtures[[#This Row],[userTeamID]] = Teams[teamID]), "N/A")</f>
        <v>N/A</v>
      </c>
      <c r="Z662" s="58" t="str" cm="1">
        <f t="array" ref="Z6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2" s="58" t="str">
        <f>IF(Fixtures[[#This Row],[userSide]] = "N/A", "N/A", IF(Fixtures[[#This Row],[userSide]] = "H", Fixtures[[#This Row],[awayTeam]], Fixtures[[#This Row],[homeTeam]]))</f>
        <v>N/A</v>
      </c>
      <c r="AB662" s="58" t="str" cm="1">
        <f t="array" ref="AB662">_xlfn._xlws.FILTER(Teams[teamID], Fixtures[[#This Row],[oppTeam]] = Teams[name], "N/A")</f>
        <v>N/A</v>
      </c>
      <c r="AC662" s="58" t="str" cm="1">
        <f t="array" ref="AC662">_xlfn._xlws.FILTER(Teams[teamType], Fixtures[[#This Row],[oppTeam]] = Teams[name], "N/A")</f>
        <v>N/A</v>
      </c>
      <c r="AD662" s="58" t="str">
        <f>IF(ISBLANK(Fixtures[[#This Row],[date]]), "N/A", IF(Fixtures[[#This Row],[userSide]]="H", Fixtures[[#This Row],[homeScore]], Fixtures[[#This Row],[awayScore]]))</f>
        <v>N/A</v>
      </c>
      <c r="AE662" s="58" t="str">
        <f>IF(ISBLANK(Fixtures[[#This Row],[date]]), "N/A", IF(Fixtures[[#This Row],[userScore]] = Fixtures[[#This Row],[homeScore]], Fixtures[[#This Row],[awayScore]], Fixtures[[#This Row],[homeScore]]))</f>
        <v>N/A</v>
      </c>
      <c r="AF662" s="58" t="b">
        <f>NOT(AND(ISBLANK(Fixtures[[#This Row],[homePens]]), ISBLANK(Fixtures[[#This Row],[awayPens]])))</f>
        <v>0</v>
      </c>
      <c r="AG662" s="58" t="str">
        <f>IF(Fixtures[[#This Row],[penalties]], IF(Fixtures[[#This Row],[userSide]]="H", Fixtures[[#This Row],[homePens]], Fixtures[[#This Row],[awayPens]]), "N/A")</f>
        <v>N/A</v>
      </c>
      <c r="AH662" s="58" t="str">
        <f>IF(Fixtures[[#This Row],[penalties]], IF(Fixtures[[#This Row],[userPens]]=Fixtures[[#This Row],[homePens]],Fixtures[[#This Row],[awayPens]],Fixtures[[#This Row],[homePens]]), "N/A")</f>
        <v>N/A</v>
      </c>
      <c r="AI662" s="58" t="b">
        <f>COUNTBLANK(Fixtures[[#This Row],[G]:[MOTM]]) = 0</f>
        <v>0</v>
      </c>
      <c r="AJ662" s="58" t="str">
        <f>IF(Fixtures[[#This Row],[APP]], Fixtures[[#This Row],[G]]+Fixtures[[#This Row],[A]], "N/A")</f>
        <v>N/A</v>
      </c>
      <c r="AK6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3" spans="1:39" ht="13">
      <c r="A663" s="55"/>
      <c r="B663" s="61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7"/>
      <c r="R663" s="56"/>
      <c r="S663" s="58" t="str" cm="1">
        <f t="array" ref="S663">_xlfn._xlws.FILTER(Competitions[compType], (Fixtures[[#This Row],[competition]] = Competitions[name]), "N/A")</f>
        <v>N/A</v>
      </c>
      <c r="T663" s="58" t="str" cm="1">
        <f t="array" ref="T663">_xlfn._xlws.FILTER(Competitions[exhibition], (Fixtures[[#This Row],[competition]] = Competitions[name]), "N/A")</f>
        <v>N/A</v>
      </c>
      <c r="U663" s="58" t="str" cm="1">
        <f t="array" ref="U663">_xlfn._xlws.FILTER(Competitions[compID], (Fixtures[[#This Row],[competition]] = Competitions[name]), "N/A")</f>
        <v>N/A</v>
      </c>
      <c r="V6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3" s="58" t="str" cm="1">
        <f t="array" ref="W6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3" s="58" t="str" cm="1">
        <f t="array" ref="X663">_xlfn._xlws.FILTER(Teams[name], (Fixtures[[#This Row],[userTeamID]] = Teams[teamID]), "N/A")</f>
        <v>N/A</v>
      </c>
      <c r="Y663" s="58" t="str" cm="1">
        <f t="array" ref="Y663">_xlfn._xlws.FILTER(Teams[teamType], (Fixtures[[#This Row],[userTeamID]] = Teams[teamID]), "N/A")</f>
        <v>N/A</v>
      </c>
      <c r="Z663" s="58" t="str" cm="1">
        <f t="array" ref="Z6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3" s="58" t="str">
        <f>IF(Fixtures[[#This Row],[userSide]] = "N/A", "N/A", IF(Fixtures[[#This Row],[userSide]] = "H", Fixtures[[#This Row],[awayTeam]], Fixtures[[#This Row],[homeTeam]]))</f>
        <v>N/A</v>
      </c>
      <c r="AB663" s="58" t="str" cm="1">
        <f t="array" ref="AB663">_xlfn._xlws.FILTER(Teams[teamID], Fixtures[[#This Row],[oppTeam]] = Teams[name], "N/A")</f>
        <v>N/A</v>
      </c>
      <c r="AC663" s="58" t="str" cm="1">
        <f t="array" ref="AC663">_xlfn._xlws.FILTER(Teams[teamType], Fixtures[[#This Row],[oppTeam]] = Teams[name], "N/A")</f>
        <v>N/A</v>
      </c>
      <c r="AD663" s="58" t="str">
        <f>IF(ISBLANK(Fixtures[[#This Row],[date]]), "N/A", IF(Fixtures[[#This Row],[userSide]]="H", Fixtures[[#This Row],[homeScore]], Fixtures[[#This Row],[awayScore]]))</f>
        <v>N/A</v>
      </c>
      <c r="AE663" s="58" t="str">
        <f>IF(ISBLANK(Fixtures[[#This Row],[date]]), "N/A", IF(Fixtures[[#This Row],[userScore]] = Fixtures[[#This Row],[homeScore]], Fixtures[[#This Row],[awayScore]], Fixtures[[#This Row],[homeScore]]))</f>
        <v>N/A</v>
      </c>
      <c r="AF663" s="58" t="b">
        <f>NOT(AND(ISBLANK(Fixtures[[#This Row],[homePens]]), ISBLANK(Fixtures[[#This Row],[awayPens]])))</f>
        <v>0</v>
      </c>
      <c r="AG663" s="58" t="str">
        <f>IF(Fixtures[[#This Row],[penalties]], IF(Fixtures[[#This Row],[userSide]]="H", Fixtures[[#This Row],[homePens]], Fixtures[[#This Row],[awayPens]]), "N/A")</f>
        <v>N/A</v>
      </c>
      <c r="AH663" s="58" t="str">
        <f>IF(Fixtures[[#This Row],[penalties]], IF(Fixtures[[#This Row],[userPens]]=Fixtures[[#This Row],[homePens]],Fixtures[[#This Row],[awayPens]],Fixtures[[#This Row],[homePens]]), "N/A")</f>
        <v>N/A</v>
      </c>
      <c r="AI663" s="58" t="b">
        <f>COUNTBLANK(Fixtures[[#This Row],[G]:[MOTM]]) = 0</f>
        <v>0</v>
      </c>
      <c r="AJ663" s="58" t="str">
        <f>IF(Fixtures[[#This Row],[APP]], Fixtures[[#This Row],[G]]+Fixtures[[#This Row],[A]], "N/A")</f>
        <v>N/A</v>
      </c>
      <c r="AK6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4" spans="1:39" ht="13">
      <c r="A664" s="55"/>
      <c r="B664" s="61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7"/>
      <c r="R664" s="56"/>
      <c r="S664" s="58" t="str" cm="1">
        <f t="array" ref="S664">_xlfn._xlws.FILTER(Competitions[compType], (Fixtures[[#This Row],[competition]] = Competitions[name]), "N/A")</f>
        <v>N/A</v>
      </c>
      <c r="T664" s="58" t="str" cm="1">
        <f t="array" ref="T664">_xlfn._xlws.FILTER(Competitions[exhibition], (Fixtures[[#This Row],[competition]] = Competitions[name]), "N/A")</f>
        <v>N/A</v>
      </c>
      <c r="U664" s="58" t="str" cm="1">
        <f t="array" ref="U664">_xlfn._xlws.FILTER(Competitions[compID], (Fixtures[[#This Row],[competition]] = Competitions[name]), "N/A")</f>
        <v>N/A</v>
      </c>
      <c r="V6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4" s="58" t="str" cm="1">
        <f t="array" ref="W6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4" s="58" t="str" cm="1">
        <f t="array" ref="X664">_xlfn._xlws.FILTER(Teams[name], (Fixtures[[#This Row],[userTeamID]] = Teams[teamID]), "N/A")</f>
        <v>N/A</v>
      </c>
      <c r="Y664" s="58" t="str" cm="1">
        <f t="array" ref="Y664">_xlfn._xlws.FILTER(Teams[teamType], (Fixtures[[#This Row],[userTeamID]] = Teams[teamID]), "N/A")</f>
        <v>N/A</v>
      </c>
      <c r="Z664" s="58" t="str" cm="1">
        <f t="array" ref="Z6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4" s="58" t="str">
        <f>IF(Fixtures[[#This Row],[userSide]] = "N/A", "N/A", IF(Fixtures[[#This Row],[userSide]] = "H", Fixtures[[#This Row],[awayTeam]], Fixtures[[#This Row],[homeTeam]]))</f>
        <v>N/A</v>
      </c>
      <c r="AB664" s="58" t="str" cm="1">
        <f t="array" ref="AB664">_xlfn._xlws.FILTER(Teams[teamID], Fixtures[[#This Row],[oppTeam]] = Teams[name], "N/A")</f>
        <v>N/A</v>
      </c>
      <c r="AC664" s="58" t="str" cm="1">
        <f t="array" ref="AC664">_xlfn._xlws.FILTER(Teams[teamType], Fixtures[[#This Row],[oppTeam]] = Teams[name], "N/A")</f>
        <v>N/A</v>
      </c>
      <c r="AD664" s="58" t="str">
        <f>IF(ISBLANK(Fixtures[[#This Row],[date]]), "N/A", IF(Fixtures[[#This Row],[userSide]]="H", Fixtures[[#This Row],[homeScore]], Fixtures[[#This Row],[awayScore]]))</f>
        <v>N/A</v>
      </c>
      <c r="AE664" s="58" t="str">
        <f>IF(ISBLANK(Fixtures[[#This Row],[date]]), "N/A", IF(Fixtures[[#This Row],[userScore]] = Fixtures[[#This Row],[homeScore]], Fixtures[[#This Row],[awayScore]], Fixtures[[#This Row],[homeScore]]))</f>
        <v>N/A</v>
      </c>
      <c r="AF664" s="58" t="b">
        <f>NOT(AND(ISBLANK(Fixtures[[#This Row],[homePens]]), ISBLANK(Fixtures[[#This Row],[awayPens]])))</f>
        <v>0</v>
      </c>
      <c r="AG664" s="58" t="str">
        <f>IF(Fixtures[[#This Row],[penalties]], IF(Fixtures[[#This Row],[userSide]]="H", Fixtures[[#This Row],[homePens]], Fixtures[[#This Row],[awayPens]]), "N/A")</f>
        <v>N/A</v>
      </c>
      <c r="AH664" s="58" t="str">
        <f>IF(Fixtures[[#This Row],[penalties]], IF(Fixtures[[#This Row],[userPens]]=Fixtures[[#This Row],[homePens]],Fixtures[[#This Row],[awayPens]],Fixtures[[#This Row],[homePens]]), "N/A")</f>
        <v>N/A</v>
      </c>
      <c r="AI664" s="58" t="b">
        <f>COUNTBLANK(Fixtures[[#This Row],[G]:[MOTM]]) = 0</f>
        <v>0</v>
      </c>
      <c r="AJ664" s="58" t="str">
        <f>IF(Fixtures[[#This Row],[APP]], Fixtures[[#This Row],[G]]+Fixtures[[#This Row],[A]], "N/A")</f>
        <v>N/A</v>
      </c>
      <c r="AK6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5" spans="1:39" ht="13">
      <c r="A665" s="55"/>
      <c r="B665" s="61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7"/>
      <c r="R665" s="56"/>
      <c r="S665" s="58" t="str" cm="1">
        <f t="array" ref="S665">_xlfn._xlws.FILTER(Competitions[compType], (Fixtures[[#This Row],[competition]] = Competitions[name]), "N/A")</f>
        <v>N/A</v>
      </c>
      <c r="T665" s="58" t="str" cm="1">
        <f t="array" ref="T665">_xlfn._xlws.FILTER(Competitions[exhibition], (Fixtures[[#This Row],[competition]] = Competitions[name]), "N/A")</f>
        <v>N/A</v>
      </c>
      <c r="U665" s="58" t="str" cm="1">
        <f t="array" ref="U665">_xlfn._xlws.FILTER(Competitions[compID], (Fixtures[[#This Row],[competition]] = Competitions[name]), "N/A")</f>
        <v>N/A</v>
      </c>
      <c r="V6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5" s="58" t="str" cm="1">
        <f t="array" ref="W6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5" s="58" t="str" cm="1">
        <f t="array" ref="X665">_xlfn._xlws.FILTER(Teams[name], (Fixtures[[#This Row],[userTeamID]] = Teams[teamID]), "N/A")</f>
        <v>N/A</v>
      </c>
      <c r="Y665" s="58" t="str" cm="1">
        <f t="array" ref="Y665">_xlfn._xlws.FILTER(Teams[teamType], (Fixtures[[#This Row],[userTeamID]] = Teams[teamID]), "N/A")</f>
        <v>N/A</v>
      </c>
      <c r="Z665" s="58" t="str" cm="1">
        <f t="array" ref="Z6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5" s="58" t="str">
        <f>IF(Fixtures[[#This Row],[userSide]] = "N/A", "N/A", IF(Fixtures[[#This Row],[userSide]] = "H", Fixtures[[#This Row],[awayTeam]], Fixtures[[#This Row],[homeTeam]]))</f>
        <v>N/A</v>
      </c>
      <c r="AB665" s="58" t="str" cm="1">
        <f t="array" ref="AB665">_xlfn._xlws.FILTER(Teams[teamID], Fixtures[[#This Row],[oppTeam]] = Teams[name], "N/A")</f>
        <v>N/A</v>
      </c>
      <c r="AC665" s="58" t="str" cm="1">
        <f t="array" ref="AC665">_xlfn._xlws.FILTER(Teams[teamType], Fixtures[[#This Row],[oppTeam]] = Teams[name], "N/A")</f>
        <v>N/A</v>
      </c>
      <c r="AD665" s="58" t="str">
        <f>IF(ISBLANK(Fixtures[[#This Row],[date]]), "N/A", IF(Fixtures[[#This Row],[userSide]]="H", Fixtures[[#This Row],[homeScore]], Fixtures[[#This Row],[awayScore]]))</f>
        <v>N/A</v>
      </c>
      <c r="AE665" s="58" t="str">
        <f>IF(ISBLANK(Fixtures[[#This Row],[date]]), "N/A", IF(Fixtures[[#This Row],[userScore]] = Fixtures[[#This Row],[homeScore]], Fixtures[[#This Row],[awayScore]], Fixtures[[#This Row],[homeScore]]))</f>
        <v>N/A</v>
      </c>
      <c r="AF665" s="58" t="b">
        <f>NOT(AND(ISBLANK(Fixtures[[#This Row],[homePens]]), ISBLANK(Fixtures[[#This Row],[awayPens]])))</f>
        <v>0</v>
      </c>
      <c r="AG665" s="58" t="str">
        <f>IF(Fixtures[[#This Row],[penalties]], IF(Fixtures[[#This Row],[userSide]]="H", Fixtures[[#This Row],[homePens]], Fixtures[[#This Row],[awayPens]]), "N/A")</f>
        <v>N/A</v>
      </c>
      <c r="AH665" s="58" t="str">
        <f>IF(Fixtures[[#This Row],[penalties]], IF(Fixtures[[#This Row],[userPens]]=Fixtures[[#This Row],[homePens]],Fixtures[[#This Row],[awayPens]],Fixtures[[#This Row],[homePens]]), "N/A")</f>
        <v>N/A</v>
      </c>
      <c r="AI665" s="58" t="b">
        <f>COUNTBLANK(Fixtures[[#This Row],[G]:[MOTM]]) = 0</f>
        <v>0</v>
      </c>
      <c r="AJ665" s="58" t="str">
        <f>IF(Fixtures[[#This Row],[APP]], Fixtures[[#This Row],[G]]+Fixtures[[#This Row],[A]], "N/A")</f>
        <v>N/A</v>
      </c>
      <c r="AK6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6" spans="1:39" ht="13">
      <c r="A666" s="55"/>
      <c r="B666" s="61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7"/>
      <c r="R666" s="56"/>
      <c r="S666" s="58" t="str" cm="1">
        <f t="array" ref="S666">_xlfn._xlws.FILTER(Competitions[compType], (Fixtures[[#This Row],[competition]] = Competitions[name]), "N/A")</f>
        <v>N/A</v>
      </c>
      <c r="T666" s="58" t="str" cm="1">
        <f t="array" ref="T666">_xlfn._xlws.FILTER(Competitions[exhibition], (Fixtures[[#This Row],[competition]] = Competitions[name]), "N/A")</f>
        <v>N/A</v>
      </c>
      <c r="U666" s="58" t="str" cm="1">
        <f t="array" ref="U666">_xlfn._xlws.FILTER(Competitions[compID], (Fixtures[[#This Row],[competition]] = Competitions[name]), "N/A")</f>
        <v>N/A</v>
      </c>
      <c r="V6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6" s="58" t="str" cm="1">
        <f t="array" ref="W6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6" s="58" t="str" cm="1">
        <f t="array" ref="X666">_xlfn._xlws.FILTER(Teams[name], (Fixtures[[#This Row],[userTeamID]] = Teams[teamID]), "N/A")</f>
        <v>N/A</v>
      </c>
      <c r="Y666" s="58" t="str" cm="1">
        <f t="array" ref="Y666">_xlfn._xlws.FILTER(Teams[teamType], (Fixtures[[#This Row],[userTeamID]] = Teams[teamID]), "N/A")</f>
        <v>N/A</v>
      </c>
      <c r="Z666" s="58" t="str" cm="1">
        <f t="array" ref="Z6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6" s="58" t="str">
        <f>IF(Fixtures[[#This Row],[userSide]] = "N/A", "N/A", IF(Fixtures[[#This Row],[userSide]] = "H", Fixtures[[#This Row],[awayTeam]], Fixtures[[#This Row],[homeTeam]]))</f>
        <v>N/A</v>
      </c>
      <c r="AB666" s="58" t="str" cm="1">
        <f t="array" ref="AB666">_xlfn._xlws.FILTER(Teams[teamID], Fixtures[[#This Row],[oppTeam]] = Teams[name], "N/A")</f>
        <v>N/A</v>
      </c>
      <c r="AC666" s="58" t="str" cm="1">
        <f t="array" ref="AC666">_xlfn._xlws.FILTER(Teams[teamType], Fixtures[[#This Row],[oppTeam]] = Teams[name], "N/A")</f>
        <v>N/A</v>
      </c>
      <c r="AD666" s="58" t="str">
        <f>IF(ISBLANK(Fixtures[[#This Row],[date]]), "N/A", IF(Fixtures[[#This Row],[userSide]]="H", Fixtures[[#This Row],[homeScore]], Fixtures[[#This Row],[awayScore]]))</f>
        <v>N/A</v>
      </c>
      <c r="AE666" s="58" t="str">
        <f>IF(ISBLANK(Fixtures[[#This Row],[date]]), "N/A", IF(Fixtures[[#This Row],[userScore]] = Fixtures[[#This Row],[homeScore]], Fixtures[[#This Row],[awayScore]], Fixtures[[#This Row],[homeScore]]))</f>
        <v>N/A</v>
      </c>
      <c r="AF666" s="58" t="b">
        <f>NOT(AND(ISBLANK(Fixtures[[#This Row],[homePens]]), ISBLANK(Fixtures[[#This Row],[awayPens]])))</f>
        <v>0</v>
      </c>
      <c r="AG666" s="58" t="str">
        <f>IF(Fixtures[[#This Row],[penalties]], IF(Fixtures[[#This Row],[userSide]]="H", Fixtures[[#This Row],[homePens]], Fixtures[[#This Row],[awayPens]]), "N/A")</f>
        <v>N/A</v>
      </c>
      <c r="AH666" s="58" t="str">
        <f>IF(Fixtures[[#This Row],[penalties]], IF(Fixtures[[#This Row],[userPens]]=Fixtures[[#This Row],[homePens]],Fixtures[[#This Row],[awayPens]],Fixtures[[#This Row],[homePens]]), "N/A")</f>
        <v>N/A</v>
      </c>
      <c r="AI666" s="58" t="b">
        <f>COUNTBLANK(Fixtures[[#This Row],[G]:[MOTM]]) = 0</f>
        <v>0</v>
      </c>
      <c r="AJ666" s="58" t="str">
        <f>IF(Fixtures[[#This Row],[APP]], Fixtures[[#This Row],[G]]+Fixtures[[#This Row],[A]], "N/A")</f>
        <v>N/A</v>
      </c>
      <c r="AK6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7" spans="1:39" ht="13">
      <c r="A667" s="55"/>
      <c r="B667" s="61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7"/>
      <c r="R667" s="56"/>
      <c r="S667" s="58" t="str" cm="1">
        <f t="array" ref="S667">_xlfn._xlws.FILTER(Competitions[compType], (Fixtures[[#This Row],[competition]] = Competitions[name]), "N/A")</f>
        <v>N/A</v>
      </c>
      <c r="T667" s="58" t="str" cm="1">
        <f t="array" ref="T667">_xlfn._xlws.FILTER(Competitions[exhibition], (Fixtures[[#This Row],[competition]] = Competitions[name]), "N/A")</f>
        <v>N/A</v>
      </c>
      <c r="U667" s="58" t="str" cm="1">
        <f t="array" ref="U667">_xlfn._xlws.FILTER(Competitions[compID], (Fixtures[[#This Row],[competition]] = Competitions[name]), "N/A")</f>
        <v>N/A</v>
      </c>
      <c r="V6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7" s="58" t="str" cm="1">
        <f t="array" ref="W6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7" s="58" t="str" cm="1">
        <f t="array" ref="X667">_xlfn._xlws.FILTER(Teams[name], (Fixtures[[#This Row],[userTeamID]] = Teams[teamID]), "N/A")</f>
        <v>N/A</v>
      </c>
      <c r="Y667" s="58" t="str" cm="1">
        <f t="array" ref="Y667">_xlfn._xlws.FILTER(Teams[teamType], (Fixtures[[#This Row],[userTeamID]] = Teams[teamID]), "N/A")</f>
        <v>N/A</v>
      </c>
      <c r="Z667" s="58" t="str" cm="1">
        <f t="array" ref="Z6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7" s="58" t="str">
        <f>IF(Fixtures[[#This Row],[userSide]] = "N/A", "N/A", IF(Fixtures[[#This Row],[userSide]] = "H", Fixtures[[#This Row],[awayTeam]], Fixtures[[#This Row],[homeTeam]]))</f>
        <v>N/A</v>
      </c>
      <c r="AB667" s="58" t="str" cm="1">
        <f t="array" ref="AB667">_xlfn._xlws.FILTER(Teams[teamID], Fixtures[[#This Row],[oppTeam]] = Teams[name], "N/A")</f>
        <v>N/A</v>
      </c>
      <c r="AC667" s="58" t="str" cm="1">
        <f t="array" ref="AC667">_xlfn._xlws.FILTER(Teams[teamType], Fixtures[[#This Row],[oppTeam]] = Teams[name], "N/A")</f>
        <v>N/A</v>
      </c>
      <c r="AD667" s="58" t="str">
        <f>IF(ISBLANK(Fixtures[[#This Row],[date]]), "N/A", IF(Fixtures[[#This Row],[userSide]]="H", Fixtures[[#This Row],[homeScore]], Fixtures[[#This Row],[awayScore]]))</f>
        <v>N/A</v>
      </c>
      <c r="AE667" s="58" t="str">
        <f>IF(ISBLANK(Fixtures[[#This Row],[date]]), "N/A", IF(Fixtures[[#This Row],[userScore]] = Fixtures[[#This Row],[homeScore]], Fixtures[[#This Row],[awayScore]], Fixtures[[#This Row],[homeScore]]))</f>
        <v>N/A</v>
      </c>
      <c r="AF667" s="58" t="b">
        <f>NOT(AND(ISBLANK(Fixtures[[#This Row],[homePens]]), ISBLANK(Fixtures[[#This Row],[awayPens]])))</f>
        <v>0</v>
      </c>
      <c r="AG667" s="58" t="str">
        <f>IF(Fixtures[[#This Row],[penalties]], IF(Fixtures[[#This Row],[userSide]]="H", Fixtures[[#This Row],[homePens]], Fixtures[[#This Row],[awayPens]]), "N/A")</f>
        <v>N/A</v>
      </c>
      <c r="AH667" s="58" t="str">
        <f>IF(Fixtures[[#This Row],[penalties]], IF(Fixtures[[#This Row],[userPens]]=Fixtures[[#This Row],[homePens]],Fixtures[[#This Row],[awayPens]],Fixtures[[#This Row],[homePens]]), "N/A")</f>
        <v>N/A</v>
      </c>
      <c r="AI667" s="58" t="b">
        <f>COUNTBLANK(Fixtures[[#This Row],[G]:[MOTM]]) = 0</f>
        <v>0</v>
      </c>
      <c r="AJ667" s="58" t="str">
        <f>IF(Fixtures[[#This Row],[APP]], Fixtures[[#This Row],[G]]+Fixtures[[#This Row],[A]], "N/A")</f>
        <v>N/A</v>
      </c>
      <c r="AK6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8" spans="1:39" ht="13">
      <c r="A668" s="55"/>
      <c r="B668" s="61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7"/>
      <c r="R668" s="56"/>
      <c r="S668" s="58" t="str" cm="1">
        <f t="array" ref="S668">_xlfn._xlws.FILTER(Competitions[compType], (Fixtures[[#This Row],[competition]] = Competitions[name]), "N/A")</f>
        <v>N/A</v>
      </c>
      <c r="T668" s="58" t="str" cm="1">
        <f t="array" ref="T668">_xlfn._xlws.FILTER(Competitions[exhibition], (Fixtures[[#This Row],[competition]] = Competitions[name]), "N/A")</f>
        <v>N/A</v>
      </c>
      <c r="U668" s="58" t="str" cm="1">
        <f t="array" ref="U668">_xlfn._xlws.FILTER(Competitions[compID], (Fixtures[[#This Row],[competition]] = Competitions[name]), "N/A")</f>
        <v>N/A</v>
      </c>
      <c r="V6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8" s="58" t="str" cm="1">
        <f t="array" ref="W6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8" s="58" t="str" cm="1">
        <f t="array" ref="X668">_xlfn._xlws.FILTER(Teams[name], (Fixtures[[#This Row],[userTeamID]] = Teams[teamID]), "N/A")</f>
        <v>N/A</v>
      </c>
      <c r="Y668" s="58" t="str" cm="1">
        <f t="array" ref="Y668">_xlfn._xlws.FILTER(Teams[teamType], (Fixtures[[#This Row],[userTeamID]] = Teams[teamID]), "N/A")</f>
        <v>N/A</v>
      </c>
      <c r="Z668" s="58" t="str" cm="1">
        <f t="array" ref="Z6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8" s="58" t="str">
        <f>IF(Fixtures[[#This Row],[userSide]] = "N/A", "N/A", IF(Fixtures[[#This Row],[userSide]] = "H", Fixtures[[#This Row],[awayTeam]], Fixtures[[#This Row],[homeTeam]]))</f>
        <v>N/A</v>
      </c>
      <c r="AB668" s="58" t="str" cm="1">
        <f t="array" ref="AB668">_xlfn._xlws.FILTER(Teams[teamID], Fixtures[[#This Row],[oppTeam]] = Teams[name], "N/A")</f>
        <v>N/A</v>
      </c>
      <c r="AC668" s="58" t="str" cm="1">
        <f t="array" ref="AC668">_xlfn._xlws.FILTER(Teams[teamType], Fixtures[[#This Row],[oppTeam]] = Teams[name], "N/A")</f>
        <v>N/A</v>
      </c>
      <c r="AD668" s="58" t="str">
        <f>IF(ISBLANK(Fixtures[[#This Row],[date]]), "N/A", IF(Fixtures[[#This Row],[userSide]]="H", Fixtures[[#This Row],[homeScore]], Fixtures[[#This Row],[awayScore]]))</f>
        <v>N/A</v>
      </c>
      <c r="AE668" s="58" t="str">
        <f>IF(ISBLANK(Fixtures[[#This Row],[date]]), "N/A", IF(Fixtures[[#This Row],[userScore]] = Fixtures[[#This Row],[homeScore]], Fixtures[[#This Row],[awayScore]], Fixtures[[#This Row],[homeScore]]))</f>
        <v>N/A</v>
      </c>
      <c r="AF668" s="58" t="b">
        <f>NOT(AND(ISBLANK(Fixtures[[#This Row],[homePens]]), ISBLANK(Fixtures[[#This Row],[awayPens]])))</f>
        <v>0</v>
      </c>
      <c r="AG668" s="58" t="str">
        <f>IF(Fixtures[[#This Row],[penalties]], IF(Fixtures[[#This Row],[userSide]]="H", Fixtures[[#This Row],[homePens]], Fixtures[[#This Row],[awayPens]]), "N/A")</f>
        <v>N/A</v>
      </c>
      <c r="AH668" s="58" t="str">
        <f>IF(Fixtures[[#This Row],[penalties]], IF(Fixtures[[#This Row],[userPens]]=Fixtures[[#This Row],[homePens]],Fixtures[[#This Row],[awayPens]],Fixtures[[#This Row],[homePens]]), "N/A")</f>
        <v>N/A</v>
      </c>
      <c r="AI668" s="58" t="b">
        <f>COUNTBLANK(Fixtures[[#This Row],[G]:[MOTM]]) = 0</f>
        <v>0</v>
      </c>
      <c r="AJ668" s="58" t="str">
        <f>IF(Fixtures[[#This Row],[APP]], Fixtures[[#This Row],[G]]+Fixtures[[#This Row],[A]], "N/A")</f>
        <v>N/A</v>
      </c>
      <c r="AK6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69" spans="1:39" ht="13">
      <c r="A669" s="55"/>
      <c r="B669" s="61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7"/>
      <c r="R669" s="56"/>
      <c r="S669" s="58" t="str" cm="1">
        <f t="array" ref="S669">_xlfn._xlws.FILTER(Competitions[compType], (Fixtures[[#This Row],[competition]] = Competitions[name]), "N/A")</f>
        <v>N/A</v>
      </c>
      <c r="T669" s="58" t="str" cm="1">
        <f t="array" ref="T669">_xlfn._xlws.FILTER(Competitions[exhibition], (Fixtures[[#This Row],[competition]] = Competitions[name]), "N/A")</f>
        <v>N/A</v>
      </c>
      <c r="U669" s="58" t="str" cm="1">
        <f t="array" ref="U669">_xlfn._xlws.FILTER(Competitions[compID], (Fixtures[[#This Row],[competition]] = Competitions[name]), "N/A")</f>
        <v>N/A</v>
      </c>
      <c r="V6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69" s="58" t="str" cm="1">
        <f t="array" ref="W6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69" s="58" t="str" cm="1">
        <f t="array" ref="X669">_xlfn._xlws.FILTER(Teams[name], (Fixtures[[#This Row],[userTeamID]] = Teams[teamID]), "N/A")</f>
        <v>N/A</v>
      </c>
      <c r="Y669" s="58" t="str" cm="1">
        <f t="array" ref="Y669">_xlfn._xlws.FILTER(Teams[teamType], (Fixtures[[#This Row],[userTeamID]] = Teams[teamID]), "N/A")</f>
        <v>N/A</v>
      </c>
      <c r="Z669" s="58" t="str" cm="1">
        <f t="array" ref="Z6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69" s="58" t="str">
        <f>IF(Fixtures[[#This Row],[userSide]] = "N/A", "N/A", IF(Fixtures[[#This Row],[userSide]] = "H", Fixtures[[#This Row],[awayTeam]], Fixtures[[#This Row],[homeTeam]]))</f>
        <v>N/A</v>
      </c>
      <c r="AB669" s="58" t="str" cm="1">
        <f t="array" ref="AB669">_xlfn._xlws.FILTER(Teams[teamID], Fixtures[[#This Row],[oppTeam]] = Teams[name], "N/A")</f>
        <v>N/A</v>
      </c>
      <c r="AC669" s="58" t="str" cm="1">
        <f t="array" ref="AC669">_xlfn._xlws.FILTER(Teams[teamType], Fixtures[[#This Row],[oppTeam]] = Teams[name], "N/A")</f>
        <v>N/A</v>
      </c>
      <c r="AD669" s="58" t="str">
        <f>IF(ISBLANK(Fixtures[[#This Row],[date]]), "N/A", IF(Fixtures[[#This Row],[userSide]]="H", Fixtures[[#This Row],[homeScore]], Fixtures[[#This Row],[awayScore]]))</f>
        <v>N/A</v>
      </c>
      <c r="AE669" s="58" t="str">
        <f>IF(ISBLANK(Fixtures[[#This Row],[date]]), "N/A", IF(Fixtures[[#This Row],[userScore]] = Fixtures[[#This Row],[homeScore]], Fixtures[[#This Row],[awayScore]], Fixtures[[#This Row],[homeScore]]))</f>
        <v>N/A</v>
      </c>
      <c r="AF669" s="58" t="b">
        <f>NOT(AND(ISBLANK(Fixtures[[#This Row],[homePens]]), ISBLANK(Fixtures[[#This Row],[awayPens]])))</f>
        <v>0</v>
      </c>
      <c r="AG669" s="58" t="str">
        <f>IF(Fixtures[[#This Row],[penalties]], IF(Fixtures[[#This Row],[userSide]]="H", Fixtures[[#This Row],[homePens]], Fixtures[[#This Row],[awayPens]]), "N/A")</f>
        <v>N/A</v>
      </c>
      <c r="AH669" s="58" t="str">
        <f>IF(Fixtures[[#This Row],[penalties]], IF(Fixtures[[#This Row],[userPens]]=Fixtures[[#This Row],[homePens]],Fixtures[[#This Row],[awayPens]],Fixtures[[#This Row],[homePens]]), "N/A")</f>
        <v>N/A</v>
      </c>
      <c r="AI669" s="58" t="b">
        <f>COUNTBLANK(Fixtures[[#This Row],[G]:[MOTM]]) = 0</f>
        <v>0</v>
      </c>
      <c r="AJ669" s="58" t="str">
        <f>IF(Fixtures[[#This Row],[APP]], Fixtures[[#This Row],[G]]+Fixtures[[#This Row],[A]], "N/A")</f>
        <v>N/A</v>
      </c>
      <c r="AK6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0" spans="1:39" ht="13">
      <c r="A670" s="55"/>
      <c r="B670" s="61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7"/>
      <c r="R670" s="56"/>
      <c r="S670" s="58" t="str" cm="1">
        <f t="array" ref="S670">_xlfn._xlws.FILTER(Competitions[compType], (Fixtures[[#This Row],[competition]] = Competitions[name]), "N/A")</f>
        <v>N/A</v>
      </c>
      <c r="T670" s="58" t="str" cm="1">
        <f t="array" ref="T670">_xlfn._xlws.FILTER(Competitions[exhibition], (Fixtures[[#This Row],[competition]] = Competitions[name]), "N/A")</f>
        <v>N/A</v>
      </c>
      <c r="U670" s="58" t="str" cm="1">
        <f t="array" ref="U670">_xlfn._xlws.FILTER(Competitions[compID], (Fixtures[[#This Row],[competition]] = Competitions[name]), "N/A")</f>
        <v>N/A</v>
      </c>
      <c r="V6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0" s="58" t="str" cm="1">
        <f t="array" ref="W6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0" s="58" t="str" cm="1">
        <f t="array" ref="X670">_xlfn._xlws.FILTER(Teams[name], (Fixtures[[#This Row],[userTeamID]] = Teams[teamID]), "N/A")</f>
        <v>N/A</v>
      </c>
      <c r="Y670" s="58" t="str" cm="1">
        <f t="array" ref="Y670">_xlfn._xlws.FILTER(Teams[teamType], (Fixtures[[#This Row],[userTeamID]] = Teams[teamID]), "N/A")</f>
        <v>N/A</v>
      </c>
      <c r="Z670" s="58" t="str" cm="1">
        <f t="array" ref="Z6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0" s="58" t="str">
        <f>IF(Fixtures[[#This Row],[userSide]] = "N/A", "N/A", IF(Fixtures[[#This Row],[userSide]] = "H", Fixtures[[#This Row],[awayTeam]], Fixtures[[#This Row],[homeTeam]]))</f>
        <v>N/A</v>
      </c>
      <c r="AB670" s="58" t="str" cm="1">
        <f t="array" ref="AB670">_xlfn._xlws.FILTER(Teams[teamID], Fixtures[[#This Row],[oppTeam]] = Teams[name], "N/A")</f>
        <v>N/A</v>
      </c>
      <c r="AC670" s="58" t="str" cm="1">
        <f t="array" ref="AC670">_xlfn._xlws.FILTER(Teams[teamType], Fixtures[[#This Row],[oppTeam]] = Teams[name], "N/A")</f>
        <v>N/A</v>
      </c>
      <c r="AD670" s="58" t="str">
        <f>IF(ISBLANK(Fixtures[[#This Row],[date]]), "N/A", IF(Fixtures[[#This Row],[userSide]]="H", Fixtures[[#This Row],[homeScore]], Fixtures[[#This Row],[awayScore]]))</f>
        <v>N/A</v>
      </c>
      <c r="AE670" s="58" t="str">
        <f>IF(ISBLANK(Fixtures[[#This Row],[date]]), "N/A", IF(Fixtures[[#This Row],[userScore]] = Fixtures[[#This Row],[homeScore]], Fixtures[[#This Row],[awayScore]], Fixtures[[#This Row],[homeScore]]))</f>
        <v>N/A</v>
      </c>
      <c r="AF670" s="58" t="b">
        <f>NOT(AND(ISBLANK(Fixtures[[#This Row],[homePens]]), ISBLANK(Fixtures[[#This Row],[awayPens]])))</f>
        <v>0</v>
      </c>
      <c r="AG670" s="58" t="str">
        <f>IF(Fixtures[[#This Row],[penalties]], IF(Fixtures[[#This Row],[userSide]]="H", Fixtures[[#This Row],[homePens]], Fixtures[[#This Row],[awayPens]]), "N/A")</f>
        <v>N/A</v>
      </c>
      <c r="AH670" s="58" t="str">
        <f>IF(Fixtures[[#This Row],[penalties]], IF(Fixtures[[#This Row],[userPens]]=Fixtures[[#This Row],[homePens]],Fixtures[[#This Row],[awayPens]],Fixtures[[#This Row],[homePens]]), "N/A")</f>
        <v>N/A</v>
      </c>
      <c r="AI670" s="58" t="b">
        <f>COUNTBLANK(Fixtures[[#This Row],[G]:[MOTM]]) = 0</f>
        <v>0</v>
      </c>
      <c r="AJ670" s="58" t="str">
        <f>IF(Fixtures[[#This Row],[APP]], Fixtures[[#This Row],[G]]+Fixtures[[#This Row],[A]], "N/A")</f>
        <v>N/A</v>
      </c>
      <c r="AK6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1" spans="1:39" ht="13">
      <c r="A671" s="55"/>
      <c r="B671" s="61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7"/>
      <c r="R671" s="56"/>
      <c r="S671" s="58" t="str" cm="1">
        <f t="array" ref="S671">_xlfn._xlws.FILTER(Competitions[compType], (Fixtures[[#This Row],[competition]] = Competitions[name]), "N/A")</f>
        <v>N/A</v>
      </c>
      <c r="T671" s="58" t="str" cm="1">
        <f t="array" ref="T671">_xlfn._xlws.FILTER(Competitions[exhibition], (Fixtures[[#This Row],[competition]] = Competitions[name]), "N/A")</f>
        <v>N/A</v>
      </c>
      <c r="U671" s="58" t="str" cm="1">
        <f t="array" ref="U671">_xlfn._xlws.FILTER(Competitions[compID], (Fixtures[[#This Row],[competition]] = Competitions[name]), "N/A")</f>
        <v>N/A</v>
      </c>
      <c r="V6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1" s="58" t="str" cm="1">
        <f t="array" ref="W6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1" s="58" t="str" cm="1">
        <f t="array" ref="X671">_xlfn._xlws.FILTER(Teams[name], (Fixtures[[#This Row],[userTeamID]] = Teams[teamID]), "N/A")</f>
        <v>N/A</v>
      </c>
      <c r="Y671" s="58" t="str" cm="1">
        <f t="array" ref="Y671">_xlfn._xlws.FILTER(Teams[teamType], (Fixtures[[#This Row],[userTeamID]] = Teams[teamID]), "N/A")</f>
        <v>N/A</v>
      </c>
      <c r="Z671" s="58" t="str" cm="1">
        <f t="array" ref="Z6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1" s="58" t="str">
        <f>IF(Fixtures[[#This Row],[userSide]] = "N/A", "N/A", IF(Fixtures[[#This Row],[userSide]] = "H", Fixtures[[#This Row],[awayTeam]], Fixtures[[#This Row],[homeTeam]]))</f>
        <v>N/A</v>
      </c>
      <c r="AB671" s="58" t="str" cm="1">
        <f t="array" ref="AB671">_xlfn._xlws.FILTER(Teams[teamID], Fixtures[[#This Row],[oppTeam]] = Teams[name], "N/A")</f>
        <v>N/A</v>
      </c>
      <c r="AC671" s="58" t="str" cm="1">
        <f t="array" ref="AC671">_xlfn._xlws.FILTER(Teams[teamType], Fixtures[[#This Row],[oppTeam]] = Teams[name], "N/A")</f>
        <v>N/A</v>
      </c>
      <c r="AD671" s="58" t="str">
        <f>IF(ISBLANK(Fixtures[[#This Row],[date]]), "N/A", IF(Fixtures[[#This Row],[userSide]]="H", Fixtures[[#This Row],[homeScore]], Fixtures[[#This Row],[awayScore]]))</f>
        <v>N/A</v>
      </c>
      <c r="AE671" s="58" t="str">
        <f>IF(ISBLANK(Fixtures[[#This Row],[date]]), "N/A", IF(Fixtures[[#This Row],[userScore]] = Fixtures[[#This Row],[homeScore]], Fixtures[[#This Row],[awayScore]], Fixtures[[#This Row],[homeScore]]))</f>
        <v>N/A</v>
      </c>
      <c r="AF671" s="58" t="b">
        <f>NOT(AND(ISBLANK(Fixtures[[#This Row],[homePens]]), ISBLANK(Fixtures[[#This Row],[awayPens]])))</f>
        <v>0</v>
      </c>
      <c r="AG671" s="58" t="str">
        <f>IF(Fixtures[[#This Row],[penalties]], IF(Fixtures[[#This Row],[userSide]]="H", Fixtures[[#This Row],[homePens]], Fixtures[[#This Row],[awayPens]]), "N/A")</f>
        <v>N/A</v>
      </c>
      <c r="AH671" s="58" t="str">
        <f>IF(Fixtures[[#This Row],[penalties]], IF(Fixtures[[#This Row],[userPens]]=Fixtures[[#This Row],[homePens]],Fixtures[[#This Row],[awayPens]],Fixtures[[#This Row],[homePens]]), "N/A")</f>
        <v>N/A</v>
      </c>
      <c r="AI671" s="58" t="b">
        <f>COUNTBLANK(Fixtures[[#This Row],[G]:[MOTM]]) = 0</f>
        <v>0</v>
      </c>
      <c r="AJ671" s="58" t="str">
        <f>IF(Fixtures[[#This Row],[APP]], Fixtures[[#This Row],[G]]+Fixtures[[#This Row],[A]], "N/A")</f>
        <v>N/A</v>
      </c>
      <c r="AK6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2" spans="1:39" ht="13">
      <c r="A672" s="55"/>
      <c r="B672" s="61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7"/>
      <c r="R672" s="56"/>
      <c r="S672" s="58" t="str" cm="1">
        <f t="array" ref="S672">_xlfn._xlws.FILTER(Competitions[compType], (Fixtures[[#This Row],[competition]] = Competitions[name]), "N/A")</f>
        <v>N/A</v>
      </c>
      <c r="T672" s="58" t="str" cm="1">
        <f t="array" ref="T672">_xlfn._xlws.FILTER(Competitions[exhibition], (Fixtures[[#This Row],[competition]] = Competitions[name]), "N/A")</f>
        <v>N/A</v>
      </c>
      <c r="U672" s="58" t="str" cm="1">
        <f t="array" ref="U672">_xlfn._xlws.FILTER(Competitions[compID], (Fixtures[[#This Row],[competition]] = Competitions[name]), "N/A")</f>
        <v>N/A</v>
      </c>
      <c r="V6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2" s="58" t="str" cm="1">
        <f t="array" ref="W6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2" s="58" t="str" cm="1">
        <f t="array" ref="X672">_xlfn._xlws.FILTER(Teams[name], (Fixtures[[#This Row],[userTeamID]] = Teams[teamID]), "N/A")</f>
        <v>N/A</v>
      </c>
      <c r="Y672" s="58" t="str" cm="1">
        <f t="array" ref="Y672">_xlfn._xlws.FILTER(Teams[teamType], (Fixtures[[#This Row],[userTeamID]] = Teams[teamID]), "N/A")</f>
        <v>N/A</v>
      </c>
      <c r="Z672" s="58" t="str" cm="1">
        <f t="array" ref="Z6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2" s="58" t="str">
        <f>IF(Fixtures[[#This Row],[userSide]] = "N/A", "N/A", IF(Fixtures[[#This Row],[userSide]] = "H", Fixtures[[#This Row],[awayTeam]], Fixtures[[#This Row],[homeTeam]]))</f>
        <v>N/A</v>
      </c>
      <c r="AB672" s="58" t="str" cm="1">
        <f t="array" ref="AB672">_xlfn._xlws.FILTER(Teams[teamID], Fixtures[[#This Row],[oppTeam]] = Teams[name], "N/A")</f>
        <v>N/A</v>
      </c>
      <c r="AC672" s="58" t="str" cm="1">
        <f t="array" ref="AC672">_xlfn._xlws.FILTER(Teams[teamType], Fixtures[[#This Row],[oppTeam]] = Teams[name], "N/A")</f>
        <v>N/A</v>
      </c>
      <c r="AD672" s="58" t="str">
        <f>IF(ISBLANK(Fixtures[[#This Row],[date]]), "N/A", IF(Fixtures[[#This Row],[userSide]]="H", Fixtures[[#This Row],[homeScore]], Fixtures[[#This Row],[awayScore]]))</f>
        <v>N/A</v>
      </c>
      <c r="AE672" s="58" t="str">
        <f>IF(ISBLANK(Fixtures[[#This Row],[date]]), "N/A", IF(Fixtures[[#This Row],[userScore]] = Fixtures[[#This Row],[homeScore]], Fixtures[[#This Row],[awayScore]], Fixtures[[#This Row],[homeScore]]))</f>
        <v>N/A</v>
      </c>
      <c r="AF672" s="58" t="b">
        <f>NOT(AND(ISBLANK(Fixtures[[#This Row],[homePens]]), ISBLANK(Fixtures[[#This Row],[awayPens]])))</f>
        <v>0</v>
      </c>
      <c r="AG672" s="58" t="str">
        <f>IF(Fixtures[[#This Row],[penalties]], IF(Fixtures[[#This Row],[userSide]]="H", Fixtures[[#This Row],[homePens]], Fixtures[[#This Row],[awayPens]]), "N/A")</f>
        <v>N/A</v>
      </c>
      <c r="AH672" s="58" t="str">
        <f>IF(Fixtures[[#This Row],[penalties]], IF(Fixtures[[#This Row],[userPens]]=Fixtures[[#This Row],[homePens]],Fixtures[[#This Row],[awayPens]],Fixtures[[#This Row],[homePens]]), "N/A")</f>
        <v>N/A</v>
      </c>
      <c r="AI672" s="58" t="b">
        <f>COUNTBLANK(Fixtures[[#This Row],[G]:[MOTM]]) = 0</f>
        <v>0</v>
      </c>
      <c r="AJ672" s="58" t="str">
        <f>IF(Fixtures[[#This Row],[APP]], Fixtures[[#This Row],[G]]+Fixtures[[#This Row],[A]], "N/A")</f>
        <v>N/A</v>
      </c>
      <c r="AK6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3" spans="1:39" ht="13">
      <c r="A673" s="55"/>
      <c r="B673" s="61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7"/>
      <c r="R673" s="56"/>
      <c r="S673" s="58" t="str" cm="1">
        <f t="array" ref="S673">_xlfn._xlws.FILTER(Competitions[compType], (Fixtures[[#This Row],[competition]] = Competitions[name]), "N/A")</f>
        <v>N/A</v>
      </c>
      <c r="T673" s="58" t="str" cm="1">
        <f t="array" ref="T673">_xlfn._xlws.FILTER(Competitions[exhibition], (Fixtures[[#This Row],[competition]] = Competitions[name]), "N/A")</f>
        <v>N/A</v>
      </c>
      <c r="U673" s="58" t="str" cm="1">
        <f t="array" ref="U673">_xlfn._xlws.FILTER(Competitions[compID], (Fixtures[[#This Row],[competition]] = Competitions[name]), "N/A")</f>
        <v>N/A</v>
      </c>
      <c r="V6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3" s="58" t="str" cm="1">
        <f t="array" ref="W6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3" s="58" t="str" cm="1">
        <f t="array" ref="X673">_xlfn._xlws.FILTER(Teams[name], (Fixtures[[#This Row],[userTeamID]] = Teams[teamID]), "N/A")</f>
        <v>N/A</v>
      </c>
      <c r="Y673" s="58" t="str" cm="1">
        <f t="array" ref="Y673">_xlfn._xlws.FILTER(Teams[teamType], (Fixtures[[#This Row],[userTeamID]] = Teams[teamID]), "N/A")</f>
        <v>N/A</v>
      </c>
      <c r="Z673" s="58" t="str" cm="1">
        <f t="array" ref="Z6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3" s="58" t="str">
        <f>IF(Fixtures[[#This Row],[userSide]] = "N/A", "N/A", IF(Fixtures[[#This Row],[userSide]] = "H", Fixtures[[#This Row],[awayTeam]], Fixtures[[#This Row],[homeTeam]]))</f>
        <v>N/A</v>
      </c>
      <c r="AB673" s="58" t="str" cm="1">
        <f t="array" ref="AB673">_xlfn._xlws.FILTER(Teams[teamID], Fixtures[[#This Row],[oppTeam]] = Teams[name], "N/A")</f>
        <v>N/A</v>
      </c>
      <c r="AC673" s="58" t="str" cm="1">
        <f t="array" ref="AC673">_xlfn._xlws.FILTER(Teams[teamType], Fixtures[[#This Row],[oppTeam]] = Teams[name], "N/A")</f>
        <v>N/A</v>
      </c>
      <c r="AD673" s="58" t="str">
        <f>IF(ISBLANK(Fixtures[[#This Row],[date]]), "N/A", IF(Fixtures[[#This Row],[userSide]]="H", Fixtures[[#This Row],[homeScore]], Fixtures[[#This Row],[awayScore]]))</f>
        <v>N/A</v>
      </c>
      <c r="AE673" s="58" t="str">
        <f>IF(ISBLANK(Fixtures[[#This Row],[date]]), "N/A", IF(Fixtures[[#This Row],[userScore]] = Fixtures[[#This Row],[homeScore]], Fixtures[[#This Row],[awayScore]], Fixtures[[#This Row],[homeScore]]))</f>
        <v>N/A</v>
      </c>
      <c r="AF673" s="58" t="b">
        <f>NOT(AND(ISBLANK(Fixtures[[#This Row],[homePens]]), ISBLANK(Fixtures[[#This Row],[awayPens]])))</f>
        <v>0</v>
      </c>
      <c r="AG673" s="58" t="str">
        <f>IF(Fixtures[[#This Row],[penalties]], IF(Fixtures[[#This Row],[userSide]]="H", Fixtures[[#This Row],[homePens]], Fixtures[[#This Row],[awayPens]]), "N/A")</f>
        <v>N/A</v>
      </c>
      <c r="AH673" s="58" t="str">
        <f>IF(Fixtures[[#This Row],[penalties]], IF(Fixtures[[#This Row],[userPens]]=Fixtures[[#This Row],[homePens]],Fixtures[[#This Row],[awayPens]],Fixtures[[#This Row],[homePens]]), "N/A")</f>
        <v>N/A</v>
      </c>
      <c r="AI673" s="58" t="b">
        <f>COUNTBLANK(Fixtures[[#This Row],[G]:[MOTM]]) = 0</f>
        <v>0</v>
      </c>
      <c r="AJ673" s="58" t="str">
        <f>IF(Fixtures[[#This Row],[APP]], Fixtures[[#This Row],[G]]+Fixtures[[#This Row],[A]], "N/A")</f>
        <v>N/A</v>
      </c>
      <c r="AK6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4" spans="1:39" ht="13">
      <c r="A674" s="55"/>
      <c r="B674" s="61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7"/>
      <c r="R674" s="56"/>
      <c r="S674" s="58" t="str" cm="1">
        <f t="array" ref="S674">_xlfn._xlws.FILTER(Competitions[compType], (Fixtures[[#This Row],[competition]] = Competitions[name]), "N/A")</f>
        <v>N/A</v>
      </c>
      <c r="T674" s="58" t="str" cm="1">
        <f t="array" ref="T674">_xlfn._xlws.FILTER(Competitions[exhibition], (Fixtures[[#This Row],[competition]] = Competitions[name]), "N/A")</f>
        <v>N/A</v>
      </c>
      <c r="U674" s="58" t="str" cm="1">
        <f t="array" ref="U674">_xlfn._xlws.FILTER(Competitions[compID], (Fixtures[[#This Row],[competition]] = Competitions[name]), "N/A")</f>
        <v>N/A</v>
      </c>
      <c r="V6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4" s="58" t="str" cm="1">
        <f t="array" ref="W6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4" s="58" t="str" cm="1">
        <f t="array" ref="X674">_xlfn._xlws.FILTER(Teams[name], (Fixtures[[#This Row],[userTeamID]] = Teams[teamID]), "N/A")</f>
        <v>N/A</v>
      </c>
      <c r="Y674" s="58" t="str" cm="1">
        <f t="array" ref="Y674">_xlfn._xlws.FILTER(Teams[teamType], (Fixtures[[#This Row],[userTeamID]] = Teams[teamID]), "N/A")</f>
        <v>N/A</v>
      </c>
      <c r="Z674" s="58" t="str" cm="1">
        <f t="array" ref="Z6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4" s="58" t="str">
        <f>IF(Fixtures[[#This Row],[userSide]] = "N/A", "N/A", IF(Fixtures[[#This Row],[userSide]] = "H", Fixtures[[#This Row],[awayTeam]], Fixtures[[#This Row],[homeTeam]]))</f>
        <v>N/A</v>
      </c>
      <c r="AB674" s="58" t="str" cm="1">
        <f t="array" ref="AB674">_xlfn._xlws.FILTER(Teams[teamID], Fixtures[[#This Row],[oppTeam]] = Teams[name], "N/A")</f>
        <v>N/A</v>
      </c>
      <c r="AC674" s="58" t="str" cm="1">
        <f t="array" ref="AC674">_xlfn._xlws.FILTER(Teams[teamType], Fixtures[[#This Row],[oppTeam]] = Teams[name], "N/A")</f>
        <v>N/A</v>
      </c>
      <c r="AD674" s="58" t="str">
        <f>IF(ISBLANK(Fixtures[[#This Row],[date]]), "N/A", IF(Fixtures[[#This Row],[userSide]]="H", Fixtures[[#This Row],[homeScore]], Fixtures[[#This Row],[awayScore]]))</f>
        <v>N/A</v>
      </c>
      <c r="AE674" s="58" t="str">
        <f>IF(ISBLANK(Fixtures[[#This Row],[date]]), "N/A", IF(Fixtures[[#This Row],[userScore]] = Fixtures[[#This Row],[homeScore]], Fixtures[[#This Row],[awayScore]], Fixtures[[#This Row],[homeScore]]))</f>
        <v>N/A</v>
      </c>
      <c r="AF674" s="58" t="b">
        <f>NOT(AND(ISBLANK(Fixtures[[#This Row],[homePens]]), ISBLANK(Fixtures[[#This Row],[awayPens]])))</f>
        <v>0</v>
      </c>
      <c r="AG674" s="58" t="str">
        <f>IF(Fixtures[[#This Row],[penalties]], IF(Fixtures[[#This Row],[userSide]]="H", Fixtures[[#This Row],[homePens]], Fixtures[[#This Row],[awayPens]]), "N/A")</f>
        <v>N/A</v>
      </c>
      <c r="AH674" s="58" t="str">
        <f>IF(Fixtures[[#This Row],[penalties]], IF(Fixtures[[#This Row],[userPens]]=Fixtures[[#This Row],[homePens]],Fixtures[[#This Row],[awayPens]],Fixtures[[#This Row],[homePens]]), "N/A")</f>
        <v>N/A</v>
      </c>
      <c r="AI674" s="58" t="b">
        <f>COUNTBLANK(Fixtures[[#This Row],[G]:[MOTM]]) = 0</f>
        <v>0</v>
      </c>
      <c r="AJ674" s="58" t="str">
        <f>IF(Fixtures[[#This Row],[APP]], Fixtures[[#This Row],[G]]+Fixtures[[#This Row],[A]], "N/A")</f>
        <v>N/A</v>
      </c>
      <c r="AK6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5" spans="1:39" ht="13">
      <c r="A675" s="55"/>
      <c r="B675" s="61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7"/>
      <c r="R675" s="56"/>
      <c r="S675" s="58" t="str" cm="1">
        <f t="array" ref="S675">_xlfn._xlws.FILTER(Competitions[compType], (Fixtures[[#This Row],[competition]] = Competitions[name]), "N/A")</f>
        <v>N/A</v>
      </c>
      <c r="T675" s="58" t="str" cm="1">
        <f t="array" ref="T675">_xlfn._xlws.FILTER(Competitions[exhibition], (Fixtures[[#This Row],[competition]] = Competitions[name]), "N/A")</f>
        <v>N/A</v>
      </c>
      <c r="U675" s="58" t="str" cm="1">
        <f t="array" ref="U675">_xlfn._xlws.FILTER(Competitions[compID], (Fixtures[[#This Row],[competition]] = Competitions[name]), "N/A")</f>
        <v>N/A</v>
      </c>
      <c r="V6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5" s="58" t="str" cm="1">
        <f t="array" ref="W6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5" s="58" t="str" cm="1">
        <f t="array" ref="X675">_xlfn._xlws.FILTER(Teams[name], (Fixtures[[#This Row],[userTeamID]] = Teams[teamID]), "N/A")</f>
        <v>N/A</v>
      </c>
      <c r="Y675" s="58" t="str" cm="1">
        <f t="array" ref="Y675">_xlfn._xlws.FILTER(Teams[teamType], (Fixtures[[#This Row],[userTeamID]] = Teams[teamID]), "N/A")</f>
        <v>N/A</v>
      </c>
      <c r="Z675" s="58" t="str" cm="1">
        <f t="array" ref="Z6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5" s="58" t="str">
        <f>IF(Fixtures[[#This Row],[userSide]] = "N/A", "N/A", IF(Fixtures[[#This Row],[userSide]] = "H", Fixtures[[#This Row],[awayTeam]], Fixtures[[#This Row],[homeTeam]]))</f>
        <v>N/A</v>
      </c>
      <c r="AB675" s="58" t="str" cm="1">
        <f t="array" ref="AB675">_xlfn._xlws.FILTER(Teams[teamID], Fixtures[[#This Row],[oppTeam]] = Teams[name], "N/A")</f>
        <v>N/A</v>
      </c>
      <c r="AC675" s="58" t="str" cm="1">
        <f t="array" ref="AC675">_xlfn._xlws.FILTER(Teams[teamType], Fixtures[[#This Row],[oppTeam]] = Teams[name], "N/A")</f>
        <v>N/A</v>
      </c>
      <c r="AD675" s="58" t="str">
        <f>IF(ISBLANK(Fixtures[[#This Row],[date]]), "N/A", IF(Fixtures[[#This Row],[userSide]]="H", Fixtures[[#This Row],[homeScore]], Fixtures[[#This Row],[awayScore]]))</f>
        <v>N/A</v>
      </c>
      <c r="AE675" s="58" t="str">
        <f>IF(ISBLANK(Fixtures[[#This Row],[date]]), "N/A", IF(Fixtures[[#This Row],[userScore]] = Fixtures[[#This Row],[homeScore]], Fixtures[[#This Row],[awayScore]], Fixtures[[#This Row],[homeScore]]))</f>
        <v>N/A</v>
      </c>
      <c r="AF675" s="58" t="b">
        <f>NOT(AND(ISBLANK(Fixtures[[#This Row],[homePens]]), ISBLANK(Fixtures[[#This Row],[awayPens]])))</f>
        <v>0</v>
      </c>
      <c r="AG675" s="58" t="str">
        <f>IF(Fixtures[[#This Row],[penalties]], IF(Fixtures[[#This Row],[userSide]]="H", Fixtures[[#This Row],[homePens]], Fixtures[[#This Row],[awayPens]]), "N/A")</f>
        <v>N/A</v>
      </c>
      <c r="AH675" s="58" t="str">
        <f>IF(Fixtures[[#This Row],[penalties]], IF(Fixtures[[#This Row],[userPens]]=Fixtures[[#This Row],[homePens]],Fixtures[[#This Row],[awayPens]],Fixtures[[#This Row],[homePens]]), "N/A")</f>
        <v>N/A</v>
      </c>
      <c r="AI675" s="58" t="b">
        <f>COUNTBLANK(Fixtures[[#This Row],[G]:[MOTM]]) = 0</f>
        <v>0</v>
      </c>
      <c r="AJ675" s="58" t="str">
        <f>IF(Fixtures[[#This Row],[APP]], Fixtures[[#This Row],[G]]+Fixtures[[#This Row],[A]], "N/A")</f>
        <v>N/A</v>
      </c>
      <c r="AK6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6" spans="1:39" ht="13">
      <c r="A676" s="55"/>
      <c r="B676" s="61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7"/>
      <c r="R676" s="56"/>
      <c r="S676" s="58" t="str" cm="1">
        <f t="array" ref="S676">_xlfn._xlws.FILTER(Competitions[compType], (Fixtures[[#This Row],[competition]] = Competitions[name]), "N/A")</f>
        <v>N/A</v>
      </c>
      <c r="T676" s="58" t="str" cm="1">
        <f t="array" ref="T676">_xlfn._xlws.FILTER(Competitions[exhibition], (Fixtures[[#This Row],[competition]] = Competitions[name]), "N/A")</f>
        <v>N/A</v>
      </c>
      <c r="U676" s="58" t="str" cm="1">
        <f t="array" ref="U676">_xlfn._xlws.FILTER(Competitions[compID], (Fixtures[[#This Row],[competition]] = Competitions[name]), "N/A")</f>
        <v>N/A</v>
      </c>
      <c r="V6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6" s="58" t="str" cm="1">
        <f t="array" ref="W6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6" s="58" t="str" cm="1">
        <f t="array" ref="X676">_xlfn._xlws.FILTER(Teams[name], (Fixtures[[#This Row],[userTeamID]] = Teams[teamID]), "N/A")</f>
        <v>N/A</v>
      </c>
      <c r="Y676" s="58" t="str" cm="1">
        <f t="array" ref="Y676">_xlfn._xlws.FILTER(Teams[teamType], (Fixtures[[#This Row],[userTeamID]] = Teams[teamID]), "N/A")</f>
        <v>N/A</v>
      </c>
      <c r="Z676" s="58" t="str" cm="1">
        <f t="array" ref="Z6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6" s="58" t="str">
        <f>IF(Fixtures[[#This Row],[userSide]] = "N/A", "N/A", IF(Fixtures[[#This Row],[userSide]] = "H", Fixtures[[#This Row],[awayTeam]], Fixtures[[#This Row],[homeTeam]]))</f>
        <v>N/A</v>
      </c>
      <c r="AB676" s="58" t="str" cm="1">
        <f t="array" ref="AB676">_xlfn._xlws.FILTER(Teams[teamID], Fixtures[[#This Row],[oppTeam]] = Teams[name], "N/A")</f>
        <v>N/A</v>
      </c>
      <c r="AC676" s="58" t="str" cm="1">
        <f t="array" ref="AC676">_xlfn._xlws.FILTER(Teams[teamType], Fixtures[[#This Row],[oppTeam]] = Teams[name], "N/A")</f>
        <v>N/A</v>
      </c>
      <c r="AD676" s="58" t="str">
        <f>IF(ISBLANK(Fixtures[[#This Row],[date]]), "N/A", IF(Fixtures[[#This Row],[userSide]]="H", Fixtures[[#This Row],[homeScore]], Fixtures[[#This Row],[awayScore]]))</f>
        <v>N/A</v>
      </c>
      <c r="AE676" s="58" t="str">
        <f>IF(ISBLANK(Fixtures[[#This Row],[date]]), "N/A", IF(Fixtures[[#This Row],[userScore]] = Fixtures[[#This Row],[homeScore]], Fixtures[[#This Row],[awayScore]], Fixtures[[#This Row],[homeScore]]))</f>
        <v>N/A</v>
      </c>
      <c r="AF676" s="58" t="b">
        <f>NOT(AND(ISBLANK(Fixtures[[#This Row],[homePens]]), ISBLANK(Fixtures[[#This Row],[awayPens]])))</f>
        <v>0</v>
      </c>
      <c r="AG676" s="58" t="str">
        <f>IF(Fixtures[[#This Row],[penalties]], IF(Fixtures[[#This Row],[userSide]]="H", Fixtures[[#This Row],[homePens]], Fixtures[[#This Row],[awayPens]]), "N/A")</f>
        <v>N/A</v>
      </c>
      <c r="AH676" s="58" t="str">
        <f>IF(Fixtures[[#This Row],[penalties]], IF(Fixtures[[#This Row],[userPens]]=Fixtures[[#This Row],[homePens]],Fixtures[[#This Row],[awayPens]],Fixtures[[#This Row],[homePens]]), "N/A")</f>
        <v>N/A</v>
      </c>
      <c r="AI676" s="58" t="b">
        <f>COUNTBLANK(Fixtures[[#This Row],[G]:[MOTM]]) = 0</f>
        <v>0</v>
      </c>
      <c r="AJ676" s="58" t="str">
        <f>IF(Fixtures[[#This Row],[APP]], Fixtures[[#This Row],[G]]+Fixtures[[#This Row],[A]], "N/A")</f>
        <v>N/A</v>
      </c>
      <c r="AK6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7" spans="1:39" ht="13">
      <c r="A677" s="55"/>
      <c r="B677" s="61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7"/>
      <c r="R677" s="56"/>
      <c r="S677" s="58" t="str" cm="1">
        <f t="array" ref="S677">_xlfn._xlws.FILTER(Competitions[compType], (Fixtures[[#This Row],[competition]] = Competitions[name]), "N/A")</f>
        <v>N/A</v>
      </c>
      <c r="T677" s="58" t="str" cm="1">
        <f t="array" ref="T677">_xlfn._xlws.FILTER(Competitions[exhibition], (Fixtures[[#This Row],[competition]] = Competitions[name]), "N/A")</f>
        <v>N/A</v>
      </c>
      <c r="U677" s="58" t="str" cm="1">
        <f t="array" ref="U677">_xlfn._xlws.FILTER(Competitions[compID], (Fixtures[[#This Row],[competition]] = Competitions[name]), "N/A")</f>
        <v>N/A</v>
      </c>
      <c r="V6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7" s="58" t="str" cm="1">
        <f t="array" ref="W6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7" s="58" t="str" cm="1">
        <f t="array" ref="X677">_xlfn._xlws.FILTER(Teams[name], (Fixtures[[#This Row],[userTeamID]] = Teams[teamID]), "N/A")</f>
        <v>N/A</v>
      </c>
      <c r="Y677" s="58" t="str" cm="1">
        <f t="array" ref="Y677">_xlfn._xlws.FILTER(Teams[teamType], (Fixtures[[#This Row],[userTeamID]] = Teams[teamID]), "N/A")</f>
        <v>N/A</v>
      </c>
      <c r="Z677" s="58" t="str" cm="1">
        <f t="array" ref="Z6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7" s="58" t="str">
        <f>IF(Fixtures[[#This Row],[userSide]] = "N/A", "N/A", IF(Fixtures[[#This Row],[userSide]] = "H", Fixtures[[#This Row],[awayTeam]], Fixtures[[#This Row],[homeTeam]]))</f>
        <v>N/A</v>
      </c>
      <c r="AB677" s="58" t="str" cm="1">
        <f t="array" ref="AB677">_xlfn._xlws.FILTER(Teams[teamID], Fixtures[[#This Row],[oppTeam]] = Teams[name], "N/A")</f>
        <v>N/A</v>
      </c>
      <c r="AC677" s="58" t="str" cm="1">
        <f t="array" ref="AC677">_xlfn._xlws.FILTER(Teams[teamType], Fixtures[[#This Row],[oppTeam]] = Teams[name], "N/A")</f>
        <v>N/A</v>
      </c>
      <c r="AD677" s="58" t="str">
        <f>IF(ISBLANK(Fixtures[[#This Row],[date]]), "N/A", IF(Fixtures[[#This Row],[userSide]]="H", Fixtures[[#This Row],[homeScore]], Fixtures[[#This Row],[awayScore]]))</f>
        <v>N/A</v>
      </c>
      <c r="AE677" s="58" t="str">
        <f>IF(ISBLANK(Fixtures[[#This Row],[date]]), "N/A", IF(Fixtures[[#This Row],[userScore]] = Fixtures[[#This Row],[homeScore]], Fixtures[[#This Row],[awayScore]], Fixtures[[#This Row],[homeScore]]))</f>
        <v>N/A</v>
      </c>
      <c r="AF677" s="58" t="b">
        <f>NOT(AND(ISBLANK(Fixtures[[#This Row],[homePens]]), ISBLANK(Fixtures[[#This Row],[awayPens]])))</f>
        <v>0</v>
      </c>
      <c r="AG677" s="58" t="str">
        <f>IF(Fixtures[[#This Row],[penalties]], IF(Fixtures[[#This Row],[userSide]]="H", Fixtures[[#This Row],[homePens]], Fixtures[[#This Row],[awayPens]]), "N/A")</f>
        <v>N/A</v>
      </c>
      <c r="AH677" s="58" t="str">
        <f>IF(Fixtures[[#This Row],[penalties]], IF(Fixtures[[#This Row],[userPens]]=Fixtures[[#This Row],[homePens]],Fixtures[[#This Row],[awayPens]],Fixtures[[#This Row],[homePens]]), "N/A")</f>
        <v>N/A</v>
      </c>
      <c r="AI677" s="58" t="b">
        <f>COUNTBLANK(Fixtures[[#This Row],[G]:[MOTM]]) = 0</f>
        <v>0</v>
      </c>
      <c r="AJ677" s="58" t="str">
        <f>IF(Fixtures[[#This Row],[APP]], Fixtures[[#This Row],[G]]+Fixtures[[#This Row],[A]], "N/A")</f>
        <v>N/A</v>
      </c>
      <c r="AK6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8" spans="1:39" ht="13">
      <c r="A678" s="55"/>
      <c r="B678" s="61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7"/>
      <c r="R678" s="56"/>
      <c r="S678" s="58" t="str" cm="1">
        <f t="array" ref="S678">_xlfn._xlws.FILTER(Competitions[compType], (Fixtures[[#This Row],[competition]] = Competitions[name]), "N/A")</f>
        <v>N/A</v>
      </c>
      <c r="T678" s="58" t="str" cm="1">
        <f t="array" ref="T678">_xlfn._xlws.FILTER(Competitions[exhibition], (Fixtures[[#This Row],[competition]] = Competitions[name]), "N/A")</f>
        <v>N/A</v>
      </c>
      <c r="U678" s="58" t="str" cm="1">
        <f t="array" ref="U678">_xlfn._xlws.FILTER(Competitions[compID], (Fixtures[[#This Row],[competition]] = Competitions[name]), "N/A")</f>
        <v>N/A</v>
      </c>
      <c r="V6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8" s="58" t="str" cm="1">
        <f t="array" ref="W6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8" s="58" t="str" cm="1">
        <f t="array" ref="X678">_xlfn._xlws.FILTER(Teams[name], (Fixtures[[#This Row],[userTeamID]] = Teams[teamID]), "N/A")</f>
        <v>N/A</v>
      </c>
      <c r="Y678" s="58" t="str" cm="1">
        <f t="array" ref="Y678">_xlfn._xlws.FILTER(Teams[teamType], (Fixtures[[#This Row],[userTeamID]] = Teams[teamID]), "N/A")</f>
        <v>N/A</v>
      </c>
      <c r="Z678" s="58" t="str" cm="1">
        <f t="array" ref="Z6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8" s="58" t="str">
        <f>IF(Fixtures[[#This Row],[userSide]] = "N/A", "N/A", IF(Fixtures[[#This Row],[userSide]] = "H", Fixtures[[#This Row],[awayTeam]], Fixtures[[#This Row],[homeTeam]]))</f>
        <v>N/A</v>
      </c>
      <c r="AB678" s="58" t="str" cm="1">
        <f t="array" ref="AB678">_xlfn._xlws.FILTER(Teams[teamID], Fixtures[[#This Row],[oppTeam]] = Teams[name], "N/A")</f>
        <v>N/A</v>
      </c>
      <c r="AC678" s="58" t="str" cm="1">
        <f t="array" ref="AC678">_xlfn._xlws.FILTER(Teams[teamType], Fixtures[[#This Row],[oppTeam]] = Teams[name], "N/A")</f>
        <v>N/A</v>
      </c>
      <c r="AD678" s="58" t="str">
        <f>IF(ISBLANK(Fixtures[[#This Row],[date]]), "N/A", IF(Fixtures[[#This Row],[userSide]]="H", Fixtures[[#This Row],[homeScore]], Fixtures[[#This Row],[awayScore]]))</f>
        <v>N/A</v>
      </c>
      <c r="AE678" s="58" t="str">
        <f>IF(ISBLANK(Fixtures[[#This Row],[date]]), "N/A", IF(Fixtures[[#This Row],[userScore]] = Fixtures[[#This Row],[homeScore]], Fixtures[[#This Row],[awayScore]], Fixtures[[#This Row],[homeScore]]))</f>
        <v>N/A</v>
      </c>
      <c r="AF678" s="58" t="b">
        <f>NOT(AND(ISBLANK(Fixtures[[#This Row],[homePens]]), ISBLANK(Fixtures[[#This Row],[awayPens]])))</f>
        <v>0</v>
      </c>
      <c r="AG678" s="58" t="str">
        <f>IF(Fixtures[[#This Row],[penalties]], IF(Fixtures[[#This Row],[userSide]]="H", Fixtures[[#This Row],[homePens]], Fixtures[[#This Row],[awayPens]]), "N/A")</f>
        <v>N/A</v>
      </c>
      <c r="AH678" s="58" t="str">
        <f>IF(Fixtures[[#This Row],[penalties]], IF(Fixtures[[#This Row],[userPens]]=Fixtures[[#This Row],[homePens]],Fixtures[[#This Row],[awayPens]],Fixtures[[#This Row],[homePens]]), "N/A")</f>
        <v>N/A</v>
      </c>
      <c r="AI678" s="58" t="b">
        <f>COUNTBLANK(Fixtures[[#This Row],[G]:[MOTM]]) = 0</f>
        <v>0</v>
      </c>
      <c r="AJ678" s="58" t="str">
        <f>IF(Fixtures[[#This Row],[APP]], Fixtures[[#This Row],[G]]+Fixtures[[#This Row],[A]], "N/A")</f>
        <v>N/A</v>
      </c>
      <c r="AK6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79" spans="1:39" ht="13">
      <c r="A679" s="55"/>
      <c r="B679" s="61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7"/>
      <c r="R679" s="56"/>
      <c r="S679" s="58" t="str" cm="1">
        <f t="array" ref="S679">_xlfn._xlws.FILTER(Competitions[compType], (Fixtures[[#This Row],[competition]] = Competitions[name]), "N/A")</f>
        <v>N/A</v>
      </c>
      <c r="T679" s="58" t="str" cm="1">
        <f t="array" ref="T679">_xlfn._xlws.FILTER(Competitions[exhibition], (Fixtures[[#This Row],[competition]] = Competitions[name]), "N/A")</f>
        <v>N/A</v>
      </c>
      <c r="U679" s="58" t="str" cm="1">
        <f t="array" ref="U679">_xlfn._xlws.FILTER(Competitions[compID], (Fixtures[[#This Row],[competition]] = Competitions[name]), "N/A")</f>
        <v>N/A</v>
      </c>
      <c r="V6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79" s="58" t="str" cm="1">
        <f t="array" ref="W6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79" s="58" t="str" cm="1">
        <f t="array" ref="X679">_xlfn._xlws.FILTER(Teams[name], (Fixtures[[#This Row],[userTeamID]] = Teams[teamID]), "N/A")</f>
        <v>N/A</v>
      </c>
      <c r="Y679" s="58" t="str" cm="1">
        <f t="array" ref="Y679">_xlfn._xlws.FILTER(Teams[teamType], (Fixtures[[#This Row],[userTeamID]] = Teams[teamID]), "N/A")</f>
        <v>N/A</v>
      </c>
      <c r="Z679" s="58" t="str" cm="1">
        <f t="array" ref="Z6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79" s="58" t="str">
        <f>IF(Fixtures[[#This Row],[userSide]] = "N/A", "N/A", IF(Fixtures[[#This Row],[userSide]] = "H", Fixtures[[#This Row],[awayTeam]], Fixtures[[#This Row],[homeTeam]]))</f>
        <v>N/A</v>
      </c>
      <c r="AB679" s="58" t="str" cm="1">
        <f t="array" ref="AB679">_xlfn._xlws.FILTER(Teams[teamID], Fixtures[[#This Row],[oppTeam]] = Teams[name], "N/A")</f>
        <v>N/A</v>
      </c>
      <c r="AC679" s="58" t="str" cm="1">
        <f t="array" ref="AC679">_xlfn._xlws.FILTER(Teams[teamType], Fixtures[[#This Row],[oppTeam]] = Teams[name], "N/A")</f>
        <v>N/A</v>
      </c>
      <c r="AD679" s="58" t="str">
        <f>IF(ISBLANK(Fixtures[[#This Row],[date]]), "N/A", IF(Fixtures[[#This Row],[userSide]]="H", Fixtures[[#This Row],[homeScore]], Fixtures[[#This Row],[awayScore]]))</f>
        <v>N/A</v>
      </c>
      <c r="AE679" s="58" t="str">
        <f>IF(ISBLANK(Fixtures[[#This Row],[date]]), "N/A", IF(Fixtures[[#This Row],[userScore]] = Fixtures[[#This Row],[homeScore]], Fixtures[[#This Row],[awayScore]], Fixtures[[#This Row],[homeScore]]))</f>
        <v>N/A</v>
      </c>
      <c r="AF679" s="58" t="b">
        <f>NOT(AND(ISBLANK(Fixtures[[#This Row],[homePens]]), ISBLANK(Fixtures[[#This Row],[awayPens]])))</f>
        <v>0</v>
      </c>
      <c r="AG679" s="58" t="str">
        <f>IF(Fixtures[[#This Row],[penalties]], IF(Fixtures[[#This Row],[userSide]]="H", Fixtures[[#This Row],[homePens]], Fixtures[[#This Row],[awayPens]]), "N/A")</f>
        <v>N/A</v>
      </c>
      <c r="AH679" s="58" t="str">
        <f>IF(Fixtures[[#This Row],[penalties]], IF(Fixtures[[#This Row],[userPens]]=Fixtures[[#This Row],[homePens]],Fixtures[[#This Row],[awayPens]],Fixtures[[#This Row],[homePens]]), "N/A")</f>
        <v>N/A</v>
      </c>
      <c r="AI679" s="58" t="b">
        <f>COUNTBLANK(Fixtures[[#This Row],[G]:[MOTM]]) = 0</f>
        <v>0</v>
      </c>
      <c r="AJ679" s="58" t="str">
        <f>IF(Fixtures[[#This Row],[APP]], Fixtures[[#This Row],[G]]+Fixtures[[#This Row],[A]], "N/A")</f>
        <v>N/A</v>
      </c>
      <c r="AK6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0" spans="1:39" ht="13">
      <c r="A680" s="55"/>
      <c r="B680" s="61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7"/>
      <c r="R680" s="56"/>
      <c r="S680" s="58" t="str" cm="1">
        <f t="array" ref="S680">_xlfn._xlws.FILTER(Competitions[compType], (Fixtures[[#This Row],[competition]] = Competitions[name]), "N/A")</f>
        <v>N/A</v>
      </c>
      <c r="T680" s="58" t="str" cm="1">
        <f t="array" ref="T680">_xlfn._xlws.FILTER(Competitions[exhibition], (Fixtures[[#This Row],[competition]] = Competitions[name]), "N/A")</f>
        <v>N/A</v>
      </c>
      <c r="U680" s="58" t="str" cm="1">
        <f t="array" ref="U680">_xlfn._xlws.FILTER(Competitions[compID], (Fixtures[[#This Row],[competition]] = Competitions[name]), "N/A")</f>
        <v>N/A</v>
      </c>
      <c r="V6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0" s="58" t="str" cm="1">
        <f t="array" ref="W6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0" s="58" t="str" cm="1">
        <f t="array" ref="X680">_xlfn._xlws.FILTER(Teams[name], (Fixtures[[#This Row],[userTeamID]] = Teams[teamID]), "N/A")</f>
        <v>N/A</v>
      </c>
      <c r="Y680" s="58" t="str" cm="1">
        <f t="array" ref="Y680">_xlfn._xlws.FILTER(Teams[teamType], (Fixtures[[#This Row],[userTeamID]] = Teams[teamID]), "N/A")</f>
        <v>N/A</v>
      </c>
      <c r="Z680" s="58" t="str" cm="1">
        <f t="array" ref="Z6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0" s="58" t="str">
        <f>IF(Fixtures[[#This Row],[userSide]] = "N/A", "N/A", IF(Fixtures[[#This Row],[userSide]] = "H", Fixtures[[#This Row],[awayTeam]], Fixtures[[#This Row],[homeTeam]]))</f>
        <v>N/A</v>
      </c>
      <c r="AB680" s="58" t="str" cm="1">
        <f t="array" ref="AB680">_xlfn._xlws.FILTER(Teams[teamID], Fixtures[[#This Row],[oppTeam]] = Teams[name], "N/A")</f>
        <v>N/A</v>
      </c>
      <c r="AC680" s="58" t="str" cm="1">
        <f t="array" ref="AC680">_xlfn._xlws.FILTER(Teams[teamType], Fixtures[[#This Row],[oppTeam]] = Teams[name], "N/A")</f>
        <v>N/A</v>
      </c>
      <c r="AD680" s="58" t="str">
        <f>IF(ISBLANK(Fixtures[[#This Row],[date]]), "N/A", IF(Fixtures[[#This Row],[userSide]]="H", Fixtures[[#This Row],[homeScore]], Fixtures[[#This Row],[awayScore]]))</f>
        <v>N/A</v>
      </c>
      <c r="AE680" s="58" t="str">
        <f>IF(ISBLANK(Fixtures[[#This Row],[date]]), "N/A", IF(Fixtures[[#This Row],[userScore]] = Fixtures[[#This Row],[homeScore]], Fixtures[[#This Row],[awayScore]], Fixtures[[#This Row],[homeScore]]))</f>
        <v>N/A</v>
      </c>
      <c r="AF680" s="58" t="b">
        <f>NOT(AND(ISBLANK(Fixtures[[#This Row],[homePens]]), ISBLANK(Fixtures[[#This Row],[awayPens]])))</f>
        <v>0</v>
      </c>
      <c r="AG680" s="58" t="str">
        <f>IF(Fixtures[[#This Row],[penalties]], IF(Fixtures[[#This Row],[userSide]]="H", Fixtures[[#This Row],[homePens]], Fixtures[[#This Row],[awayPens]]), "N/A")</f>
        <v>N/A</v>
      </c>
      <c r="AH680" s="58" t="str">
        <f>IF(Fixtures[[#This Row],[penalties]], IF(Fixtures[[#This Row],[userPens]]=Fixtures[[#This Row],[homePens]],Fixtures[[#This Row],[awayPens]],Fixtures[[#This Row],[homePens]]), "N/A")</f>
        <v>N/A</v>
      </c>
      <c r="AI680" s="58" t="b">
        <f>COUNTBLANK(Fixtures[[#This Row],[G]:[MOTM]]) = 0</f>
        <v>0</v>
      </c>
      <c r="AJ680" s="58" t="str">
        <f>IF(Fixtures[[#This Row],[APP]], Fixtures[[#This Row],[G]]+Fixtures[[#This Row],[A]], "N/A")</f>
        <v>N/A</v>
      </c>
      <c r="AK6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1" spans="1:39" ht="13">
      <c r="A681" s="55"/>
      <c r="B681" s="61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7"/>
      <c r="R681" s="56"/>
      <c r="S681" s="58" t="str" cm="1">
        <f t="array" ref="S681">_xlfn._xlws.FILTER(Competitions[compType], (Fixtures[[#This Row],[competition]] = Competitions[name]), "N/A")</f>
        <v>N/A</v>
      </c>
      <c r="T681" s="58" t="str" cm="1">
        <f t="array" ref="T681">_xlfn._xlws.FILTER(Competitions[exhibition], (Fixtures[[#This Row],[competition]] = Competitions[name]), "N/A")</f>
        <v>N/A</v>
      </c>
      <c r="U681" s="58" t="str" cm="1">
        <f t="array" ref="U681">_xlfn._xlws.FILTER(Competitions[compID], (Fixtures[[#This Row],[competition]] = Competitions[name]), "N/A")</f>
        <v>N/A</v>
      </c>
      <c r="V6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1" s="58" t="str" cm="1">
        <f t="array" ref="W6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1" s="58" t="str" cm="1">
        <f t="array" ref="X681">_xlfn._xlws.FILTER(Teams[name], (Fixtures[[#This Row],[userTeamID]] = Teams[teamID]), "N/A")</f>
        <v>N/A</v>
      </c>
      <c r="Y681" s="58" t="str" cm="1">
        <f t="array" ref="Y681">_xlfn._xlws.FILTER(Teams[teamType], (Fixtures[[#This Row],[userTeamID]] = Teams[teamID]), "N/A")</f>
        <v>N/A</v>
      </c>
      <c r="Z681" s="58" t="str" cm="1">
        <f t="array" ref="Z6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1" s="58" t="str">
        <f>IF(Fixtures[[#This Row],[userSide]] = "N/A", "N/A", IF(Fixtures[[#This Row],[userSide]] = "H", Fixtures[[#This Row],[awayTeam]], Fixtures[[#This Row],[homeTeam]]))</f>
        <v>N/A</v>
      </c>
      <c r="AB681" s="58" t="str" cm="1">
        <f t="array" ref="AB681">_xlfn._xlws.FILTER(Teams[teamID], Fixtures[[#This Row],[oppTeam]] = Teams[name], "N/A")</f>
        <v>N/A</v>
      </c>
      <c r="AC681" s="58" t="str" cm="1">
        <f t="array" ref="AC681">_xlfn._xlws.FILTER(Teams[teamType], Fixtures[[#This Row],[oppTeam]] = Teams[name], "N/A")</f>
        <v>N/A</v>
      </c>
      <c r="AD681" s="58" t="str">
        <f>IF(ISBLANK(Fixtures[[#This Row],[date]]), "N/A", IF(Fixtures[[#This Row],[userSide]]="H", Fixtures[[#This Row],[homeScore]], Fixtures[[#This Row],[awayScore]]))</f>
        <v>N/A</v>
      </c>
      <c r="AE681" s="58" t="str">
        <f>IF(ISBLANK(Fixtures[[#This Row],[date]]), "N/A", IF(Fixtures[[#This Row],[userScore]] = Fixtures[[#This Row],[homeScore]], Fixtures[[#This Row],[awayScore]], Fixtures[[#This Row],[homeScore]]))</f>
        <v>N/A</v>
      </c>
      <c r="AF681" s="58" t="b">
        <f>NOT(AND(ISBLANK(Fixtures[[#This Row],[homePens]]), ISBLANK(Fixtures[[#This Row],[awayPens]])))</f>
        <v>0</v>
      </c>
      <c r="AG681" s="58" t="str">
        <f>IF(Fixtures[[#This Row],[penalties]], IF(Fixtures[[#This Row],[userSide]]="H", Fixtures[[#This Row],[homePens]], Fixtures[[#This Row],[awayPens]]), "N/A")</f>
        <v>N/A</v>
      </c>
      <c r="AH681" s="58" t="str">
        <f>IF(Fixtures[[#This Row],[penalties]], IF(Fixtures[[#This Row],[userPens]]=Fixtures[[#This Row],[homePens]],Fixtures[[#This Row],[awayPens]],Fixtures[[#This Row],[homePens]]), "N/A")</f>
        <v>N/A</v>
      </c>
      <c r="AI681" s="58" t="b">
        <f>COUNTBLANK(Fixtures[[#This Row],[G]:[MOTM]]) = 0</f>
        <v>0</v>
      </c>
      <c r="AJ681" s="58" t="str">
        <f>IF(Fixtures[[#This Row],[APP]], Fixtures[[#This Row],[G]]+Fixtures[[#This Row],[A]], "N/A")</f>
        <v>N/A</v>
      </c>
      <c r="AK6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2" spans="1:39" ht="13">
      <c r="A682" s="55"/>
      <c r="B682" s="61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7"/>
      <c r="R682" s="56"/>
      <c r="S682" s="58" t="str" cm="1">
        <f t="array" ref="S682">_xlfn._xlws.FILTER(Competitions[compType], (Fixtures[[#This Row],[competition]] = Competitions[name]), "N/A")</f>
        <v>N/A</v>
      </c>
      <c r="T682" s="58" t="str" cm="1">
        <f t="array" ref="T682">_xlfn._xlws.FILTER(Competitions[exhibition], (Fixtures[[#This Row],[competition]] = Competitions[name]), "N/A")</f>
        <v>N/A</v>
      </c>
      <c r="U682" s="58" t="str" cm="1">
        <f t="array" ref="U682">_xlfn._xlws.FILTER(Competitions[compID], (Fixtures[[#This Row],[competition]] = Competitions[name]), "N/A")</f>
        <v>N/A</v>
      </c>
      <c r="V6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2" s="58" t="str" cm="1">
        <f t="array" ref="W6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2" s="58" t="str" cm="1">
        <f t="array" ref="X682">_xlfn._xlws.FILTER(Teams[name], (Fixtures[[#This Row],[userTeamID]] = Teams[teamID]), "N/A")</f>
        <v>N/A</v>
      </c>
      <c r="Y682" s="58" t="str" cm="1">
        <f t="array" ref="Y682">_xlfn._xlws.FILTER(Teams[teamType], (Fixtures[[#This Row],[userTeamID]] = Teams[teamID]), "N/A")</f>
        <v>N/A</v>
      </c>
      <c r="Z682" s="58" t="str" cm="1">
        <f t="array" ref="Z6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2" s="58" t="str">
        <f>IF(Fixtures[[#This Row],[userSide]] = "N/A", "N/A", IF(Fixtures[[#This Row],[userSide]] = "H", Fixtures[[#This Row],[awayTeam]], Fixtures[[#This Row],[homeTeam]]))</f>
        <v>N/A</v>
      </c>
      <c r="AB682" s="58" t="str" cm="1">
        <f t="array" ref="AB682">_xlfn._xlws.FILTER(Teams[teamID], Fixtures[[#This Row],[oppTeam]] = Teams[name], "N/A")</f>
        <v>N/A</v>
      </c>
      <c r="AC682" s="58" t="str" cm="1">
        <f t="array" ref="AC682">_xlfn._xlws.FILTER(Teams[teamType], Fixtures[[#This Row],[oppTeam]] = Teams[name], "N/A")</f>
        <v>N/A</v>
      </c>
      <c r="AD682" s="58" t="str">
        <f>IF(ISBLANK(Fixtures[[#This Row],[date]]), "N/A", IF(Fixtures[[#This Row],[userSide]]="H", Fixtures[[#This Row],[homeScore]], Fixtures[[#This Row],[awayScore]]))</f>
        <v>N/A</v>
      </c>
      <c r="AE682" s="58" t="str">
        <f>IF(ISBLANK(Fixtures[[#This Row],[date]]), "N/A", IF(Fixtures[[#This Row],[userScore]] = Fixtures[[#This Row],[homeScore]], Fixtures[[#This Row],[awayScore]], Fixtures[[#This Row],[homeScore]]))</f>
        <v>N/A</v>
      </c>
      <c r="AF682" s="58" t="b">
        <f>NOT(AND(ISBLANK(Fixtures[[#This Row],[homePens]]), ISBLANK(Fixtures[[#This Row],[awayPens]])))</f>
        <v>0</v>
      </c>
      <c r="AG682" s="58" t="str">
        <f>IF(Fixtures[[#This Row],[penalties]], IF(Fixtures[[#This Row],[userSide]]="H", Fixtures[[#This Row],[homePens]], Fixtures[[#This Row],[awayPens]]), "N/A")</f>
        <v>N/A</v>
      </c>
      <c r="AH682" s="58" t="str">
        <f>IF(Fixtures[[#This Row],[penalties]], IF(Fixtures[[#This Row],[userPens]]=Fixtures[[#This Row],[homePens]],Fixtures[[#This Row],[awayPens]],Fixtures[[#This Row],[homePens]]), "N/A")</f>
        <v>N/A</v>
      </c>
      <c r="AI682" s="58" t="b">
        <f>COUNTBLANK(Fixtures[[#This Row],[G]:[MOTM]]) = 0</f>
        <v>0</v>
      </c>
      <c r="AJ682" s="58" t="str">
        <f>IF(Fixtures[[#This Row],[APP]], Fixtures[[#This Row],[G]]+Fixtures[[#This Row],[A]], "N/A")</f>
        <v>N/A</v>
      </c>
      <c r="AK6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3" spans="1:39" ht="13">
      <c r="A683" s="55"/>
      <c r="B683" s="61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7"/>
      <c r="R683" s="56"/>
      <c r="S683" s="58" t="str" cm="1">
        <f t="array" ref="S683">_xlfn._xlws.FILTER(Competitions[compType], (Fixtures[[#This Row],[competition]] = Competitions[name]), "N/A")</f>
        <v>N/A</v>
      </c>
      <c r="T683" s="58" t="str" cm="1">
        <f t="array" ref="T683">_xlfn._xlws.FILTER(Competitions[exhibition], (Fixtures[[#This Row],[competition]] = Competitions[name]), "N/A")</f>
        <v>N/A</v>
      </c>
      <c r="U683" s="58" t="str" cm="1">
        <f t="array" ref="U683">_xlfn._xlws.FILTER(Competitions[compID], (Fixtures[[#This Row],[competition]] = Competitions[name]), "N/A")</f>
        <v>N/A</v>
      </c>
      <c r="V6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3" s="58" t="str" cm="1">
        <f t="array" ref="W6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3" s="58" t="str" cm="1">
        <f t="array" ref="X683">_xlfn._xlws.FILTER(Teams[name], (Fixtures[[#This Row],[userTeamID]] = Teams[teamID]), "N/A")</f>
        <v>N/A</v>
      </c>
      <c r="Y683" s="58" t="str" cm="1">
        <f t="array" ref="Y683">_xlfn._xlws.FILTER(Teams[teamType], (Fixtures[[#This Row],[userTeamID]] = Teams[teamID]), "N/A")</f>
        <v>N/A</v>
      </c>
      <c r="Z683" s="58" t="str" cm="1">
        <f t="array" ref="Z6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3" s="58" t="str">
        <f>IF(Fixtures[[#This Row],[userSide]] = "N/A", "N/A", IF(Fixtures[[#This Row],[userSide]] = "H", Fixtures[[#This Row],[awayTeam]], Fixtures[[#This Row],[homeTeam]]))</f>
        <v>N/A</v>
      </c>
      <c r="AB683" s="58" t="str" cm="1">
        <f t="array" ref="AB683">_xlfn._xlws.FILTER(Teams[teamID], Fixtures[[#This Row],[oppTeam]] = Teams[name], "N/A")</f>
        <v>N/A</v>
      </c>
      <c r="AC683" s="58" t="str" cm="1">
        <f t="array" ref="AC683">_xlfn._xlws.FILTER(Teams[teamType], Fixtures[[#This Row],[oppTeam]] = Teams[name], "N/A")</f>
        <v>N/A</v>
      </c>
      <c r="AD683" s="58" t="str">
        <f>IF(ISBLANK(Fixtures[[#This Row],[date]]), "N/A", IF(Fixtures[[#This Row],[userSide]]="H", Fixtures[[#This Row],[homeScore]], Fixtures[[#This Row],[awayScore]]))</f>
        <v>N/A</v>
      </c>
      <c r="AE683" s="58" t="str">
        <f>IF(ISBLANK(Fixtures[[#This Row],[date]]), "N/A", IF(Fixtures[[#This Row],[userScore]] = Fixtures[[#This Row],[homeScore]], Fixtures[[#This Row],[awayScore]], Fixtures[[#This Row],[homeScore]]))</f>
        <v>N/A</v>
      </c>
      <c r="AF683" s="58" t="b">
        <f>NOT(AND(ISBLANK(Fixtures[[#This Row],[homePens]]), ISBLANK(Fixtures[[#This Row],[awayPens]])))</f>
        <v>0</v>
      </c>
      <c r="AG683" s="58" t="str">
        <f>IF(Fixtures[[#This Row],[penalties]], IF(Fixtures[[#This Row],[userSide]]="H", Fixtures[[#This Row],[homePens]], Fixtures[[#This Row],[awayPens]]), "N/A")</f>
        <v>N/A</v>
      </c>
      <c r="AH683" s="58" t="str">
        <f>IF(Fixtures[[#This Row],[penalties]], IF(Fixtures[[#This Row],[userPens]]=Fixtures[[#This Row],[homePens]],Fixtures[[#This Row],[awayPens]],Fixtures[[#This Row],[homePens]]), "N/A")</f>
        <v>N/A</v>
      </c>
      <c r="AI683" s="58" t="b">
        <f>COUNTBLANK(Fixtures[[#This Row],[G]:[MOTM]]) = 0</f>
        <v>0</v>
      </c>
      <c r="AJ683" s="58" t="str">
        <f>IF(Fixtures[[#This Row],[APP]], Fixtures[[#This Row],[G]]+Fixtures[[#This Row],[A]], "N/A")</f>
        <v>N/A</v>
      </c>
      <c r="AK6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4" spans="1:39" ht="13">
      <c r="A684" s="55"/>
      <c r="B684" s="61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7"/>
      <c r="R684" s="56"/>
      <c r="S684" s="58" t="str" cm="1">
        <f t="array" ref="S684">_xlfn._xlws.FILTER(Competitions[compType], (Fixtures[[#This Row],[competition]] = Competitions[name]), "N/A")</f>
        <v>N/A</v>
      </c>
      <c r="T684" s="58" t="str" cm="1">
        <f t="array" ref="T684">_xlfn._xlws.FILTER(Competitions[exhibition], (Fixtures[[#This Row],[competition]] = Competitions[name]), "N/A")</f>
        <v>N/A</v>
      </c>
      <c r="U684" s="58" t="str" cm="1">
        <f t="array" ref="U684">_xlfn._xlws.FILTER(Competitions[compID], (Fixtures[[#This Row],[competition]] = Competitions[name]), "N/A")</f>
        <v>N/A</v>
      </c>
      <c r="V6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4" s="58" t="str" cm="1">
        <f t="array" ref="W6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4" s="58" t="str" cm="1">
        <f t="array" ref="X684">_xlfn._xlws.FILTER(Teams[name], (Fixtures[[#This Row],[userTeamID]] = Teams[teamID]), "N/A")</f>
        <v>N/A</v>
      </c>
      <c r="Y684" s="58" t="str" cm="1">
        <f t="array" ref="Y684">_xlfn._xlws.FILTER(Teams[teamType], (Fixtures[[#This Row],[userTeamID]] = Teams[teamID]), "N/A")</f>
        <v>N/A</v>
      </c>
      <c r="Z684" s="58" t="str" cm="1">
        <f t="array" ref="Z6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4" s="58" t="str">
        <f>IF(Fixtures[[#This Row],[userSide]] = "N/A", "N/A", IF(Fixtures[[#This Row],[userSide]] = "H", Fixtures[[#This Row],[awayTeam]], Fixtures[[#This Row],[homeTeam]]))</f>
        <v>N/A</v>
      </c>
      <c r="AB684" s="58" t="str" cm="1">
        <f t="array" ref="AB684">_xlfn._xlws.FILTER(Teams[teamID], Fixtures[[#This Row],[oppTeam]] = Teams[name], "N/A")</f>
        <v>N/A</v>
      </c>
      <c r="AC684" s="58" t="str" cm="1">
        <f t="array" ref="AC684">_xlfn._xlws.FILTER(Teams[teamType], Fixtures[[#This Row],[oppTeam]] = Teams[name], "N/A")</f>
        <v>N/A</v>
      </c>
      <c r="AD684" s="58" t="str">
        <f>IF(ISBLANK(Fixtures[[#This Row],[date]]), "N/A", IF(Fixtures[[#This Row],[userSide]]="H", Fixtures[[#This Row],[homeScore]], Fixtures[[#This Row],[awayScore]]))</f>
        <v>N/A</v>
      </c>
      <c r="AE684" s="58" t="str">
        <f>IF(ISBLANK(Fixtures[[#This Row],[date]]), "N/A", IF(Fixtures[[#This Row],[userScore]] = Fixtures[[#This Row],[homeScore]], Fixtures[[#This Row],[awayScore]], Fixtures[[#This Row],[homeScore]]))</f>
        <v>N/A</v>
      </c>
      <c r="AF684" s="58" t="b">
        <f>NOT(AND(ISBLANK(Fixtures[[#This Row],[homePens]]), ISBLANK(Fixtures[[#This Row],[awayPens]])))</f>
        <v>0</v>
      </c>
      <c r="AG684" s="58" t="str">
        <f>IF(Fixtures[[#This Row],[penalties]], IF(Fixtures[[#This Row],[userSide]]="H", Fixtures[[#This Row],[homePens]], Fixtures[[#This Row],[awayPens]]), "N/A")</f>
        <v>N/A</v>
      </c>
      <c r="AH684" s="58" t="str">
        <f>IF(Fixtures[[#This Row],[penalties]], IF(Fixtures[[#This Row],[userPens]]=Fixtures[[#This Row],[homePens]],Fixtures[[#This Row],[awayPens]],Fixtures[[#This Row],[homePens]]), "N/A")</f>
        <v>N/A</v>
      </c>
      <c r="AI684" s="58" t="b">
        <f>COUNTBLANK(Fixtures[[#This Row],[G]:[MOTM]]) = 0</f>
        <v>0</v>
      </c>
      <c r="AJ684" s="58" t="str">
        <f>IF(Fixtures[[#This Row],[APP]], Fixtures[[#This Row],[G]]+Fixtures[[#This Row],[A]], "N/A")</f>
        <v>N/A</v>
      </c>
      <c r="AK6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5" spans="1:39" ht="13">
      <c r="A685" s="55"/>
      <c r="B685" s="61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7"/>
      <c r="R685" s="56"/>
      <c r="S685" s="58" t="str" cm="1">
        <f t="array" ref="S685">_xlfn._xlws.FILTER(Competitions[compType], (Fixtures[[#This Row],[competition]] = Competitions[name]), "N/A")</f>
        <v>N/A</v>
      </c>
      <c r="T685" s="58" t="str" cm="1">
        <f t="array" ref="T685">_xlfn._xlws.FILTER(Competitions[exhibition], (Fixtures[[#This Row],[competition]] = Competitions[name]), "N/A")</f>
        <v>N/A</v>
      </c>
      <c r="U685" s="58" t="str" cm="1">
        <f t="array" ref="U685">_xlfn._xlws.FILTER(Competitions[compID], (Fixtures[[#This Row],[competition]] = Competitions[name]), "N/A")</f>
        <v>N/A</v>
      </c>
      <c r="V6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5" s="58" t="str" cm="1">
        <f t="array" ref="W6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5" s="58" t="str" cm="1">
        <f t="array" ref="X685">_xlfn._xlws.FILTER(Teams[name], (Fixtures[[#This Row],[userTeamID]] = Teams[teamID]), "N/A")</f>
        <v>N/A</v>
      </c>
      <c r="Y685" s="58" t="str" cm="1">
        <f t="array" ref="Y685">_xlfn._xlws.FILTER(Teams[teamType], (Fixtures[[#This Row],[userTeamID]] = Teams[teamID]), "N/A")</f>
        <v>N/A</v>
      </c>
      <c r="Z685" s="58" t="str" cm="1">
        <f t="array" ref="Z6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5" s="58" t="str">
        <f>IF(Fixtures[[#This Row],[userSide]] = "N/A", "N/A", IF(Fixtures[[#This Row],[userSide]] = "H", Fixtures[[#This Row],[awayTeam]], Fixtures[[#This Row],[homeTeam]]))</f>
        <v>N/A</v>
      </c>
      <c r="AB685" s="58" t="str" cm="1">
        <f t="array" ref="AB685">_xlfn._xlws.FILTER(Teams[teamID], Fixtures[[#This Row],[oppTeam]] = Teams[name], "N/A")</f>
        <v>N/A</v>
      </c>
      <c r="AC685" s="58" t="str" cm="1">
        <f t="array" ref="AC685">_xlfn._xlws.FILTER(Teams[teamType], Fixtures[[#This Row],[oppTeam]] = Teams[name], "N/A")</f>
        <v>N/A</v>
      </c>
      <c r="AD685" s="58" t="str">
        <f>IF(ISBLANK(Fixtures[[#This Row],[date]]), "N/A", IF(Fixtures[[#This Row],[userSide]]="H", Fixtures[[#This Row],[homeScore]], Fixtures[[#This Row],[awayScore]]))</f>
        <v>N/A</v>
      </c>
      <c r="AE685" s="58" t="str">
        <f>IF(ISBLANK(Fixtures[[#This Row],[date]]), "N/A", IF(Fixtures[[#This Row],[userScore]] = Fixtures[[#This Row],[homeScore]], Fixtures[[#This Row],[awayScore]], Fixtures[[#This Row],[homeScore]]))</f>
        <v>N/A</v>
      </c>
      <c r="AF685" s="58" t="b">
        <f>NOT(AND(ISBLANK(Fixtures[[#This Row],[homePens]]), ISBLANK(Fixtures[[#This Row],[awayPens]])))</f>
        <v>0</v>
      </c>
      <c r="AG685" s="58" t="str">
        <f>IF(Fixtures[[#This Row],[penalties]], IF(Fixtures[[#This Row],[userSide]]="H", Fixtures[[#This Row],[homePens]], Fixtures[[#This Row],[awayPens]]), "N/A")</f>
        <v>N/A</v>
      </c>
      <c r="AH685" s="58" t="str">
        <f>IF(Fixtures[[#This Row],[penalties]], IF(Fixtures[[#This Row],[userPens]]=Fixtures[[#This Row],[homePens]],Fixtures[[#This Row],[awayPens]],Fixtures[[#This Row],[homePens]]), "N/A")</f>
        <v>N/A</v>
      </c>
      <c r="AI685" s="58" t="b">
        <f>COUNTBLANK(Fixtures[[#This Row],[G]:[MOTM]]) = 0</f>
        <v>0</v>
      </c>
      <c r="AJ685" s="58" t="str">
        <f>IF(Fixtures[[#This Row],[APP]], Fixtures[[#This Row],[G]]+Fixtures[[#This Row],[A]], "N/A")</f>
        <v>N/A</v>
      </c>
      <c r="AK6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6" spans="1:39" ht="13">
      <c r="A686" s="55"/>
      <c r="B686" s="61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7"/>
      <c r="R686" s="56"/>
      <c r="S686" s="58" t="str" cm="1">
        <f t="array" ref="S686">_xlfn._xlws.FILTER(Competitions[compType], (Fixtures[[#This Row],[competition]] = Competitions[name]), "N/A")</f>
        <v>N/A</v>
      </c>
      <c r="T686" s="58" t="str" cm="1">
        <f t="array" ref="T686">_xlfn._xlws.FILTER(Competitions[exhibition], (Fixtures[[#This Row],[competition]] = Competitions[name]), "N/A")</f>
        <v>N/A</v>
      </c>
      <c r="U686" s="58" t="str" cm="1">
        <f t="array" ref="U686">_xlfn._xlws.FILTER(Competitions[compID], (Fixtures[[#This Row],[competition]] = Competitions[name]), "N/A")</f>
        <v>N/A</v>
      </c>
      <c r="V6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6" s="58" t="str" cm="1">
        <f t="array" ref="W6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6" s="58" t="str" cm="1">
        <f t="array" ref="X686">_xlfn._xlws.FILTER(Teams[name], (Fixtures[[#This Row],[userTeamID]] = Teams[teamID]), "N/A")</f>
        <v>N/A</v>
      </c>
      <c r="Y686" s="58" t="str" cm="1">
        <f t="array" ref="Y686">_xlfn._xlws.FILTER(Teams[teamType], (Fixtures[[#This Row],[userTeamID]] = Teams[teamID]), "N/A")</f>
        <v>N/A</v>
      </c>
      <c r="Z686" s="58" t="str" cm="1">
        <f t="array" ref="Z6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6" s="58" t="str">
        <f>IF(Fixtures[[#This Row],[userSide]] = "N/A", "N/A", IF(Fixtures[[#This Row],[userSide]] = "H", Fixtures[[#This Row],[awayTeam]], Fixtures[[#This Row],[homeTeam]]))</f>
        <v>N/A</v>
      </c>
      <c r="AB686" s="58" t="str" cm="1">
        <f t="array" ref="AB686">_xlfn._xlws.FILTER(Teams[teamID], Fixtures[[#This Row],[oppTeam]] = Teams[name], "N/A")</f>
        <v>N/A</v>
      </c>
      <c r="AC686" s="58" t="str" cm="1">
        <f t="array" ref="AC686">_xlfn._xlws.FILTER(Teams[teamType], Fixtures[[#This Row],[oppTeam]] = Teams[name], "N/A")</f>
        <v>N/A</v>
      </c>
      <c r="AD686" s="58" t="str">
        <f>IF(ISBLANK(Fixtures[[#This Row],[date]]), "N/A", IF(Fixtures[[#This Row],[userSide]]="H", Fixtures[[#This Row],[homeScore]], Fixtures[[#This Row],[awayScore]]))</f>
        <v>N/A</v>
      </c>
      <c r="AE686" s="58" t="str">
        <f>IF(ISBLANK(Fixtures[[#This Row],[date]]), "N/A", IF(Fixtures[[#This Row],[userScore]] = Fixtures[[#This Row],[homeScore]], Fixtures[[#This Row],[awayScore]], Fixtures[[#This Row],[homeScore]]))</f>
        <v>N/A</v>
      </c>
      <c r="AF686" s="58" t="b">
        <f>NOT(AND(ISBLANK(Fixtures[[#This Row],[homePens]]), ISBLANK(Fixtures[[#This Row],[awayPens]])))</f>
        <v>0</v>
      </c>
      <c r="AG686" s="58" t="str">
        <f>IF(Fixtures[[#This Row],[penalties]], IF(Fixtures[[#This Row],[userSide]]="H", Fixtures[[#This Row],[homePens]], Fixtures[[#This Row],[awayPens]]), "N/A")</f>
        <v>N/A</v>
      </c>
      <c r="AH686" s="58" t="str">
        <f>IF(Fixtures[[#This Row],[penalties]], IF(Fixtures[[#This Row],[userPens]]=Fixtures[[#This Row],[homePens]],Fixtures[[#This Row],[awayPens]],Fixtures[[#This Row],[homePens]]), "N/A")</f>
        <v>N/A</v>
      </c>
      <c r="AI686" s="58" t="b">
        <f>COUNTBLANK(Fixtures[[#This Row],[G]:[MOTM]]) = 0</f>
        <v>0</v>
      </c>
      <c r="AJ686" s="58" t="str">
        <f>IF(Fixtures[[#This Row],[APP]], Fixtures[[#This Row],[G]]+Fixtures[[#This Row],[A]], "N/A")</f>
        <v>N/A</v>
      </c>
      <c r="AK6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7" spans="1:39" ht="13">
      <c r="A687" s="55"/>
      <c r="B687" s="61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7"/>
      <c r="R687" s="56"/>
      <c r="S687" s="58" t="str" cm="1">
        <f t="array" ref="S687">_xlfn._xlws.FILTER(Competitions[compType], (Fixtures[[#This Row],[competition]] = Competitions[name]), "N/A")</f>
        <v>N/A</v>
      </c>
      <c r="T687" s="58" t="str" cm="1">
        <f t="array" ref="T687">_xlfn._xlws.FILTER(Competitions[exhibition], (Fixtures[[#This Row],[competition]] = Competitions[name]), "N/A")</f>
        <v>N/A</v>
      </c>
      <c r="U687" s="58" t="str" cm="1">
        <f t="array" ref="U687">_xlfn._xlws.FILTER(Competitions[compID], (Fixtures[[#This Row],[competition]] = Competitions[name]), "N/A")</f>
        <v>N/A</v>
      </c>
      <c r="V6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7" s="58" t="str" cm="1">
        <f t="array" ref="W6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7" s="58" t="str" cm="1">
        <f t="array" ref="X687">_xlfn._xlws.FILTER(Teams[name], (Fixtures[[#This Row],[userTeamID]] = Teams[teamID]), "N/A")</f>
        <v>N/A</v>
      </c>
      <c r="Y687" s="58" t="str" cm="1">
        <f t="array" ref="Y687">_xlfn._xlws.FILTER(Teams[teamType], (Fixtures[[#This Row],[userTeamID]] = Teams[teamID]), "N/A")</f>
        <v>N/A</v>
      </c>
      <c r="Z687" s="58" t="str" cm="1">
        <f t="array" ref="Z6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7" s="58" t="str">
        <f>IF(Fixtures[[#This Row],[userSide]] = "N/A", "N/A", IF(Fixtures[[#This Row],[userSide]] = "H", Fixtures[[#This Row],[awayTeam]], Fixtures[[#This Row],[homeTeam]]))</f>
        <v>N/A</v>
      </c>
      <c r="AB687" s="58" t="str" cm="1">
        <f t="array" ref="AB687">_xlfn._xlws.FILTER(Teams[teamID], Fixtures[[#This Row],[oppTeam]] = Teams[name], "N/A")</f>
        <v>N/A</v>
      </c>
      <c r="AC687" s="58" t="str" cm="1">
        <f t="array" ref="AC687">_xlfn._xlws.FILTER(Teams[teamType], Fixtures[[#This Row],[oppTeam]] = Teams[name], "N/A")</f>
        <v>N/A</v>
      </c>
      <c r="AD687" s="58" t="str">
        <f>IF(ISBLANK(Fixtures[[#This Row],[date]]), "N/A", IF(Fixtures[[#This Row],[userSide]]="H", Fixtures[[#This Row],[homeScore]], Fixtures[[#This Row],[awayScore]]))</f>
        <v>N/A</v>
      </c>
      <c r="AE687" s="58" t="str">
        <f>IF(ISBLANK(Fixtures[[#This Row],[date]]), "N/A", IF(Fixtures[[#This Row],[userScore]] = Fixtures[[#This Row],[homeScore]], Fixtures[[#This Row],[awayScore]], Fixtures[[#This Row],[homeScore]]))</f>
        <v>N/A</v>
      </c>
      <c r="AF687" s="58" t="b">
        <f>NOT(AND(ISBLANK(Fixtures[[#This Row],[homePens]]), ISBLANK(Fixtures[[#This Row],[awayPens]])))</f>
        <v>0</v>
      </c>
      <c r="AG687" s="58" t="str">
        <f>IF(Fixtures[[#This Row],[penalties]], IF(Fixtures[[#This Row],[userSide]]="H", Fixtures[[#This Row],[homePens]], Fixtures[[#This Row],[awayPens]]), "N/A")</f>
        <v>N/A</v>
      </c>
      <c r="AH687" s="58" t="str">
        <f>IF(Fixtures[[#This Row],[penalties]], IF(Fixtures[[#This Row],[userPens]]=Fixtures[[#This Row],[homePens]],Fixtures[[#This Row],[awayPens]],Fixtures[[#This Row],[homePens]]), "N/A")</f>
        <v>N/A</v>
      </c>
      <c r="AI687" s="58" t="b">
        <f>COUNTBLANK(Fixtures[[#This Row],[G]:[MOTM]]) = 0</f>
        <v>0</v>
      </c>
      <c r="AJ687" s="58" t="str">
        <f>IF(Fixtures[[#This Row],[APP]], Fixtures[[#This Row],[G]]+Fixtures[[#This Row],[A]], "N/A")</f>
        <v>N/A</v>
      </c>
      <c r="AK6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8" spans="1:39" ht="13">
      <c r="A688" s="55"/>
      <c r="B688" s="61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7"/>
      <c r="R688" s="56"/>
      <c r="S688" s="58" t="str" cm="1">
        <f t="array" ref="S688">_xlfn._xlws.FILTER(Competitions[compType], (Fixtures[[#This Row],[competition]] = Competitions[name]), "N/A")</f>
        <v>N/A</v>
      </c>
      <c r="T688" s="58" t="str" cm="1">
        <f t="array" ref="T688">_xlfn._xlws.FILTER(Competitions[exhibition], (Fixtures[[#This Row],[competition]] = Competitions[name]), "N/A")</f>
        <v>N/A</v>
      </c>
      <c r="U688" s="58" t="str" cm="1">
        <f t="array" ref="U688">_xlfn._xlws.FILTER(Competitions[compID], (Fixtures[[#This Row],[competition]] = Competitions[name]), "N/A")</f>
        <v>N/A</v>
      </c>
      <c r="V6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8" s="58" t="str" cm="1">
        <f t="array" ref="W6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8" s="58" t="str" cm="1">
        <f t="array" ref="X688">_xlfn._xlws.FILTER(Teams[name], (Fixtures[[#This Row],[userTeamID]] = Teams[teamID]), "N/A")</f>
        <v>N/A</v>
      </c>
      <c r="Y688" s="58" t="str" cm="1">
        <f t="array" ref="Y688">_xlfn._xlws.FILTER(Teams[teamType], (Fixtures[[#This Row],[userTeamID]] = Teams[teamID]), "N/A")</f>
        <v>N/A</v>
      </c>
      <c r="Z688" s="58" t="str" cm="1">
        <f t="array" ref="Z6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8" s="58" t="str">
        <f>IF(Fixtures[[#This Row],[userSide]] = "N/A", "N/A", IF(Fixtures[[#This Row],[userSide]] = "H", Fixtures[[#This Row],[awayTeam]], Fixtures[[#This Row],[homeTeam]]))</f>
        <v>N/A</v>
      </c>
      <c r="AB688" s="58" t="str" cm="1">
        <f t="array" ref="AB688">_xlfn._xlws.FILTER(Teams[teamID], Fixtures[[#This Row],[oppTeam]] = Teams[name], "N/A")</f>
        <v>N/A</v>
      </c>
      <c r="AC688" s="58" t="str" cm="1">
        <f t="array" ref="AC688">_xlfn._xlws.FILTER(Teams[teamType], Fixtures[[#This Row],[oppTeam]] = Teams[name], "N/A")</f>
        <v>N/A</v>
      </c>
      <c r="AD688" s="58" t="str">
        <f>IF(ISBLANK(Fixtures[[#This Row],[date]]), "N/A", IF(Fixtures[[#This Row],[userSide]]="H", Fixtures[[#This Row],[homeScore]], Fixtures[[#This Row],[awayScore]]))</f>
        <v>N/A</v>
      </c>
      <c r="AE688" s="58" t="str">
        <f>IF(ISBLANK(Fixtures[[#This Row],[date]]), "N/A", IF(Fixtures[[#This Row],[userScore]] = Fixtures[[#This Row],[homeScore]], Fixtures[[#This Row],[awayScore]], Fixtures[[#This Row],[homeScore]]))</f>
        <v>N/A</v>
      </c>
      <c r="AF688" s="58" t="b">
        <f>NOT(AND(ISBLANK(Fixtures[[#This Row],[homePens]]), ISBLANK(Fixtures[[#This Row],[awayPens]])))</f>
        <v>0</v>
      </c>
      <c r="AG688" s="58" t="str">
        <f>IF(Fixtures[[#This Row],[penalties]], IF(Fixtures[[#This Row],[userSide]]="H", Fixtures[[#This Row],[homePens]], Fixtures[[#This Row],[awayPens]]), "N/A")</f>
        <v>N/A</v>
      </c>
      <c r="AH688" s="58" t="str">
        <f>IF(Fixtures[[#This Row],[penalties]], IF(Fixtures[[#This Row],[userPens]]=Fixtures[[#This Row],[homePens]],Fixtures[[#This Row],[awayPens]],Fixtures[[#This Row],[homePens]]), "N/A")</f>
        <v>N/A</v>
      </c>
      <c r="AI688" s="58" t="b">
        <f>COUNTBLANK(Fixtures[[#This Row],[G]:[MOTM]]) = 0</f>
        <v>0</v>
      </c>
      <c r="AJ688" s="58" t="str">
        <f>IF(Fixtures[[#This Row],[APP]], Fixtures[[#This Row],[G]]+Fixtures[[#This Row],[A]], "N/A")</f>
        <v>N/A</v>
      </c>
      <c r="AK6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89" spans="1:39" ht="13">
      <c r="A689" s="55"/>
      <c r="B689" s="61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7"/>
      <c r="R689" s="56"/>
      <c r="S689" s="58" t="str" cm="1">
        <f t="array" ref="S689">_xlfn._xlws.FILTER(Competitions[compType], (Fixtures[[#This Row],[competition]] = Competitions[name]), "N/A")</f>
        <v>N/A</v>
      </c>
      <c r="T689" s="58" t="str" cm="1">
        <f t="array" ref="T689">_xlfn._xlws.FILTER(Competitions[exhibition], (Fixtures[[#This Row],[competition]] = Competitions[name]), "N/A")</f>
        <v>N/A</v>
      </c>
      <c r="U689" s="58" t="str" cm="1">
        <f t="array" ref="U689">_xlfn._xlws.FILTER(Competitions[compID], (Fixtures[[#This Row],[competition]] = Competitions[name]), "N/A")</f>
        <v>N/A</v>
      </c>
      <c r="V6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89" s="58" t="str" cm="1">
        <f t="array" ref="W6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89" s="58" t="str" cm="1">
        <f t="array" ref="X689">_xlfn._xlws.FILTER(Teams[name], (Fixtures[[#This Row],[userTeamID]] = Teams[teamID]), "N/A")</f>
        <v>N/A</v>
      </c>
      <c r="Y689" s="58" t="str" cm="1">
        <f t="array" ref="Y689">_xlfn._xlws.FILTER(Teams[teamType], (Fixtures[[#This Row],[userTeamID]] = Teams[teamID]), "N/A")</f>
        <v>N/A</v>
      </c>
      <c r="Z689" s="58" t="str" cm="1">
        <f t="array" ref="Z6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89" s="58" t="str">
        <f>IF(Fixtures[[#This Row],[userSide]] = "N/A", "N/A", IF(Fixtures[[#This Row],[userSide]] = "H", Fixtures[[#This Row],[awayTeam]], Fixtures[[#This Row],[homeTeam]]))</f>
        <v>N/A</v>
      </c>
      <c r="AB689" s="58" t="str" cm="1">
        <f t="array" ref="AB689">_xlfn._xlws.FILTER(Teams[teamID], Fixtures[[#This Row],[oppTeam]] = Teams[name], "N/A")</f>
        <v>N/A</v>
      </c>
      <c r="AC689" s="58" t="str" cm="1">
        <f t="array" ref="AC689">_xlfn._xlws.FILTER(Teams[teamType], Fixtures[[#This Row],[oppTeam]] = Teams[name], "N/A")</f>
        <v>N/A</v>
      </c>
      <c r="AD689" s="58" t="str">
        <f>IF(ISBLANK(Fixtures[[#This Row],[date]]), "N/A", IF(Fixtures[[#This Row],[userSide]]="H", Fixtures[[#This Row],[homeScore]], Fixtures[[#This Row],[awayScore]]))</f>
        <v>N/A</v>
      </c>
      <c r="AE689" s="58" t="str">
        <f>IF(ISBLANK(Fixtures[[#This Row],[date]]), "N/A", IF(Fixtures[[#This Row],[userScore]] = Fixtures[[#This Row],[homeScore]], Fixtures[[#This Row],[awayScore]], Fixtures[[#This Row],[homeScore]]))</f>
        <v>N/A</v>
      </c>
      <c r="AF689" s="58" t="b">
        <f>NOT(AND(ISBLANK(Fixtures[[#This Row],[homePens]]), ISBLANK(Fixtures[[#This Row],[awayPens]])))</f>
        <v>0</v>
      </c>
      <c r="AG689" s="58" t="str">
        <f>IF(Fixtures[[#This Row],[penalties]], IF(Fixtures[[#This Row],[userSide]]="H", Fixtures[[#This Row],[homePens]], Fixtures[[#This Row],[awayPens]]), "N/A")</f>
        <v>N/A</v>
      </c>
      <c r="AH689" s="58" t="str">
        <f>IF(Fixtures[[#This Row],[penalties]], IF(Fixtures[[#This Row],[userPens]]=Fixtures[[#This Row],[homePens]],Fixtures[[#This Row],[awayPens]],Fixtures[[#This Row],[homePens]]), "N/A")</f>
        <v>N/A</v>
      </c>
      <c r="AI689" s="58" t="b">
        <f>COUNTBLANK(Fixtures[[#This Row],[G]:[MOTM]]) = 0</f>
        <v>0</v>
      </c>
      <c r="AJ689" s="58" t="str">
        <f>IF(Fixtures[[#This Row],[APP]], Fixtures[[#This Row],[G]]+Fixtures[[#This Row],[A]], "N/A")</f>
        <v>N/A</v>
      </c>
      <c r="AK6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0" spans="1:39" ht="13">
      <c r="A690" s="55"/>
      <c r="B690" s="61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7"/>
      <c r="R690" s="56"/>
      <c r="S690" s="58" t="str" cm="1">
        <f t="array" ref="S690">_xlfn._xlws.FILTER(Competitions[compType], (Fixtures[[#This Row],[competition]] = Competitions[name]), "N/A")</f>
        <v>N/A</v>
      </c>
      <c r="T690" s="58" t="str" cm="1">
        <f t="array" ref="T690">_xlfn._xlws.FILTER(Competitions[exhibition], (Fixtures[[#This Row],[competition]] = Competitions[name]), "N/A")</f>
        <v>N/A</v>
      </c>
      <c r="U690" s="58" t="str" cm="1">
        <f t="array" ref="U690">_xlfn._xlws.FILTER(Competitions[compID], (Fixtures[[#This Row],[competition]] = Competitions[name]), "N/A")</f>
        <v>N/A</v>
      </c>
      <c r="V6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0" s="58" t="str" cm="1">
        <f t="array" ref="W6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0" s="58" t="str" cm="1">
        <f t="array" ref="X690">_xlfn._xlws.FILTER(Teams[name], (Fixtures[[#This Row],[userTeamID]] = Teams[teamID]), "N/A")</f>
        <v>N/A</v>
      </c>
      <c r="Y690" s="58" t="str" cm="1">
        <f t="array" ref="Y690">_xlfn._xlws.FILTER(Teams[teamType], (Fixtures[[#This Row],[userTeamID]] = Teams[teamID]), "N/A")</f>
        <v>N/A</v>
      </c>
      <c r="Z690" s="58" t="str" cm="1">
        <f t="array" ref="Z6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0" s="58" t="str">
        <f>IF(Fixtures[[#This Row],[userSide]] = "N/A", "N/A", IF(Fixtures[[#This Row],[userSide]] = "H", Fixtures[[#This Row],[awayTeam]], Fixtures[[#This Row],[homeTeam]]))</f>
        <v>N/A</v>
      </c>
      <c r="AB690" s="58" t="str" cm="1">
        <f t="array" ref="AB690">_xlfn._xlws.FILTER(Teams[teamID], Fixtures[[#This Row],[oppTeam]] = Teams[name], "N/A")</f>
        <v>N/A</v>
      </c>
      <c r="AC690" s="58" t="str" cm="1">
        <f t="array" ref="AC690">_xlfn._xlws.FILTER(Teams[teamType], Fixtures[[#This Row],[oppTeam]] = Teams[name], "N/A")</f>
        <v>N/A</v>
      </c>
      <c r="AD690" s="58" t="str">
        <f>IF(ISBLANK(Fixtures[[#This Row],[date]]), "N/A", IF(Fixtures[[#This Row],[userSide]]="H", Fixtures[[#This Row],[homeScore]], Fixtures[[#This Row],[awayScore]]))</f>
        <v>N/A</v>
      </c>
      <c r="AE690" s="58" t="str">
        <f>IF(ISBLANK(Fixtures[[#This Row],[date]]), "N/A", IF(Fixtures[[#This Row],[userScore]] = Fixtures[[#This Row],[homeScore]], Fixtures[[#This Row],[awayScore]], Fixtures[[#This Row],[homeScore]]))</f>
        <v>N/A</v>
      </c>
      <c r="AF690" s="58" t="b">
        <f>NOT(AND(ISBLANK(Fixtures[[#This Row],[homePens]]), ISBLANK(Fixtures[[#This Row],[awayPens]])))</f>
        <v>0</v>
      </c>
      <c r="AG690" s="58" t="str">
        <f>IF(Fixtures[[#This Row],[penalties]], IF(Fixtures[[#This Row],[userSide]]="H", Fixtures[[#This Row],[homePens]], Fixtures[[#This Row],[awayPens]]), "N/A")</f>
        <v>N/A</v>
      </c>
      <c r="AH690" s="58" t="str">
        <f>IF(Fixtures[[#This Row],[penalties]], IF(Fixtures[[#This Row],[userPens]]=Fixtures[[#This Row],[homePens]],Fixtures[[#This Row],[awayPens]],Fixtures[[#This Row],[homePens]]), "N/A")</f>
        <v>N/A</v>
      </c>
      <c r="AI690" s="58" t="b">
        <f>COUNTBLANK(Fixtures[[#This Row],[G]:[MOTM]]) = 0</f>
        <v>0</v>
      </c>
      <c r="AJ690" s="58" t="str">
        <f>IF(Fixtures[[#This Row],[APP]], Fixtures[[#This Row],[G]]+Fixtures[[#This Row],[A]], "N/A")</f>
        <v>N/A</v>
      </c>
      <c r="AK6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1" spans="1:39" ht="13">
      <c r="A691" s="55"/>
      <c r="B691" s="61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7"/>
      <c r="R691" s="56"/>
      <c r="S691" s="58" t="str" cm="1">
        <f t="array" ref="S691">_xlfn._xlws.FILTER(Competitions[compType], (Fixtures[[#This Row],[competition]] = Competitions[name]), "N/A")</f>
        <v>N/A</v>
      </c>
      <c r="T691" s="58" t="str" cm="1">
        <f t="array" ref="T691">_xlfn._xlws.FILTER(Competitions[exhibition], (Fixtures[[#This Row],[competition]] = Competitions[name]), "N/A")</f>
        <v>N/A</v>
      </c>
      <c r="U691" s="58" t="str" cm="1">
        <f t="array" ref="U691">_xlfn._xlws.FILTER(Competitions[compID], (Fixtures[[#This Row],[competition]] = Competitions[name]), "N/A")</f>
        <v>N/A</v>
      </c>
      <c r="V6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1" s="58" t="str" cm="1">
        <f t="array" ref="W6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1" s="58" t="str" cm="1">
        <f t="array" ref="X691">_xlfn._xlws.FILTER(Teams[name], (Fixtures[[#This Row],[userTeamID]] = Teams[teamID]), "N/A")</f>
        <v>N/A</v>
      </c>
      <c r="Y691" s="58" t="str" cm="1">
        <f t="array" ref="Y691">_xlfn._xlws.FILTER(Teams[teamType], (Fixtures[[#This Row],[userTeamID]] = Teams[teamID]), "N/A")</f>
        <v>N/A</v>
      </c>
      <c r="Z691" s="58" t="str" cm="1">
        <f t="array" ref="Z6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1" s="58" t="str">
        <f>IF(Fixtures[[#This Row],[userSide]] = "N/A", "N/A", IF(Fixtures[[#This Row],[userSide]] = "H", Fixtures[[#This Row],[awayTeam]], Fixtures[[#This Row],[homeTeam]]))</f>
        <v>N/A</v>
      </c>
      <c r="AB691" s="58" t="str" cm="1">
        <f t="array" ref="AB691">_xlfn._xlws.FILTER(Teams[teamID], Fixtures[[#This Row],[oppTeam]] = Teams[name], "N/A")</f>
        <v>N/A</v>
      </c>
      <c r="AC691" s="58" t="str" cm="1">
        <f t="array" ref="AC691">_xlfn._xlws.FILTER(Teams[teamType], Fixtures[[#This Row],[oppTeam]] = Teams[name], "N/A")</f>
        <v>N/A</v>
      </c>
      <c r="AD691" s="58" t="str">
        <f>IF(ISBLANK(Fixtures[[#This Row],[date]]), "N/A", IF(Fixtures[[#This Row],[userSide]]="H", Fixtures[[#This Row],[homeScore]], Fixtures[[#This Row],[awayScore]]))</f>
        <v>N/A</v>
      </c>
      <c r="AE691" s="58" t="str">
        <f>IF(ISBLANK(Fixtures[[#This Row],[date]]), "N/A", IF(Fixtures[[#This Row],[userScore]] = Fixtures[[#This Row],[homeScore]], Fixtures[[#This Row],[awayScore]], Fixtures[[#This Row],[homeScore]]))</f>
        <v>N/A</v>
      </c>
      <c r="AF691" s="58" t="b">
        <f>NOT(AND(ISBLANK(Fixtures[[#This Row],[homePens]]), ISBLANK(Fixtures[[#This Row],[awayPens]])))</f>
        <v>0</v>
      </c>
      <c r="AG691" s="58" t="str">
        <f>IF(Fixtures[[#This Row],[penalties]], IF(Fixtures[[#This Row],[userSide]]="H", Fixtures[[#This Row],[homePens]], Fixtures[[#This Row],[awayPens]]), "N/A")</f>
        <v>N/A</v>
      </c>
      <c r="AH691" s="58" t="str">
        <f>IF(Fixtures[[#This Row],[penalties]], IF(Fixtures[[#This Row],[userPens]]=Fixtures[[#This Row],[homePens]],Fixtures[[#This Row],[awayPens]],Fixtures[[#This Row],[homePens]]), "N/A")</f>
        <v>N/A</v>
      </c>
      <c r="AI691" s="58" t="b">
        <f>COUNTBLANK(Fixtures[[#This Row],[G]:[MOTM]]) = 0</f>
        <v>0</v>
      </c>
      <c r="AJ691" s="58" t="str">
        <f>IF(Fixtures[[#This Row],[APP]], Fixtures[[#This Row],[G]]+Fixtures[[#This Row],[A]], "N/A")</f>
        <v>N/A</v>
      </c>
      <c r="AK6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2" spans="1:39" ht="13">
      <c r="A692" s="55"/>
      <c r="B692" s="61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7"/>
      <c r="R692" s="56"/>
      <c r="S692" s="58" t="str" cm="1">
        <f t="array" ref="S692">_xlfn._xlws.FILTER(Competitions[compType], (Fixtures[[#This Row],[competition]] = Competitions[name]), "N/A")</f>
        <v>N/A</v>
      </c>
      <c r="T692" s="58" t="str" cm="1">
        <f t="array" ref="T692">_xlfn._xlws.FILTER(Competitions[exhibition], (Fixtures[[#This Row],[competition]] = Competitions[name]), "N/A")</f>
        <v>N/A</v>
      </c>
      <c r="U692" s="58" t="str" cm="1">
        <f t="array" ref="U692">_xlfn._xlws.FILTER(Competitions[compID], (Fixtures[[#This Row],[competition]] = Competitions[name]), "N/A")</f>
        <v>N/A</v>
      </c>
      <c r="V6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2" s="58" t="str" cm="1">
        <f t="array" ref="W6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2" s="58" t="str" cm="1">
        <f t="array" ref="X692">_xlfn._xlws.FILTER(Teams[name], (Fixtures[[#This Row],[userTeamID]] = Teams[teamID]), "N/A")</f>
        <v>N/A</v>
      </c>
      <c r="Y692" s="58" t="str" cm="1">
        <f t="array" ref="Y692">_xlfn._xlws.FILTER(Teams[teamType], (Fixtures[[#This Row],[userTeamID]] = Teams[teamID]), "N/A")</f>
        <v>N/A</v>
      </c>
      <c r="Z692" s="58" t="str" cm="1">
        <f t="array" ref="Z6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2" s="58" t="str">
        <f>IF(Fixtures[[#This Row],[userSide]] = "N/A", "N/A", IF(Fixtures[[#This Row],[userSide]] = "H", Fixtures[[#This Row],[awayTeam]], Fixtures[[#This Row],[homeTeam]]))</f>
        <v>N/A</v>
      </c>
      <c r="AB692" s="58" t="str" cm="1">
        <f t="array" ref="AB692">_xlfn._xlws.FILTER(Teams[teamID], Fixtures[[#This Row],[oppTeam]] = Teams[name], "N/A")</f>
        <v>N/A</v>
      </c>
      <c r="AC692" s="58" t="str" cm="1">
        <f t="array" ref="AC692">_xlfn._xlws.FILTER(Teams[teamType], Fixtures[[#This Row],[oppTeam]] = Teams[name], "N/A")</f>
        <v>N/A</v>
      </c>
      <c r="AD692" s="58" t="str">
        <f>IF(ISBLANK(Fixtures[[#This Row],[date]]), "N/A", IF(Fixtures[[#This Row],[userSide]]="H", Fixtures[[#This Row],[homeScore]], Fixtures[[#This Row],[awayScore]]))</f>
        <v>N/A</v>
      </c>
      <c r="AE692" s="58" t="str">
        <f>IF(ISBLANK(Fixtures[[#This Row],[date]]), "N/A", IF(Fixtures[[#This Row],[userScore]] = Fixtures[[#This Row],[homeScore]], Fixtures[[#This Row],[awayScore]], Fixtures[[#This Row],[homeScore]]))</f>
        <v>N/A</v>
      </c>
      <c r="AF692" s="58" t="b">
        <f>NOT(AND(ISBLANK(Fixtures[[#This Row],[homePens]]), ISBLANK(Fixtures[[#This Row],[awayPens]])))</f>
        <v>0</v>
      </c>
      <c r="AG692" s="58" t="str">
        <f>IF(Fixtures[[#This Row],[penalties]], IF(Fixtures[[#This Row],[userSide]]="H", Fixtures[[#This Row],[homePens]], Fixtures[[#This Row],[awayPens]]), "N/A")</f>
        <v>N/A</v>
      </c>
      <c r="AH692" s="58" t="str">
        <f>IF(Fixtures[[#This Row],[penalties]], IF(Fixtures[[#This Row],[userPens]]=Fixtures[[#This Row],[homePens]],Fixtures[[#This Row],[awayPens]],Fixtures[[#This Row],[homePens]]), "N/A")</f>
        <v>N/A</v>
      </c>
      <c r="AI692" s="58" t="b">
        <f>COUNTBLANK(Fixtures[[#This Row],[G]:[MOTM]]) = 0</f>
        <v>0</v>
      </c>
      <c r="AJ692" s="58" t="str">
        <f>IF(Fixtures[[#This Row],[APP]], Fixtures[[#This Row],[G]]+Fixtures[[#This Row],[A]], "N/A")</f>
        <v>N/A</v>
      </c>
      <c r="AK6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3" spans="1:39" ht="13">
      <c r="A693" s="55"/>
      <c r="B693" s="61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7"/>
      <c r="R693" s="56"/>
      <c r="S693" s="58" t="str" cm="1">
        <f t="array" ref="S693">_xlfn._xlws.FILTER(Competitions[compType], (Fixtures[[#This Row],[competition]] = Competitions[name]), "N/A")</f>
        <v>N/A</v>
      </c>
      <c r="T693" s="58" t="str" cm="1">
        <f t="array" ref="T693">_xlfn._xlws.FILTER(Competitions[exhibition], (Fixtures[[#This Row],[competition]] = Competitions[name]), "N/A")</f>
        <v>N/A</v>
      </c>
      <c r="U693" s="58" t="str" cm="1">
        <f t="array" ref="U693">_xlfn._xlws.FILTER(Competitions[compID], (Fixtures[[#This Row],[competition]] = Competitions[name]), "N/A")</f>
        <v>N/A</v>
      </c>
      <c r="V6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3" s="58" t="str" cm="1">
        <f t="array" ref="W6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3" s="58" t="str" cm="1">
        <f t="array" ref="X693">_xlfn._xlws.FILTER(Teams[name], (Fixtures[[#This Row],[userTeamID]] = Teams[teamID]), "N/A")</f>
        <v>N/A</v>
      </c>
      <c r="Y693" s="58" t="str" cm="1">
        <f t="array" ref="Y693">_xlfn._xlws.FILTER(Teams[teamType], (Fixtures[[#This Row],[userTeamID]] = Teams[teamID]), "N/A")</f>
        <v>N/A</v>
      </c>
      <c r="Z693" s="58" t="str" cm="1">
        <f t="array" ref="Z6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3" s="58" t="str">
        <f>IF(Fixtures[[#This Row],[userSide]] = "N/A", "N/A", IF(Fixtures[[#This Row],[userSide]] = "H", Fixtures[[#This Row],[awayTeam]], Fixtures[[#This Row],[homeTeam]]))</f>
        <v>N/A</v>
      </c>
      <c r="AB693" s="58" t="str" cm="1">
        <f t="array" ref="AB693">_xlfn._xlws.FILTER(Teams[teamID], Fixtures[[#This Row],[oppTeam]] = Teams[name], "N/A")</f>
        <v>N/A</v>
      </c>
      <c r="AC693" s="58" t="str" cm="1">
        <f t="array" ref="AC693">_xlfn._xlws.FILTER(Teams[teamType], Fixtures[[#This Row],[oppTeam]] = Teams[name], "N/A")</f>
        <v>N/A</v>
      </c>
      <c r="AD693" s="58" t="str">
        <f>IF(ISBLANK(Fixtures[[#This Row],[date]]), "N/A", IF(Fixtures[[#This Row],[userSide]]="H", Fixtures[[#This Row],[homeScore]], Fixtures[[#This Row],[awayScore]]))</f>
        <v>N/A</v>
      </c>
      <c r="AE693" s="58" t="str">
        <f>IF(ISBLANK(Fixtures[[#This Row],[date]]), "N/A", IF(Fixtures[[#This Row],[userScore]] = Fixtures[[#This Row],[homeScore]], Fixtures[[#This Row],[awayScore]], Fixtures[[#This Row],[homeScore]]))</f>
        <v>N/A</v>
      </c>
      <c r="AF693" s="58" t="b">
        <f>NOT(AND(ISBLANK(Fixtures[[#This Row],[homePens]]), ISBLANK(Fixtures[[#This Row],[awayPens]])))</f>
        <v>0</v>
      </c>
      <c r="AG693" s="58" t="str">
        <f>IF(Fixtures[[#This Row],[penalties]], IF(Fixtures[[#This Row],[userSide]]="H", Fixtures[[#This Row],[homePens]], Fixtures[[#This Row],[awayPens]]), "N/A")</f>
        <v>N/A</v>
      </c>
      <c r="AH693" s="58" t="str">
        <f>IF(Fixtures[[#This Row],[penalties]], IF(Fixtures[[#This Row],[userPens]]=Fixtures[[#This Row],[homePens]],Fixtures[[#This Row],[awayPens]],Fixtures[[#This Row],[homePens]]), "N/A")</f>
        <v>N/A</v>
      </c>
      <c r="AI693" s="58" t="b">
        <f>COUNTBLANK(Fixtures[[#This Row],[G]:[MOTM]]) = 0</f>
        <v>0</v>
      </c>
      <c r="AJ693" s="58" t="str">
        <f>IF(Fixtures[[#This Row],[APP]], Fixtures[[#This Row],[G]]+Fixtures[[#This Row],[A]], "N/A")</f>
        <v>N/A</v>
      </c>
      <c r="AK6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4" spans="1:39" ht="13">
      <c r="A694" s="55"/>
      <c r="B694" s="61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7"/>
      <c r="R694" s="56"/>
      <c r="S694" s="58" t="str" cm="1">
        <f t="array" ref="S694">_xlfn._xlws.FILTER(Competitions[compType], (Fixtures[[#This Row],[competition]] = Competitions[name]), "N/A")</f>
        <v>N/A</v>
      </c>
      <c r="T694" s="58" t="str" cm="1">
        <f t="array" ref="T694">_xlfn._xlws.FILTER(Competitions[exhibition], (Fixtures[[#This Row],[competition]] = Competitions[name]), "N/A")</f>
        <v>N/A</v>
      </c>
      <c r="U694" s="58" t="str" cm="1">
        <f t="array" ref="U694">_xlfn._xlws.FILTER(Competitions[compID], (Fixtures[[#This Row],[competition]] = Competitions[name]), "N/A")</f>
        <v>N/A</v>
      </c>
      <c r="V6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4" s="58" t="str" cm="1">
        <f t="array" ref="W6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4" s="58" t="str" cm="1">
        <f t="array" ref="X694">_xlfn._xlws.FILTER(Teams[name], (Fixtures[[#This Row],[userTeamID]] = Teams[teamID]), "N/A")</f>
        <v>N/A</v>
      </c>
      <c r="Y694" s="58" t="str" cm="1">
        <f t="array" ref="Y694">_xlfn._xlws.FILTER(Teams[teamType], (Fixtures[[#This Row],[userTeamID]] = Teams[teamID]), "N/A")</f>
        <v>N/A</v>
      </c>
      <c r="Z694" s="58" t="str" cm="1">
        <f t="array" ref="Z6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4" s="58" t="str">
        <f>IF(Fixtures[[#This Row],[userSide]] = "N/A", "N/A", IF(Fixtures[[#This Row],[userSide]] = "H", Fixtures[[#This Row],[awayTeam]], Fixtures[[#This Row],[homeTeam]]))</f>
        <v>N/A</v>
      </c>
      <c r="AB694" s="58" t="str" cm="1">
        <f t="array" ref="AB694">_xlfn._xlws.FILTER(Teams[teamID], Fixtures[[#This Row],[oppTeam]] = Teams[name], "N/A")</f>
        <v>N/A</v>
      </c>
      <c r="AC694" s="58" t="str" cm="1">
        <f t="array" ref="AC694">_xlfn._xlws.FILTER(Teams[teamType], Fixtures[[#This Row],[oppTeam]] = Teams[name], "N/A")</f>
        <v>N/A</v>
      </c>
      <c r="AD694" s="58" t="str">
        <f>IF(ISBLANK(Fixtures[[#This Row],[date]]), "N/A", IF(Fixtures[[#This Row],[userSide]]="H", Fixtures[[#This Row],[homeScore]], Fixtures[[#This Row],[awayScore]]))</f>
        <v>N/A</v>
      </c>
      <c r="AE694" s="58" t="str">
        <f>IF(ISBLANK(Fixtures[[#This Row],[date]]), "N/A", IF(Fixtures[[#This Row],[userScore]] = Fixtures[[#This Row],[homeScore]], Fixtures[[#This Row],[awayScore]], Fixtures[[#This Row],[homeScore]]))</f>
        <v>N/A</v>
      </c>
      <c r="AF694" s="58" t="b">
        <f>NOT(AND(ISBLANK(Fixtures[[#This Row],[homePens]]), ISBLANK(Fixtures[[#This Row],[awayPens]])))</f>
        <v>0</v>
      </c>
      <c r="AG694" s="58" t="str">
        <f>IF(Fixtures[[#This Row],[penalties]], IF(Fixtures[[#This Row],[userSide]]="H", Fixtures[[#This Row],[homePens]], Fixtures[[#This Row],[awayPens]]), "N/A")</f>
        <v>N/A</v>
      </c>
      <c r="AH694" s="58" t="str">
        <f>IF(Fixtures[[#This Row],[penalties]], IF(Fixtures[[#This Row],[userPens]]=Fixtures[[#This Row],[homePens]],Fixtures[[#This Row],[awayPens]],Fixtures[[#This Row],[homePens]]), "N/A")</f>
        <v>N/A</v>
      </c>
      <c r="AI694" s="58" t="b">
        <f>COUNTBLANK(Fixtures[[#This Row],[G]:[MOTM]]) = 0</f>
        <v>0</v>
      </c>
      <c r="AJ694" s="58" t="str">
        <f>IF(Fixtures[[#This Row],[APP]], Fixtures[[#This Row],[G]]+Fixtures[[#This Row],[A]], "N/A")</f>
        <v>N/A</v>
      </c>
      <c r="AK6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5" spans="1:39" ht="13">
      <c r="A695" s="55"/>
      <c r="B695" s="61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7"/>
      <c r="R695" s="56"/>
      <c r="S695" s="58" t="str" cm="1">
        <f t="array" ref="S695">_xlfn._xlws.FILTER(Competitions[compType], (Fixtures[[#This Row],[competition]] = Competitions[name]), "N/A")</f>
        <v>N/A</v>
      </c>
      <c r="T695" s="58" t="str" cm="1">
        <f t="array" ref="T695">_xlfn._xlws.FILTER(Competitions[exhibition], (Fixtures[[#This Row],[competition]] = Competitions[name]), "N/A")</f>
        <v>N/A</v>
      </c>
      <c r="U695" s="58" t="str" cm="1">
        <f t="array" ref="U695">_xlfn._xlws.FILTER(Competitions[compID], (Fixtures[[#This Row],[competition]] = Competitions[name]), "N/A")</f>
        <v>N/A</v>
      </c>
      <c r="V6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5" s="58" t="str" cm="1">
        <f t="array" ref="W6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5" s="58" t="str" cm="1">
        <f t="array" ref="X695">_xlfn._xlws.FILTER(Teams[name], (Fixtures[[#This Row],[userTeamID]] = Teams[teamID]), "N/A")</f>
        <v>N/A</v>
      </c>
      <c r="Y695" s="58" t="str" cm="1">
        <f t="array" ref="Y695">_xlfn._xlws.FILTER(Teams[teamType], (Fixtures[[#This Row],[userTeamID]] = Teams[teamID]), "N/A")</f>
        <v>N/A</v>
      </c>
      <c r="Z695" s="58" t="str" cm="1">
        <f t="array" ref="Z6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5" s="58" t="str">
        <f>IF(Fixtures[[#This Row],[userSide]] = "N/A", "N/A", IF(Fixtures[[#This Row],[userSide]] = "H", Fixtures[[#This Row],[awayTeam]], Fixtures[[#This Row],[homeTeam]]))</f>
        <v>N/A</v>
      </c>
      <c r="AB695" s="58" t="str" cm="1">
        <f t="array" ref="AB695">_xlfn._xlws.FILTER(Teams[teamID], Fixtures[[#This Row],[oppTeam]] = Teams[name], "N/A")</f>
        <v>N/A</v>
      </c>
      <c r="AC695" s="58" t="str" cm="1">
        <f t="array" ref="AC695">_xlfn._xlws.FILTER(Teams[teamType], Fixtures[[#This Row],[oppTeam]] = Teams[name], "N/A")</f>
        <v>N/A</v>
      </c>
      <c r="AD695" s="58" t="str">
        <f>IF(ISBLANK(Fixtures[[#This Row],[date]]), "N/A", IF(Fixtures[[#This Row],[userSide]]="H", Fixtures[[#This Row],[homeScore]], Fixtures[[#This Row],[awayScore]]))</f>
        <v>N/A</v>
      </c>
      <c r="AE695" s="58" t="str">
        <f>IF(ISBLANK(Fixtures[[#This Row],[date]]), "N/A", IF(Fixtures[[#This Row],[userScore]] = Fixtures[[#This Row],[homeScore]], Fixtures[[#This Row],[awayScore]], Fixtures[[#This Row],[homeScore]]))</f>
        <v>N/A</v>
      </c>
      <c r="AF695" s="58" t="b">
        <f>NOT(AND(ISBLANK(Fixtures[[#This Row],[homePens]]), ISBLANK(Fixtures[[#This Row],[awayPens]])))</f>
        <v>0</v>
      </c>
      <c r="AG695" s="58" t="str">
        <f>IF(Fixtures[[#This Row],[penalties]], IF(Fixtures[[#This Row],[userSide]]="H", Fixtures[[#This Row],[homePens]], Fixtures[[#This Row],[awayPens]]), "N/A")</f>
        <v>N/A</v>
      </c>
      <c r="AH695" s="58" t="str">
        <f>IF(Fixtures[[#This Row],[penalties]], IF(Fixtures[[#This Row],[userPens]]=Fixtures[[#This Row],[homePens]],Fixtures[[#This Row],[awayPens]],Fixtures[[#This Row],[homePens]]), "N/A")</f>
        <v>N/A</v>
      </c>
      <c r="AI695" s="58" t="b">
        <f>COUNTBLANK(Fixtures[[#This Row],[G]:[MOTM]]) = 0</f>
        <v>0</v>
      </c>
      <c r="AJ695" s="58" t="str">
        <f>IF(Fixtures[[#This Row],[APP]], Fixtures[[#This Row],[G]]+Fixtures[[#This Row],[A]], "N/A")</f>
        <v>N/A</v>
      </c>
      <c r="AK6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6" spans="1:39" ht="13">
      <c r="A696" s="55"/>
      <c r="B696" s="61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7"/>
      <c r="R696" s="56"/>
      <c r="S696" s="58" t="str" cm="1">
        <f t="array" ref="S696">_xlfn._xlws.FILTER(Competitions[compType], (Fixtures[[#This Row],[competition]] = Competitions[name]), "N/A")</f>
        <v>N/A</v>
      </c>
      <c r="T696" s="58" t="str" cm="1">
        <f t="array" ref="T696">_xlfn._xlws.FILTER(Competitions[exhibition], (Fixtures[[#This Row],[competition]] = Competitions[name]), "N/A")</f>
        <v>N/A</v>
      </c>
      <c r="U696" s="58" t="str" cm="1">
        <f t="array" ref="U696">_xlfn._xlws.FILTER(Competitions[compID], (Fixtures[[#This Row],[competition]] = Competitions[name]), "N/A")</f>
        <v>N/A</v>
      </c>
      <c r="V6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6" s="58" t="str" cm="1">
        <f t="array" ref="W6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6" s="58" t="str" cm="1">
        <f t="array" ref="X696">_xlfn._xlws.FILTER(Teams[name], (Fixtures[[#This Row],[userTeamID]] = Teams[teamID]), "N/A")</f>
        <v>N/A</v>
      </c>
      <c r="Y696" s="58" t="str" cm="1">
        <f t="array" ref="Y696">_xlfn._xlws.FILTER(Teams[teamType], (Fixtures[[#This Row],[userTeamID]] = Teams[teamID]), "N/A")</f>
        <v>N/A</v>
      </c>
      <c r="Z696" s="58" t="str" cm="1">
        <f t="array" ref="Z6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6" s="58" t="str">
        <f>IF(Fixtures[[#This Row],[userSide]] = "N/A", "N/A", IF(Fixtures[[#This Row],[userSide]] = "H", Fixtures[[#This Row],[awayTeam]], Fixtures[[#This Row],[homeTeam]]))</f>
        <v>N/A</v>
      </c>
      <c r="AB696" s="58" t="str" cm="1">
        <f t="array" ref="AB696">_xlfn._xlws.FILTER(Teams[teamID], Fixtures[[#This Row],[oppTeam]] = Teams[name], "N/A")</f>
        <v>N/A</v>
      </c>
      <c r="AC696" s="58" t="str" cm="1">
        <f t="array" ref="AC696">_xlfn._xlws.FILTER(Teams[teamType], Fixtures[[#This Row],[oppTeam]] = Teams[name], "N/A")</f>
        <v>N/A</v>
      </c>
      <c r="AD696" s="58" t="str">
        <f>IF(ISBLANK(Fixtures[[#This Row],[date]]), "N/A", IF(Fixtures[[#This Row],[userSide]]="H", Fixtures[[#This Row],[homeScore]], Fixtures[[#This Row],[awayScore]]))</f>
        <v>N/A</v>
      </c>
      <c r="AE696" s="58" t="str">
        <f>IF(ISBLANK(Fixtures[[#This Row],[date]]), "N/A", IF(Fixtures[[#This Row],[userScore]] = Fixtures[[#This Row],[homeScore]], Fixtures[[#This Row],[awayScore]], Fixtures[[#This Row],[homeScore]]))</f>
        <v>N/A</v>
      </c>
      <c r="AF696" s="58" t="b">
        <f>NOT(AND(ISBLANK(Fixtures[[#This Row],[homePens]]), ISBLANK(Fixtures[[#This Row],[awayPens]])))</f>
        <v>0</v>
      </c>
      <c r="AG696" s="58" t="str">
        <f>IF(Fixtures[[#This Row],[penalties]], IF(Fixtures[[#This Row],[userSide]]="H", Fixtures[[#This Row],[homePens]], Fixtures[[#This Row],[awayPens]]), "N/A")</f>
        <v>N/A</v>
      </c>
      <c r="AH696" s="58" t="str">
        <f>IF(Fixtures[[#This Row],[penalties]], IF(Fixtures[[#This Row],[userPens]]=Fixtures[[#This Row],[homePens]],Fixtures[[#This Row],[awayPens]],Fixtures[[#This Row],[homePens]]), "N/A")</f>
        <v>N/A</v>
      </c>
      <c r="AI696" s="58" t="b">
        <f>COUNTBLANK(Fixtures[[#This Row],[G]:[MOTM]]) = 0</f>
        <v>0</v>
      </c>
      <c r="AJ696" s="58" t="str">
        <f>IF(Fixtures[[#This Row],[APP]], Fixtures[[#This Row],[G]]+Fixtures[[#This Row],[A]], "N/A")</f>
        <v>N/A</v>
      </c>
      <c r="AK6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7" spans="1:39" ht="13">
      <c r="A697" s="55"/>
      <c r="B697" s="61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7"/>
      <c r="R697" s="56"/>
      <c r="S697" s="58" t="str" cm="1">
        <f t="array" ref="S697">_xlfn._xlws.FILTER(Competitions[compType], (Fixtures[[#This Row],[competition]] = Competitions[name]), "N/A")</f>
        <v>N/A</v>
      </c>
      <c r="T697" s="58" t="str" cm="1">
        <f t="array" ref="T697">_xlfn._xlws.FILTER(Competitions[exhibition], (Fixtures[[#This Row],[competition]] = Competitions[name]), "N/A")</f>
        <v>N/A</v>
      </c>
      <c r="U697" s="58" t="str" cm="1">
        <f t="array" ref="U697">_xlfn._xlws.FILTER(Competitions[compID], (Fixtures[[#This Row],[competition]] = Competitions[name]), "N/A")</f>
        <v>N/A</v>
      </c>
      <c r="V6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7" s="58" t="str" cm="1">
        <f t="array" ref="W6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7" s="58" t="str" cm="1">
        <f t="array" ref="X697">_xlfn._xlws.FILTER(Teams[name], (Fixtures[[#This Row],[userTeamID]] = Teams[teamID]), "N/A")</f>
        <v>N/A</v>
      </c>
      <c r="Y697" s="58" t="str" cm="1">
        <f t="array" ref="Y697">_xlfn._xlws.FILTER(Teams[teamType], (Fixtures[[#This Row],[userTeamID]] = Teams[teamID]), "N/A")</f>
        <v>N/A</v>
      </c>
      <c r="Z697" s="58" t="str" cm="1">
        <f t="array" ref="Z6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7" s="58" t="str">
        <f>IF(Fixtures[[#This Row],[userSide]] = "N/A", "N/A", IF(Fixtures[[#This Row],[userSide]] = "H", Fixtures[[#This Row],[awayTeam]], Fixtures[[#This Row],[homeTeam]]))</f>
        <v>N/A</v>
      </c>
      <c r="AB697" s="58" t="str" cm="1">
        <f t="array" ref="AB697">_xlfn._xlws.FILTER(Teams[teamID], Fixtures[[#This Row],[oppTeam]] = Teams[name], "N/A")</f>
        <v>N/A</v>
      </c>
      <c r="AC697" s="58" t="str" cm="1">
        <f t="array" ref="AC697">_xlfn._xlws.FILTER(Teams[teamType], Fixtures[[#This Row],[oppTeam]] = Teams[name], "N/A")</f>
        <v>N/A</v>
      </c>
      <c r="AD697" s="58" t="str">
        <f>IF(ISBLANK(Fixtures[[#This Row],[date]]), "N/A", IF(Fixtures[[#This Row],[userSide]]="H", Fixtures[[#This Row],[homeScore]], Fixtures[[#This Row],[awayScore]]))</f>
        <v>N/A</v>
      </c>
      <c r="AE697" s="58" t="str">
        <f>IF(ISBLANK(Fixtures[[#This Row],[date]]), "N/A", IF(Fixtures[[#This Row],[userScore]] = Fixtures[[#This Row],[homeScore]], Fixtures[[#This Row],[awayScore]], Fixtures[[#This Row],[homeScore]]))</f>
        <v>N/A</v>
      </c>
      <c r="AF697" s="58" t="b">
        <f>NOT(AND(ISBLANK(Fixtures[[#This Row],[homePens]]), ISBLANK(Fixtures[[#This Row],[awayPens]])))</f>
        <v>0</v>
      </c>
      <c r="AG697" s="58" t="str">
        <f>IF(Fixtures[[#This Row],[penalties]], IF(Fixtures[[#This Row],[userSide]]="H", Fixtures[[#This Row],[homePens]], Fixtures[[#This Row],[awayPens]]), "N/A")</f>
        <v>N/A</v>
      </c>
      <c r="AH697" s="58" t="str">
        <f>IF(Fixtures[[#This Row],[penalties]], IF(Fixtures[[#This Row],[userPens]]=Fixtures[[#This Row],[homePens]],Fixtures[[#This Row],[awayPens]],Fixtures[[#This Row],[homePens]]), "N/A")</f>
        <v>N/A</v>
      </c>
      <c r="AI697" s="58" t="b">
        <f>COUNTBLANK(Fixtures[[#This Row],[G]:[MOTM]]) = 0</f>
        <v>0</v>
      </c>
      <c r="AJ697" s="58" t="str">
        <f>IF(Fixtures[[#This Row],[APP]], Fixtures[[#This Row],[G]]+Fixtures[[#This Row],[A]], "N/A")</f>
        <v>N/A</v>
      </c>
      <c r="AK6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8" spans="1:39" ht="13">
      <c r="A698" s="55"/>
      <c r="B698" s="61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7"/>
      <c r="R698" s="56"/>
      <c r="S698" s="58" t="str" cm="1">
        <f t="array" ref="S698">_xlfn._xlws.FILTER(Competitions[compType], (Fixtures[[#This Row],[competition]] = Competitions[name]), "N/A")</f>
        <v>N/A</v>
      </c>
      <c r="T698" s="58" t="str" cm="1">
        <f t="array" ref="T698">_xlfn._xlws.FILTER(Competitions[exhibition], (Fixtures[[#This Row],[competition]] = Competitions[name]), "N/A")</f>
        <v>N/A</v>
      </c>
      <c r="U698" s="58" t="str" cm="1">
        <f t="array" ref="U698">_xlfn._xlws.FILTER(Competitions[compID], (Fixtures[[#This Row],[competition]] = Competitions[name]), "N/A")</f>
        <v>N/A</v>
      </c>
      <c r="V6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8" s="58" t="str" cm="1">
        <f t="array" ref="W6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8" s="58" t="str" cm="1">
        <f t="array" ref="X698">_xlfn._xlws.FILTER(Teams[name], (Fixtures[[#This Row],[userTeamID]] = Teams[teamID]), "N/A")</f>
        <v>N/A</v>
      </c>
      <c r="Y698" s="58" t="str" cm="1">
        <f t="array" ref="Y698">_xlfn._xlws.FILTER(Teams[teamType], (Fixtures[[#This Row],[userTeamID]] = Teams[teamID]), "N/A")</f>
        <v>N/A</v>
      </c>
      <c r="Z698" s="58" t="str" cm="1">
        <f t="array" ref="Z6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8" s="58" t="str">
        <f>IF(Fixtures[[#This Row],[userSide]] = "N/A", "N/A", IF(Fixtures[[#This Row],[userSide]] = "H", Fixtures[[#This Row],[awayTeam]], Fixtures[[#This Row],[homeTeam]]))</f>
        <v>N/A</v>
      </c>
      <c r="AB698" s="58" t="str" cm="1">
        <f t="array" ref="AB698">_xlfn._xlws.FILTER(Teams[teamID], Fixtures[[#This Row],[oppTeam]] = Teams[name], "N/A")</f>
        <v>N/A</v>
      </c>
      <c r="AC698" s="58" t="str" cm="1">
        <f t="array" ref="AC698">_xlfn._xlws.FILTER(Teams[teamType], Fixtures[[#This Row],[oppTeam]] = Teams[name], "N/A")</f>
        <v>N/A</v>
      </c>
      <c r="AD698" s="58" t="str">
        <f>IF(ISBLANK(Fixtures[[#This Row],[date]]), "N/A", IF(Fixtures[[#This Row],[userSide]]="H", Fixtures[[#This Row],[homeScore]], Fixtures[[#This Row],[awayScore]]))</f>
        <v>N/A</v>
      </c>
      <c r="AE698" s="58" t="str">
        <f>IF(ISBLANK(Fixtures[[#This Row],[date]]), "N/A", IF(Fixtures[[#This Row],[userScore]] = Fixtures[[#This Row],[homeScore]], Fixtures[[#This Row],[awayScore]], Fixtures[[#This Row],[homeScore]]))</f>
        <v>N/A</v>
      </c>
      <c r="AF698" s="58" t="b">
        <f>NOT(AND(ISBLANK(Fixtures[[#This Row],[homePens]]), ISBLANK(Fixtures[[#This Row],[awayPens]])))</f>
        <v>0</v>
      </c>
      <c r="AG698" s="58" t="str">
        <f>IF(Fixtures[[#This Row],[penalties]], IF(Fixtures[[#This Row],[userSide]]="H", Fixtures[[#This Row],[homePens]], Fixtures[[#This Row],[awayPens]]), "N/A")</f>
        <v>N/A</v>
      </c>
      <c r="AH698" s="58" t="str">
        <f>IF(Fixtures[[#This Row],[penalties]], IF(Fixtures[[#This Row],[userPens]]=Fixtures[[#This Row],[homePens]],Fixtures[[#This Row],[awayPens]],Fixtures[[#This Row],[homePens]]), "N/A")</f>
        <v>N/A</v>
      </c>
      <c r="AI698" s="58" t="b">
        <f>COUNTBLANK(Fixtures[[#This Row],[G]:[MOTM]]) = 0</f>
        <v>0</v>
      </c>
      <c r="AJ698" s="58" t="str">
        <f>IF(Fixtures[[#This Row],[APP]], Fixtures[[#This Row],[G]]+Fixtures[[#This Row],[A]], "N/A")</f>
        <v>N/A</v>
      </c>
      <c r="AK6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699" spans="1:39" ht="13">
      <c r="A699" s="55"/>
      <c r="B699" s="61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7"/>
      <c r="R699" s="56"/>
      <c r="S699" s="58" t="str" cm="1">
        <f t="array" ref="S699">_xlfn._xlws.FILTER(Competitions[compType], (Fixtures[[#This Row],[competition]] = Competitions[name]), "N/A")</f>
        <v>N/A</v>
      </c>
      <c r="T699" s="58" t="str" cm="1">
        <f t="array" ref="T699">_xlfn._xlws.FILTER(Competitions[exhibition], (Fixtures[[#This Row],[competition]] = Competitions[name]), "N/A")</f>
        <v>N/A</v>
      </c>
      <c r="U699" s="58" t="str" cm="1">
        <f t="array" ref="U699">_xlfn._xlws.FILTER(Competitions[compID], (Fixtures[[#This Row],[competition]] = Competitions[name]), "N/A")</f>
        <v>N/A</v>
      </c>
      <c r="V6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699" s="58" t="str" cm="1">
        <f t="array" ref="W6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699" s="58" t="str" cm="1">
        <f t="array" ref="X699">_xlfn._xlws.FILTER(Teams[name], (Fixtures[[#This Row],[userTeamID]] = Teams[teamID]), "N/A")</f>
        <v>N/A</v>
      </c>
      <c r="Y699" s="58" t="str" cm="1">
        <f t="array" ref="Y699">_xlfn._xlws.FILTER(Teams[teamType], (Fixtures[[#This Row],[userTeamID]] = Teams[teamID]), "N/A")</f>
        <v>N/A</v>
      </c>
      <c r="Z699" s="58" t="str" cm="1">
        <f t="array" ref="Z6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699" s="58" t="str">
        <f>IF(Fixtures[[#This Row],[userSide]] = "N/A", "N/A", IF(Fixtures[[#This Row],[userSide]] = "H", Fixtures[[#This Row],[awayTeam]], Fixtures[[#This Row],[homeTeam]]))</f>
        <v>N/A</v>
      </c>
      <c r="AB699" s="58" t="str" cm="1">
        <f t="array" ref="AB699">_xlfn._xlws.FILTER(Teams[teamID], Fixtures[[#This Row],[oppTeam]] = Teams[name], "N/A")</f>
        <v>N/A</v>
      </c>
      <c r="AC699" s="58" t="str" cm="1">
        <f t="array" ref="AC699">_xlfn._xlws.FILTER(Teams[teamType], Fixtures[[#This Row],[oppTeam]] = Teams[name], "N/A")</f>
        <v>N/A</v>
      </c>
      <c r="AD699" s="58" t="str">
        <f>IF(ISBLANK(Fixtures[[#This Row],[date]]), "N/A", IF(Fixtures[[#This Row],[userSide]]="H", Fixtures[[#This Row],[homeScore]], Fixtures[[#This Row],[awayScore]]))</f>
        <v>N/A</v>
      </c>
      <c r="AE699" s="58" t="str">
        <f>IF(ISBLANK(Fixtures[[#This Row],[date]]), "N/A", IF(Fixtures[[#This Row],[userScore]] = Fixtures[[#This Row],[homeScore]], Fixtures[[#This Row],[awayScore]], Fixtures[[#This Row],[homeScore]]))</f>
        <v>N/A</v>
      </c>
      <c r="AF699" s="58" t="b">
        <f>NOT(AND(ISBLANK(Fixtures[[#This Row],[homePens]]), ISBLANK(Fixtures[[#This Row],[awayPens]])))</f>
        <v>0</v>
      </c>
      <c r="AG699" s="58" t="str">
        <f>IF(Fixtures[[#This Row],[penalties]], IF(Fixtures[[#This Row],[userSide]]="H", Fixtures[[#This Row],[homePens]], Fixtures[[#This Row],[awayPens]]), "N/A")</f>
        <v>N/A</v>
      </c>
      <c r="AH699" s="58" t="str">
        <f>IF(Fixtures[[#This Row],[penalties]], IF(Fixtures[[#This Row],[userPens]]=Fixtures[[#This Row],[homePens]],Fixtures[[#This Row],[awayPens]],Fixtures[[#This Row],[homePens]]), "N/A")</f>
        <v>N/A</v>
      </c>
      <c r="AI699" s="58" t="b">
        <f>COUNTBLANK(Fixtures[[#This Row],[G]:[MOTM]]) = 0</f>
        <v>0</v>
      </c>
      <c r="AJ699" s="58" t="str">
        <f>IF(Fixtures[[#This Row],[APP]], Fixtures[[#This Row],[G]]+Fixtures[[#This Row],[A]], "N/A")</f>
        <v>N/A</v>
      </c>
      <c r="AK6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6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6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0" spans="1:39" ht="13">
      <c r="A700" s="55"/>
      <c r="B700" s="61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7"/>
      <c r="R700" s="56"/>
      <c r="S700" s="58" t="str" cm="1">
        <f t="array" ref="S700">_xlfn._xlws.FILTER(Competitions[compType], (Fixtures[[#This Row],[competition]] = Competitions[name]), "N/A")</f>
        <v>N/A</v>
      </c>
      <c r="T700" s="58" t="str" cm="1">
        <f t="array" ref="T700">_xlfn._xlws.FILTER(Competitions[exhibition], (Fixtures[[#This Row],[competition]] = Competitions[name]), "N/A")</f>
        <v>N/A</v>
      </c>
      <c r="U700" s="58" t="str" cm="1">
        <f t="array" ref="U700">_xlfn._xlws.FILTER(Competitions[compID], (Fixtures[[#This Row],[competition]] = Competitions[name]), "N/A")</f>
        <v>N/A</v>
      </c>
      <c r="V7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0" s="58" t="str" cm="1">
        <f t="array" ref="W7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0" s="58" t="str" cm="1">
        <f t="array" ref="X700">_xlfn._xlws.FILTER(Teams[name], (Fixtures[[#This Row],[userTeamID]] = Teams[teamID]), "N/A")</f>
        <v>N/A</v>
      </c>
      <c r="Y700" s="58" t="str" cm="1">
        <f t="array" ref="Y700">_xlfn._xlws.FILTER(Teams[teamType], (Fixtures[[#This Row],[userTeamID]] = Teams[teamID]), "N/A")</f>
        <v>N/A</v>
      </c>
      <c r="Z700" s="58" t="str" cm="1">
        <f t="array" ref="Z7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0" s="58" t="str">
        <f>IF(Fixtures[[#This Row],[userSide]] = "N/A", "N/A", IF(Fixtures[[#This Row],[userSide]] = "H", Fixtures[[#This Row],[awayTeam]], Fixtures[[#This Row],[homeTeam]]))</f>
        <v>N/A</v>
      </c>
      <c r="AB700" s="58" t="str" cm="1">
        <f t="array" ref="AB700">_xlfn._xlws.FILTER(Teams[teamID], Fixtures[[#This Row],[oppTeam]] = Teams[name], "N/A")</f>
        <v>N/A</v>
      </c>
      <c r="AC700" s="58" t="str" cm="1">
        <f t="array" ref="AC700">_xlfn._xlws.FILTER(Teams[teamType], Fixtures[[#This Row],[oppTeam]] = Teams[name], "N/A")</f>
        <v>N/A</v>
      </c>
      <c r="AD700" s="58" t="str">
        <f>IF(ISBLANK(Fixtures[[#This Row],[date]]), "N/A", IF(Fixtures[[#This Row],[userSide]]="H", Fixtures[[#This Row],[homeScore]], Fixtures[[#This Row],[awayScore]]))</f>
        <v>N/A</v>
      </c>
      <c r="AE700" s="58" t="str">
        <f>IF(ISBLANK(Fixtures[[#This Row],[date]]), "N/A", IF(Fixtures[[#This Row],[userScore]] = Fixtures[[#This Row],[homeScore]], Fixtures[[#This Row],[awayScore]], Fixtures[[#This Row],[homeScore]]))</f>
        <v>N/A</v>
      </c>
      <c r="AF700" s="58" t="b">
        <f>NOT(AND(ISBLANK(Fixtures[[#This Row],[homePens]]), ISBLANK(Fixtures[[#This Row],[awayPens]])))</f>
        <v>0</v>
      </c>
      <c r="AG700" s="58" t="str">
        <f>IF(Fixtures[[#This Row],[penalties]], IF(Fixtures[[#This Row],[userSide]]="H", Fixtures[[#This Row],[homePens]], Fixtures[[#This Row],[awayPens]]), "N/A")</f>
        <v>N/A</v>
      </c>
      <c r="AH700" s="58" t="str">
        <f>IF(Fixtures[[#This Row],[penalties]], IF(Fixtures[[#This Row],[userPens]]=Fixtures[[#This Row],[homePens]],Fixtures[[#This Row],[awayPens]],Fixtures[[#This Row],[homePens]]), "N/A")</f>
        <v>N/A</v>
      </c>
      <c r="AI700" s="58" t="b">
        <f>COUNTBLANK(Fixtures[[#This Row],[G]:[MOTM]]) = 0</f>
        <v>0</v>
      </c>
      <c r="AJ700" s="58" t="str">
        <f>IF(Fixtures[[#This Row],[APP]], Fixtures[[#This Row],[G]]+Fixtures[[#This Row],[A]], "N/A")</f>
        <v>N/A</v>
      </c>
      <c r="AK7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1" spans="1:39" ht="13">
      <c r="A701" s="55"/>
      <c r="B701" s="61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7"/>
      <c r="R701" s="56"/>
      <c r="S701" s="58" t="str" cm="1">
        <f t="array" ref="S701">_xlfn._xlws.FILTER(Competitions[compType], (Fixtures[[#This Row],[competition]] = Competitions[name]), "N/A")</f>
        <v>N/A</v>
      </c>
      <c r="T701" s="58" t="str" cm="1">
        <f t="array" ref="T701">_xlfn._xlws.FILTER(Competitions[exhibition], (Fixtures[[#This Row],[competition]] = Competitions[name]), "N/A")</f>
        <v>N/A</v>
      </c>
      <c r="U701" s="58" t="str" cm="1">
        <f t="array" ref="U701">_xlfn._xlws.FILTER(Competitions[compID], (Fixtures[[#This Row],[competition]] = Competitions[name]), "N/A")</f>
        <v>N/A</v>
      </c>
      <c r="V7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1" s="58" t="str" cm="1">
        <f t="array" ref="W7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1" s="58" t="str" cm="1">
        <f t="array" ref="X701">_xlfn._xlws.FILTER(Teams[name], (Fixtures[[#This Row],[userTeamID]] = Teams[teamID]), "N/A")</f>
        <v>N/A</v>
      </c>
      <c r="Y701" s="58" t="str" cm="1">
        <f t="array" ref="Y701">_xlfn._xlws.FILTER(Teams[teamType], (Fixtures[[#This Row],[userTeamID]] = Teams[teamID]), "N/A")</f>
        <v>N/A</v>
      </c>
      <c r="Z701" s="58" t="str" cm="1">
        <f t="array" ref="Z7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1" s="58" t="str">
        <f>IF(Fixtures[[#This Row],[userSide]] = "N/A", "N/A", IF(Fixtures[[#This Row],[userSide]] = "H", Fixtures[[#This Row],[awayTeam]], Fixtures[[#This Row],[homeTeam]]))</f>
        <v>N/A</v>
      </c>
      <c r="AB701" s="58" t="str" cm="1">
        <f t="array" ref="AB701">_xlfn._xlws.FILTER(Teams[teamID], Fixtures[[#This Row],[oppTeam]] = Teams[name], "N/A")</f>
        <v>N/A</v>
      </c>
      <c r="AC701" s="58" t="str" cm="1">
        <f t="array" ref="AC701">_xlfn._xlws.FILTER(Teams[teamType], Fixtures[[#This Row],[oppTeam]] = Teams[name], "N/A")</f>
        <v>N/A</v>
      </c>
      <c r="AD701" s="58" t="str">
        <f>IF(ISBLANK(Fixtures[[#This Row],[date]]), "N/A", IF(Fixtures[[#This Row],[userSide]]="H", Fixtures[[#This Row],[homeScore]], Fixtures[[#This Row],[awayScore]]))</f>
        <v>N/A</v>
      </c>
      <c r="AE701" s="58" t="str">
        <f>IF(ISBLANK(Fixtures[[#This Row],[date]]), "N/A", IF(Fixtures[[#This Row],[userScore]] = Fixtures[[#This Row],[homeScore]], Fixtures[[#This Row],[awayScore]], Fixtures[[#This Row],[homeScore]]))</f>
        <v>N/A</v>
      </c>
      <c r="AF701" s="58" t="b">
        <f>NOT(AND(ISBLANK(Fixtures[[#This Row],[homePens]]), ISBLANK(Fixtures[[#This Row],[awayPens]])))</f>
        <v>0</v>
      </c>
      <c r="AG701" s="58" t="str">
        <f>IF(Fixtures[[#This Row],[penalties]], IF(Fixtures[[#This Row],[userSide]]="H", Fixtures[[#This Row],[homePens]], Fixtures[[#This Row],[awayPens]]), "N/A")</f>
        <v>N/A</v>
      </c>
      <c r="AH701" s="58" t="str">
        <f>IF(Fixtures[[#This Row],[penalties]], IF(Fixtures[[#This Row],[userPens]]=Fixtures[[#This Row],[homePens]],Fixtures[[#This Row],[awayPens]],Fixtures[[#This Row],[homePens]]), "N/A")</f>
        <v>N/A</v>
      </c>
      <c r="AI701" s="58" t="b">
        <f>COUNTBLANK(Fixtures[[#This Row],[G]:[MOTM]]) = 0</f>
        <v>0</v>
      </c>
      <c r="AJ701" s="58" t="str">
        <f>IF(Fixtures[[#This Row],[APP]], Fixtures[[#This Row],[G]]+Fixtures[[#This Row],[A]], "N/A")</f>
        <v>N/A</v>
      </c>
      <c r="AK7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2" spans="1:39" ht="13">
      <c r="A702" s="55"/>
      <c r="B702" s="61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7"/>
      <c r="R702" s="56"/>
      <c r="S702" s="58" t="str" cm="1">
        <f t="array" ref="S702">_xlfn._xlws.FILTER(Competitions[compType], (Fixtures[[#This Row],[competition]] = Competitions[name]), "N/A")</f>
        <v>N/A</v>
      </c>
      <c r="T702" s="58" t="str" cm="1">
        <f t="array" ref="T702">_xlfn._xlws.FILTER(Competitions[exhibition], (Fixtures[[#This Row],[competition]] = Competitions[name]), "N/A")</f>
        <v>N/A</v>
      </c>
      <c r="U702" s="58" t="str" cm="1">
        <f t="array" ref="U702">_xlfn._xlws.FILTER(Competitions[compID], (Fixtures[[#This Row],[competition]] = Competitions[name]), "N/A")</f>
        <v>N/A</v>
      </c>
      <c r="V7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2" s="58" t="str" cm="1">
        <f t="array" ref="W7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2" s="58" t="str" cm="1">
        <f t="array" ref="X702">_xlfn._xlws.FILTER(Teams[name], (Fixtures[[#This Row],[userTeamID]] = Teams[teamID]), "N/A")</f>
        <v>N/A</v>
      </c>
      <c r="Y702" s="58" t="str" cm="1">
        <f t="array" ref="Y702">_xlfn._xlws.FILTER(Teams[teamType], (Fixtures[[#This Row],[userTeamID]] = Teams[teamID]), "N/A")</f>
        <v>N/A</v>
      </c>
      <c r="Z702" s="58" t="str" cm="1">
        <f t="array" ref="Z7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2" s="58" t="str">
        <f>IF(Fixtures[[#This Row],[userSide]] = "N/A", "N/A", IF(Fixtures[[#This Row],[userSide]] = "H", Fixtures[[#This Row],[awayTeam]], Fixtures[[#This Row],[homeTeam]]))</f>
        <v>N/A</v>
      </c>
      <c r="AB702" s="58" t="str" cm="1">
        <f t="array" ref="AB702">_xlfn._xlws.FILTER(Teams[teamID], Fixtures[[#This Row],[oppTeam]] = Teams[name], "N/A")</f>
        <v>N/A</v>
      </c>
      <c r="AC702" s="58" t="str" cm="1">
        <f t="array" ref="AC702">_xlfn._xlws.FILTER(Teams[teamType], Fixtures[[#This Row],[oppTeam]] = Teams[name], "N/A")</f>
        <v>N/A</v>
      </c>
      <c r="AD702" s="58" t="str">
        <f>IF(ISBLANK(Fixtures[[#This Row],[date]]), "N/A", IF(Fixtures[[#This Row],[userSide]]="H", Fixtures[[#This Row],[homeScore]], Fixtures[[#This Row],[awayScore]]))</f>
        <v>N/A</v>
      </c>
      <c r="AE702" s="58" t="str">
        <f>IF(ISBLANK(Fixtures[[#This Row],[date]]), "N/A", IF(Fixtures[[#This Row],[userScore]] = Fixtures[[#This Row],[homeScore]], Fixtures[[#This Row],[awayScore]], Fixtures[[#This Row],[homeScore]]))</f>
        <v>N/A</v>
      </c>
      <c r="AF702" s="58" t="b">
        <f>NOT(AND(ISBLANK(Fixtures[[#This Row],[homePens]]), ISBLANK(Fixtures[[#This Row],[awayPens]])))</f>
        <v>0</v>
      </c>
      <c r="AG702" s="58" t="str">
        <f>IF(Fixtures[[#This Row],[penalties]], IF(Fixtures[[#This Row],[userSide]]="H", Fixtures[[#This Row],[homePens]], Fixtures[[#This Row],[awayPens]]), "N/A")</f>
        <v>N/A</v>
      </c>
      <c r="AH702" s="58" t="str">
        <f>IF(Fixtures[[#This Row],[penalties]], IF(Fixtures[[#This Row],[userPens]]=Fixtures[[#This Row],[homePens]],Fixtures[[#This Row],[awayPens]],Fixtures[[#This Row],[homePens]]), "N/A")</f>
        <v>N/A</v>
      </c>
      <c r="AI702" s="58" t="b">
        <f>COUNTBLANK(Fixtures[[#This Row],[G]:[MOTM]]) = 0</f>
        <v>0</v>
      </c>
      <c r="AJ702" s="58" t="str">
        <f>IF(Fixtures[[#This Row],[APP]], Fixtures[[#This Row],[G]]+Fixtures[[#This Row],[A]], "N/A")</f>
        <v>N/A</v>
      </c>
      <c r="AK7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3" spans="1:39" ht="13">
      <c r="A703" s="55"/>
      <c r="B703" s="61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7"/>
      <c r="R703" s="56"/>
      <c r="S703" s="58" t="str" cm="1">
        <f t="array" ref="S703">_xlfn._xlws.FILTER(Competitions[compType], (Fixtures[[#This Row],[competition]] = Competitions[name]), "N/A")</f>
        <v>N/A</v>
      </c>
      <c r="T703" s="58" t="str" cm="1">
        <f t="array" ref="T703">_xlfn._xlws.FILTER(Competitions[exhibition], (Fixtures[[#This Row],[competition]] = Competitions[name]), "N/A")</f>
        <v>N/A</v>
      </c>
      <c r="U703" s="58" t="str" cm="1">
        <f t="array" ref="U703">_xlfn._xlws.FILTER(Competitions[compID], (Fixtures[[#This Row],[competition]] = Competitions[name]), "N/A")</f>
        <v>N/A</v>
      </c>
      <c r="V7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3" s="58" t="str" cm="1">
        <f t="array" ref="W7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3" s="58" t="str" cm="1">
        <f t="array" ref="X703">_xlfn._xlws.FILTER(Teams[name], (Fixtures[[#This Row],[userTeamID]] = Teams[teamID]), "N/A")</f>
        <v>N/A</v>
      </c>
      <c r="Y703" s="58" t="str" cm="1">
        <f t="array" ref="Y703">_xlfn._xlws.FILTER(Teams[teamType], (Fixtures[[#This Row],[userTeamID]] = Teams[teamID]), "N/A")</f>
        <v>N/A</v>
      </c>
      <c r="Z703" s="58" t="str" cm="1">
        <f t="array" ref="Z7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3" s="58" t="str">
        <f>IF(Fixtures[[#This Row],[userSide]] = "N/A", "N/A", IF(Fixtures[[#This Row],[userSide]] = "H", Fixtures[[#This Row],[awayTeam]], Fixtures[[#This Row],[homeTeam]]))</f>
        <v>N/A</v>
      </c>
      <c r="AB703" s="58" t="str" cm="1">
        <f t="array" ref="AB703">_xlfn._xlws.FILTER(Teams[teamID], Fixtures[[#This Row],[oppTeam]] = Teams[name], "N/A")</f>
        <v>N/A</v>
      </c>
      <c r="AC703" s="58" t="str" cm="1">
        <f t="array" ref="AC703">_xlfn._xlws.FILTER(Teams[teamType], Fixtures[[#This Row],[oppTeam]] = Teams[name], "N/A")</f>
        <v>N/A</v>
      </c>
      <c r="AD703" s="58" t="str">
        <f>IF(ISBLANK(Fixtures[[#This Row],[date]]), "N/A", IF(Fixtures[[#This Row],[userSide]]="H", Fixtures[[#This Row],[homeScore]], Fixtures[[#This Row],[awayScore]]))</f>
        <v>N/A</v>
      </c>
      <c r="AE703" s="58" t="str">
        <f>IF(ISBLANK(Fixtures[[#This Row],[date]]), "N/A", IF(Fixtures[[#This Row],[userScore]] = Fixtures[[#This Row],[homeScore]], Fixtures[[#This Row],[awayScore]], Fixtures[[#This Row],[homeScore]]))</f>
        <v>N/A</v>
      </c>
      <c r="AF703" s="58" t="b">
        <f>NOT(AND(ISBLANK(Fixtures[[#This Row],[homePens]]), ISBLANK(Fixtures[[#This Row],[awayPens]])))</f>
        <v>0</v>
      </c>
      <c r="AG703" s="58" t="str">
        <f>IF(Fixtures[[#This Row],[penalties]], IF(Fixtures[[#This Row],[userSide]]="H", Fixtures[[#This Row],[homePens]], Fixtures[[#This Row],[awayPens]]), "N/A")</f>
        <v>N/A</v>
      </c>
      <c r="AH703" s="58" t="str">
        <f>IF(Fixtures[[#This Row],[penalties]], IF(Fixtures[[#This Row],[userPens]]=Fixtures[[#This Row],[homePens]],Fixtures[[#This Row],[awayPens]],Fixtures[[#This Row],[homePens]]), "N/A")</f>
        <v>N/A</v>
      </c>
      <c r="AI703" s="58" t="b">
        <f>COUNTBLANK(Fixtures[[#This Row],[G]:[MOTM]]) = 0</f>
        <v>0</v>
      </c>
      <c r="AJ703" s="58" t="str">
        <f>IF(Fixtures[[#This Row],[APP]], Fixtures[[#This Row],[G]]+Fixtures[[#This Row],[A]], "N/A")</f>
        <v>N/A</v>
      </c>
      <c r="AK7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4" spans="1:39" ht="13">
      <c r="A704" s="55"/>
      <c r="B704" s="61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7"/>
      <c r="R704" s="56"/>
      <c r="S704" s="58" t="str" cm="1">
        <f t="array" ref="S704">_xlfn._xlws.FILTER(Competitions[compType], (Fixtures[[#This Row],[competition]] = Competitions[name]), "N/A")</f>
        <v>N/A</v>
      </c>
      <c r="T704" s="58" t="str" cm="1">
        <f t="array" ref="T704">_xlfn._xlws.FILTER(Competitions[exhibition], (Fixtures[[#This Row],[competition]] = Competitions[name]), "N/A")</f>
        <v>N/A</v>
      </c>
      <c r="U704" s="58" t="str" cm="1">
        <f t="array" ref="U704">_xlfn._xlws.FILTER(Competitions[compID], (Fixtures[[#This Row],[competition]] = Competitions[name]), "N/A")</f>
        <v>N/A</v>
      </c>
      <c r="V7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4" s="58" t="str" cm="1">
        <f t="array" ref="W7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4" s="58" t="str" cm="1">
        <f t="array" ref="X704">_xlfn._xlws.FILTER(Teams[name], (Fixtures[[#This Row],[userTeamID]] = Teams[teamID]), "N/A")</f>
        <v>N/A</v>
      </c>
      <c r="Y704" s="58" t="str" cm="1">
        <f t="array" ref="Y704">_xlfn._xlws.FILTER(Teams[teamType], (Fixtures[[#This Row],[userTeamID]] = Teams[teamID]), "N/A")</f>
        <v>N/A</v>
      </c>
      <c r="Z704" s="58" t="str" cm="1">
        <f t="array" ref="Z7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4" s="58" t="str">
        <f>IF(Fixtures[[#This Row],[userSide]] = "N/A", "N/A", IF(Fixtures[[#This Row],[userSide]] = "H", Fixtures[[#This Row],[awayTeam]], Fixtures[[#This Row],[homeTeam]]))</f>
        <v>N/A</v>
      </c>
      <c r="AB704" s="58" t="str" cm="1">
        <f t="array" ref="AB704">_xlfn._xlws.FILTER(Teams[teamID], Fixtures[[#This Row],[oppTeam]] = Teams[name], "N/A")</f>
        <v>N/A</v>
      </c>
      <c r="AC704" s="58" t="str" cm="1">
        <f t="array" ref="AC704">_xlfn._xlws.FILTER(Teams[teamType], Fixtures[[#This Row],[oppTeam]] = Teams[name], "N/A")</f>
        <v>N/A</v>
      </c>
      <c r="AD704" s="58" t="str">
        <f>IF(ISBLANK(Fixtures[[#This Row],[date]]), "N/A", IF(Fixtures[[#This Row],[userSide]]="H", Fixtures[[#This Row],[homeScore]], Fixtures[[#This Row],[awayScore]]))</f>
        <v>N/A</v>
      </c>
      <c r="AE704" s="58" t="str">
        <f>IF(ISBLANK(Fixtures[[#This Row],[date]]), "N/A", IF(Fixtures[[#This Row],[userScore]] = Fixtures[[#This Row],[homeScore]], Fixtures[[#This Row],[awayScore]], Fixtures[[#This Row],[homeScore]]))</f>
        <v>N/A</v>
      </c>
      <c r="AF704" s="58" t="b">
        <f>NOT(AND(ISBLANK(Fixtures[[#This Row],[homePens]]), ISBLANK(Fixtures[[#This Row],[awayPens]])))</f>
        <v>0</v>
      </c>
      <c r="AG704" s="58" t="str">
        <f>IF(Fixtures[[#This Row],[penalties]], IF(Fixtures[[#This Row],[userSide]]="H", Fixtures[[#This Row],[homePens]], Fixtures[[#This Row],[awayPens]]), "N/A")</f>
        <v>N/A</v>
      </c>
      <c r="AH704" s="58" t="str">
        <f>IF(Fixtures[[#This Row],[penalties]], IF(Fixtures[[#This Row],[userPens]]=Fixtures[[#This Row],[homePens]],Fixtures[[#This Row],[awayPens]],Fixtures[[#This Row],[homePens]]), "N/A")</f>
        <v>N/A</v>
      </c>
      <c r="AI704" s="58" t="b">
        <f>COUNTBLANK(Fixtures[[#This Row],[G]:[MOTM]]) = 0</f>
        <v>0</v>
      </c>
      <c r="AJ704" s="58" t="str">
        <f>IF(Fixtures[[#This Row],[APP]], Fixtures[[#This Row],[G]]+Fixtures[[#This Row],[A]], "N/A")</f>
        <v>N/A</v>
      </c>
      <c r="AK7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5" spans="1:39" ht="13">
      <c r="A705" s="55"/>
      <c r="B705" s="61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7"/>
      <c r="R705" s="56"/>
      <c r="S705" s="58" t="str" cm="1">
        <f t="array" ref="S705">_xlfn._xlws.FILTER(Competitions[compType], (Fixtures[[#This Row],[competition]] = Competitions[name]), "N/A")</f>
        <v>N/A</v>
      </c>
      <c r="T705" s="58" t="str" cm="1">
        <f t="array" ref="T705">_xlfn._xlws.FILTER(Competitions[exhibition], (Fixtures[[#This Row],[competition]] = Competitions[name]), "N/A")</f>
        <v>N/A</v>
      </c>
      <c r="U705" s="58" t="str" cm="1">
        <f t="array" ref="U705">_xlfn._xlws.FILTER(Competitions[compID], (Fixtures[[#This Row],[competition]] = Competitions[name]), "N/A")</f>
        <v>N/A</v>
      </c>
      <c r="V7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5" s="58" t="str" cm="1">
        <f t="array" ref="W7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5" s="58" t="str" cm="1">
        <f t="array" ref="X705">_xlfn._xlws.FILTER(Teams[name], (Fixtures[[#This Row],[userTeamID]] = Teams[teamID]), "N/A")</f>
        <v>N/A</v>
      </c>
      <c r="Y705" s="58" t="str" cm="1">
        <f t="array" ref="Y705">_xlfn._xlws.FILTER(Teams[teamType], (Fixtures[[#This Row],[userTeamID]] = Teams[teamID]), "N/A")</f>
        <v>N/A</v>
      </c>
      <c r="Z705" s="58" t="str" cm="1">
        <f t="array" ref="Z7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5" s="58" t="str">
        <f>IF(Fixtures[[#This Row],[userSide]] = "N/A", "N/A", IF(Fixtures[[#This Row],[userSide]] = "H", Fixtures[[#This Row],[awayTeam]], Fixtures[[#This Row],[homeTeam]]))</f>
        <v>N/A</v>
      </c>
      <c r="AB705" s="58" t="str" cm="1">
        <f t="array" ref="AB705">_xlfn._xlws.FILTER(Teams[teamID], Fixtures[[#This Row],[oppTeam]] = Teams[name], "N/A")</f>
        <v>N/A</v>
      </c>
      <c r="AC705" s="58" t="str" cm="1">
        <f t="array" ref="AC705">_xlfn._xlws.FILTER(Teams[teamType], Fixtures[[#This Row],[oppTeam]] = Teams[name], "N/A")</f>
        <v>N/A</v>
      </c>
      <c r="AD705" s="58" t="str">
        <f>IF(ISBLANK(Fixtures[[#This Row],[date]]), "N/A", IF(Fixtures[[#This Row],[userSide]]="H", Fixtures[[#This Row],[homeScore]], Fixtures[[#This Row],[awayScore]]))</f>
        <v>N/A</v>
      </c>
      <c r="AE705" s="58" t="str">
        <f>IF(ISBLANK(Fixtures[[#This Row],[date]]), "N/A", IF(Fixtures[[#This Row],[userScore]] = Fixtures[[#This Row],[homeScore]], Fixtures[[#This Row],[awayScore]], Fixtures[[#This Row],[homeScore]]))</f>
        <v>N/A</v>
      </c>
      <c r="AF705" s="58" t="b">
        <f>NOT(AND(ISBLANK(Fixtures[[#This Row],[homePens]]), ISBLANK(Fixtures[[#This Row],[awayPens]])))</f>
        <v>0</v>
      </c>
      <c r="AG705" s="58" t="str">
        <f>IF(Fixtures[[#This Row],[penalties]], IF(Fixtures[[#This Row],[userSide]]="H", Fixtures[[#This Row],[homePens]], Fixtures[[#This Row],[awayPens]]), "N/A")</f>
        <v>N/A</v>
      </c>
      <c r="AH705" s="58" t="str">
        <f>IF(Fixtures[[#This Row],[penalties]], IF(Fixtures[[#This Row],[userPens]]=Fixtures[[#This Row],[homePens]],Fixtures[[#This Row],[awayPens]],Fixtures[[#This Row],[homePens]]), "N/A")</f>
        <v>N/A</v>
      </c>
      <c r="AI705" s="58" t="b">
        <f>COUNTBLANK(Fixtures[[#This Row],[G]:[MOTM]]) = 0</f>
        <v>0</v>
      </c>
      <c r="AJ705" s="58" t="str">
        <f>IF(Fixtures[[#This Row],[APP]], Fixtures[[#This Row],[G]]+Fixtures[[#This Row],[A]], "N/A")</f>
        <v>N/A</v>
      </c>
      <c r="AK7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6" spans="1:39" ht="13">
      <c r="A706" s="55"/>
      <c r="B706" s="61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7"/>
      <c r="R706" s="56"/>
      <c r="S706" s="58" t="str" cm="1">
        <f t="array" ref="S706">_xlfn._xlws.FILTER(Competitions[compType], (Fixtures[[#This Row],[competition]] = Competitions[name]), "N/A")</f>
        <v>N/A</v>
      </c>
      <c r="T706" s="58" t="str" cm="1">
        <f t="array" ref="T706">_xlfn._xlws.FILTER(Competitions[exhibition], (Fixtures[[#This Row],[competition]] = Competitions[name]), "N/A")</f>
        <v>N/A</v>
      </c>
      <c r="U706" s="58" t="str" cm="1">
        <f t="array" ref="U706">_xlfn._xlws.FILTER(Competitions[compID], (Fixtures[[#This Row],[competition]] = Competitions[name]), "N/A")</f>
        <v>N/A</v>
      </c>
      <c r="V7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6" s="58" t="str" cm="1">
        <f t="array" ref="W7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6" s="58" t="str" cm="1">
        <f t="array" ref="X706">_xlfn._xlws.FILTER(Teams[name], (Fixtures[[#This Row],[userTeamID]] = Teams[teamID]), "N/A")</f>
        <v>N/A</v>
      </c>
      <c r="Y706" s="58" t="str" cm="1">
        <f t="array" ref="Y706">_xlfn._xlws.FILTER(Teams[teamType], (Fixtures[[#This Row],[userTeamID]] = Teams[teamID]), "N/A")</f>
        <v>N/A</v>
      </c>
      <c r="Z706" s="58" t="str" cm="1">
        <f t="array" ref="Z7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6" s="58" t="str">
        <f>IF(Fixtures[[#This Row],[userSide]] = "N/A", "N/A", IF(Fixtures[[#This Row],[userSide]] = "H", Fixtures[[#This Row],[awayTeam]], Fixtures[[#This Row],[homeTeam]]))</f>
        <v>N/A</v>
      </c>
      <c r="AB706" s="58" t="str" cm="1">
        <f t="array" ref="AB706">_xlfn._xlws.FILTER(Teams[teamID], Fixtures[[#This Row],[oppTeam]] = Teams[name], "N/A")</f>
        <v>N/A</v>
      </c>
      <c r="AC706" s="58" t="str" cm="1">
        <f t="array" ref="AC706">_xlfn._xlws.FILTER(Teams[teamType], Fixtures[[#This Row],[oppTeam]] = Teams[name], "N/A")</f>
        <v>N/A</v>
      </c>
      <c r="AD706" s="58" t="str">
        <f>IF(ISBLANK(Fixtures[[#This Row],[date]]), "N/A", IF(Fixtures[[#This Row],[userSide]]="H", Fixtures[[#This Row],[homeScore]], Fixtures[[#This Row],[awayScore]]))</f>
        <v>N/A</v>
      </c>
      <c r="AE706" s="58" t="str">
        <f>IF(ISBLANK(Fixtures[[#This Row],[date]]), "N/A", IF(Fixtures[[#This Row],[userScore]] = Fixtures[[#This Row],[homeScore]], Fixtures[[#This Row],[awayScore]], Fixtures[[#This Row],[homeScore]]))</f>
        <v>N/A</v>
      </c>
      <c r="AF706" s="58" t="b">
        <f>NOT(AND(ISBLANK(Fixtures[[#This Row],[homePens]]), ISBLANK(Fixtures[[#This Row],[awayPens]])))</f>
        <v>0</v>
      </c>
      <c r="AG706" s="58" t="str">
        <f>IF(Fixtures[[#This Row],[penalties]], IF(Fixtures[[#This Row],[userSide]]="H", Fixtures[[#This Row],[homePens]], Fixtures[[#This Row],[awayPens]]), "N/A")</f>
        <v>N/A</v>
      </c>
      <c r="AH706" s="58" t="str">
        <f>IF(Fixtures[[#This Row],[penalties]], IF(Fixtures[[#This Row],[userPens]]=Fixtures[[#This Row],[homePens]],Fixtures[[#This Row],[awayPens]],Fixtures[[#This Row],[homePens]]), "N/A")</f>
        <v>N/A</v>
      </c>
      <c r="AI706" s="58" t="b">
        <f>COUNTBLANK(Fixtures[[#This Row],[G]:[MOTM]]) = 0</f>
        <v>0</v>
      </c>
      <c r="AJ706" s="58" t="str">
        <f>IF(Fixtures[[#This Row],[APP]], Fixtures[[#This Row],[G]]+Fixtures[[#This Row],[A]], "N/A")</f>
        <v>N/A</v>
      </c>
      <c r="AK7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7" spans="1:39" ht="13">
      <c r="A707" s="55"/>
      <c r="B707" s="61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7"/>
      <c r="R707" s="56"/>
      <c r="S707" s="58" t="str" cm="1">
        <f t="array" ref="S707">_xlfn._xlws.FILTER(Competitions[compType], (Fixtures[[#This Row],[competition]] = Competitions[name]), "N/A")</f>
        <v>N/A</v>
      </c>
      <c r="T707" s="58" t="str" cm="1">
        <f t="array" ref="T707">_xlfn._xlws.FILTER(Competitions[exhibition], (Fixtures[[#This Row],[competition]] = Competitions[name]), "N/A")</f>
        <v>N/A</v>
      </c>
      <c r="U707" s="58" t="str" cm="1">
        <f t="array" ref="U707">_xlfn._xlws.FILTER(Competitions[compID], (Fixtures[[#This Row],[competition]] = Competitions[name]), "N/A")</f>
        <v>N/A</v>
      </c>
      <c r="V7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7" s="58" t="str" cm="1">
        <f t="array" ref="W7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7" s="58" t="str" cm="1">
        <f t="array" ref="X707">_xlfn._xlws.FILTER(Teams[name], (Fixtures[[#This Row],[userTeamID]] = Teams[teamID]), "N/A")</f>
        <v>N/A</v>
      </c>
      <c r="Y707" s="58" t="str" cm="1">
        <f t="array" ref="Y707">_xlfn._xlws.FILTER(Teams[teamType], (Fixtures[[#This Row],[userTeamID]] = Teams[teamID]), "N/A")</f>
        <v>N/A</v>
      </c>
      <c r="Z707" s="58" t="str" cm="1">
        <f t="array" ref="Z7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7" s="58" t="str">
        <f>IF(Fixtures[[#This Row],[userSide]] = "N/A", "N/A", IF(Fixtures[[#This Row],[userSide]] = "H", Fixtures[[#This Row],[awayTeam]], Fixtures[[#This Row],[homeTeam]]))</f>
        <v>N/A</v>
      </c>
      <c r="AB707" s="58" t="str" cm="1">
        <f t="array" ref="AB707">_xlfn._xlws.FILTER(Teams[teamID], Fixtures[[#This Row],[oppTeam]] = Teams[name], "N/A")</f>
        <v>N/A</v>
      </c>
      <c r="AC707" s="58" t="str" cm="1">
        <f t="array" ref="AC707">_xlfn._xlws.FILTER(Teams[teamType], Fixtures[[#This Row],[oppTeam]] = Teams[name], "N/A")</f>
        <v>N/A</v>
      </c>
      <c r="AD707" s="58" t="str">
        <f>IF(ISBLANK(Fixtures[[#This Row],[date]]), "N/A", IF(Fixtures[[#This Row],[userSide]]="H", Fixtures[[#This Row],[homeScore]], Fixtures[[#This Row],[awayScore]]))</f>
        <v>N/A</v>
      </c>
      <c r="AE707" s="58" t="str">
        <f>IF(ISBLANK(Fixtures[[#This Row],[date]]), "N/A", IF(Fixtures[[#This Row],[userScore]] = Fixtures[[#This Row],[homeScore]], Fixtures[[#This Row],[awayScore]], Fixtures[[#This Row],[homeScore]]))</f>
        <v>N/A</v>
      </c>
      <c r="AF707" s="58" t="b">
        <f>NOT(AND(ISBLANK(Fixtures[[#This Row],[homePens]]), ISBLANK(Fixtures[[#This Row],[awayPens]])))</f>
        <v>0</v>
      </c>
      <c r="AG707" s="58" t="str">
        <f>IF(Fixtures[[#This Row],[penalties]], IF(Fixtures[[#This Row],[userSide]]="H", Fixtures[[#This Row],[homePens]], Fixtures[[#This Row],[awayPens]]), "N/A")</f>
        <v>N/A</v>
      </c>
      <c r="AH707" s="58" t="str">
        <f>IF(Fixtures[[#This Row],[penalties]], IF(Fixtures[[#This Row],[userPens]]=Fixtures[[#This Row],[homePens]],Fixtures[[#This Row],[awayPens]],Fixtures[[#This Row],[homePens]]), "N/A")</f>
        <v>N/A</v>
      </c>
      <c r="AI707" s="58" t="b">
        <f>COUNTBLANK(Fixtures[[#This Row],[G]:[MOTM]]) = 0</f>
        <v>0</v>
      </c>
      <c r="AJ707" s="58" t="str">
        <f>IF(Fixtures[[#This Row],[APP]], Fixtures[[#This Row],[G]]+Fixtures[[#This Row],[A]], "N/A")</f>
        <v>N/A</v>
      </c>
      <c r="AK7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8" spans="1:39" ht="13">
      <c r="A708" s="55"/>
      <c r="B708" s="61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7"/>
      <c r="R708" s="56"/>
      <c r="S708" s="58" t="str" cm="1">
        <f t="array" ref="S708">_xlfn._xlws.FILTER(Competitions[compType], (Fixtures[[#This Row],[competition]] = Competitions[name]), "N/A")</f>
        <v>N/A</v>
      </c>
      <c r="T708" s="58" t="str" cm="1">
        <f t="array" ref="T708">_xlfn._xlws.FILTER(Competitions[exhibition], (Fixtures[[#This Row],[competition]] = Competitions[name]), "N/A")</f>
        <v>N/A</v>
      </c>
      <c r="U708" s="58" t="str" cm="1">
        <f t="array" ref="U708">_xlfn._xlws.FILTER(Competitions[compID], (Fixtures[[#This Row],[competition]] = Competitions[name]), "N/A")</f>
        <v>N/A</v>
      </c>
      <c r="V7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8" s="58" t="str" cm="1">
        <f t="array" ref="W7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8" s="58" t="str" cm="1">
        <f t="array" ref="X708">_xlfn._xlws.FILTER(Teams[name], (Fixtures[[#This Row],[userTeamID]] = Teams[teamID]), "N/A")</f>
        <v>N/A</v>
      </c>
      <c r="Y708" s="58" t="str" cm="1">
        <f t="array" ref="Y708">_xlfn._xlws.FILTER(Teams[teamType], (Fixtures[[#This Row],[userTeamID]] = Teams[teamID]), "N/A")</f>
        <v>N/A</v>
      </c>
      <c r="Z708" s="58" t="str" cm="1">
        <f t="array" ref="Z7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8" s="58" t="str">
        <f>IF(Fixtures[[#This Row],[userSide]] = "N/A", "N/A", IF(Fixtures[[#This Row],[userSide]] = "H", Fixtures[[#This Row],[awayTeam]], Fixtures[[#This Row],[homeTeam]]))</f>
        <v>N/A</v>
      </c>
      <c r="AB708" s="58" t="str" cm="1">
        <f t="array" ref="AB708">_xlfn._xlws.FILTER(Teams[teamID], Fixtures[[#This Row],[oppTeam]] = Teams[name], "N/A")</f>
        <v>N/A</v>
      </c>
      <c r="AC708" s="58" t="str" cm="1">
        <f t="array" ref="AC708">_xlfn._xlws.FILTER(Teams[teamType], Fixtures[[#This Row],[oppTeam]] = Teams[name], "N/A")</f>
        <v>N/A</v>
      </c>
      <c r="AD708" s="58" t="str">
        <f>IF(ISBLANK(Fixtures[[#This Row],[date]]), "N/A", IF(Fixtures[[#This Row],[userSide]]="H", Fixtures[[#This Row],[homeScore]], Fixtures[[#This Row],[awayScore]]))</f>
        <v>N/A</v>
      </c>
      <c r="AE708" s="58" t="str">
        <f>IF(ISBLANK(Fixtures[[#This Row],[date]]), "N/A", IF(Fixtures[[#This Row],[userScore]] = Fixtures[[#This Row],[homeScore]], Fixtures[[#This Row],[awayScore]], Fixtures[[#This Row],[homeScore]]))</f>
        <v>N/A</v>
      </c>
      <c r="AF708" s="58" t="b">
        <f>NOT(AND(ISBLANK(Fixtures[[#This Row],[homePens]]), ISBLANK(Fixtures[[#This Row],[awayPens]])))</f>
        <v>0</v>
      </c>
      <c r="AG708" s="58" t="str">
        <f>IF(Fixtures[[#This Row],[penalties]], IF(Fixtures[[#This Row],[userSide]]="H", Fixtures[[#This Row],[homePens]], Fixtures[[#This Row],[awayPens]]), "N/A")</f>
        <v>N/A</v>
      </c>
      <c r="AH708" s="58" t="str">
        <f>IF(Fixtures[[#This Row],[penalties]], IF(Fixtures[[#This Row],[userPens]]=Fixtures[[#This Row],[homePens]],Fixtures[[#This Row],[awayPens]],Fixtures[[#This Row],[homePens]]), "N/A")</f>
        <v>N/A</v>
      </c>
      <c r="AI708" s="58" t="b">
        <f>COUNTBLANK(Fixtures[[#This Row],[G]:[MOTM]]) = 0</f>
        <v>0</v>
      </c>
      <c r="AJ708" s="58" t="str">
        <f>IF(Fixtures[[#This Row],[APP]], Fixtures[[#This Row],[G]]+Fixtures[[#This Row],[A]], "N/A")</f>
        <v>N/A</v>
      </c>
      <c r="AK7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09" spans="1:39" ht="13">
      <c r="A709" s="55"/>
      <c r="B709" s="61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7"/>
      <c r="R709" s="56"/>
      <c r="S709" s="58" t="str" cm="1">
        <f t="array" ref="S709">_xlfn._xlws.FILTER(Competitions[compType], (Fixtures[[#This Row],[competition]] = Competitions[name]), "N/A")</f>
        <v>N/A</v>
      </c>
      <c r="T709" s="58" t="str" cm="1">
        <f t="array" ref="T709">_xlfn._xlws.FILTER(Competitions[exhibition], (Fixtures[[#This Row],[competition]] = Competitions[name]), "N/A")</f>
        <v>N/A</v>
      </c>
      <c r="U709" s="58" t="str" cm="1">
        <f t="array" ref="U709">_xlfn._xlws.FILTER(Competitions[compID], (Fixtures[[#This Row],[competition]] = Competitions[name]), "N/A")</f>
        <v>N/A</v>
      </c>
      <c r="V7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09" s="58" t="str" cm="1">
        <f t="array" ref="W7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09" s="58" t="str" cm="1">
        <f t="array" ref="X709">_xlfn._xlws.FILTER(Teams[name], (Fixtures[[#This Row],[userTeamID]] = Teams[teamID]), "N/A")</f>
        <v>N/A</v>
      </c>
      <c r="Y709" s="58" t="str" cm="1">
        <f t="array" ref="Y709">_xlfn._xlws.FILTER(Teams[teamType], (Fixtures[[#This Row],[userTeamID]] = Teams[teamID]), "N/A")</f>
        <v>N/A</v>
      </c>
      <c r="Z709" s="58" t="str" cm="1">
        <f t="array" ref="Z7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09" s="58" t="str">
        <f>IF(Fixtures[[#This Row],[userSide]] = "N/A", "N/A", IF(Fixtures[[#This Row],[userSide]] = "H", Fixtures[[#This Row],[awayTeam]], Fixtures[[#This Row],[homeTeam]]))</f>
        <v>N/A</v>
      </c>
      <c r="AB709" s="58" t="str" cm="1">
        <f t="array" ref="AB709">_xlfn._xlws.FILTER(Teams[teamID], Fixtures[[#This Row],[oppTeam]] = Teams[name], "N/A")</f>
        <v>N/A</v>
      </c>
      <c r="AC709" s="58" t="str" cm="1">
        <f t="array" ref="AC709">_xlfn._xlws.FILTER(Teams[teamType], Fixtures[[#This Row],[oppTeam]] = Teams[name], "N/A")</f>
        <v>N/A</v>
      </c>
      <c r="AD709" s="58" t="str">
        <f>IF(ISBLANK(Fixtures[[#This Row],[date]]), "N/A", IF(Fixtures[[#This Row],[userSide]]="H", Fixtures[[#This Row],[homeScore]], Fixtures[[#This Row],[awayScore]]))</f>
        <v>N/A</v>
      </c>
      <c r="AE709" s="58" t="str">
        <f>IF(ISBLANK(Fixtures[[#This Row],[date]]), "N/A", IF(Fixtures[[#This Row],[userScore]] = Fixtures[[#This Row],[homeScore]], Fixtures[[#This Row],[awayScore]], Fixtures[[#This Row],[homeScore]]))</f>
        <v>N/A</v>
      </c>
      <c r="AF709" s="58" t="b">
        <f>NOT(AND(ISBLANK(Fixtures[[#This Row],[homePens]]), ISBLANK(Fixtures[[#This Row],[awayPens]])))</f>
        <v>0</v>
      </c>
      <c r="AG709" s="58" t="str">
        <f>IF(Fixtures[[#This Row],[penalties]], IF(Fixtures[[#This Row],[userSide]]="H", Fixtures[[#This Row],[homePens]], Fixtures[[#This Row],[awayPens]]), "N/A")</f>
        <v>N/A</v>
      </c>
      <c r="AH709" s="58" t="str">
        <f>IF(Fixtures[[#This Row],[penalties]], IF(Fixtures[[#This Row],[userPens]]=Fixtures[[#This Row],[homePens]],Fixtures[[#This Row],[awayPens]],Fixtures[[#This Row],[homePens]]), "N/A")</f>
        <v>N/A</v>
      </c>
      <c r="AI709" s="58" t="b">
        <f>COUNTBLANK(Fixtures[[#This Row],[G]:[MOTM]]) = 0</f>
        <v>0</v>
      </c>
      <c r="AJ709" s="58" t="str">
        <f>IF(Fixtures[[#This Row],[APP]], Fixtures[[#This Row],[G]]+Fixtures[[#This Row],[A]], "N/A")</f>
        <v>N/A</v>
      </c>
      <c r="AK7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0" spans="1:39" ht="13">
      <c r="A710" s="55"/>
      <c r="B710" s="61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7"/>
      <c r="R710" s="56"/>
      <c r="S710" s="58" t="str" cm="1">
        <f t="array" ref="S710">_xlfn._xlws.FILTER(Competitions[compType], (Fixtures[[#This Row],[competition]] = Competitions[name]), "N/A")</f>
        <v>N/A</v>
      </c>
      <c r="T710" s="58" t="str" cm="1">
        <f t="array" ref="T710">_xlfn._xlws.FILTER(Competitions[exhibition], (Fixtures[[#This Row],[competition]] = Competitions[name]), "N/A")</f>
        <v>N/A</v>
      </c>
      <c r="U710" s="58" t="str" cm="1">
        <f t="array" ref="U710">_xlfn._xlws.FILTER(Competitions[compID], (Fixtures[[#This Row],[competition]] = Competitions[name]), "N/A")</f>
        <v>N/A</v>
      </c>
      <c r="V7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0" s="58" t="str" cm="1">
        <f t="array" ref="W7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0" s="58" t="str" cm="1">
        <f t="array" ref="X710">_xlfn._xlws.FILTER(Teams[name], (Fixtures[[#This Row],[userTeamID]] = Teams[teamID]), "N/A")</f>
        <v>N/A</v>
      </c>
      <c r="Y710" s="58" t="str" cm="1">
        <f t="array" ref="Y710">_xlfn._xlws.FILTER(Teams[teamType], (Fixtures[[#This Row],[userTeamID]] = Teams[teamID]), "N/A")</f>
        <v>N/A</v>
      </c>
      <c r="Z710" s="58" t="str" cm="1">
        <f t="array" ref="Z7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0" s="58" t="str">
        <f>IF(Fixtures[[#This Row],[userSide]] = "N/A", "N/A", IF(Fixtures[[#This Row],[userSide]] = "H", Fixtures[[#This Row],[awayTeam]], Fixtures[[#This Row],[homeTeam]]))</f>
        <v>N/A</v>
      </c>
      <c r="AB710" s="58" t="str" cm="1">
        <f t="array" ref="AB710">_xlfn._xlws.FILTER(Teams[teamID], Fixtures[[#This Row],[oppTeam]] = Teams[name], "N/A")</f>
        <v>N/A</v>
      </c>
      <c r="AC710" s="58" t="str" cm="1">
        <f t="array" ref="AC710">_xlfn._xlws.FILTER(Teams[teamType], Fixtures[[#This Row],[oppTeam]] = Teams[name], "N/A")</f>
        <v>N/A</v>
      </c>
      <c r="AD710" s="58" t="str">
        <f>IF(ISBLANK(Fixtures[[#This Row],[date]]), "N/A", IF(Fixtures[[#This Row],[userSide]]="H", Fixtures[[#This Row],[homeScore]], Fixtures[[#This Row],[awayScore]]))</f>
        <v>N/A</v>
      </c>
      <c r="AE710" s="58" t="str">
        <f>IF(ISBLANK(Fixtures[[#This Row],[date]]), "N/A", IF(Fixtures[[#This Row],[userScore]] = Fixtures[[#This Row],[homeScore]], Fixtures[[#This Row],[awayScore]], Fixtures[[#This Row],[homeScore]]))</f>
        <v>N/A</v>
      </c>
      <c r="AF710" s="58" t="b">
        <f>NOT(AND(ISBLANK(Fixtures[[#This Row],[homePens]]), ISBLANK(Fixtures[[#This Row],[awayPens]])))</f>
        <v>0</v>
      </c>
      <c r="AG710" s="58" t="str">
        <f>IF(Fixtures[[#This Row],[penalties]], IF(Fixtures[[#This Row],[userSide]]="H", Fixtures[[#This Row],[homePens]], Fixtures[[#This Row],[awayPens]]), "N/A")</f>
        <v>N/A</v>
      </c>
      <c r="AH710" s="58" t="str">
        <f>IF(Fixtures[[#This Row],[penalties]], IF(Fixtures[[#This Row],[userPens]]=Fixtures[[#This Row],[homePens]],Fixtures[[#This Row],[awayPens]],Fixtures[[#This Row],[homePens]]), "N/A")</f>
        <v>N/A</v>
      </c>
      <c r="AI710" s="58" t="b">
        <f>COUNTBLANK(Fixtures[[#This Row],[G]:[MOTM]]) = 0</f>
        <v>0</v>
      </c>
      <c r="AJ710" s="58" t="str">
        <f>IF(Fixtures[[#This Row],[APP]], Fixtures[[#This Row],[G]]+Fixtures[[#This Row],[A]], "N/A")</f>
        <v>N/A</v>
      </c>
      <c r="AK7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1" spans="1:39" ht="13">
      <c r="A711" s="55"/>
      <c r="B711" s="61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7"/>
      <c r="R711" s="56"/>
      <c r="S711" s="58" t="str" cm="1">
        <f t="array" ref="S711">_xlfn._xlws.FILTER(Competitions[compType], (Fixtures[[#This Row],[competition]] = Competitions[name]), "N/A")</f>
        <v>N/A</v>
      </c>
      <c r="T711" s="58" t="str" cm="1">
        <f t="array" ref="T711">_xlfn._xlws.FILTER(Competitions[exhibition], (Fixtures[[#This Row],[competition]] = Competitions[name]), "N/A")</f>
        <v>N/A</v>
      </c>
      <c r="U711" s="58" t="str" cm="1">
        <f t="array" ref="U711">_xlfn._xlws.FILTER(Competitions[compID], (Fixtures[[#This Row],[competition]] = Competitions[name]), "N/A")</f>
        <v>N/A</v>
      </c>
      <c r="V7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1" s="58" t="str" cm="1">
        <f t="array" ref="W7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1" s="58" t="str" cm="1">
        <f t="array" ref="X711">_xlfn._xlws.FILTER(Teams[name], (Fixtures[[#This Row],[userTeamID]] = Teams[teamID]), "N/A")</f>
        <v>N/A</v>
      </c>
      <c r="Y711" s="58" t="str" cm="1">
        <f t="array" ref="Y711">_xlfn._xlws.FILTER(Teams[teamType], (Fixtures[[#This Row],[userTeamID]] = Teams[teamID]), "N/A")</f>
        <v>N/A</v>
      </c>
      <c r="Z711" s="58" t="str" cm="1">
        <f t="array" ref="Z7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1" s="58" t="str">
        <f>IF(Fixtures[[#This Row],[userSide]] = "N/A", "N/A", IF(Fixtures[[#This Row],[userSide]] = "H", Fixtures[[#This Row],[awayTeam]], Fixtures[[#This Row],[homeTeam]]))</f>
        <v>N/A</v>
      </c>
      <c r="AB711" s="58" t="str" cm="1">
        <f t="array" ref="AB711">_xlfn._xlws.FILTER(Teams[teamID], Fixtures[[#This Row],[oppTeam]] = Teams[name], "N/A")</f>
        <v>N/A</v>
      </c>
      <c r="AC711" s="58" t="str" cm="1">
        <f t="array" ref="AC711">_xlfn._xlws.FILTER(Teams[teamType], Fixtures[[#This Row],[oppTeam]] = Teams[name], "N/A")</f>
        <v>N/A</v>
      </c>
      <c r="AD711" s="58" t="str">
        <f>IF(ISBLANK(Fixtures[[#This Row],[date]]), "N/A", IF(Fixtures[[#This Row],[userSide]]="H", Fixtures[[#This Row],[homeScore]], Fixtures[[#This Row],[awayScore]]))</f>
        <v>N/A</v>
      </c>
      <c r="AE711" s="58" t="str">
        <f>IF(ISBLANK(Fixtures[[#This Row],[date]]), "N/A", IF(Fixtures[[#This Row],[userScore]] = Fixtures[[#This Row],[homeScore]], Fixtures[[#This Row],[awayScore]], Fixtures[[#This Row],[homeScore]]))</f>
        <v>N/A</v>
      </c>
      <c r="AF711" s="58" t="b">
        <f>NOT(AND(ISBLANK(Fixtures[[#This Row],[homePens]]), ISBLANK(Fixtures[[#This Row],[awayPens]])))</f>
        <v>0</v>
      </c>
      <c r="AG711" s="58" t="str">
        <f>IF(Fixtures[[#This Row],[penalties]], IF(Fixtures[[#This Row],[userSide]]="H", Fixtures[[#This Row],[homePens]], Fixtures[[#This Row],[awayPens]]), "N/A")</f>
        <v>N/A</v>
      </c>
      <c r="AH711" s="58" t="str">
        <f>IF(Fixtures[[#This Row],[penalties]], IF(Fixtures[[#This Row],[userPens]]=Fixtures[[#This Row],[homePens]],Fixtures[[#This Row],[awayPens]],Fixtures[[#This Row],[homePens]]), "N/A")</f>
        <v>N/A</v>
      </c>
      <c r="AI711" s="58" t="b">
        <f>COUNTBLANK(Fixtures[[#This Row],[G]:[MOTM]]) = 0</f>
        <v>0</v>
      </c>
      <c r="AJ711" s="58" t="str">
        <f>IF(Fixtures[[#This Row],[APP]], Fixtures[[#This Row],[G]]+Fixtures[[#This Row],[A]], "N/A")</f>
        <v>N/A</v>
      </c>
      <c r="AK7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2" spans="1:39" ht="13">
      <c r="A712" s="55"/>
      <c r="B712" s="61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7"/>
      <c r="R712" s="56"/>
      <c r="S712" s="58" t="str" cm="1">
        <f t="array" ref="S712">_xlfn._xlws.FILTER(Competitions[compType], (Fixtures[[#This Row],[competition]] = Competitions[name]), "N/A")</f>
        <v>N/A</v>
      </c>
      <c r="T712" s="58" t="str" cm="1">
        <f t="array" ref="T712">_xlfn._xlws.FILTER(Competitions[exhibition], (Fixtures[[#This Row],[competition]] = Competitions[name]), "N/A")</f>
        <v>N/A</v>
      </c>
      <c r="U712" s="58" t="str" cm="1">
        <f t="array" ref="U712">_xlfn._xlws.FILTER(Competitions[compID], (Fixtures[[#This Row],[competition]] = Competitions[name]), "N/A")</f>
        <v>N/A</v>
      </c>
      <c r="V7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2" s="58" t="str" cm="1">
        <f t="array" ref="W7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2" s="58" t="str" cm="1">
        <f t="array" ref="X712">_xlfn._xlws.FILTER(Teams[name], (Fixtures[[#This Row],[userTeamID]] = Teams[teamID]), "N/A")</f>
        <v>N/A</v>
      </c>
      <c r="Y712" s="58" t="str" cm="1">
        <f t="array" ref="Y712">_xlfn._xlws.FILTER(Teams[teamType], (Fixtures[[#This Row],[userTeamID]] = Teams[teamID]), "N/A")</f>
        <v>N/A</v>
      </c>
      <c r="Z712" s="58" t="str" cm="1">
        <f t="array" ref="Z7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2" s="58" t="str">
        <f>IF(Fixtures[[#This Row],[userSide]] = "N/A", "N/A", IF(Fixtures[[#This Row],[userSide]] = "H", Fixtures[[#This Row],[awayTeam]], Fixtures[[#This Row],[homeTeam]]))</f>
        <v>N/A</v>
      </c>
      <c r="AB712" s="58" t="str" cm="1">
        <f t="array" ref="AB712">_xlfn._xlws.FILTER(Teams[teamID], Fixtures[[#This Row],[oppTeam]] = Teams[name], "N/A")</f>
        <v>N/A</v>
      </c>
      <c r="AC712" s="58" t="str" cm="1">
        <f t="array" ref="AC712">_xlfn._xlws.FILTER(Teams[teamType], Fixtures[[#This Row],[oppTeam]] = Teams[name], "N/A")</f>
        <v>N/A</v>
      </c>
      <c r="AD712" s="58" t="str">
        <f>IF(ISBLANK(Fixtures[[#This Row],[date]]), "N/A", IF(Fixtures[[#This Row],[userSide]]="H", Fixtures[[#This Row],[homeScore]], Fixtures[[#This Row],[awayScore]]))</f>
        <v>N/A</v>
      </c>
      <c r="AE712" s="58" t="str">
        <f>IF(ISBLANK(Fixtures[[#This Row],[date]]), "N/A", IF(Fixtures[[#This Row],[userScore]] = Fixtures[[#This Row],[homeScore]], Fixtures[[#This Row],[awayScore]], Fixtures[[#This Row],[homeScore]]))</f>
        <v>N/A</v>
      </c>
      <c r="AF712" s="58" t="b">
        <f>NOT(AND(ISBLANK(Fixtures[[#This Row],[homePens]]), ISBLANK(Fixtures[[#This Row],[awayPens]])))</f>
        <v>0</v>
      </c>
      <c r="AG712" s="58" t="str">
        <f>IF(Fixtures[[#This Row],[penalties]], IF(Fixtures[[#This Row],[userSide]]="H", Fixtures[[#This Row],[homePens]], Fixtures[[#This Row],[awayPens]]), "N/A")</f>
        <v>N/A</v>
      </c>
      <c r="AH712" s="58" t="str">
        <f>IF(Fixtures[[#This Row],[penalties]], IF(Fixtures[[#This Row],[userPens]]=Fixtures[[#This Row],[homePens]],Fixtures[[#This Row],[awayPens]],Fixtures[[#This Row],[homePens]]), "N/A")</f>
        <v>N/A</v>
      </c>
      <c r="AI712" s="58" t="b">
        <f>COUNTBLANK(Fixtures[[#This Row],[G]:[MOTM]]) = 0</f>
        <v>0</v>
      </c>
      <c r="AJ712" s="58" t="str">
        <f>IF(Fixtures[[#This Row],[APP]], Fixtures[[#This Row],[G]]+Fixtures[[#This Row],[A]], "N/A")</f>
        <v>N/A</v>
      </c>
      <c r="AK7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3" spans="1:39" ht="13">
      <c r="A713" s="55"/>
      <c r="B713" s="61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7"/>
      <c r="R713" s="56"/>
      <c r="S713" s="58" t="str" cm="1">
        <f t="array" ref="S713">_xlfn._xlws.FILTER(Competitions[compType], (Fixtures[[#This Row],[competition]] = Competitions[name]), "N/A")</f>
        <v>N/A</v>
      </c>
      <c r="T713" s="58" t="str" cm="1">
        <f t="array" ref="T713">_xlfn._xlws.FILTER(Competitions[exhibition], (Fixtures[[#This Row],[competition]] = Competitions[name]), "N/A")</f>
        <v>N/A</v>
      </c>
      <c r="U713" s="58" t="str" cm="1">
        <f t="array" ref="U713">_xlfn._xlws.FILTER(Competitions[compID], (Fixtures[[#This Row],[competition]] = Competitions[name]), "N/A")</f>
        <v>N/A</v>
      </c>
      <c r="V7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3" s="58" t="str" cm="1">
        <f t="array" ref="W7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3" s="58" t="str" cm="1">
        <f t="array" ref="X713">_xlfn._xlws.FILTER(Teams[name], (Fixtures[[#This Row],[userTeamID]] = Teams[teamID]), "N/A")</f>
        <v>N/A</v>
      </c>
      <c r="Y713" s="58" t="str" cm="1">
        <f t="array" ref="Y713">_xlfn._xlws.FILTER(Teams[teamType], (Fixtures[[#This Row],[userTeamID]] = Teams[teamID]), "N/A")</f>
        <v>N/A</v>
      </c>
      <c r="Z713" s="58" t="str" cm="1">
        <f t="array" ref="Z7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3" s="58" t="str">
        <f>IF(Fixtures[[#This Row],[userSide]] = "N/A", "N/A", IF(Fixtures[[#This Row],[userSide]] = "H", Fixtures[[#This Row],[awayTeam]], Fixtures[[#This Row],[homeTeam]]))</f>
        <v>N/A</v>
      </c>
      <c r="AB713" s="58" t="str" cm="1">
        <f t="array" ref="AB713">_xlfn._xlws.FILTER(Teams[teamID], Fixtures[[#This Row],[oppTeam]] = Teams[name], "N/A")</f>
        <v>N/A</v>
      </c>
      <c r="AC713" s="58" t="str" cm="1">
        <f t="array" ref="AC713">_xlfn._xlws.FILTER(Teams[teamType], Fixtures[[#This Row],[oppTeam]] = Teams[name], "N/A")</f>
        <v>N/A</v>
      </c>
      <c r="AD713" s="58" t="str">
        <f>IF(ISBLANK(Fixtures[[#This Row],[date]]), "N/A", IF(Fixtures[[#This Row],[userSide]]="H", Fixtures[[#This Row],[homeScore]], Fixtures[[#This Row],[awayScore]]))</f>
        <v>N/A</v>
      </c>
      <c r="AE713" s="58" t="str">
        <f>IF(ISBLANK(Fixtures[[#This Row],[date]]), "N/A", IF(Fixtures[[#This Row],[userScore]] = Fixtures[[#This Row],[homeScore]], Fixtures[[#This Row],[awayScore]], Fixtures[[#This Row],[homeScore]]))</f>
        <v>N/A</v>
      </c>
      <c r="AF713" s="58" t="b">
        <f>NOT(AND(ISBLANK(Fixtures[[#This Row],[homePens]]), ISBLANK(Fixtures[[#This Row],[awayPens]])))</f>
        <v>0</v>
      </c>
      <c r="AG713" s="58" t="str">
        <f>IF(Fixtures[[#This Row],[penalties]], IF(Fixtures[[#This Row],[userSide]]="H", Fixtures[[#This Row],[homePens]], Fixtures[[#This Row],[awayPens]]), "N/A")</f>
        <v>N/A</v>
      </c>
      <c r="AH713" s="58" t="str">
        <f>IF(Fixtures[[#This Row],[penalties]], IF(Fixtures[[#This Row],[userPens]]=Fixtures[[#This Row],[homePens]],Fixtures[[#This Row],[awayPens]],Fixtures[[#This Row],[homePens]]), "N/A")</f>
        <v>N/A</v>
      </c>
      <c r="AI713" s="58" t="b">
        <f>COUNTBLANK(Fixtures[[#This Row],[G]:[MOTM]]) = 0</f>
        <v>0</v>
      </c>
      <c r="AJ713" s="58" t="str">
        <f>IF(Fixtures[[#This Row],[APP]], Fixtures[[#This Row],[G]]+Fixtures[[#This Row],[A]], "N/A")</f>
        <v>N/A</v>
      </c>
      <c r="AK7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4" spans="1:39" ht="13">
      <c r="A714" s="55"/>
      <c r="B714" s="61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7"/>
      <c r="R714" s="56"/>
      <c r="S714" s="58" t="str" cm="1">
        <f t="array" ref="S714">_xlfn._xlws.FILTER(Competitions[compType], (Fixtures[[#This Row],[competition]] = Competitions[name]), "N/A")</f>
        <v>N/A</v>
      </c>
      <c r="T714" s="58" t="str" cm="1">
        <f t="array" ref="T714">_xlfn._xlws.FILTER(Competitions[exhibition], (Fixtures[[#This Row],[competition]] = Competitions[name]), "N/A")</f>
        <v>N/A</v>
      </c>
      <c r="U714" s="58" t="str" cm="1">
        <f t="array" ref="U714">_xlfn._xlws.FILTER(Competitions[compID], (Fixtures[[#This Row],[competition]] = Competitions[name]), "N/A")</f>
        <v>N/A</v>
      </c>
      <c r="V7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4" s="58" t="str" cm="1">
        <f t="array" ref="W7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4" s="58" t="str" cm="1">
        <f t="array" ref="X714">_xlfn._xlws.FILTER(Teams[name], (Fixtures[[#This Row],[userTeamID]] = Teams[teamID]), "N/A")</f>
        <v>N/A</v>
      </c>
      <c r="Y714" s="58" t="str" cm="1">
        <f t="array" ref="Y714">_xlfn._xlws.FILTER(Teams[teamType], (Fixtures[[#This Row],[userTeamID]] = Teams[teamID]), "N/A")</f>
        <v>N/A</v>
      </c>
      <c r="Z714" s="58" t="str" cm="1">
        <f t="array" ref="Z7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4" s="58" t="str">
        <f>IF(Fixtures[[#This Row],[userSide]] = "N/A", "N/A", IF(Fixtures[[#This Row],[userSide]] = "H", Fixtures[[#This Row],[awayTeam]], Fixtures[[#This Row],[homeTeam]]))</f>
        <v>N/A</v>
      </c>
      <c r="AB714" s="58" t="str" cm="1">
        <f t="array" ref="AB714">_xlfn._xlws.FILTER(Teams[teamID], Fixtures[[#This Row],[oppTeam]] = Teams[name], "N/A")</f>
        <v>N/A</v>
      </c>
      <c r="AC714" s="58" t="str" cm="1">
        <f t="array" ref="AC714">_xlfn._xlws.FILTER(Teams[teamType], Fixtures[[#This Row],[oppTeam]] = Teams[name], "N/A")</f>
        <v>N/A</v>
      </c>
      <c r="AD714" s="58" t="str">
        <f>IF(ISBLANK(Fixtures[[#This Row],[date]]), "N/A", IF(Fixtures[[#This Row],[userSide]]="H", Fixtures[[#This Row],[homeScore]], Fixtures[[#This Row],[awayScore]]))</f>
        <v>N/A</v>
      </c>
      <c r="AE714" s="58" t="str">
        <f>IF(ISBLANK(Fixtures[[#This Row],[date]]), "N/A", IF(Fixtures[[#This Row],[userScore]] = Fixtures[[#This Row],[homeScore]], Fixtures[[#This Row],[awayScore]], Fixtures[[#This Row],[homeScore]]))</f>
        <v>N/A</v>
      </c>
      <c r="AF714" s="58" t="b">
        <f>NOT(AND(ISBLANK(Fixtures[[#This Row],[homePens]]), ISBLANK(Fixtures[[#This Row],[awayPens]])))</f>
        <v>0</v>
      </c>
      <c r="AG714" s="58" t="str">
        <f>IF(Fixtures[[#This Row],[penalties]], IF(Fixtures[[#This Row],[userSide]]="H", Fixtures[[#This Row],[homePens]], Fixtures[[#This Row],[awayPens]]), "N/A")</f>
        <v>N/A</v>
      </c>
      <c r="AH714" s="58" t="str">
        <f>IF(Fixtures[[#This Row],[penalties]], IF(Fixtures[[#This Row],[userPens]]=Fixtures[[#This Row],[homePens]],Fixtures[[#This Row],[awayPens]],Fixtures[[#This Row],[homePens]]), "N/A")</f>
        <v>N/A</v>
      </c>
      <c r="AI714" s="58" t="b">
        <f>COUNTBLANK(Fixtures[[#This Row],[G]:[MOTM]]) = 0</f>
        <v>0</v>
      </c>
      <c r="AJ714" s="58" t="str">
        <f>IF(Fixtures[[#This Row],[APP]], Fixtures[[#This Row],[G]]+Fixtures[[#This Row],[A]], "N/A")</f>
        <v>N/A</v>
      </c>
      <c r="AK7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5" spans="1:39" ht="13">
      <c r="A715" s="55"/>
      <c r="B715" s="61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7"/>
      <c r="R715" s="56"/>
      <c r="S715" s="58" t="str" cm="1">
        <f t="array" ref="S715">_xlfn._xlws.FILTER(Competitions[compType], (Fixtures[[#This Row],[competition]] = Competitions[name]), "N/A")</f>
        <v>N/A</v>
      </c>
      <c r="T715" s="58" t="str" cm="1">
        <f t="array" ref="T715">_xlfn._xlws.FILTER(Competitions[exhibition], (Fixtures[[#This Row],[competition]] = Competitions[name]), "N/A")</f>
        <v>N/A</v>
      </c>
      <c r="U715" s="58" t="str" cm="1">
        <f t="array" ref="U715">_xlfn._xlws.FILTER(Competitions[compID], (Fixtures[[#This Row],[competition]] = Competitions[name]), "N/A")</f>
        <v>N/A</v>
      </c>
      <c r="V7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5" s="58" t="str" cm="1">
        <f t="array" ref="W7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5" s="58" t="str" cm="1">
        <f t="array" ref="X715">_xlfn._xlws.FILTER(Teams[name], (Fixtures[[#This Row],[userTeamID]] = Teams[teamID]), "N/A")</f>
        <v>N/A</v>
      </c>
      <c r="Y715" s="58" t="str" cm="1">
        <f t="array" ref="Y715">_xlfn._xlws.FILTER(Teams[teamType], (Fixtures[[#This Row],[userTeamID]] = Teams[teamID]), "N/A")</f>
        <v>N/A</v>
      </c>
      <c r="Z715" s="58" t="str" cm="1">
        <f t="array" ref="Z7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5" s="58" t="str">
        <f>IF(Fixtures[[#This Row],[userSide]] = "N/A", "N/A", IF(Fixtures[[#This Row],[userSide]] = "H", Fixtures[[#This Row],[awayTeam]], Fixtures[[#This Row],[homeTeam]]))</f>
        <v>N/A</v>
      </c>
      <c r="AB715" s="58" t="str" cm="1">
        <f t="array" ref="AB715">_xlfn._xlws.FILTER(Teams[teamID], Fixtures[[#This Row],[oppTeam]] = Teams[name], "N/A")</f>
        <v>N/A</v>
      </c>
      <c r="AC715" s="58" t="str" cm="1">
        <f t="array" ref="AC715">_xlfn._xlws.FILTER(Teams[teamType], Fixtures[[#This Row],[oppTeam]] = Teams[name], "N/A")</f>
        <v>N/A</v>
      </c>
      <c r="AD715" s="58" t="str">
        <f>IF(ISBLANK(Fixtures[[#This Row],[date]]), "N/A", IF(Fixtures[[#This Row],[userSide]]="H", Fixtures[[#This Row],[homeScore]], Fixtures[[#This Row],[awayScore]]))</f>
        <v>N/A</v>
      </c>
      <c r="AE715" s="58" t="str">
        <f>IF(ISBLANK(Fixtures[[#This Row],[date]]), "N/A", IF(Fixtures[[#This Row],[userScore]] = Fixtures[[#This Row],[homeScore]], Fixtures[[#This Row],[awayScore]], Fixtures[[#This Row],[homeScore]]))</f>
        <v>N/A</v>
      </c>
      <c r="AF715" s="58" t="b">
        <f>NOT(AND(ISBLANK(Fixtures[[#This Row],[homePens]]), ISBLANK(Fixtures[[#This Row],[awayPens]])))</f>
        <v>0</v>
      </c>
      <c r="AG715" s="58" t="str">
        <f>IF(Fixtures[[#This Row],[penalties]], IF(Fixtures[[#This Row],[userSide]]="H", Fixtures[[#This Row],[homePens]], Fixtures[[#This Row],[awayPens]]), "N/A")</f>
        <v>N/A</v>
      </c>
      <c r="AH715" s="58" t="str">
        <f>IF(Fixtures[[#This Row],[penalties]], IF(Fixtures[[#This Row],[userPens]]=Fixtures[[#This Row],[homePens]],Fixtures[[#This Row],[awayPens]],Fixtures[[#This Row],[homePens]]), "N/A")</f>
        <v>N/A</v>
      </c>
      <c r="AI715" s="58" t="b">
        <f>COUNTBLANK(Fixtures[[#This Row],[G]:[MOTM]]) = 0</f>
        <v>0</v>
      </c>
      <c r="AJ715" s="58" t="str">
        <f>IF(Fixtures[[#This Row],[APP]], Fixtures[[#This Row],[G]]+Fixtures[[#This Row],[A]], "N/A")</f>
        <v>N/A</v>
      </c>
      <c r="AK7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6" spans="1:39" ht="13">
      <c r="A716" s="55"/>
      <c r="B716" s="61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7"/>
      <c r="R716" s="56"/>
      <c r="S716" s="58" t="str" cm="1">
        <f t="array" ref="S716">_xlfn._xlws.FILTER(Competitions[compType], (Fixtures[[#This Row],[competition]] = Competitions[name]), "N/A")</f>
        <v>N/A</v>
      </c>
      <c r="T716" s="58" t="str" cm="1">
        <f t="array" ref="T716">_xlfn._xlws.FILTER(Competitions[exhibition], (Fixtures[[#This Row],[competition]] = Competitions[name]), "N/A")</f>
        <v>N/A</v>
      </c>
      <c r="U716" s="58" t="str" cm="1">
        <f t="array" ref="U716">_xlfn._xlws.FILTER(Competitions[compID], (Fixtures[[#This Row],[competition]] = Competitions[name]), "N/A")</f>
        <v>N/A</v>
      </c>
      <c r="V7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6" s="58" t="str" cm="1">
        <f t="array" ref="W7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6" s="58" t="str" cm="1">
        <f t="array" ref="X716">_xlfn._xlws.FILTER(Teams[name], (Fixtures[[#This Row],[userTeamID]] = Teams[teamID]), "N/A")</f>
        <v>N/A</v>
      </c>
      <c r="Y716" s="58" t="str" cm="1">
        <f t="array" ref="Y716">_xlfn._xlws.FILTER(Teams[teamType], (Fixtures[[#This Row],[userTeamID]] = Teams[teamID]), "N/A")</f>
        <v>N/A</v>
      </c>
      <c r="Z716" s="58" t="str" cm="1">
        <f t="array" ref="Z7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6" s="58" t="str">
        <f>IF(Fixtures[[#This Row],[userSide]] = "N/A", "N/A", IF(Fixtures[[#This Row],[userSide]] = "H", Fixtures[[#This Row],[awayTeam]], Fixtures[[#This Row],[homeTeam]]))</f>
        <v>N/A</v>
      </c>
      <c r="AB716" s="58" t="str" cm="1">
        <f t="array" ref="AB716">_xlfn._xlws.FILTER(Teams[teamID], Fixtures[[#This Row],[oppTeam]] = Teams[name], "N/A")</f>
        <v>N/A</v>
      </c>
      <c r="AC716" s="58" t="str" cm="1">
        <f t="array" ref="AC716">_xlfn._xlws.FILTER(Teams[teamType], Fixtures[[#This Row],[oppTeam]] = Teams[name], "N/A")</f>
        <v>N/A</v>
      </c>
      <c r="AD716" s="58" t="str">
        <f>IF(ISBLANK(Fixtures[[#This Row],[date]]), "N/A", IF(Fixtures[[#This Row],[userSide]]="H", Fixtures[[#This Row],[homeScore]], Fixtures[[#This Row],[awayScore]]))</f>
        <v>N/A</v>
      </c>
      <c r="AE716" s="58" t="str">
        <f>IF(ISBLANK(Fixtures[[#This Row],[date]]), "N/A", IF(Fixtures[[#This Row],[userScore]] = Fixtures[[#This Row],[homeScore]], Fixtures[[#This Row],[awayScore]], Fixtures[[#This Row],[homeScore]]))</f>
        <v>N/A</v>
      </c>
      <c r="AF716" s="58" t="b">
        <f>NOT(AND(ISBLANK(Fixtures[[#This Row],[homePens]]), ISBLANK(Fixtures[[#This Row],[awayPens]])))</f>
        <v>0</v>
      </c>
      <c r="AG716" s="58" t="str">
        <f>IF(Fixtures[[#This Row],[penalties]], IF(Fixtures[[#This Row],[userSide]]="H", Fixtures[[#This Row],[homePens]], Fixtures[[#This Row],[awayPens]]), "N/A")</f>
        <v>N/A</v>
      </c>
      <c r="AH716" s="58" t="str">
        <f>IF(Fixtures[[#This Row],[penalties]], IF(Fixtures[[#This Row],[userPens]]=Fixtures[[#This Row],[homePens]],Fixtures[[#This Row],[awayPens]],Fixtures[[#This Row],[homePens]]), "N/A")</f>
        <v>N/A</v>
      </c>
      <c r="AI716" s="58" t="b">
        <f>COUNTBLANK(Fixtures[[#This Row],[G]:[MOTM]]) = 0</f>
        <v>0</v>
      </c>
      <c r="AJ716" s="58" t="str">
        <f>IF(Fixtures[[#This Row],[APP]], Fixtures[[#This Row],[G]]+Fixtures[[#This Row],[A]], "N/A")</f>
        <v>N/A</v>
      </c>
      <c r="AK7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7" spans="1:39" ht="13">
      <c r="A717" s="55"/>
      <c r="B717" s="61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7"/>
      <c r="R717" s="56"/>
      <c r="S717" s="58" t="str" cm="1">
        <f t="array" ref="S717">_xlfn._xlws.FILTER(Competitions[compType], (Fixtures[[#This Row],[competition]] = Competitions[name]), "N/A")</f>
        <v>N/A</v>
      </c>
      <c r="T717" s="58" t="str" cm="1">
        <f t="array" ref="T717">_xlfn._xlws.FILTER(Competitions[exhibition], (Fixtures[[#This Row],[competition]] = Competitions[name]), "N/A")</f>
        <v>N/A</v>
      </c>
      <c r="U717" s="58" t="str" cm="1">
        <f t="array" ref="U717">_xlfn._xlws.FILTER(Competitions[compID], (Fixtures[[#This Row],[competition]] = Competitions[name]), "N/A")</f>
        <v>N/A</v>
      </c>
      <c r="V7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7" s="58" t="str" cm="1">
        <f t="array" ref="W7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7" s="58" t="str" cm="1">
        <f t="array" ref="X717">_xlfn._xlws.FILTER(Teams[name], (Fixtures[[#This Row],[userTeamID]] = Teams[teamID]), "N/A")</f>
        <v>N/A</v>
      </c>
      <c r="Y717" s="58" t="str" cm="1">
        <f t="array" ref="Y717">_xlfn._xlws.FILTER(Teams[teamType], (Fixtures[[#This Row],[userTeamID]] = Teams[teamID]), "N/A")</f>
        <v>N/A</v>
      </c>
      <c r="Z717" s="58" t="str" cm="1">
        <f t="array" ref="Z7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7" s="58" t="str">
        <f>IF(Fixtures[[#This Row],[userSide]] = "N/A", "N/A", IF(Fixtures[[#This Row],[userSide]] = "H", Fixtures[[#This Row],[awayTeam]], Fixtures[[#This Row],[homeTeam]]))</f>
        <v>N/A</v>
      </c>
      <c r="AB717" s="58" t="str" cm="1">
        <f t="array" ref="AB717">_xlfn._xlws.FILTER(Teams[teamID], Fixtures[[#This Row],[oppTeam]] = Teams[name], "N/A")</f>
        <v>N/A</v>
      </c>
      <c r="AC717" s="58" t="str" cm="1">
        <f t="array" ref="AC717">_xlfn._xlws.FILTER(Teams[teamType], Fixtures[[#This Row],[oppTeam]] = Teams[name], "N/A")</f>
        <v>N/A</v>
      </c>
      <c r="AD717" s="58" t="str">
        <f>IF(ISBLANK(Fixtures[[#This Row],[date]]), "N/A", IF(Fixtures[[#This Row],[userSide]]="H", Fixtures[[#This Row],[homeScore]], Fixtures[[#This Row],[awayScore]]))</f>
        <v>N/A</v>
      </c>
      <c r="AE717" s="58" t="str">
        <f>IF(ISBLANK(Fixtures[[#This Row],[date]]), "N/A", IF(Fixtures[[#This Row],[userScore]] = Fixtures[[#This Row],[homeScore]], Fixtures[[#This Row],[awayScore]], Fixtures[[#This Row],[homeScore]]))</f>
        <v>N/A</v>
      </c>
      <c r="AF717" s="58" t="b">
        <f>NOT(AND(ISBLANK(Fixtures[[#This Row],[homePens]]), ISBLANK(Fixtures[[#This Row],[awayPens]])))</f>
        <v>0</v>
      </c>
      <c r="AG717" s="58" t="str">
        <f>IF(Fixtures[[#This Row],[penalties]], IF(Fixtures[[#This Row],[userSide]]="H", Fixtures[[#This Row],[homePens]], Fixtures[[#This Row],[awayPens]]), "N/A")</f>
        <v>N/A</v>
      </c>
      <c r="AH717" s="58" t="str">
        <f>IF(Fixtures[[#This Row],[penalties]], IF(Fixtures[[#This Row],[userPens]]=Fixtures[[#This Row],[homePens]],Fixtures[[#This Row],[awayPens]],Fixtures[[#This Row],[homePens]]), "N/A")</f>
        <v>N/A</v>
      </c>
      <c r="AI717" s="58" t="b">
        <f>COUNTBLANK(Fixtures[[#This Row],[G]:[MOTM]]) = 0</f>
        <v>0</v>
      </c>
      <c r="AJ717" s="58" t="str">
        <f>IF(Fixtures[[#This Row],[APP]], Fixtures[[#This Row],[G]]+Fixtures[[#This Row],[A]], "N/A")</f>
        <v>N/A</v>
      </c>
      <c r="AK7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8" spans="1:39" ht="13">
      <c r="A718" s="55"/>
      <c r="B718" s="61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7"/>
      <c r="R718" s="56"/>
      <c r="S718" s="58" t="str" cm="1">
        <f t="array" ref="S718">_xlfn._xlws.FILTER(Competitions[compType], (Fixtures[[#This Row],[competition]] = Competitions[name]), "N/A")</f>
        <v>N/A</v>
      </c>
      <c r="T718" s="58" t="str" cm="1">
        <f t="array" ref="T718">_xlfn._xlws.FILTER(Competitions[exhibition], (Fixtures[[#This Row],[competition]] = Competitions[name]), "N/A")</f>
        <v>N/A</v>
      </c>
      <c r="U718" s="58" t="str" cm="1">
        <f t="array" ref="U718">_xlfn._xlws.FILTER(Competitions[compID], (Fixtures[[#This Row],[competition]] = Competitions[name]), "N/A")</f>
        <v>N/A</v>
      </c>
      <c r="V7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8" s="58" t="str" cm="1">
        <f t="array" ref="W7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8" s="58" t="str" cm="1">
        <f t="array" ref="X718">_xlfn._xlws.FILTER(Teams[name], (Fixtures[[#This Row],[userTeamID]] = Teams[teamID]), "N/A")</f>
        <v>N/A</v>
      </c>
      <c r="Y718" s="58" t="str" cm="1">
        <f t="array" ref="Y718">_xlfn._xlws.FILTER(Teams[teamType], (Fixtures[[#This Row],[userTeamID]] = Teams[teamID]), "N/A")</f>
        <v>N/A</v>
      </c>
      <c r="Z718" s="58" t="str" cm="1">
        <f t="array" ref="Z7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8" s="58" t="str">
        <f>IF(Fixtures[[#This Row],[userSide]] = "N/A", "N/A", IF(Fixtures[[#This Row],[userSide]] = "H", Fixtures[[#This Row],[awayTeam]], Fixtures[[#This Row],[homeTeam]]))</f>
        <v>N/A</v>
      </c>
      <c r="AB718" s="58" t="str" cm="1">
        <f t="array" ref="AB718">_xlfn._xlws.FILTER(Teams[teamID], Fixtures[[#This Row],[oppTeam]] = Teams[name], "N/A")</f>
        <v>N/A</v>
      </c>
      <c r="AC718" s="58" t="str" cm="1">
        <f t="array" ref="AC718">_xlfn._xlws.FILTER(Teams[teamType], Fixtures[[#This Row],[oppTeam]] = Teams[name], "N/A")</f>
        <v>N/A</v>
      </c>
      <c r="AD718" s="58" t="str">
        <f>IF(ISBLANK(Fixtures[[#This Row],[date]]), "N/A", IF(Fixtures[[#This Row],[userSide]]="H", Fixtures[[#This Row],[homeScore]], Fixtures[[#This Row],[awayScore]]))</f>
        <v>N/A</v>
      </c>
      <c r="AE718" s="58" t="str">
        <f>IF(ISBLANK(Fixtures[[#This Row],[date]]), "N/A", IF(Fixtures[[#This Row],[userScore]] = Fixtures[[#This Row],[homeScore]], Fixtures[[#This Row],[awayScore]], Fixtures[[#This Row],[homeScore]]))</f>
        <v>N/A</v>
      </c>
      <c r="AF718" s="58" t="b">
        <f>NOT(AND(ISBLANK(Fixtures[[#This Row],[homePens]]), ISBLANK(Fixtures[[#This Row],[awayPens]])))</f>
        <v>0</v>
      </c>
      <c r="AG718" s="58" t="str">
        <f>IF(Fixtures[[#This Row],[penalties]], IF(Fixtures[[#This Row],[userSide]]="H", Fixtures[[#This Row],[homePens]], Fixtures[[#This Row],[awayPens]]), "N/A")</f>
        <v>N/A</v>
      </c>
      <c r="AH718" s="58" t="str">
        <f>IF(Fixtures[[#This Row],[penalties]], IF(Fixtures[[#This Row],[userPens]]=Fixtures[[#This Row],[homePens]],Fixtures[[#This Row],[awayPens]],Fixtures[[#This Row],[homePens]]), "N/A")</f>
        <v>N/A</v>
      </c>
      <c r="AI718" s="58" t="b">
        <f>COUNTBLANK(Fixtures[[#This Row],[G]:[MOTM]]) = 0</f>
        <v>0</v>
      </c>
      <c r="AJ718" s="58" t="str">
        <f>IF(Fixtures[[#This Row],[APP]], Fixtures[[#This Row],[G]]+Fixtures[[#This Row],[A]], "N/A")</f>
        <v>N/A</v>
      </c>
      <c r="AK7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19" spans="1:39" ht="13">
      <c r="A719" s="55"/>
      <c r="B719" s="61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7"/>
      <c r="R719" s="56"/>
      <c r="S719" s="58" t="str" cm="1">
        <f t="array" ref="S719">_xlfn._xlws.FILTER(Competitions[compType], (Fixtures[[#This Row],[competition]] = Competitions[name]), "N/A")</f>
        <v>N/A</v>
      </c>
      <c r="T719" s="58" t="str" cm="1">
        <f t="array" ref="T719">_xlfn._xlws.FILTER(Competitions[exhibition], (Fixtures[[#This Row],[competition]] = Competitions[name]), "N/A")</f>
        <v>N/A</v>
      </c>
      <c r="U719" s="58" t="str" cm="1">
        <f t="array" ref="U719">_xlfn._xlws.FILTER(Competitions[compID], (Fixtures[[#This Row],[competition]] = Competitions[name]), "N/A")</f>
        <v>N/A</v>
      </c>
      <c r="V7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19" s="58" t="str" cm="1">
        <f t="array" ref="W7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19" s="58" t="str" cm="1">
        <f t="array" ref="X719">_xlfn._xlws.FILTER(Teams[name], (Fixtures[[#This Row],[userTeamID]] = Teams[teamID]), "N/A")</f>
        <v>N/A</v>
      </c>
      <c r="Y719" s="58" t="str" cm="1">
        <f t="array" ref="Y719">_xlfn._xlws.FILTER(Teams[teamType], (Fixtures[[#This Row],[userTeamID]] = Teams[teamID]), "N/A")</f>
        <v>N/A</v>
      </c>
      <c r="Z719" s="58" t="str" cm="1">
        <f t="array" ref="Z7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19" s="58" t="str">
        <f>IF(Fixtures[[#This Row],[userSide]] = "N/A", "N/A", IF(Fixtures[[#This Row],[userSide]] = "H", Fixtures[[#This Row],[awayTeam]], Fixtures[[#This Row],[homeTeam]]))</f>
        <v>N/A</v>
      </c>
      <c r="AB719" s="58" t="str" cm="1">
        <f t="array" ref="AB719">_xlfn._xlws.FILTER(Teams[teamID], Fixtures[[#This Row],[oppTeam]] = Teams[name], "N/A")</f>
        <v>N/A</v>
      </c>
      <c r="AC719" s="58" t="str" cm="1">
        <f t="array" ref="AC719">_xlfn._xlws.FILTER(Teams[teamType], Fixtures[[#This Row],[oppTeam]] = Teams[name], "N/A")</f>
        <v>N/A</v>
      </c>
      <c r="AD719" s="58" t="str">
        <f>IF(ISBLANK(Fixtures[[#This Row],[date]]), "N/A", IF(Fixtures[[#This Row],[userSide]]="H", Fixtures[[#This Row],[homeScore]], Fixtures[[#This Row],[awayScore]]))</f>
        <v>N/A</v>
      </c>
      <c r="AE719" s="58" t="str">
        <f>IF(ISBLANK(Fixtures[[#This Row],[date]]), "N/A", IF(Fixtures[[#This Row],[userScore]] = Fixtures[[#This Row],[homeScore]], Fixtures[[#This Row],[awayScore]], Fixtures[[#This Row],[homeScore]]))</f>
        <v>N/A</v>
      </c>
      <c r="AF719" s="58" t="b">
        <f>NOT(AND(ISBLANK(Fixtures[[#This Row],[homePens]]), ISBLANK(Fixtures[[#This Row],[awayPens]])))</f>
        <v>0</v>
      </c>
      <c r="AG719" s="58" t="str">
        <f>IF(Fixtures[[#This Row],[penalties]], IF(Fixtures[[#This Row],[userSide]]="H", Fixtures[[#This Row],[homePens]], Fixtures[[#This Row],[awayPens]]), "N/A")</f>
        <v>N/A</v>
      </c>
      <c r="AH719" s="58" t="str">
        <f>IF(Fixtures[[#This Row],[penalties]], IF(Fixtures[[#This Row],[userPens]]=Fixtures[[#This Row],[homePens]],Fixtures[[#This Row],[awayPens]],Fixtures[[#This Row],[homePens]]), "N/A")</f>
        <v>N/A</v>
      </c>
      <c r="AI719" s="58" t="b">
        <f>COUNTBLANK(Fixtures[[#This Row],[G]:[MOTM]]) = 0</f>
        <v>0</v>
      </c>
      <c r="AJ719" s="58" t="str">
        <f>IF(Fixtures[[#This Row],[APP]], Fixtures[[#This Row],[G]]+Fixtures[[#This Row],[A]], "N/A")</f>
        <v>N/A</v>
      </c>
      <c r="AK7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0" spans="1:39" ht="13">
      <c r="A720" s="55"/>
      <c r="B720" s="61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7"/>
      <c r="R720" s="56"/>
      <c r="S720" s="58" t="str" cm="1">
        <f t="array" ref="S720">_xlfn._xlws.FILTER(Competitions[compType], (Fixtures[[#This Row],[competition]] = Competitions[name]), "N/A")</f>
        <v>N/A</v>
      </c>
      <c r="T720" s="58" t="str" cm="1">
        <f t="array" ref="T720">_xlfn._xlws.FILTER(Competitions[exhibition], (Fixtures[[#This Row],[competition]] = Competitions[name]), "N/A")</f>
        <v>N/A</v>
      </c>
      <c r="U720" s="58" t="str" cm="1">
        <f t="array" ref="U720">_xlfn._xlws.FILTER(Competitions[compID], (Fixtures[[#This Row],[competition]] = Competitions[name]), "N/A")</f>
        <v>N/A</v>
      </c>
      <c r="V7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0" s="58" t="str" cm="1">
        <f t="array" ref="W7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0" s="58" t="str" cm="1">
        <f t="array" ref="X720">_xlfn._xlws.FILTER(Teams[name], (Fixtures[[#This Row],[userTeamID]] = Teams[teamID]), "N/A")</f>
        <v>N/A</v>
      </c>
      <c r="Y720" s="58" t="str" cm="1">
        <f t="array" ref="Y720">_xlfn._xlws.FILTER(Teams[teamType], (Fixtures[[#This Row],[userTeamID]] = Teams[teamID]), "N/A")</f>
        <v>N/A</v>
      </c>
      <c r="Z720" s="58" t="str" cm="1">
        <f t="array" ref="Z7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0" s="58" t="str">
        <f>IF(Fixtures[[#This Row],[userSide]] = "N/A", "N/A", IF(Fixtures[[#This Row],[userSide]] = "H", Fixtures[[#This Row],[awayTeam]], Fixtures[[#This Row],[homeTeam]]))</f>
        <v>N/A</v>
      </c>
      <c r="AB720" s="58" t="str" cm="1">
        <f t="array" ref="AB720">_xlfn._xlws.FILTER(Teams[teamID], Fixtures[[#This Row],[oppTeam]] = Teams[name], "N/A")</f>
        <v>N/A</v>
      </c>
      <c r="AC720" s="58" t="str" cm="1">
        <f t="array" ref="AC720">_xlfn._xlws.FILTER(Teams[teamType], Fixtures[[#This Row],[oppTeam]] = Teams[name], "N/A")</f>
        <v>N/A</v>
      </c>
      <c r="AD720" s="58" t="str">
        <f>IF(ISBLANK(Fixtures[[#This Row],[date]]), "N/A", IF(Fixtures[[#This Row],[userSide]]="H", Fixtures[[#This Row],[homeScore]], Fixtures[[#This Row],[awayScore]]))</f>
        <v>N/A</v>
      </c>
      <c r="AE720" s="58" t="str">
        <f>IF(ISBLANK(Fixtures[[#This Row],[date]]), "N/A", IF(Fixtures[[#This Row],[userScore]] = Fixtures[[#This Row],[homeScore]], Fixtures[[#This Row],[awayScore]], Fixtures[[#This Row],[homeScore]]))</f>
        <v>N/A</v>
      </c>
      <c r="AF720" s="58" t="b">
        <f>NOT(AND(ISBLANK(Fixtures[[#This Row],[homePens]]), ISBLANK(Fixtures[[#This Row],[awayPens]])))</f>
        <v>0</v>
      </c>
      <c r="AG720" s="58" t="str">
        <f>IF(Fixtures[[#This Row],[penalties]], IF(Fixtures[[#This Row],[userSide]]="H", Fixtures[[#This Row],[homePens]], Fixtures[[#This Row],[awayPens]]), "N/A")</f>
        <v>N/A</v>
      </c>
      <c r="AH720" s="58" t="str">
        <f>IF(Fixtures[[#This Row],[penalties]], IF(Fixtures[[#This Row],[userPens]]=Fixtures[[#This Row],[homePens]],Fixtures[[#This Row],[awayPens]],Fixtures[[#This Row],[homePens]]), "N/A")</f>
        <v>N/A</v>
      </c>
      <c r="AI720" s="58" t="b">
        <f>COUNTBLANK(Fixtures[[#This Row],[G]:[MOTM]]) = 0</f>
        <v>0</v>
      </c>
      <c r="AJ720" s="58" t="str">
        <f>IF(Fixtures[[#This Row],[APP]], Fixtures[[#This Row],[G]]+Fixtures[[#This Row],[A]], "N/A")</f>
        <v>N/A</v>
      </c>
      <c r="AK7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1" spans="1:39" ht="13">
      <c r="A721" s="55"/>
      <c r="B721" s="61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7"/>
      <c r="R721" s="56"/>
      <c r="S721" s="58" t="str" cm="1">
        <f t="array" ref="S721">_xlfn._xlws.FILTER(Competitions[compType], (Fixtures[[#This Row],[competition]] = Competitions[name]), "N/A")</f>
        <v>N/A</v>
      </c>
      <c r="T721" s="58" t="str" cm="1">
        <f t="array" ref="T721">_xlfn._xlws.FILTER(Competitions[exhibition], (Fixtures[[#This Row],[competition]] = Competitions[name]), "N/A")</f>
        <v>N/A</v>
      </c>
      <c r="U721" s="58" t="str" cm="1">
        <f t="array" ref="U721">_xlfn._xlws.FILTER(Competitions[compID], (Fixtures[[#This Row],[competition]] = Competitions[name]), "N/A")</f>
        <v>N/A</v>
      </c>
      <c r="V7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1" s="58" t="str" cm="1">
        <f t="array" ref="W7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1" s="58" t="str" cm="1">
        <f t="array" ref="X721">_xlfn._xlws.FILTER(Teams[name], (Fixtures[[#This Row],[userTeamID]] = Teams[teamID]), "N/A")</f>
        <v>N/A</v>
      </c>
      <c r="Y721" s="58" t="str" cm="1">
        <f t="array" ref="Y721">_xlfn._xlws.FILTER(Teams[teamType], (Fixtures[[#This Row],[userTeamID]] = Teams[teamID]), "N/A")</f>
        <v>N/A</v>
      </c>
      <c r="Z721" s="58" t="str" cm="1">
        <f t="array" ref="Z7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1" s="58" t="str">
        <f>IF(Fixtures[[#This Row],[userSide]] = "N/A", "N/A", IF(Fixtures[[#This Row],[userSide]] = "H", Fixtures[[#This Row],[awayTeam]], Fixtures[[#This Row],[homeTeam]]))</f>
        <v>N/A</v>
      </c>
      <c r="AB721" s="58" t="str" cm="1">
        <f t="array" ref="AB721">_xlfn._xlws.FILTER(Teams[teamID], Fixtures[[#This Row],[oppTeam]] = Teams[name], "N/A")</f>
        <v>N/A</v>
      </c>
      <c r="AC721" s="58" t="str" cm="1">
        <f t="array" ref="AC721">_xlfn._xlws.FILTER(Teams[teamType], Fixtures[[#This Row],[oppTeam]] = Teams[name], "N/A")</f>
        <v>N/A</v>
      </c>
      <c r="AD721" s="58" t="str">
        <f>IF(ISBLANK(Fixtures[[#This Row],[date]]), "N/A", IF(Fixtures[[#This Row],[userSide]]="H", Fixtures[[#This Row],[homeScore]], Fixtures[[#This Row],[awayScore]]))</f>
        <v>N/A</v>
      </c>
      <c r="AE721" s="58" t="str">
        <f>IF(ISBLANK(Fixtures[[#This Row],[date]]), "N/A", IF(Fixtures[[#This Row],[userScore]] = Fixtures[[#This Row],[homeScore]], Fixtures[[#This Row],[awayScore]], Fixtures[[#This Row],[homeScore]]))</f>
        <v>N/A</v>
      </c>
      <c r="AF721" s="58" t="b">
        <f>NOT(AND(ISBLANK(Fixtures[[#This Row],[homePens]]), ISBLANK(Fixtures[[#This Row],[awayPens]])))</f>
        <v>0</v>
      </c>
      <c r="AG721" s="58" t="str">
        <f>IF(Fixtures[[#This Row],[penalties]], IF(Fixtures[[#This Row],[userSide]]="H", Fixtures[[#This Row],[homePens]], Fixtures[[#This Row],[awayPens]]), "N/A")</f>
        <v>N/A</v>
      </c>
      <c r="AH721" s="58" t="str">
        <f>IF(Fixtures[[#This Row],[penalties]], IF(Fixtures[[#This Row],[userPens]]=Fixtures[[#This Row],[homePens]],Fixtures[[#This Row],[awayPens]],Fixtures[[#This Row],[homePens]]), "N/A")</f>
        <v>N/A</v>
      </c>
      <c r="AI721" s="58" t="b">
        <f>COUNTBLANK(Fixtures[[#This Row],[G]:[MOTM]]) = 0</f>
        <v>0</v>
      </c>
      <c r="AJ721" s="58" t="str">
        <f>IF(Fixtures[[#This Row],[APP]], Fixtures[[#This Row],[G]]+Fixtures[[#This Row],[A]], "N/A")</f>
        <v>N/A</v>
      </c>
      <c r="AK7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2" spans="1:39" ht="13">
      <c r="A722" s="55"/>
      <c r="B722" s="61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7"/>
      <c r="R722" s="56"/>
      <c r="S722" s="58" t="str" cm="1">
        <f t="array" ref="S722">_xlfn._xlws.FILTER(Competitions[compType], (Fixtures[[#This Row],[competition]] = Competitions[name]), "N/A")</f>
        <v>N/A</v>
      </c>
      <c r="T722" s="58" t="str" cm="1">
        <f t="array" ref="T722">_xlfn._xlws.FILTER(Competitions[exhibition], (Fixtures[[#This Row],[competition]] = Competitions[name]), "N/A")</f>
        <v>N/A</v>
      </c>
      <c r="U722" s="58" t="str" cm="1">
        <f t="array" ref="U722">_xlfn._xlws.FILTER(Competitions[compID], (Fixtures[[#This Row],[competition]] = Competitions[name]), "N/A")</f>
        <v>N/A</v>
      </c>
      <c r="V7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2" s="58" t="str" cm="1">
        <f t="array" ref="W7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2" s="58" t="str" cm="1">
        <f t="array" ref="X722">_xlfn._xlws.FILTER(Teams[name], (Fixtures[[#This Row],[userTeamID]] = Teams[teamID]), "N/A")</f>
        <v>N/A</v>
      </c>
      <c r="Y722" s="58" t="str" cm="1">
        <f t="array" ref="Y722">_xlfn._xlws.FILTER(Teams[teamType], (Fixtures[[#This Row],[userTeamID]] = Teams[teamID]), "N/A")</f>
        <v>N/A</v>
      </c>
      <c r="Z722" s="58" t="str" cm="1">
        <f t="array" ref="Z7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2" s="58" t="str">
        <f>IF(Fixtures[[#This Row],[userSide]] = "N/A", "N/A", IF(Fixtures[[#This Row],[userSide]] = "H", Fixtures[[#This Row],[awayTeam]], Fixtures[[#This Row],[homeTeam]]))</f>
        <v>N/A</v>
      </c>
      <c r="AB722" s="58" t="str" cm="1">
        <f t="array" ref="AB722">_xlfn._xlws.FILTER(Teams[teamID], Fixtures[[#This Row],[oppTeam]] = Teams[name], "N/A")</f>
        <v>N/A</v>
      </c>
      <c r="AC722" s="58" t="str" cm="1">
        <f t="array" ref="AC722">_xlfn._xlws.FILTER(Teams[teamType], Fixtures[[#This Row],[oppTeam]] = Teams[name], "N/A")</f>
        <v>N/A</v>
      </c>
      <c r="AD722" s="58" t="str">
        <f>IF(ISBLANK(Fixtures[[#This Row],[date]]), "N/A", IF(Fixtures[[#This Row],[userSide]]="H", Fixtures[[#This Row],[homeScore]], Fixtures[[#This Row],[awayScore]]))</f>
        <v>N/A</v>
      </c>
      <c r="AE722" s="58" t="str">
        <f>IF(ISBLANK(Fixtures[[#This Row],[date]]), "N/A", IF(Fixtures[[#This Row],[userScore]] = Fixtures[[#This Row],[homeScore]], Fixtures[[#This Row],[awayScore]], Fixtures[[#This Row],[homeScore]]))</f>
        <v>N/A</v>
      </c>
      <c r="AF722" s="58" t="b">
        <f>NOT(AND(ISBLANK(Fixtures[[#This Row],[homePens]]), ISBLANK(Fixtures[[#This Row],[awayPens]])))</f>
        <v>0</v>
      </c>
      <c r="AG722" s="58" t="str">
        <f>IF(Fixtures[[#This Row],[penalties]], IF(Fixtures[[#This Row],[userSide]]="H", Fixtures[[#This Row],[homePens]], Fixtures[[#This Row],[awayPens]]), "N/A")</f>
        <v>N/A</v>
      </c>
      <c r="AH722" s="58" t="str">
        <f>IF(Fixtures[[#This Row],[penalties]], IF(Fixtures[[#This Row],[userPens]]=Fixtures[[#This Row],[homePens]],Fixtures[[#This Row],[awayPens]],Fixtures[[#This Row],[homePens]]), "N/A")</f>
        <v>N/A</v>
      </c>
      <c r="AI722" s="58" t="b">
        <f>COUNTBLANK(Fixtures[[#This Row],[G]:[MOTM]]) = 0</f>
        <v>0</v>
      </c>
      <c r="AJ722" s="58" t="str">
        <f>IF(Fixtures[[#This Row],[APP]], Fixtures[[#This Row],[G]]+Fixtures[[#This Row],[A]], "N/A")</f>
        <v>N/A</v>
      </c>
      <c r="AK7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3" spans="1:39" ht="13">
      <c r="A723" s="55"/>
      <c r="B723" s="61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7"/>
      <c r="R723" s="56"/>
      <c r="S723" s="58" t="str" cm="1">
        <f t="array" ref="S723">_xlfn._xlws.FILTER(Competitions[compType], (Fixtures[[#This Row],[competition]] = Competitions[name]), "N/A")</f>
        <v>N/A</v>
      </c>
      <c r="T723" s="58" t="str" cm="1">
        <f t="array" ref="T723">_xlfn._xlws.FILTER(Competitions[exhibition], (Fixtures[[#This Row],[competition]] = Competitions[name]), "N/A")</f>
        <v>N/A</v>
      </c>
      <c r="U723" s="58" t="str" cm="1">
        <f t="array" ref="U723">_xlfn._xlws.FILTER(Competitions[compID], (Fixtures[[#This Row],[competition]] = Competitions[name]), "N/A")</f>
        <v>N/A</v>
      </c>
      <c r="V7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3" s="58" t="str" cm="1">
        <f t="array" ref="W7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3" s="58" t="str" cm="1">
        <f t="array" ref="X723">_xlfn._xlws.FILTER(Teams[name], (Fixtures[[#This Row],[userTeamID]] = Teams[teamID]), "N/A")</f>
        <v>N/A</v>
      </c>
      <c r="Y723" s="58" t="str" cm="1">
        <f t="array" ref="Y723">_xlfn._xlws.FILTER(Teams[teamType], (Fixtures[[#This Row],[userTeamID]] = Teams[teamID]), "N/A")</f>
        <v>N/A</v>
      </c>
      <c r="Z723" s="58" t="str" cm="1">
        <f t="array" ref="Z7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3" s="58" t="str">
        <f>IF(Fixtures[[#This Row],[userSide]] = "N/A", "N/A", IF(Fixtures[[#This Row],[userSide]] = "H", Fixtures[[#This Row],[awayTeam]], Fixtures[[#This Row],[homeTeam]]))</f>
        <v>N/A</v>
      </c>
      <c r="AB723" s="58" t="str" cm="1">
        <f t="array" ref="AB723">_xlfn._xlws.FILTER(Teams[teamID], Fixtures[[#This Row],[oppTeam]] = Teams[name], "N/A")</f>
        <v>N/A</v>
      </c>
      <c r="AC723" s="58" t="str" cm="1">
        <f t="array" ref="AC723">_xlfn._xlws.FILTER(Teams[teamType], Fixtures[[#This Row],[oppTeam]] = Teams[name], "N/A")</f>
        <v>N/A</v>
      </c>
      <c r="AD723" s="58" t="str">
        <f>IF(ISBLANK(Fixtures[[#This Row],[date]]), "N/A", IF(Fixtures[[#This Row],[userSide]]="H", Fixtures[[#This Row],[homeScore]], Fixtures[[#This Row],[awayScore]]))</f>
        <v>N/A</v>
      </c>
      <c r="AE723" s="58" t="str">
        <f>IF(ISBLANK(Fixtures[[#This Row],[date]]), "N/A", IF(Fixtures[[#This Row],[userScore]] = Fixtures[[#This Row],[homeScore]], Fixtures[[#This Row],[awayScore]], Fixtures[[#This Row],[homeScore]]))</f>
        <v>N/A</v>
      </c>
      <c r="AF723" s="58" t="b">
        <f>NOT(AND(ISBLANK(Fixtures[[#This Row],[homePens]]), ISBLANK(Fixtures[[#This Row],[awayPens]])))</f>
        <v>0</v>
      </c>
      <c r="AG723" s="58" t="str">
        <f>IF(Fixtures[[#This Row],[penalties]], IF(Fixtures[[#This Row],[userSide]]="H", Fixtures[[#This Row],[homePens]], Fixtures[[#This Row],[awayPens]]), "N/A")</f>
        <v>N/A</v>
      </c>
      <c r="AH723" s="58" t="str">
        <f>IF(Fixtures[[#This Row],[penalties]], IF(Fixtures[[#This Row],[userPens]]=Fixtures[[#This Row],[homePens]],Fixtures[[#This Row],[awayPens]],Fixtures[[#This Row],[homePens]]), "N/A")</f>
        <v>N/A</v>
      </c>
      <c r="AI723" s="58" t="b">
        <f>COUNTBLANK(Fixtures[[#This Row],[G]:[MOTM]]) = 0</f>
        <v>0</v>
      </c>
      <c r="AJ723" s="58" t="str">
        <f>IF(Fixtures[[#This Row],[APP]], Fixtures[[#This Row],[G]]+Fixtures[[#This Row],[A]], "N/A")</f>
        <v>N/A</v>
      </c>
      <c r="AK7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4" spans="1:39" ht="13">
      <c r="A724" s="55"/>
      <c r="B724" s="61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7"/>
      <c r="R724" s="56"/>
      <c r="S724" s="58" t="str" cm="1">
        <f t="array" ref="S724">_xlfn._xlws.FILTER(Competitions[compType], (Fixtures[[#This Row],[competition]] = Competitions[name]), "N/A")</f>
        <v>N/A</v>
      </c>
      <c r="T724" s="58" t="str" cm="1">
        <f t="array" ref="T724">_xlfn._xlws.FILTER(Competitions[exhibition], (Fixtures[[#This Row],[competition]] = Competitions[name]), "N/A")</f>
        <v>N/A</v>
      </c>
      <c r="U724" s="58" t="str" cm="1">
        <f t="array" ref="U724">_xlfn._xlws.FILTER(Competitions[compID], (Fixtures[[#This Row],[competition]] = Competitions[name]), "N/A")</f>
        <v>N/A</v>
      </c>
      <c r="V7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4" s="58" t="str" cm="1">
        <f t="array" ref="W7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4" s="58" t="str" cm="1">
        <f t="array" ref="X724">_xlfn._xlws.FILTER(Teams[name], (Fixtures[[#This Row],[userTeamID]] = Teams[teamID]), "N/A")</f>
        <v>N/A</v>
      </c>
      <c r="Y724" s="58" t="str" cm="1">
        <f t="array" ref="Y724">_xlfn._xlws.FILTER(Teams[teamType], (Fixtures[[#This Row],[userTeamID]] = Teams[teamID]), "N/A")</f>
        <v>N/A</v>
      </c>
      <c r="Z724" s="58" t="str" cm="1">
        <f t="array" ref="Z7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4" s="58" t="str">
        <f>IF(Fixtures[[#This Row],[userSide]] = "N/A", "N/A", IF(Fixtures[[#This Row],[userSide]] = "H", Fixtures[[#This Row],[awayTeam]], Fixtures[[#This Row],[homeTeam]]))</f>
        <v>N/A</v>
      </c>
      <c r="AB724" s="58" t="str" cm="1">
        <f t="array" ref="AB724">_xlfn._xlws.FILTER(Teams[teamID], Fixtures[[#This Row],[oppTeam]] = Teams[name], "N/A")</f>
        <v>N/A</v>
      </c>
      <c r="AC724" s="58" t="str" cm="1">
        <f t="array" ref="AC724">_xlfn._xlws.FILTER(Teams[teamType], Fixtures[[#This Row],[oppTeam]] = Teams[name], "N/A")</f>
        <v>N/A</v>
      </c>
      <c r="AD724" s="58" t="str">
        <f>IF(ISBLANK(Fixtures[[#This Row],[date]]), "N/A", IF(Fixtures[[#This Row],[userSide]]="H", Fixtures[[#This Row],[homeScore]], Fixtures[[#This Row],[awayScore]]))</f>
        <v>N/A</v>
      </c>
      <c r="AE724" s="58" t="str">
        <f>IF(ISBLANK(Fixtures[[#This Row],[date]]), "N/A", IF(Fixtures[[#This Row],[userScore]] = Fixtures[[#This Row],[homeScore]], Fixtures[[#This Row],[awayScore]], Fixtures[[#This Row],[homeScore]]))</f>
        <v>N/A</v>
      </c>
      <c r="AF724" s="58" t="b">
        <f>NOT(AND(ISBLANK(Fixtures[[#This Row],[homePens]]), ISBLANK(Fixtures[[#This Row],[awayPens]])))</f>
        <v>0</v>
      </c>
      <c r="AG724" s="58" t="str">
        <f>IF(Fixtures[[#This Row],[penalties]], IF(Fixtures[[#This Row],[userSide]]="H", Fixtures[[#This Row],[homePens]], Fixtures[[#This Row],[awayPens]]), "N/A")</f>
        <v>N/A</v>
      </c>
      <c r="AH724" s="58" t="str">
        <f>IF(Fixtures[[#This Row],[penalties]], IF(Fixtures[[#This Row],[userPens]]=Fixtures[[#This Row],[homePens]],Fixtures[[#This Row],[awayPens]],Fixtures[[#This Row],[homePens]]), "N/A")</f>
        <v>N/A</v>
      </c>
      <c r="AI724" s="58" t="b">
        <f>COUNTBLANK(Fixtures[[#This Row],[G]:[MOTM]]) = 0</f>
        <v>0</v>
      </c>
      <c r="AJ724" s="58" t="str">
        <f>IF(Fixtures[[#This Row],[APP]], Fixtures[[#This Row],[G]]+Fixtures[[#This Row],[A]], "N/A")</f>
        <v>N/A</v>
      </c>
      <c r="AK7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5" spans="1:39" ht="13">
      <c r="A725" s="55"/>
      <c r="B725" s="61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7"/>
      <c r="R725" s="56"/>
      <c r="S725" s="58" t="str" cm="1">
        <f t="array" ref="S725">_xlfn._xlws.FILTER(Competitions[compType], (Fixtures[[#This Row],[competition]] = Competitions[name]), "N/A")</f>
        <v>N/A</v>
      </c>
      <c r="T725" s="58" t="str" cm="1">
        <f t="array" ref="T725">_xlfn._xlws.FILTER(Competitions[exhibition], (Fixtures[[#This Row],[competition]] = Competitions[name]), "N/A")</f>
        <v>N/A</v>
      </c>
      <c r="U725" s="58" t="str" cm="1">
        <f t="array" ref="U725">_xlfn._xlws.FILTER(Competitions[compID], (Fixtures[[#This Row],[competition]] = Competitions[name]), "N/A")</f>
        <v>N/A</v>
      </c>
      <c r="V7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5" s="58" t="str" cm="1">
        <f t="array" ref="W7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5" s="58" t="str" cm="1">
        <f t="array" ref="X725">_xlfn._xlws.FILTER(Teams[name], (Fixtures[[#This Row],[userTeamID]] = Teams[teamID]), "N/A")</f>
        <v>N/A</v>
      </c>
      <c r="Y725" s="58" t="str" cm="1">
        <f t="array" ref="Y725">_xlfn._xlws.FILTER(Teams[teamType], (Fixtures[[#This Row],[userTeamID]] = Teams[teamID]), "N/A")</f>
        <v>N/A</v>
      </c>
      <c r="Z725" s="58" t="str" cm="1">
        <f t="array" ref="Z7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5" s="58" t="str">
        <f>IF(Fixtures[[#This Row],[userSide]] = "N/A", "N/A", IF(Fixtures[[#This Row],[userSide]] = "H", Fixtures[[#This Row],[awayTeam]], Fixtures[[#This Row],[homeTeam]]))</f>
        <v>N/A</v>
      </c>
      <c r="AB725" s="58" t="str" cm="1">
        <f t="array" ref="AB725">_xlfn._xlws.FILTER(Teams[teamID], Fixtures[[#This Row],[oppTeam]] = Teams[name], "N/A")</f>
        <v>N/A</v>
      </c>
      <c r="AC725" s="58" t="str" cm="1">
        <f t="array" ref="AC725">_xlfn._xlws.FILTER(Teams[teamType], Fixtures[[#This Row],[oppTeam]] = Teams[name], "N/A")</f>
        <v>N/A</v>
      </c>
      <c r="AD725" s="58" t="str">
        <f>IF(ISBLANK(Fixtures[[#This Row],[date]]), "N/A", IF(Fixtures[[#This Row],[userSide]]="H", Fixtures[[#This Row],[homeScore]], Fixtures[[#This Row],[awayScore]]))</f>
        <v>N/A</v>
      </c>
      <c r="AE725" s="58" t="str">
        <f>IF(ISBLANK(Fixtures[[#This Row],[date]]), "N/A", IF(Fixtures[[#This Row],[userScore]] = Fixtures[[#This Row],[homeScore]], Fixtures[[#This Row],[awayScore]], Fixtures[[#This Row],[homeScore]]))</f>
        <v>N/A</v>
      </c>
      <c r="AF725" s="58" t="b">
        <f>NOT(AND(ISBLANK(Fixtures[[#This Row],[homePens]]), ISBLANK(Fixtures[[#This Row],[awayPens]])))</f>
        <v>0</v>
      </c>
      <c r="AG725" s="58" t="str">
        <f>IF(Fixtures[[#This Row],[penalties]], IF(Fixtures[[#This Row],[userSide]]="H", Fixtures[[#This Row],[homePens]], Fixtures[[#This Row],[awayPens]]), "N/A")</f>
        <v>N/A</v>
      </c>
      <c r="AH725" s="58" t="str">
        <f>IF(Fixtures[[#This Row],[penalties]], IF(Fixtures[[#This Row],[userPens]]=Fixtures[[#This Row],[homePens]],Fixtures[[#This Row],[awayPens]],Fixtures[[#This Row],[homePens]]), "N/A")</f>
        <v>N/A</v>
      </c>
      <c r="AI725" s="58" t="b">
        <f>COUNTBLANK(Fixtures[[#This Row],[G]:[MOTM]]) = 0</f>
        <v>0</v>
      </c>
      <c r="AJ725" s="58" t="str">
        <f>IF(Fixtures[[#This Row],[APP]], Fixtures[[#This Row],[G]]+Fixtures[[#This Row],[A]], "N/A")</f>
        <v>N/A</v>
      </c>
      <c r="AK7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6" spans="1:39" ht="13">
      <c r="A726" s="55"/>
      <c r="B726" s="61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7"/>
      <c r="R726" s="56"/>
      <c r="S726" s="58" t="str" cm="1">
        <f t="array" ref="S726">_xlfn._xlws.FILTER(Competitions[compType], (Fixtures[[#This Row],[competition]] = Competitions[name]), "N/A")</f>
        <v>N/A</v>
      </c>
      <c r="T726" s="58" t="str" cm="1">
        <f t="array" ref="T726">_xlfn._xlws.FILTER(Competitions[exhibition], (Fixtures[[#This Row],[competition]] = Competitions[name]), "N/A")</f>
        <v>N/A</v>
      </c>
      <c r="U726" s="58" t="str" cm="1">
        <f t="array" ref="U726">_xlfn._xlws.FILTER(Competitions[compID], (Fixtures[[#This Row],[competition]] = Competitions[name]), "N/A")</f>
        <v>N/A</v>
      </c>
      <c r="V7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6" s="58" t="str" cm="1">
        <f t="array" ref="W7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6" s="58" t="str" cm="1">
        <f t="array" ref="X726">_xlfn._xlws.FILTER(Teams[name], (Fixtures[[#This Row],[userTeamID]] = Teams[teamID]), "N/A")</f>
        <v>N/A</v>
      </c>
      <c r="Y726" s="58" t="str" cm="1">
        <f t="array" ref="Y726">_xlfn._xlws.FILTER(Teams[teamType], (Fixtures[[#This Row],[userTeamID]] = Teams[teamID]), "N/A")</f>
        <v>N/A</v>
      </c>
      <c r="Z726" s="58" t="str" cm="1">
        <f t="array" ref="Z7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6" s="58" t="str">
        <f>IF(Fixtures[[#This Row],[userSide]] = "N/A", "N/A", IF(Fixtures[[#This Row],[userSide]] = "H", Fixtures[[#This Row],[awayTeam]], Fixtures[[#This Row],[homeTeam]]))</f>
        <v>N/A</v>
      </c>
      <c r="AB726" s="58" t="str" cm="1">
        <f t="array" ref="AB726">_xlfn._xlws.FILTER(Teams[teamID], Fixtures[[#This Row],[oppTeam]] = Teams[name], "N/A")</f>
        <v>N/A</v>
      </c>
      <c r="AC726" s="58" t="str" cm="1">
        <f t="array" ref="AC726">_xlfn._xlws.FILTER(Teams[teamType], Fixtures[[#This Row],[oppTeam]] = Teams[name], "N/A")</f>
        <v>N/A</v>
      </c>
      <c r="AD726" s="58" t="str">
        <f>IF(ISBLANK(Fixtures[[#This Row],[date]]), "N/A", IF(Fixtures[[#This Row],[userSide]]="H", Fixtures[[#This Row],[homeScore]], Fixtures[[#This Row],[awayScore]]))</f>
        <v>N/A</v>
      </c>
      <c r="AE726" s="58" t="str">
        <f>IF(ISBLANK(Fixtures[[#This Row],[date]]), "N/A", IF(Fixtures[[#This Row],[userScore]] = Fixtures[[#This Row],[homeScore]], Fixtures[[#This Row],[awayScore]], Fixtures[[#This Row],[homeScore]]))</f>
        <v>N/A</v>
      </c>
      <c r="AF726" s="58" t="b">
        <f>NOT(AND(ISBLANK(Fixtures[[#This Row],[homePens]]), ISBLANK(Fixtures[[#This Row],[awayPens]])))</f>
        <v>0</v>
      </c>
      <c r="AG726" s="58" t="str">
        <f>IF(Fixtures[[#This Row],[penalties]], IF(Fixtures[[#This Row],[userSide]]="H", Fixtures[[#This Row],[homePens]], Fixtures[[#This Row],[awayPens]]), "N/A")</f>
        <v>N/A</v>
      </c>
      <c r="AH726" s="58" t="str">
        <f>IF(Fixtures[[#This Row],[penalties]], IF(Fixtures[[#This Row],[userPens]]=Fixtures[[#This Row],[homePens]],Fixtures[[#This Row],[awayPens]],Fixtures[[#This Row],[homePens]]), "N/A")</f>
        <v>N/A</v>
      </c>
      <c r="AI726" s="58" t="b">
        <f>COUNTBLANK(Fixtures[[#This Row],[G]:[MOTM]]) = 0</f>
        <v>0</v>
      </c>
      <c r="AJ726" s="58" t="str">
        <f>IF(Fixtures[[#This Row],[APP]], Fixtures[[#This Row],[G]]+Fixtures[[#This Row],[A]], "N/A")</f>
        <v>N/A</v>
      </c>
      <c r="AK7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7" spans="1:39" ht="13">
      <c r="A727" s="55"/>
      <c r="B727" s="61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7"/>
      <c r="R727" s="56"/>
      <c r="S727" s="58" t="str" cm="1">
        <f t="array" ref="S727">_xlfn._xlws.FILTER(Competitions[compType], (Fixtures[[#This Row],[competition]] = Competitions[name]), "N/A")</f>
        <v>N/A</v>
      </c>
      <c r="T727" s="58" t="str" cm="1">
        <f t="array" ref="T727">_xlfn._xlws.FILTER(Competitions[exhibition], (Fixtures[[#This Row],[competition]] = Competitions[name]), "N/A")</f>
        <v>N/A</v>
      </c>
      <c r="U727" s="58" t="str" cm="1">
        <f t="array" ref="U727">_xlfn._xlws.FILTER(Competitions[compID], (Fixtures[[#This Row],[competition]] = Competitions[name]), "N/A")</f>
        <v>N/A</v>
      </c>
      <c r="V7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7" s="58" t="str" cm="1">
        <f t="array" ref="W7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7" s="58" t="str" cm="1">
        <f t="array" ref="X727">_xlfn._xlws.FILTER(Teams[name], (Fixtures[[#This Row],[userTeamID]] = Teams[teamID]), "N/A")</f>
        <v>N/A</v>
      </c>
      <c r="Y727" s="58" t="str" cm="1">
        <f t="array" ref="Y727">_xlfn._xlws.FILTER(Teams[teamType], (Fixtures[[#This Row],[userTeamID]] = Teams[teamID]), "N/A")</f>
        <v>N/A</v>
      </c>
      <c r="Z727" s="58" t="str" cm="1">
        <f t="array" ref="Z7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7" s="58" t="str">
        <f>IF(Fixtures[[#This Row],[userSide]] = "N/A", "N/A", IF(Fixtures[[#This Row],[userSide]] = "H", Fixtures[[#This Row],[awayTeam]], Fixtures[[#This Row],[homeTeam]]))</f>
        <v>N/A</v>
      </c>
      <c r="AB727" s="58" t="str" cm="1">
        <f t="array" ref="AB727">_xlfn._xlws.FILTER(Teams[teamID], Fixtures[[#This Row],[oppTeam]] = Teams[name], "N/A")</f>
        <v>N/A</v>
      </c>
      <c r="AC727" s="58" t="str" cm="1">
        <f t="array" ref="AC727">_xlfn._xlws.FILTER(Teams[teamType], Fixtures[[#This Row],[oppTeam]] = Teams[name], "N/A")</f>
        <v>N/A</v>
      </c>
      <c r="AD727" s="58" t="str">
        <f>IF(ISBLANK(Fixtures[[#This Row],[date]]), "N/A", IF(Fixtures[[#This Row],[userSide]]="H", Fixtures[[#This Row],[homeScore]], Fixtures[[#This Row],[awayScore]]))</f>
        <v>N/A</v>
      </c>
      <c r="AE727" s="58" t="str">
        <f>IF(ISBLANK(Fixtures[[#This Row],[date]]), "N/A", IF(Fixtures[[#This Row],[userScore]] = Fixtures[[#This Row],[homeScore]], Fixtures[[#This Row],[awayScore]], Fixtures[[#This Row],[homeScore]]))</f>
        <v>N/A</v>
      </c>
      <c r="AF727" s="58" t="b">
        <f>NOT(AND(ISBLANK(Fixtures[[#This Row],[homePens]]), ISBLANK(Fixtures[[#This Row],[awayPens]])))</f>
        <v>0</v>
      </c>
      <c r="AG727" s="58" t="str">
        <f>IF(Fixtures[[#This Row],[penalties]], IF(Fixtures[[#This Row],[userSide]]="H", Fixtures[[#This Row],[homePens]], Fixtures[[#This Row],[awayPens]]), "N/A")</f>
        <v>N/A</v>
      </c>
      <c r="AH727" s="58" t="str">
        <f>IF(Fixtures[[#This Row],[penalties]], IF(Fixtures[[#This Row],[userPens]]=Fixtures[[#This Row],[homePens]],Fixtures[[#This Row],[awayPens]],Fixtures[[#This Row],[homePens]]), "N/A")</f>
        <v>N/A</v>
      </c>
      <c r="AI727" s="58" t="b">
        <f>COUNTBLANK(Fixtures[[#This Row],[G]:[MOTM]]) = 0</f>
        <v>0</v>
      </c>
      <c r="AJ727" s="58" t="str">
        <f>IF(Fixtures[[#This Row],[APP]], Fixtures[[#This Row],[G]]+Fixtures[[#This Row],[A]], "N/A")</f>
        <v>N/A</v>
      </c>
      <c r="AK7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8" spans="1:39" ht="13">
      <c r="A728" s="55"/>
      <c r="B728" s="61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7"/>
      <c r="R728" s="56"/>
      <c r="S728" s="58" t="str" cm="1">
        <f t="array" ref="S728">_xlfn._xlws.FILTER(Competitions[compType], (Fixtures[[#This Row],[competition]] = Competitions[name]), "N/A")</f>
        <v>N/A</v>
      </c>
      <c r="T728" s="58" t="str" cm="1">
        <f t="array" ref="T728">_xlfn._xlws.FILTER(Competitions[exhibition], (Fixtures[[#This Row],[competition]] = Competitions[name]), "N/A")</f>
        <v>N/A</v>
      </c>
      <c r="U728" s="58" t="str" cm="1">
        <f t="array" ref="U728">_xlfn._xlws.FILTER(Competitions[compID], (Fixtures[[#This Row],[competition]] = Competitions[name]), "N/A")</f>
        <v>N/A</v>
      </c>
      <c r="V7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8" s="58" t="str" cm="1">
        <f t="array" ref="W7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8" s="58" t="str" cm="1">
        <f t="array" ref="X728">_xlfn._xlws.FILTER(Teams[name], (Fixtures[[#This Row],[userTeamID]] = Teams[teamID]), "N/A")</f>
        <v>N/A</v>
      </c>
      <c r="Y728" s="58" t="str" cm="1">
        <f t="array" ref="Y728">_xlfn._xlws.FILTER(Teams[teamType], (Fixtures[[#This Row],[userTeamID]] = Teams[teamID]), "N/A")</f>
        <v>N/A</v>
      </c>
      <c r="Z728" s="58" t="str" cm="1">
        <f t="array" ref="Z7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8" s="58" t="str">
        <f>IF(Fixtures[[#This Row],[userSide]] = "N/A", "N/A", IF(Fixtures[[#This Row],[userSide]] = "H", Fixtures[[#This Row],[awayTeam]], Fixtures[[#This Row],[homeTeam]]))</f>
        <v>N/A</v>
      </c>
      <c r="AB728" s="58" t="str" cm="1">
        <f t="array" ref="AB728">_xlfn._xlws.FILTER(Teams[teamID], Fixtures[[#This Row],[oppTeam]] = Teams[name], "N/A")</f>
        <v>N/A</v>
      </c>
      <c r="AC728" s="58" t="str" cm="1">
        <f t="array" ref="AC728">_xlfn._xlws.FILTER(Teams[teamType], Fixtures[[#This Row],[oppTeam]] = Teams[name], "N/A")</f>
        <v>N/A</v>
      </c>
      <c r="AD728" s="58" t="str">
        <f>IF(ISBLANK(Fixtures[[#This Row],[date]]), "N/A", IF(Fixtures[[#This Row],[userSide]]="H", Fixtures[[#This Row],[homeScore]], Fixtures[[#This Row],[awayScore]]))</f>
        <v>N/A</v>
      </c>
      <c r="AE728" s="58" t="str">
        <f>IF(ISBLANK(Fixtures[[#This Row],[date]]), "N/A", IF(Fixtures[[#This Row],[userScore]] = Fixtures[[#This Row],[homeScore]], Fixtures[[#This Row],[awayScore]], Fixtures[[#This Row],[homeScore]]))</f>
        <v>N/A</v>
      </c>
      <c r="AF728" s="58" t="b">
        <f>NOT(AND(ISBLANK(Fixtures[[#This Row],[homePens]]), ISBLANK(Fixtures[[#This Row],[awayPens]])))</f>
        <v>0</v>
      </c>
      <c r="AG728" s="58" t="str">
        <f>IF(Fixtures[[#This Row],[penalties]], IF(Fixtures[[#This Row],[userSide]]="H", Fixtures[[#This Row],[homePens]], Fixtures[[#This Row],[awayPens]]), "N/A")</f>
        <v>N/A</v>
      </c>
      <c r="AH728" s="58" t="str">
        <f>IF(Fixtures[[#This Row],[penalties]], IF(Fixtures[[#This Row],[userPens]]=Fixtures[[#This Row],[homePens]],Fixtures[[#This Row],[awayPens]],Fixtures[[#This Row],[homePens]]), "N/A")</f>
        <v>N/A</v>
      </c>
      <c r="AI728" s="58" t="b">
        <f>COUNTBLANK(Fixtures[[#This Row],[G]:[MOTM]]) = 0</f>
        <v>0</v>
      </c>
      <c r="AJ728" s="58" t="str">
        <f>IF(Fixtures[[#This Row],[APP]], Fixtures[[#This Row],[G]]+Fixtures[[#This Row],[A]], "N/A")</f>
        <v>N/A</v>
      </c>
      <c r="AK7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29" spans="1:39" ht="13">
      <c r="A729" s="55"/>
      <c r="B729" s="61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7"/>
      <c r="R729" s="56"/>
      <c r="S729" s="58" t="str" cm="1">
        <f t="array" ref="S729">_xlfn._xlws.FILTER(Competitions[compType], (Fixtures[[#This Row],[competition]] = Competitions[name]), "N/A")</f>
        <v>N/A</v>
      </c>
      <c r="T729" s="58" t="str" cm="1">
        <f t="array" ref="T729">_xlfn._xlws.FILTER(Competitions[exhibition], (Fixtures[[#This Row],[competition]] = Competitions[name]), "N/A")</f>
        <v>N/A</v>
      </c>
      <c r="U729" s="58" t="str" cm="1">
        <f t="array" ref="U729">_xlfn._xlws.FILTER(Competitions[compID], (Fixtures[[#This Row],[competition]] = Competitions[name]), "N/A")</f>
        <v>N/A</v>
      </c>
      <c r="V7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29" s="58" t="str" cm="1">
        <f t="array" ref="W7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29" s="58" t="str" cm="1">
        <f t="array" ref="X729">_xlfn._xlws.FILTER(Teams[name], (Fixtures[[#This Row],[userTeamID]] = Teams[teamID]), "N/A")</f>
        <v>N/A</v>
      </c>
      <c r="Y729" s="58" t="str" cm="1">
        <f t="array" ref="Y729">_xlfn._xlws.FILTER(Teams[teamType], (Fixtures[[#This Row],[userTeamID]] = Teams[teamID]), "N/A")</f>
        <v>N/A</v>
      </c>
      <c r="Z729" s="58" t="str" cm="1">
        <f t="array" ref="Z7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29" s="58" t="str">
        <f>IF(Fixtures[[#This Row],[userSide]] = "N/A", "N/A", IF(Fixtures[[#This Row],[userSide]] = "H", Fixtures[[#This Row],[awayTeam]], Fixtures[[#This Row],[homeTeam]]))</f>
        <v>N/A</v>
      </c>
      <c r="AB729" s="58" t="str" cm="1">
        <f t="array" ref="AB729">_xlfn._xlws.FILTER(Teams[teamID], Fixtures[[#This Row],[oppTeam]] = Teams[name], "N/A")</f>
        <v>N/A</v>
      </c>
      <c r="AC729" s="58" t="str" cm="1">
        <f t="array" ref="AC729">_xlfn._xlws.FILTER(Teams[teamType], Fixtures[[#This Row],[oppTeam]] = Teams[name], "N/A")</f>
        <v>N/A</v>
      </c>
      <c r="AD729" s="58" t="str">
        <f>IF(ISBLANK(Fixtures[[#This Row],[date]]), "N/A", IF(Fixtures[[#This Row],[userSide]]="H", Fixtures[[#This Row],[homeScore]], Fixtures[[#This Row],[awayScore]]))</f>
        <v>N/A</v>
      </c>
      <c r="AE729" s="58" t="str">
        <f>IF(ISBLANK(Fixtures[[#This Row],[date]]), "N/A", IF(Fixtures[[#This Row],[userScore]] = Fixtures[[#This Row],[homeScore]], Fixtures[[#This Row],[awayScore]], Fixtures[[#This Row],[homeScore]]))</f>
        <v>N/A</v>
      </c>
      <c r="AF729" s="58" t="b">
        <f>NOT(AND(ISBLANK(Fixtures[[#This Row],[homePens]]), ISBLANK(Fixtures[[#This Row],[awayPens]])))</f>
        <v>0</v>
      </c>
      <c r="AG729" s="58" t="str">
        <f>IF(Fixtures[[#This Row],[penalties]], IF(Fixtures[[#This Row],[userSide]]="H", Fixtures[[#This Row],[homePens]], Fixtures[[#This Row],[awayPens]]), "N/A")</f>
        <v>N/A</v>
      </c>
      <c r="AH729" s="58" t="str">
        <f>IF(Fixtures[[#This Row],[penalties]], IF(Fixtures[[#This Row],[userPens]]=Fixtures[[#This Row],[homePens]],Fixtures[[#This Row],[awayPens]],Fixtures[[#This Row],[homePens]]), "N/A")</f>
        <v>N/A</v>
      </c>
      <c r="AI729" s="58" t="b">
        <f>COUNTBLANK(Fixtures[[#This Row],[G]:[MOTM]]) = 0</f>
        <v>0</v>
      </c>
      <c r="AJ729" s="58" t="str">
        <f>IF(Fixtures[[#This Row],[APP]], Fixtures[[#This Row],[G]]+Fixtures[[#This Row],[A]], "N/A")</f>
        <v>N/A</v>
      </c>
      <c r="AK7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0" spans="1:39" ht="13">
      <c r="A730" s="55"/>
      <c r="B730" s="61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7"/>
      <c r="R730" s="56"/>
      <c r="S730" s="58" t="str" cm="1">
        <f t="array" ref="S730">_xlfn._xlws.FILTER(Competitions[compType], (Fixtures[[#This Row],[competition]] = Competitions[name]), "N/A")</f>
        <v>N/A</v>
      </c>
      <c r="T730" s="58" t="str" cm="1">
        <f t="array" ref="T730">_xlfn._xlws.FILTER(Competitions[exhibition], (Fixtures[[#This Row],[competition]] = Competitions[name]), "N/A")</f>
        <v>N/A</v>
      </c>
      <c r="U730" s="58" t="str" cm="1">
        <f t="array" ref="U730">_xlfn._xlws.FILTER(Competitions[compID], (Fixtures[[#This Row],[competition]] = Competitions[name]), "N/A")</f>
        <v>N/A</v>
      </c>
      <c r="V7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0" s="58" t="str" cm="1">
        <f t="array" ref="W7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0" s="58" t="str" cm="1">
        <f t="array" ref="X730">_xlfn._xlws.FILTER(Teams[name], (Fixtures[[#This Row],[userTeamID]] = Teams[teamID]), "N/A")</f>
        <v>N/A</v>
      </c>
      <c r="Y730" s="58" t="str" cm="1">
        <f t="array" ref="Y730">_xlfn._xlws.FILTER(Teams[teamType], (Fixtures[[#This Row],[userTeamID]] = Teams[teamID]), "N/A")</f>
        <v>N/A</v>
      </c>
      <c r="Z730" s="58" t="str" cm="1">
        <f t="array" ref="Z7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0" s="58" t="str">
        <f>IF(Fixtures[[#This Row],[userSide]] = "N/A", "N/A", IF(Fixtures[[#This Row],[userSide]] = "H", Fixtures[[#This Row],[awayTeam]], Fixtures[[#This Row],[homeTeam]]))</f>
        <v>N/A</v>
      </c>
      <c r="AB730" s="58" t="str" cm="1">
        <f t="array" ref="AB730">_xlfn._xlws.FILTER(Teams[teamID], Fixtures[[#This Row],[oppTeam]] = Teams[name], "N/A")</f>
        <v>N/A</v>
      </c>
      <c r="AC730" s="58" t="str" cm="1">
        <f t="array" ref="AC730">_xlfn._xlws.FILTER(Teams[teamType], Fixtures[[#This Row],[oppTeam]] = Teams[name], "N/A")</f>
        <v>N/A</v>
      </c>
      <c r="AD730" s="58" t="str">
        <f>IF(ISBLANK(Fixtures[[#This Row],[date]]), "N/A", IF(Fixtures[[#This Row],[userSide]]="H", Fixtures[[#This Row],[homeScore]], Fixtures[[#This Row],[awayScore]]))</f>
        <v>N/A</v>
      </c>
      <c r="AE730" s="58" t="str">
        <f>IF(ISBLANK(Fixtures[[#This Row],[date]]), "N/A", IF(Fixtures[[#This Row],[userScore]] = Fixtures[[#This Row],[homeScore]], Fixtures[[#This Row],[awayScore]], Fixtures[[#This Row],[homeScore]]))</f>
        <v>N/A</v>
      </c>
      <c r="AF730" s="58" t="b">
        <f>NOT(AND(ISBLANK(Fixtures[[#This Row],[homePens]]), ISBLANK(Fixtures[[#This Row],[awayPens]])))</f>
        <v>0</v>
      </c>
      <c r="AG730" s="58" t="str">
        <f>IF(Fixtures[[#This Row],[penalties]], IF(Fixtures[[#This Row],[userSide]]="H", Fixtures[[#This Row],[homePens]], Fixtures[[#This Row],[awayPens]]), "N/A")</f>
        <v>N/A</v>
      </c>
      <c r="AH730" s="58" t="str">
        <f>IF(Fixtures[[#This Row],[penalties]], IF(Fixtures[[#This Row],[userPens]]=Fixtures[[#This Row],[homePens]],Fixtures[[#This Row],[awayPens]],Fixtures[[#This Row],[homePens]]), "N/A")</f>
        <v>N/A</v>
      </c>
      <c r="AI730" s="58" t="b">
        <f>COUNTBLANK(Fixtures[[#This Row],[G]:[MOTM]]) = 0</f>
        <v>0</v>
      </c>
      <c r="AJ730" s="58" t="str">
        <f>IF(Fixtures[[#This Row],[APP]], Fixtures[[#This Row],[G]]+Fixtures[[#This Row],[A]], "N/A")</f>
        <v>N/A</v>
      </c>
      <c r="AK7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1" spans="1:39" ht="13">
      <c r="A731" s="55"/>
      <c r="B731" s="61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7"/>
      <c r="R731" s="56"/>
      <c r="S731" s="58" t="str" cm="1">
        <f t="array" ref="S731">_xlfn._xlws.FILTER(Competitions[compType], (Fixtures[[#This Row],[competition]] = Competitions[name]), "N/A")</f>
        <v>N/A</v>
      </c>
      <c r="T731" s="58" t="str" cm="1">
        <f t="array" ref="T731">_xlfn._xlws.FILTER(Competitions[exhibition], (Fixtures[[#This Row],[competition]] = Competitions[name]), "N/A")</f>
        <v>N/A</v>
      </c>
      <c r="U731" s="58" t="str" cm="1">
        <f t="array" ref="U731">_xlfn._xlws.FILTER(Competitions[compID], (Fixtures[[#This Row],[competition]] = Competitions[name]), "N/A")</f>
        <v>N/A</v>
      </c>
      <c r="V7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1" s="58" t="str" cm="1">
        <f t="array" ref="W7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1" s="58" t="str" cm="1">
        <f t="array" ref="X731">_xlfn._xlws.FILTER(Teams[name], (Fixtures[[#This Row],[userTeamID]] = Teams[teamID]), "N/A")</f>
        <v>N/A</v>
      </c>
      <c r="Y731" s="58" t="str" cm="1">
        <f t="array" ref="Y731">_xlfn._xlws.FILTER(Teams[teamType], (Fixtures[[#This Row],[userTeamID]] = Teams[teamID]), "N/A")</f>
        <v>N/A</v>
      </c>
      <c r="Z731" s="58" t="str" cm="1">
        <f t="array" ref="Z7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1" s="58" t="str">
        <f>IF(Fixtures[[#This Row],[userSide]] = "N/A", "N/A", IF(Fixtures[[#This Row],[userSide]] = "H", Fixtures[[#This Row],[awayTeam]], Fixtures[[#This Row],[homeTeam]]))</f>
        <v>N/A</v>
      </c>
      <c r="AB731" s="58" t="str" cm="1">
        <f t="array" ref="AB731">_xlfn._xlws.FILTER(Teams[teamID], Fixtures[[#This Row],[oppTeam]] = Teams[name], "N/A")</f>
        <v>N/A</v>
      </c>
      <c r="AC731" s="58" t="str" cm="1">
        <f t="array" ref="AC731">_xlfn._xlws.FILTER(Teams[teamType], Fixtures[[#This Row],[oppTeam]] = Teams[name], "N/A")</f>
        <v>N/A</v>
      </c>
      <c r="AD731" s="58" t="str">
        <f>IF(ISBLANK(Fixtures[[#This Row],[date]]), "N/A", IF(Fixtures[[#This Row],[userSide]]="H", Fixtures[[#This Row],[homeScore]], Fixtures[[#This Row],[awayScore]]))</f>
        <v>N/A</v>
      </c>
      <c r="AE731" s="58" t="str">
        <f>IF(ISBLANK(Fixtures[[#This Row],[date]]), "N/A", IF(Fixtures[[#This Row],[userScore]] = Fixtures[[#This Row],[homeScore]], Fixtures[[#This Row],[awayScore]], Fixtures[[#This Row],[homeScore]]))</f>
        <v>N/A</v>
      </c>
      <c r="AF731" s="58" t="b">
        <f>NOT(AND(ISBLANK(Fixtures[[#This Row],[homePens]]), ISBLANK(Fixtures[[#This Row],[awayPens]])))</f>
        <v>0</v>
      </c>
      <c r="AG731" s="58" t="str">
        <f>IF(Fixtures[[#This Row],[penalties]], IF(Fixtures[[#This Row],[userSide]]="H", Fixtures[[#This Row],[homePens]], Fixtures[[#This Row],[awayPens]]), "N/A")</f>
        <v>N/A</v>
      </c>
      <c r="AH731" s="58" t="str">
        <f>IF(Fixtures[[#This Row],[penalties]], IF(Fixtures[[#This Row],[userPens]]=Fixtures[[#This Row],[homePens]],Fixtures[[#This Row],[awayPens]],Fixtures[[#This Row],[homePens]]), "N/A")</f>
        <v>N/A</v>
      </c>
      <c r="AI731" s="58" t="b">
        <f>COUNTBLANK(Fixtures[[#This Row],[G]:[MOTM]]) = 0</f>
        <v>0</v>
      </c>
      <c r="AJ731" s="58" t="str">
        <f>IF(Fixtures[[#This Row],[APP]], Fixtures[[#This Row],[G]]+Fixtures[[#This Row],[A]], "N/A")</f>
        <v>N/A</v>
      </c>
      <c r="AK7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2" spans="1:39" ht="13">
      <c r="A732" s="55"/>
      <c r="B732" s="61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7"/>
      <c r="R732" s="56"/>
      <c r="S732" s="58" t="str" cm="1">
        <f t="array" ref="S732">_xlfn._xlws.FILTER(Competitions[compType], (Fixtures[[#This Row],[competition]] = Competitions[name]), "N/A")</f>
        <v>N/A</v>
      </c>
      <c r="T732" s="58" t="str" cm="1">
        <f t="array" ref="T732">_xlfn._xlws.FILTER(Competitions[exhibition], (Fixtures[[#This Row],[competition]] = Competitions[name]), "N/A")</f>
        <v>N/A</v>
      </c>
      <c r="U732" s="58" t="str" cm="1">
        <f t="array" ref="U732">_xlfn._xlws.FILTER(Competitions[compID], (Fixtures[[#This Row],[competition]] = Competitions[name]), "N/A")</f>
        <v>N/A</v>
      </c>
      <c r="V7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2" s="58" t="str" cm="1">
        <f t="array" ref="W7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2" s="58" t="str" cm="1">
        <f t="array" ref="X732">_xlfn._xlws.FILTER(Teams[name], (Fixtures[[#This Row],[userTeamID]] = Teams[teamID]), "N/A")</f>
        <v>N/A</v>
      </c>
      <c r="Y732" s="58" t="str" cm="1">
        <f t="array" ref="Y732">_xlfn._xlws.FILTER(Teams[teamType], (Fixtures[[#This Row],[userTeamID]] = Teams[teamID]), "N/A")</f>
        <v>N/A</v>
      </c>
      <c r="Z732" s="58" t="str" cm="1">
        <f t="array" ref="Z7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2" s="58" t="str">
        <f>IF(Fixtures[[#This Row],[userSide]] = "N/A", "N/A", IF(Fixtures[[#This Row],[userSide]] = "H", Fixtures[[#This Row],[awayTeam]], Fixtures[[#This Row],[homeTeam]]))</f>
        <v>N/A</v>
      </c>
      <c r="AB732" s="58" t="str" cm="1">
        <f t="array" ref="AB732">_xlfn._xlws.FILTER(Teams[teamID], Fixtures[[#This Row],[oppTeam]] = Teams[name], "N/A")</f>
        <v>N/A</v>
      </c>
      <c r="AC732" s="58" t="str" cm="1">
        <f t="array" ref="AC732">_xlfn._xlws.FILTER(Teams[teamType], Fixtures[[#This Row],[oppTeam]] = Teams[name], "N/A")</f>
        <v>N/A</v>
      </c>
      <c r="AD732" s="58" t="str">
        <f>IF(ISBLANK(Fixtures[[#This Row],[date]]), "N/A", IF(Fixtures[[#This Row],[userSide]]="H", Fixtures[[#This Row],[homeScore]], Fixtures[[#This Row],[awayScore]]))</f>
        <v>N/A</v>
      </c>
      <c r="AE732" s="58" t="str">
        <f>IF(ISBLANK(Fixtures[[#This Row],[date]]), "N/A", IF(Fixtures[[#This Row],[userScore]] = Fixtures[[#This Row],[homeScore]], Fixtures[[#This Row],[awayScore]], Fixtures[[#This Row],[homeScore]]))</f>
        <v>N/A</v>
      </c>
      <c r="AF732" s="58" t="b">
        <f>NOT(AND(ISBLANK(Fixtures[[#This Row],[homePens]]), ISBLANK(Fixtures[[#This Row],[awayPens]])))</f>
        <v>0</v>
      </c>
      <c r="AG732" s="58" t="str">
        <f>IF(Fixtures[[#This Row],[penalties]], IF(Fixtures[[#This Row],[userSide]]="H", Fixtures[[#This Row],[homePens]], Fixtures[[#This Row],[awayPens]]), "N/A")</f>
        <v>N/A</v>
      </c>
      <c r="AH732" s="58" t="str">
        <f>IF(Fixtures[[#This Row],[penalties]], IF(Fixtures[[#This Row],[userPens]]=Fixtures[[#This Row],[homePens]],Fixtures[[#This Row],[awayPens]],Fixtures[[#This Row],[homePens]]), "N/A")</f>
        <v>N/A</v>
      </c>
      <c r="AI732" s="58" t="b">
        <f>COUNTBLANK(Fixtures[[#This Row],[G]:[MOTM]]) = 0</f>
        <v>0</v>
      </c>
      <c r="AJ732" s="58" t="str">
        <f>IF(Fixtures[[#This Row],[APP]], Fixtures[[#This Row],[G]]+Fixtures[[#This Row],[A]], "N/A")</f>
        <v>N/A</v>
      </c>
      <c r="AK7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3" spans="1:39" ht="13">
      <c r="A733" s="55"/>
      <c r="B733" s="61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7"/>
      <c r="R733" s="56"/>
      <c r="S733" s="58" t="str" cm="1">
        <f t="array" ref="S733">_xlfn._xlws.FILTER(Competitions[compType], (Fixtures[[#This Row],[competition]] = Competitions[name]), "N/A")</f>
        <v>N/A</v>
      </c>
      <c r="T733" s="58" t="str" cm="1">
        <f t="array" ref="T733">_xlfn._xlws.FILTER(Competitions[exhibition], (Fixtures[[#This Row],[competition]] = Competitions[name]), "N/A")</f>
        <v>N/A</v>
      </c>
      <c r="U733" s="58" t="str" cm="1">
        <f t="array" ref="U733">_xlfn._xlws.FILTER(Competitions[compID], (Fixtures[[#This Row],[competition]] = Competitions[name]), "N/A")</f>
        <v>N/A</v>
      </c>
      <c r="V7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3" s="58" t="str" cm="1">
        <f t="array" ref="W7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3" s="58" t="str" cm="1">
        <f t="array" ref="X733">_xlfn._xlws.FILTER(Teams[name], (Fixtures[[#This Row],[userTeamID]] = Teams[teamID]), "N/A")</f>
        <v>N/A</v>
      </c>
      <c r="Y733" s="58" t="str" cm="1">
        <f t="array" ref="Y733">_xlfn._xlws.FILTER(Teams[teamType], (Fixtures[[#This Row],[userTeamID]] = Teams[teamID]), "N/A")</f>
        <v>N/A</v>
      </c>
      <c r="Z733" s="58" t="str" cm="1">
        <f t="array" ref="Z7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3" s="58" t="str">
        <f>IF(Fixtures[[#This Row],[userSide]] = "N/A", "N/A", IF(Fixtures[[#This Row],[userSide]] = "H", Fixtures[[#This Row],[awayTeam]], Fixtures[[#This Row],[homeTeam]]))</f>
        <v>N/A</v>
      </c>
      <c r="AB733" s="58" t="str" cm="1">
        <f t="array" ref="AB733">_xlfn._xlws.FILTER(Teams[teamID], Fixtures[[#This Row],[oppTeam]] = Teams[name], "N/A")</f>
        <v>N/A</v>
      </c>
      <c r="AC733" s="58" t="str" cm="1">
        <f t="array" ref="AC733">_xlfn._xlws.FILTER(Teams[teamType], Fixtures[[#This Row],[oppTeam]] = Teams[name], "N/A")</f>
        <v>N/A</v>
      </c>
      <c r="AD733" s="58" t="str">
        <f>IF(ISBLANK(Fixtures[[#This Row],[date]]), "N/A", IF(Fixtures[[#This Row],[userSide]]="H", Fixtures[[#This Row],[homeScore]], Fixtures[[#This Row],[awayScore]]))</f>
        <v>N/A</v>
      </c>
      <c r="AE733" s="58" t="str">
        <f>IF(ISBLANK(Fixtures[[#This Row],[date]]), "N/A", IF(Fixtures[[#This Row],[userScore]] = Fixtures[[#This Row],[homeScore]], Fixtures[[#This Row],[awayScore]], Fixtures[[#This Row],[homeScore]]))</f>
        <v>N/A</v>
      </c>
      <c r="AF733" s="58" t="b">
        <f>NOT(AND(ISBLANK(Fixtures[[#This Row],[homePens]]), ISBLANK(Fixtures[[#This Row],[awayPens]])))</f>
        <v>0</v>
      </c>
      <c r="AG733" s="58" t="str">
        <f>IF(Fixtures[[#This Row],[penalties]], IF(Fixtures[[#This Row],[userSide]]="H", Fixtures[[#This Row],[homePens]], Fixtures[[#This Row],[awayPens]]), "N/A")</f>
        <v>N/A</v>
      </c>
      <c r="AH733" s="58" t="str">
        <f>IF(Fixtures[[#This Row],[penalties]], IF(Fixtures[[#This Row],[userPens]]=Fixtures[[#This Row],[homePens]],Fixtures[[#This Row],[awayPens]],Fixtures[[#This Row],[homePens]]), "N/A")</f>
        <v>N/A</v>
      </c>
      <c r="AI733" s="58" t="b">
        <f>COUNTBLANK(Fixtures[[#This Row],[G]:[MOTM]]) = 0</f>
        <v>0</v>
      </c>
      <c r="AJ733" s="58" t="str">
        <f>IF(Fixtures[[#This Row],[APP]], Fixtures[[#This Row],[G]]+Fixtures[[#This Row],[A]], "N/A")</f>
        <v>N/A</v>
      </c>
      <c r="AK7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4" spans="1:39" ht="13">
      <c r="A734" s="55"/>
      <c r="B734" s="61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7"/>
      <c r="R734" s="56"/>
      <c r="S734" s="58" t="str" cm="1">
        <f t="array" ref="S734">_xlfn._xlws.FILTER(Competitions[compType], (Fixtures[[#This Row],[competition]] = Competitions[name]), "N/A")</f>
        <v>N/A</v>
      </c>
      <c r="T734" s="58" t="str" cm="1">
        <f t="array" ref="T734">_xlfn._xlws.FILTER(Competitions[exhibition], (Fixtures[[#This Row],[competition]] = Competitions[name]), "N/A")</f>
        <v>N/A</v>
      </c>
      <c r="U734" s="58" t="str" cm="1">
        <f t="array" ref="U734">_xlfn._xlws.FILTER(Competitions[compID], (Fixtures[[#This Row],[competition]] = Competitions[name]), "N/A")</f>
        <v>N/A</v>
      </c>
      <c r="V7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4" s="58" t="str" cm="1">
        <f t="array" ref="W7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4" s="58" t="str" cm="1">
        <f t="array" ref="X734">_xlfn._xlws.FILTER(Teams[name], (Fixtures[[#This Row],[userTeamID]] = Teams[teamID]), "N/A")</f>
        <v>N/A</v>
      </c>
      <c r="Y734" s="58" t="str" cm="1">
        <f t="array" ref="Y734">_xlfn._xlws.FILTER(Teams[teamType], (Fixtures[[#This Row],[userTeamID]] = Teams[teamID]), "N/A")</f>
        <v>N/A</v>
      </c>
      <c r="Z734" s="58" t="str" cm="1">
        <f t="array" ref="Z7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4" s="58" t="str">
        <f>IF(Fixtures[[#This Row],[userSide]] = "N/A", "N/A", IF(Fixtures[[#This Row],[userSide]] = "H", Fixtures[[#This Row],[awayTeam]], Fixtures[[#This Row],[homeTeam]]))</f>
        <v>N/A</v>
      </c>
      <c r="AB734" s="58" t="str" cm="1">
        <f t="array" ref="AB734">_xlfn._xlws.FILTER(Teams[teamID], Fixtures[[#This Row],[oppTeam]] = Teams[name], "N/A")</f>
        <v>N/A</v>
      </c>
      <c r="AC734" s="58" t="str" cm="1">
        <f t="array" ref="AC734">_xlfn._xlws.FILTER(Teams[teamType], Fixtures[[#This Row],[oppTeam]] = Teams[name], "N/A")</f>
        <v>N/A</v>
      </c>
      <c r="AD734" s="58" t="str">
        <f>IF(ISBLANK(Fixtures[[#This Row],[date]]), "N/A", IF(Fixtures[[#This Row],[userSide]]="H", Fixtures[[#This Row],[homeScore]], Fixtures[[#This Row],[awayScore]]))</f>
        <v>N/A</v>
      </c>
      <c r="AE734" s="58" t="str">
        <f>IF(ISBLANK(Fixtures[[#This Row],[date]]), "N/A", IF(Fixtures[[#This Row],[userScore]] = Fixtures[[#This Row],[homeScore]], Fixtures[[#This Row],[awayScore]], Fixtures[[#This Row],[homeScore]]))</f>
        <v>N/A</v>
      </c>
      <c r="AF734" s="58" t="b">
        <f>NOT(AND(ISBLANK(Fixtures[[#This Row],[homePens]]), ISBLANK(Fixtures[[#This Row],[awayPens]])))</f>
        <v>0</v>
      </c>
      <c r="AG734" s="58" t="str">
        <f>IF(Fixtures[[#This Row],[penalties]], IF(Fixtures[[#This Row],[userSide]]="H", Fixtures[[#This Row],[homePens]], Fixtures[[#This Row],[awayPens]]), "N/A")</f>
        <v>N/A</v>
      </c>
      <c r="AH734" s="58" t="str">
        <f>IF(Fixtures[[#This Row],[penalties]], IF(Fixtures[[#This Row],[userPens]]=Fixtures[[#This Row],[homePens]],Fixtures[[#This Row],[awayPens]],Fixtures[[#This Row],[homePens]]), "N/A")</f>
        <v>N/A</v>
      </c>
      <c r="AI734" s="58" t="b">
        <f>COUNTBLANK(Fixtures[[#This Row],[G]:[MOTM]]) = 0</f>
        <v>0</v>
      </c>
      <c r="AJ734" s="58" t="str">
        <f>IF(Fixtures[[#This Row],[APP]], Fixtures[[#This Row],[G]]+Fixtures[[#This Row],[A]], "N/A")</f>
        <v>N/A</v>
      </c>
      <c r="AK7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5" spans="1:39" ht="13">
      <c r="A735" s="55"/>
      <c r="B735" s="61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7"/>
      <c r="R735" s="56"/>
      <c r="S735" s="58" t="str" cm="1">
        <f t="array" ref="S735">_xlfn._xlws.FILTER(Competitions[compType], (Fixtures[[#This Row],[competition]] = Competitions[name]), "N/A")</f>
        <v>N/A</v>
      </c>
      <c r="T735" s="58" t="str" cm="1">
        <f t="array" ref="T735">_xlfn._xlws.FILTER(Competitions[exhibition], (Fixtures[[#This Row],[competition]] = Competitions[name]), "N/A")</f>
        <v>N/A</v>
      </c>
      <c r="U735" s="58" t="str" cm="1">
        <f t="array" ref="U735">_xlfn._xlws.FILTER(Competitions[compID], (Fixtures[[#This Row],[competition]] = Competitions[name]), "N/A")</f>
        <v>N/A</v>
      </c>
      <c r="V7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5" s="58" t="str" cm="1">
        <f t="array" ref="W7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5" s="58" t="str" cm="1">
        <f t="array" ref="X735">_xlfn._xlws.FILTER(Teams[name], (Fixtures[[#This Row],[userTeamID]] = Teams[teamID]), "N/A")</f>
        <v>N/A</v>
      </c>
      <c r="Y735" s="58" t="str" cm="1">
        <f t="array" ref="Y735">_xlfn._xlws.FILTER(Teams[teamType], (Fixtures[[#This Row],[userTeamID]] = Teams[teamID]), "N/A")</f>
        <v>N/A</v>
      </c>
      <c r="Z735" s="58" t="str" cm="1">
        <f t="array" ref="Z7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5" s="58" t="str">
        <f>IF(Fixtures[[#This Row],[userSide]] = "N/A", "N/A", IF(Fixtures[[#This Row],[userSide]] = "H", Fixtures[[#This Row],[awayTeam]], Fixtures[[#This Row],[homeTeam]]))</f>
        <v>N/A</v>
      </c>
      <c r="AB735" s="58" t="str" cm="1">
        <f t="array" ref="AB735">_xlfn._xlws.FILTER(Teams[teamID], Fixtures[[#This Row],[oppTeam]] = Teams[name], "N/A")</f>
        <v>N/A</v>
      </c>
      <c r="AC735" s="58" t="str" cm="1">
        <f t="array" ref="AC735">_xlfn._xlws.FILTER(Teams[teamType], Fixtures[[#This Row],[oppTeam]] = Teams[name], "N/A")</f>
        <v>N/A</v>
      </c>
      <c r="AD735" s="58" t="str">
        <f>IF(ISBLANK(Fixtures[[#This Row],[date]]), "N/A", IF(Fixtures[[#This Row],[userSide]]="H", Fixtures[[#This Row],[homeScore]], Fixtures[[#This Row],[awayScore]]))</f>
        <v>N/A</v>
      </c>
      <c r="AE735" s="58" t="str">
        <f>IF(ISBLANK(Fixtures[[#This Row],[date]]), "N/A", IF(Fixtures[[#This Row],[userScore]] = Fixtures[[#This Row],[homeScore]], Fixtures[[#This Row],[awayScore]], Fixtures[[#This Row],[homeScore]]))</f>
        <v>N/A</v>
      </c>
      <c r="AF735" s="58" t="b">
        <f>NOT(AND(ISBLANK(Fixtures[[#This Row],[homePens]]), ISBLANK(Fixtures[[#This Row],[awayPens]])))</f>
        <v>0</v>
      </c>
      <c r="AG735" s="58" t="str">
        <f>IF(Fixtures[[#This Row],[penalties]], IF(Fixtures[[#This Row],[userSide]]="H", Fixtures[[#This Row],[homePens]], Fixtures[[#This Row],[awayPens]]), "N/A")</f>
        <v>N/A</v>
      </c>
      <c r="AH735" s="58" t="str">
        <f>IF(Fixtures[[#This Row],[penalties]], IF(Fixtures[[#This Row],[userPens]]=Fixtures[[#This Row],[homePens]],Fixtures[[#This Row],[awayPens]],Fixtures[[#This Row],[homePens]]), "N/A")</f>
        <v>N/A</v>
      </c>
      <c r="AI735" s="58" t="b">
        <f>COUNTBLANK(Fixtures[[#This Row],[G]:[MOTM]]) = 0</f>
        <v>0</v>
      </c>
      <c r="AJ735" s="58" t="str">
        <f>IF(Fixtures[[#This Row],[APP]], Fixtures[[#This Row],[G]]+Fixtures[[#This Row],[A]], "N/A")</f>
        <v>N/A</v>
      </c>
      <c r="AK7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6" spans="1:39" ht="13">
      <c r="A736" s="55"/>
      <c r="B736" s="61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7"/>
      <c r="R736" s="56"/>
      <c r="S736" s="58" t="str" cm="1">
        <f t="array" ref="S736">_xlfn._xlws.FILTER(Competitions[compType], (Fixtures[[#This Row],[competition]] = Competitions[name]), "N/A")</f>
        <v>N/A</v>
      </c>
      <c r="T736" s="58" t="str" cm="1">
        <f t="array" ref="T736">_xlfn._xlws.FILTER(Competitions[exhibition], (Fixtures[[#This Row],[competition]] = Competitions[name]), "N/A")</f>
        <v>N/A</v>
      </c>
      <c r="U736" s="58" t="str" cm="1">
        <f t="array" ref="U736">_xlfn._xlws.FILTER(Competitions[compID], (Fixtures[[#This Row],[competition]] = Competitions[name]), "N/A")</f>
        <v>N/A</v>
      </c>
      <c r="V7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6" s="58" t="str" cm="1">
        <f t="array" ref="W7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6" s="58" t="str" cm="1">
        <f t="array" ref="X736">_xlfn._xlws.FILTER(Teams[name], (Fixtures[[#This Row],[userTeamID]] = Teams[teamID]), "N/A")</f>
        <v>N/A</v>
      </c>
      <c r="Y736" s="58" t="str" cm="1">
        <f t="array" ref="Y736">_xlfn._xlws.FILTER(Teams[teamType], (Fixtures[[#This Row],[userTeamID]] = Teams[teamID]), "N/A")</f>
        <v>N/A</v>
      </c>
      <c r="Z736" s="58" t="str" cm="1">
        <f t="array" ref="Z7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6" s="58" t="str">
        <f>IF(Fixtures[[#This Row],[userSide]] = "N/A", "N/A", IF(Fixtures[[#This Row],[userSide]] = "H", Fixtures[[#This Row],[awayTeam]], Fixtures[[#This Row],[homeTeam]]))</f>
        <v>N/A</v>
      </c>
      <c r="AB736" s="58" t="str" cm="1">
        <f t="array" ref="AB736">_xlfn._xlws.FILTER(Teams[teamID], Fixtures[[#This Row],[oppTeam]] = Teams[name], "N/A")</f>
        <v>N/A</v>
      </c>
      <c r="AC736" s="58" t="str" cm="1">
        <f t="array" ref="AC736">_xlfn._xlws.FILTER(Teams[teamType], Fixtures[[#This Row],[oppTeam]] = Teams[name], "N/A")</f>
        <v>N/A</v>
      </c>
      <c r="AD736" s="58" t="str">
        <f>IF(ISBLANK(Fixtures[[#This Row],[date]]), "N/A", IF(Fixtures[[#This Row],[userSide]]="H", Fixtures[[#This Row],[homeScore]], Fixtures[[#This Row],[awayScore]]))</f>
        <v>N/A</v>
      </c>
      <c r="AE736" s="58" t="str">
        <f>IF(ISBLANK(Fixtures[[#This Row],[date]]), "N/A", IF(Fixtures[[#This Row],[userScore]] = Fixtures[[#This Row],[homeScore]], Fixtures[[#This Row],[awayScore]], Fixtures[[#This Row],[homeScore]]))</f>
        <v>N/A</v>
      </c>
      <c r="AF736" s="58" t="b">
        <f>NOT(AND(ISBLANK(Fixtures[[#This Row],[homePens]]), ISBLANK(Fixtures[[#This Row],[awayPens]])))</f>
        <v>0</v>
      </c>
      <c r="AG736" s="58" t="str">
        <f>IF(Fixtures[[#This Row],[penalties]], IF(Fixtures[[#This Row],[userSide]]="H", Fixtures[[#This Row],[homePens]], Fixtures[[#This Row],[awayPens]]), "N/A")</f>
        <v>N/A</v>
      </c>
      <c r="AH736" s="58" t="str">
        <f>IF(Fixtures[[#This Row],[penalties]], IF(Fixtures[[#This Row],[userPens]]=Fixtures[[#This Row],[homePens]],Fixtures[[#This Row],[awayPens]],Fixtures[[#This Row],[homePens]]), "N/A")</f>
        <v>N/A</v>
      </c>
      <c r="AI736" s="58" t="b">
        <f>COUNTBLANK(Fixtures[[#This Row],[G]:[MOTM]]) = 0</f>
        <v>0</v>
      </c>
      <c r="AJ736" s="58" t="str">
        <f>IF(Fixtures[[#This Row],[APP]], Fixtures[[#This Row],[G]]+Fixtures[[#This Row],[A]], "N/A")</f>
        <v>N/A</v>
      </c>
      <c r="AK7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7" spans="1:39" ht="13">
      <c r="A737" s="55"/>
      <c r="B737" s="61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7"/>
      <c r="R737" s="56"/>
      <c r="S737" s="58" t="str" cm="1">
        <f t="array" ref="S737">_xlfn._xlws.FILTER(Competitions[compType], (Fixtures[[#This Row],[competition]] = Competitions[name]), "N/A")</f>
        <v>N/A</v>
      </c>
      <c r="T737" s="58" t="str" cm="1">
        <f t="array" ref="T737">_xlfn._xlws.FILTER(Competitions[exhibition], (Fixtures[[#This Row],[competition]] = Competitions[name]), "N/A")</f>
        <v>N/A</v>
      </c>
      <c r="U737" s="58" t="str" cm="1">
        <f t="array" ref="U737">_xlfn._xlws.FILTER(Competitions[compID], (Fixtures[[#This Row],[competition]] = Competitions[name]), "N/A")</f>
        <v>N/A</v>
      </c>
      <c r="V7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7" s="58" t="str" cm="1">
        <f t="array" ref="W7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7" s="58" t="str" cm="1">
        <f t="array" ref="X737">_xlfn._xlws.FILTER(Teams[name], (Fixtures[[#This Row],[userTeamID]] = Teams[teamID]), "N/A")</f>
        <v>N/A</v>
      </c>
      <c r="Y737" s="58" t="str" cm="1">
        <f t="array" ref="Y737">_xlfn._xlws.FILTER(Teams[teamType], (Fixtures[[#This Row],[userTeamID]] = Teams[teamID]), "N/A")</f>
        <v>N/A</v>
      </c>
      <c r="Z737" s="58" t="str" cm="1">
        <f t="array" ref="Z7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7" s="58" t="str">
        <f>IF(Fixtures[[#This Row],[userSide]] = "N/A", "N/A", IF(Fixtures[[#This Row],[userSide]] = "H", Fixtures[[#This Row],[awayTeam]], Fixtures[[#This Row],[homeTeam]]))</f>
        <v>N/A</v>
      </c>
      <c r="AB737" s="58" t="str" cm="1">
        <f t="array" ref="AB737">_xlfn._xlws.FILTER(Teams[teamID], Fixtures[[#This Row],[oppTeam]] = Teams[name], "N/A")</f>
        <v>N/A</v>
      </c>
      <c r="AC737" s="58" t="str" cm="1">
        <f t="array" ref="AC737">_xlfn._xlws.FILTER(Teams[teamType], Fixtures[[#This Row],[oppTeam]] = Teams[name], "N/A")</f>
        <v>N/A</v>
      </c>
      <c r="AD737" s="58" t="str">
        <f>IF(ISBLANK(Fixtures[[#This Row],[date]]), "N/A", IF(Fixtures[[#This Row],[userSide]]="H", Fixtures[[#This Row],[homeScore]], Fixtures[[#This Row],[awayScore]]))</f>
        <v>N/A</v>
      </c>
      <c r="AE737" s="58" t="str">
        <f>IF(ISBLANK(Fixtures[[#This Row],[date]]), "N/A", IF(Fixtures[[#This Row],[userScore]] = Fixtures[[#This Row],[homeScore]], Fixtures[[#This Row],[awayScore]], Fixtures[[#This Row],[homeScore]]))</f>
        <v>N/A</v>
      </c>
      <c r="AF737" s="58" t="b">
        <f>NOT(AND(ISBLANK(Fixtures[[#This Row],[homePens]]), ISBLANK(Fixtures[[#This Row],[awayPens]])))</f>
        <v>0</v>
      </c>
      <c r="AG737" s="58" t="str">
        <f>IF(Fixtures[[#This Row],[penalties]], IF(Fixtures[[#This Row],[userSide]]="H", Fixtures[[#This Row],[homePens]], Fixtures[[#This Row],[awayPens]]), "N/A")</f>
        <v>N/A</v>
      </c>
      <c r="AH737" s="58" t="str">
        <f>IF(Fixtures[[#This Row],[penalties]], IF(Fixtures[[#This Row],[userPens]]=Fixtures[[#This Row],[homePens]],Fixtures[[#This Row],[awayPens]],Fixtures[[#This Row],[homePens]]), "N/A")</f>
        <v>N/A</v>
      </c>
      <c r="AI737" s="58" t="b">
        <f>COUNTBLANK(Fixtures[[#This Row],[G]:[MOTM]]) = 0</f>
        <v>0</v>
      </c>
      <c r="AJ737" s="58" t="str">
        <f>IF(Fixtures[[#This Row],[APP]], Fixtures[[#This Row],[G]]+Fixtures[[#This Row],[A]], "N/A")</f>
        <v>N/A</v>
      </c>
      <c r="AK7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8" spans="1:39" ht="13">
      <c r="A738" s="55"/>
      <c r="B738" s="61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7"/>
      <c r="R738" s="56"/>
      <c r="S738" s="58" t="str" cm="1">
        <f t="array" ref="S738">_xlfn._xlws.FILTER(Competitions[compType], (Fixtures[[#This Row],[competition]] = Competitions[name]), "N/A")</f>
        <v>N/A</v>
      </c>
      <c r="T738" s="58" t="str" cm="1">
        <f t="array" ref="T738">_xlfn._xlws.FILTER(Competitions[exhibition], (Fixtures[[#This Row],[competition]] = Competitions[name]), "N/A")</f>
        <v>N/A</v>
      </c>
      <c r="U738" s="58" t="str" cm="1">
        <f t="array" ref="U738">_xlfn._xlws.FILTER(Competitions[compID], (Fixtures[[#This Row],[competition]] = Competitions[name]), "N/A")</f>
        <v>N/A</v>
      </c>
      <c r="V7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8" s="58" t="str" cm="1">
        <f t="array" ref="W7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8" s="58" t="str" cm="1">
        <f t="array" ref="X738">_xlfn._xlws.FILTER(Teams[name], (Fixtures[[#This Row],[userTeamID]] = Teams[teamID]), "N/A")</f>
        <v>N/A</v>
      </c>
      <c r="Y738" s="58" t="str" cm="1">
        <f t="array" ref="Y738">_xlfn._xlws.FILTER(Teams[teamType], (Fixtures[[#This Row],[userTeamID]] = Teams[teamID]), "N/A")</f>
        <v>N/A</v>
      </c>
      <c r="Z738" s="58" t="str" cm="1">
        <f t="array" ref="Z7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8" s="58" t="str">
        <f>IF(Fixtures[[#This Row],[userSide]] = "N/A", "N/A", IF(Fixtures[[#This Row],[userSide]] = "H", Fixtures[[#This Row],[awayTeam]], Fixtures[[#This Row],[homeTeam]]))</f>
        <v>N/A</v>
      </c>
      <c r="AB738" s="58" t="str" cm="1">
        <f t="array" ref="AB738">_xlfn._xlws.FILTER(Teams[teamID], Fixtures[[#This Row],[oppTeam]] = Teams[name], "N/A")</f>
        <v>N/A</v>
      </c>
      <c r="AC738" s="58" t="str" cm="1">
        <f t="array" ref="AC738">_xlfn._xlws.FILTER(Teams[teamType], Fixtures[[#This Row],[oppTeam]] = Teams[name], "N/A")</f>
        <v>N/A</v>
      </c>
      <c r="AD738" s="58" t="str">
        <f>IF(ISBLANK(Fixtures[[#This Row],[date]]), "N/A", IF(Fixtures[[#This Row],[userSide]]="H", Fixtures[[#This Row],[homeScore]], Fixtures[[#This Row],[awayScore]]))</f>
        <v>N/A</v>
      </c>
      <c r="AE738" s="58" t="str">
        <f>IF(ISBLANK(Fixtures[[#This Row],[date]]), "N/A", IF(Fixtures[[#This Row],[userScore]] = Fixtures[[#This Row],[homeScore]], Fixtures[[#This Row],[awayScore]], Fixtures[[#This Row],[homeScore]]))</f>
        <v>N/A</v>
      </c>
      <c r="AF738" s="58" t="b">
        <f>NOT(AND(ISBLANK(Fixtures[[#This Row],[homePens]]), ISBLANK(Fixtures[[#This Row],[awayPens]])))</f>
        <v>0</v>
      </c>
      <c r="AG738" s="58" t="str">
        <f>IF(Fixtures[[#This Row],[penalties]], IF(Fixtures[[#This Row],[userSide]]="H", Fixtures[[#This Row],[homePens]], Fixtures[[#This Row],[awayPens]]), "N/A")</f>
        <v>N/A</v>
      </c>
      <c r="AH738" s="58" t="str">
        <f>IF(Fixtures[[#This Row],[penalties]], IF(Fixtures[[#This Row],[userPens]]=Fixtures[[#This Row],[homePens]],Fixtures[[#This Row],[awayPens]],Fixtures[[#This Row],[homePens]]), "N/A")</f>
        <v>N/A</v>
      </c>
      <c r="AI738" s="58" t="b">
        <f>COUNTBLANK(Fixtures[[#This Row],[G]:[MOTM]]) = 0</f>
        <v>0</v>
      </c>
      <c r="AJ738" s="58" t="str">
        <f>IF(Fixtures[[#This Row],[APP]], Fixtures[[#This Row],[G]]+Fixtures[[#This Row],[A]], "N/A")</f>
        <v>N/A</v>
      </c>
      <c r="AK7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39" spans="1:39" ht="13">
      <c r="A739" s="55"/>
      <c r="B739" s="61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7"/>
      <c r="R739" s="56"/>
      <c r="S739" s="58" t="str" cm="1">
        <f t="array" ref="S739">_xlfn._xlws.FILTER(Competitions[compType], (Fixtures[[#This Row],[competition]] = Competitions[name]), "N/A")</f>
        <v>N/A</v>
      </c>
      <c r="T739" s="58" t="str" cm="1">
        <f t="array" ref="T739">_xlfn._xlws.FILTER(Competitions[exhibition], (Fixtures[[#This Row],[competition]] = Competitions[name]), "N/A")</f>
        <v>N/A</v>
      </c>
      <c r="U739" s="58" t="str" cm="1">
        <f t="array" ref="U739">_xlfn._xlws.FILTER(Competitions[compID], (Fixtures[[#This Row],[competition]] = Competitions[name]), "N/A")</f>
        <v>N/A</v>
      </c>
      <c r="V7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39" s="58" t="str" cm="1">
        <f t="array" ref="W7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39" s="58" t="str" cm="1">
        <f t="array" ref="X739">_xlfn._xlws.FILTER(Teams[name], (Fixtures[[#This Row],[userTeamID]] = Teams[teamID]), "N/A")</f>
        <v>N/A</v>
      </c>
      <c r="Y739" s="58" t="str" cm="1">
        <f t="array" ref="Y739">_xlfn._xlws.FILTER(Teams[teamType], (Fixtures[[#This Row],[userTeamID]] = Teams[teamID]), "N/A")</f>
        <v>N/A</v>
      </c>
      <c r="Z739" s="58" t="str" cm="1">
        <f t="array" ref="Z7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39" s="58" t="str">
        <f>IF(Fixtures[[#This Row],[userSide]] = "N/A", "N/A", IF(Fixtures[[#This Row],[userSide]] = "H", Fixtures[[#This Row],[awayTeam]], Fixtures[[#This Row],[homeTeam]]))</f>
        <v>N/A</v>
      </c>
      <c r="AB739" s="58" t="str" cm="1">
        <f t="array" ref="AB739">_xlfn._xlws.FILTER(Teams[teamID], Fixtures[[#This Row],[oppTeam]] = Teams[name], "N/A")</f>
        <v>N/A</v>
      </c>
      <c r="AC739" s="58" t="str" cm="1">
        <f t="array" ref="AC739">_xlfn._xlws.FILTER(Teams[teamType], Fixtures[[#This Row],[oppTeam]] = Teams[name], "N/A")</f>
        <v>N/A</v>
      </c>
      <c r="AD739" s="58" t="str">
        <f>IF(ISBLANK(Fixtures[[#This Row],[date]]), "N/A", IF(Fixtures[[#This Row],[userSide]]="H", Fixtures[[#This Row],[homeScore]], Fixtures[[#This Row],[awayScore]]))</f>
        <v>N/A</v>
      </c>
      <c r="AE739" s="58" t="str">
        <f>IF(ISBLANK(Fixtures[[#This Row],[date]]), "N/A", IF(Fixtures[[#This Row],[userScore]] = Fixtures[[#This Row],[homeScore]], Fixtures[[#This Row],[awayScore]], Fixtures[[#This Row],[homeScore]]))</f>
        <v>N/A</v>
      </c>
      <c r="AF739" s="58" t="b">
        <f>NOT(AND(ISBLANK(Fixtures[[#This Row],[homePens]]), ISBLANK(Fixtures[[#This Row],[awayPens]])))</f>
        <v>0</v>
      </c>
      <c r="AG739" s="58" t="str">
        <f>IF(Fixtures[[#This Row],[penalties]], IF(Fixtures[[#This Row],[userSide]]="H", Fixtures[[#This Row],[homePens]], Fixtures[[#This Row],[awayPens]]), "N/A")</f>
        <v>N/A</v>
      </c>
      <c r="AH739" s="58" t="str">
        <f>IF(Fixtures[[#This Row],[penalties]], IF(Fixtures[[#This Row],[userPens]]=Fixtures[[#This Row],[homePens]],Fixtures[[#This Row],[awayPens]],Fixtures[[#This Row],[homePens]]), "N/A")</f>
        <v>N/A</v>
      </c>
      <c r="AI739" s="58" t="b">
        <f>COUNTBLANK(Fixtures[[#This Row],[G]:[MOTM]]) = 0</f>
        <v>0</v>
      </c>
      <c r="AJ739" s="58" t="str">
        <f>IF(Fixtures[[#This Row],[APP]], Fixtures[[#This Row],[G]]+Fixtures[[#This Row],[A]], "N/A")</f>
        <v>N/A</v>
      </c>
      <c r="AK7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0" spans="1:39" ht="13">
      <c r="A740" s="55"/>
      <c r="B740" s="61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7"/>
      <c r="R740" s="56"/>
      <c r="S740" s="58" t="str" cm="1">
        <f t="array" ref="S740">_xlfn._xlws.FILTER(Competitions[compType], (Fixtures[[#This Row],[competition]] = Competitions[name]), "N/A")</f>
        <v>N/A</v>
      </c>
      <c r="T740" s="58" t="str" cm="1">
        <f t="array" ref="T740">_xlfn._xlws.FILTER(Competitions[exhibition], (Fixtures[[#This Row],[competition]] = Competitions[name]), "N/A")</f>
        <v>N/A</v>
      </c>
      <c r="U740" s="58" t="str" cm="1">
        <f t="array" ref="U740">_xlfn._xlws.FILTER(Competitions[compID], (Fixtures[[#This Row],[competition]] = Competitions[name]), "N/A")</f>
        <v>N/A</v>
      </c>
      <c r="V7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0" s="58" t="str" cm="1">
        <f t="array" ref="W7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0" s="58" t="str" cm="1">
        <f t="array" ref="X740">_xlfn._xlws.FILTER(Teams[name], (Fixtures[[#This Row],[userTeamID]] = Teams[teamID]), "N/A")</f>
        <v>N/A</v>
      </c>
      <c r="Y740" s="58" t="str" cm="1">
        <f t="array" ref="Y740">_xlfn._xlws.FILTER(Teams[teamType], (Fixtures[[#This Row],[userTeamID]] = Teams[teamID]), "N/A")</f>
        <v>N/A</v>
      </c>
      <c r="Z740" s="58" t="str" cm="1">
        <f t="array" ref="Z7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0" s="58" t="str">
        <f>IF(Fixtures[[#This Row],[userSide]] = "N/A", "N/A", IF(Fixtures[[#This Row],[userSide]] = "H", Fixtures[[#This Row],[awayTeam]], Fixtures[[#This Row],[homeTeam]]))</f>
        <v>N/A</v>
      </c>
      <c r="AB740" s="58" t="str" cm="1">
        <f t="array" ref="AB740">_xlfn._xlws.FILTER(Teams[teamID], Fixtures[[#This Row],[oppTeam]] = Teams[name], "N/A")</f>
        <v>N/A</v>
      </c>
      <c r="AC740" s="58" t="str" cm="1">
        <f t="array" ref="AC740">_xlfn._xlws.FILTER(Teams[teamType], Fixtures[[#This Row],[oppTeam]] = Teams[name], "N/A")</f>
        <v>N/A</v>
      </c>
      <c r="AD740" s="58" t="str">
        <f>IF(ISBLANK(Fixtures[[#This Row],[date]]), "N/A", IF(Fixtures[[#This Row],[userSide]]="H", Fixtures[[#This Row],[homeScore]], Fixtures[[#This Row],[awayScore]]))</f>
        <v>N/A</v>
      </c>
      <c r="AE740" s="58" t="str">
        <f>IF(ISBLANK(Fixtures[[#This Row],[date]]), "N/A", IF(Fixtures[[#This Row],[userScore]] = Fixtures[[#This Row],[homeScore]], Fixtures[[#This Row],[awayScore]], Fixtures[[#This Row],[homeScore]]))</f>
        <v>N/A</v>
      </c>
      <c r="AF740" s="58" t="b">
        <f>NOT(AND(ISBLANK(Fixtures[[#This Row],[homePens]]), ISBLANK(Fixtures[[#This Row],[awayPens]])))</f>
        <v>0</v>
      </c>
      <c r="AG740" s="58" t="str">
        <f>IF(Fixtures[[#This Row],[penalties]], IF(Fixtures[[#This Row],[userSide]]="H", Fixtures[[#This Row],[homePens]], Fixtures[[#This Row],[awayPens]]), "N/A")</f>
        <v>N/A</v>
      </c>
      <c r="AH740" s="58" t="str">
        <f>IF(Fixtures[[#This Row],[penalties]], IF(Fixtures[[#This Row],[userPens]]=Fixtures[[#This Row],[homePens]],Fixtures[[#This Row],[awayPens]],Fixtures[[#This Row],[homePens]]), "N/A")</f>
        <v>N/A</v>
      </c>
      <c r="AI740" s="58" t="b">
        <f>COUNTBLANK(Fixtures[[#This Row],[G]:[MOTM]]) = 0</f>
        <v>0</v>
      </c>
      <c r="AJ740" s="58" t="str">
        <f>IF(Fixtures[[#This Row],[APP]], Fixtures[[#This Row],[G]]+Fixtures[[#This Row],[A]], "N/A")</f>
        <v>N/A</v>
      </c>
      <c r="AK7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1" spans="1:39" ht="13">
      <c r="A741" s="55"/>
      <c r="B741" s="61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7"/>
      <c r="R741" s="56"/>
      <c r="S741" s="58" t="str" cm="1">
        <f t="array" ref="S741">_xlfn._xlws.FILTER(Competitions[compType], (Fixtures[[#This Row],[competition]] = Competitions[name]), "N/A")</f>
        <v>N/A</v>
      </c>
      <c r="T741" s="58" t="str" cm="1">
        <f t="array" ref="T741">_xlfn._xlws.FILTER(Competitions[exhibition], (Fixtures[[#This Row],[competition]] = Competitions[name]), "N/A")</f>
        <v>N/A</v>
      </c>
      <c r="U741" s="58" t="str" cm="1">
        <f t="array" ref="U741">_xlfn._xlws.FILTER(Competitions[compID], (Fixtures[[#This Row],[competition]] = Competitions[name]), "N/A")</f>
        <v>N/A</v>
      </c>
      <c r="V7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1" s="58" t="str" cm="1">
        <f t="array" ref="W7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1" s="58" t="str" cm="1">
        <f t="array" ref="X741">_xlfn._xlws.FILTER(Teams[name], (Fixtures[[#This Row],[userTeamID]] = Teams[teamID]), "N/A")</f>
        <v>N/A</v>
      </c>
      <c r="Y741" s="58" t="str" cm="1">
        <f t="array" ref="Y741">_xlfn._xlws.FILTER(Teams[teamType], (Fixtures[[#This Row],[userTeamID]] = Teams[teamID]), "N/A")</f>
        <v>N/A</v>
      </c>
      <c r="Z741" s="58" t="str" cm="1">
        <f t="array" ref="Z7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1" s="58" t="str">
        <f>IF(Fixtures[[#This Row],[userSide]] = "N/A", "N/A", IF(Fixtures[[#This Row],[userSide]] = "H", Fixtures[[#This Row],[awayTeam]], Fixtures[[#This Row],[homeTeam]]))</f>
        <v>N/A</v>
      </c>
      <c r="AB741" s="58" t="str" cm="1">
        <f t="array" ref="AB741">_xlfn._xlws.FILTER(Teams[teamID], Fixtures[[#This Row],[oppTeam]] = Teams[name], "N/A")</f>
        <v>N/A</v>
      </c>
      <c r="AC741" s="58" t="str" cm="1">
        <f t="array" ref="AC741">_xlfn._xlws.FILTER(Teams[teamType], Fixtures[[#This Row],[oppTeam]] = Teams[name], "N/A")</f>
        <v>N/A</v>
      </c>
      <c r="AD741" s="58" t="str">
        <f>IF(ISBLANK(Fixtures[[#This Row],[date]]), "N/A", IF(Fixtures[[#This Row],[userSide]]="H", Fixtures[[#This Row],[homeScore]], Fixtures[[#This Row],[awayScore]]))</f>
        <v>N/A</v>
      </c>
      <c r="AE741" s="58" t="str">
        <f>IF(ISBLANK(Fixtures[[#This Row],[date]]), "N/A", IF(Fixtures[[#This Row],[userScore]] = Fixtures[[#This Row],[homeScore]], Fixtures[[#This Row],[awayScore]], Fixtures[[#This Row],[homeScore]]))</f>
        <v>N/A</v>
      </c>
      <c r="AF741" s="58" t="b">
        <f>NOT(AND(ISBLANK(Fixtures[[#This Row],[homePens]]), ISBLANK(Fixtures[[#This Row],[awayPens]])))</f>
        <v>0</v>
      </c>
      <c r="AG741" s="58" t="str">
        <f>IF(Fixtures[[#This Row],[penalties]], IF(Fixtures[[#This Row],[userSide]]="H", Fixtures[[#This Row],[homePens]], Fixtures[[#This Row],[awayPens]]), "N/A")</f>
        <v>N/A</v>
      </c>
      <c r="AH741" s="58" t="str">
        <f>IF(Fixtures[[#This Row],[penalties]], IF(Fixtures[[#This Row],[userPens]]=Fixtures[[#This Row],[homePens]],Fixtures[[#This Row],[awayPens]],Fixtures[[#This Row],[homePens]]), "N/A")</f>
        <v>N/A</v>
      </c>
      <c r="AI741" s="58" t="b">
        <f>COUNTBLANK(Fixtures[[#This Row],[G]:[MOTM]]) = 0</f>
        <v>0</v>
      </c>
      <c r="AJ741" s="58" t="str">
        <f>IF(Fixtures[[#This Row],[APP]], Fixtures[[#This Row],[G]]+Fixtures[[#This Row],[A]], "N/A")</f>
        <v>N/A</v>
      </c>
      <c r="AK7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2" spans="1:39" ht="13">
      <c r="A742" s="55"/>
      <c r="B742" s="61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7"/>
      <c r="R742" s="56"/>
      <c r="S742" s="58" t="str" cm="1">
        <f t="array" ref="S742">_xlfn._xlws.FILTER(Competitions[compType], (Fixtures[[#This Row],[competition]] = Competitions[name]), "N/A")</f>
        <v>N/A</v>
      </c>
      <c r="T742" s="58" t="str" cm="1">
        <f t="array" ref="T742">_xlfn._xlws.FILTER(Competitions[exhibition], (Fixtures[[#This Row],[competition]] = Competitions[name]), "N/A")</f>
        <v>N/A</v>
      </c>
      <c r="U742" s="58" t="str" cm="1">
        <f t="array" ref="U742">_xlfn._xlws.FILTER(Competitions[compID], (Fixtures[[#This Row],[competition]] = Competitions[name]), "N/A")</f>
        <v>N/A</v>
      </c>
      <c r="V7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2" s="58" t="str" cm="1">
        <f t="array" ref="W7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2" s="58" t="str" cm="1">
        <f t="array" ref="X742">_xlfn._xlws.FILTER(Teams[name], (Fixtures[[#This Row],[userTeamID]] = Teams[teamID]), "N/A")</f>
        <v>N/A</v>
      </c>
      <c r="Y742" s="58" t="str" cm="1">
        <f t="array" ref="Y742">_xlfn._xlws.FILTER(Teams[teamType], (Fixtures[[#This Row],[userTeamID]] = Teams[teamID]), "N/A")</f>
        <v>N/A</v>
      </c>
      <c r="Z742" s="58" t="str" cm="1">
        <f t="array" ref="Z7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2" s="58" t="str">
        <f>IF(Fixtures[[#This Row],[userSide]] = "N/A", "N/A", IF(Fixtures[[#This Row],[userSide]] = "H", Fixtures[[#This Row],[awayTeam]], Fixtures[[#This Row],[homeTeam]]))</f>
        <v>N/A</v>
      </c>
      <c r="AB742" s="58" t="str" cm="1">
        <f t="array" ref="AB742">_xlfn._xlws.FILTER(Teams[teamID], Fixtures[[#This Row],[oppTeam]] = Teams[name], "N/A")</f>
        <v>N/A</v>
      </c>
      <c r="AC742" s="58" t="str" cm="1">
        <f t="array" ref="AC742">_xlfn._xlws.FILTER(Teams[teamType], Fixtures[[#This Row],[oppTeam]] = Teams[name], "N/A")</f>
        <v>N/A</v>
      </c>
      <c r="AD742" s="58" t="str">
        <f>IF(ISBLANK(Fixtures[[#This Row],[date]]), "N/A", IF(Fixtures[[#This Row],[userSide]]="H", Fixtures[[#This Row],[homeScore]], Fixtures[[#This Row],[awayScore]]))</f>
        <v>N/A</v>
      </c>
      <c r="AE742" s="58" t="str">
        <f>IF(ISBLANK(Fixtures[[#This Row],[date]]), "N/A", IF(Fixtures[[#This Row],[userScore]] = Fixtures[[#This Row],[homeScore]], Fixtures[[#This Row],[awayScore]], Fixtures[[#This Row],[homeScore]]))</f>
        <v>N/A</v>
      </c>
      <c r="AF742" s="58" t="b">
        <f>NOT(AND(ISBLANK(Fixtures[[#This Row],[homePens]]), ISBLANK(Fixtures[[#This Row],[awayPens]])))</f>
        <v>0</v>
      </c>
      <c r="AG742" s="58" t="str">
        <f>IF(Fixtures[[#This Row],[penalties]], IF(Fixtures[[#This Row],[userSide]]="H", Fixtures[[#This Row],[homePens]], Fixtures[[#This Row],[awayPens]]), "N/A")</f>
        <v>N/A</v>
      </c>
      <c r="AH742" s="58" t="str">
        <f>IF(Fixtures[[#This Row],[penalties]], IF(Fixtures[[#This Row],[userPens]]=Fixtures[[#This Row],[homePens]],Fixtures[[#This Row],[awayPens]],Fixtures[[#This Row],[homePens]]), "N/A")</f>
        <v>N/A</v>
      </c>
      <c r="AI742" s="58" t="b">
        <f>COUNTBLANK(Fixtures[[#This Row],[G]:[MOTM]]) = 0</f>
        <v>0</v>
      </c>
      <c r="AJ742" s="58" t="str">
        <f>IF(Fixtures[[#This Row],[APP]], Fixtures[[#This Row],[G]]+Fixtures[[#This Row],[A]], "N/A")</f>
        <v>N/A</v>
      </c>
      <c r="AK7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3" spans="1:39" ht="13">
      <c r="A743" s="55"/>
      <c r="B743" s="61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7"/>
      <c r="R743" s="56"/>
      <c r="S743" s="58" t="str" cm="1">
        <f t="array" ref="S743">_xlfn._xlws.FILTER(Competitions[compType], (Fixtures[[#This Row],[competition]] = Competitions[name]), "N/A")</f>
        <v>N/A</v>
      </c>
      <c r="T743" s="58" t="str" cm="1">
        <f t="array" ref="T743">_xlfn._xlws.FILTER(Competitions[exhibition], (Fixtures[[#This Row],[competition]] = Competitions[name]), "N/A")</f>
        <v>N/A</v>
      </c>
      <c r="U743" s="58" t="str" cm="1">
        <f t="array" ref="U743">_xlfn._xlws.FILTER(Competitions[compID], (Fixtures[[#This Row],[competition]] = Competitions[name]), "N/A")</f>
        <v>N/A</v>
      </c>
      <c r="V7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3" s="58" t="str" cm="1">
        <f t="array" ref="W7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3" s="58" t="str" cm="1">
        <f t="array" ref="X743">_xlfn._xlws.FILTER(Teams[name], (Fixtures[[#This Row],[userTeamID]] = Teams[teamID]), "N/A")</f>
        <v>N/A</v>
      </c>
      <c r="Y743" s="58" t="str" cm="1">
        <f t="array" ref="Y743">_xlfn._xlws.FILTER(Teams[teamType], (Fixtures[[#This Row],[userTeamID]] = Teams[teamID]), "N/A")</f>
        <v>N/A</v>
      </c>
      <c r="Z743" s="58" t="str" cm="1">
        <f t="array" ref="Z7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3" s="58" t="str">
        <f>IF(Fixtures[[#This Row],[userSide]] = "N/A", "N/A", IF(Fixtures[[#This Row],[userSide]] = "H", Fixtures[[#This Row],[awayTeam]], Fixtures[[#This Row],[homeTeam]]))</f>
        <v>N/A</v>
      </c>
      <c r="AB743" s="58" t="str" cm="1">
        <f t="array" ref="AB743">_xlfn._xlws.FILTER(Teams[teamID], Fixtures[[#This Row],[oppTeam]] = Teams[name], "N/A")</f>
        <v>N/A</v>
      </c>
      <c r="AC743" s="58" t="str" cm="1">
        <f t="array" ref="AC743">_xlfn._xlws.FILTER(Teams[teamType], Fixtures[[#This Row],[oppTeam]] = Teams[name], "N/A")</f>
        <v>N/A</v>
      </c>
      <c r="AD743" s="58" t="str">
        <f>IF(ISBLANK(Fixtures[[#This Row],[date]]), "N/A", IF(Fixtures[[#This Row],[userSide]]="H", Fixtures[[#This Row],[homeScore]], Fixtures[[#This Row],[awayScore]]))</f>
        <v>N/A</v>
      </c>
      <c r="AE743" s="58" t="str">
        <f>IF(ISBLANK(Fixtures[[#This Row],[date]]), "N/A", IF(Fixtures[[#This Row],[userScore]] = Fixtures[[#This Row],[homeScore]], Fixtures[[#This Row],[awayScore]], Fixtures[[#This Row],[homeScore]]))</f>
        <v>N/A</v>
      </c>
      <c r="AF743" s="58" t="b">
        <f>NOT(AND(ISBLANK(Fixtures[[#This Row],[homePens]]), ISBLANK(Fixtures[[#This Row],[awayPens]])))</f>
        <v>0</v>
      </c>
      <c r="AG743" s="58" t="str">
        <f>IF(Fixtures[[#This Row],[penalties]], IF(Fixtures[[#This Row],[userSide]]="H", Fixtures[[#This Row],[homePens]], Fixtures[[#This Row],[awayPens]]), "N/A")</f>
        <v>N/A</v>
      </c>
      <c r="AH743" s="58" t="str">
        <f>IF(Fixtures[[#This Row],[penalties]], IF(Fixtures[[#This Row],[userPens]]=Fixtures[[#This Row],[homePens]],Fixtures[[#This Row],[awayPens]],Fixtures[[#This Row],[homePens]]), "N/A")</f>
        <v>N/A</v>
      </c>
      <c r="AI743" s="58" t="b">
        <f>COUNTBLANK(Fixtures[[#This Row],[G]:[MOTM]]) = 0</f>
        <v>0</v>
      </c>
      <c r="AJ743" s="58" t="str">
        <f>IF(Fixtures[[#This Row],[APP]], Fixtures[[#This Row],[G]]+Fixtures[[#This Row],[A]], "N/A")</f>
        <v>N/A</v>
      </c>
      <c r="AK7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4" spans="1:39" ht="13">
      <c r="A744" s="55"/>
      <c r="B744" s="61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7"/>
      <c r="R744" s="56"/>
      <c r="S744" s="58" t="str" cm="1">
        <f t="array" ref="S744">_xlfn._xlws.FILTER(Competitions[compType], (Fixtures[[#This Row],[competition]] = Competitions[name]), "N/A")</f>
        <v>N/A</v>
      </c>
      <c r="T744" s="58" t="str" cm="1">
        <f t="array" ref="T744">_xlfn._xlws.FILTER(Competitions[exhibition], (Fixtures[[#This Row],[competition]] = Competitions[name]), "N/A")</f>
        <v>N/A</v>
      </c>
      <c r="U744" s="58" t="str" cm="1">
        <f t="array" ref="U744">_xlfn._xlws.FILTER(Competitions[compID], (Fixtures[[#This Row],[competition]] = Competitions[name]), "N/A")</f>
        <v>N/A</v>
      </c>
      <c r="V7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4" s="58" t="str" cm="1">
        <f t="array" ref="W7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4" s="58" t="str" cm="1">
        <f t="array" ref="X744">_xlfn._xlws.FILTER(Teams[name], (Fixtures[[#This Row],[userTeamID]] = Teams[teamID]), "N/A")</f>
        <v>N/A</v>
      </c>
      <c r="Y744" s="58" t="str" cm="1">
        <f t="array" ref="Y744">_xlfn._xlws.FILTER(Teams[teamType], (Fixtures[[#This Row],[userTeamID]] = Teams[teamID]), "N/A")</f>
        <v>N/A</v>
      </c>
      <c r="Z744" s="58" t="str" cm="1">
        <f t="array" ref="Z7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4" s="58" t="str">
        <f>IF(Fixtures[[#This Row],[userSide]] = "N/A", "N/A", IF(Fixtures[[#This Row],[userSide]] = "H", Fixtures[[#This Row],[awayTeam]], Fixtures[[#This Row],[homeTeam]]))</f>
        <v>N/A</v>
      </c>
      <c r="AB744" s="58" t="str" cm="1">
        <f t="array" ref="AB744">_xlfn._xlws.FILTER(Teams[teamID], Fixtures[[#This Row],[oppTeam]] = Teams[name], "N/A")</f>
        <v>N/A</v>
      </c>
      <c r="AC744" s="58" t="str" cm="1">
        <f t="array" ref="AC744">_xlfn._xlws.FILTER(Teams[teamType], Fixtures[[#This Row],[oppTeam]] = Teams[name], "N/A")</f>
        <v>N/A</v>
      </c>
      <c r="AD744" s="58" t="str">
        <f>IF(ISBLANK(Fixtures[[#This Row],[date]]), "N/A", IF(Fixtures[[#This Row],[userSide]]="H", Fixtures[[#This Row],[homeScore]], Fixtures[[#This Row],[awayScore]]))</f>
        <v>N/A</v>
      </c>
      <c r="AE744" s="58" t="str">
        <f>IF(ISBLANK(Fixtures[[#This Row],[date]]), "N/A", IF(Fixtures[[#This Row],[userScore]] = Fixtures[[#This Row],[homeScore]], Fixtures[[#This Row],[awayScore]], Fixtures[[#This Row],[homeScore]]))</f>
        <v>N/A</v>
      </c>
      <c r="AF744" s="58" t="b">
        <f>NOT(AND(ISBLANK(Fixtures[[#This Row],[homePens]]), ISBLANK(Fixtures[[#This Row],[awayPens]])))</f>
        <v>0</v>
      </c>
      <c r="AG744" s="58" t="str">
        <f>IF(Fixtures[[#This Row],[penalties]], IF(Fixtures[[#This Row],[userSide]]="H", Fixtures[[#This Row],[homePens]], Fixtures[[#This Row],[awayPens]]), "N/A")</f>
        <v>N/A</v>
      </c>
      <c r="AH744" s="58" t="str">
        <f>IF(Fixtures[[#This Row],[penalties]], IF(Fixtures[[#This Row],[userPens]]=Fixtures[[#This Row],[homePens]],Fixtures[[#This Row],[awayPens]],Fixtures[[#This Row],[homePens]]), "N/A")</f>
        <v>N/A</v>
      </c>
      <c r="AI744" s="58" t="b">
        <f>COUNTBLANK(Fixtures[[#This Row],[G]:[MOTM]]) = 0</f>
        <v>0</v>
      </c>
      <c r="AJ744" s="58" t="str">
        <f>IF(Fixtures[[#This Row],[APP]], Fixtures[[#This Row],[G]]+Fixtures[[#This Row],[A]], "N/A")</f>
        <v>N/A</v>
      </c>
      <c r="AK7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5" spans="1:39" ht="13">
      <c r="A745" s="55"/>
      <c r="B745" s="61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7"/>
      <c r="R745" s="56"/>
      <c r="S745" s="58" t="str" cm="1">
        <f t="array" ref="S745">_xlfn._xlws.FILTER(Competitions[compType], (Fixtures[[#This Row],[competition]] = Competitions[name]), "N/A")</f>
        <v>N/A</v>
      </c>
      <c r="T745" s="58" t="str" cm="1">
        <f t="array" ref="T745">_xlfn._xlws.FILTER(Competitions[exhibition], (Fixtures[[#This Row],[competition]] = Competitions[name]), "N/A")</f>
        <v>N/A</v>
      </c>
      <c r="U745" s="58" t="str" cm="1">
        <f t="array" ref="U745">_xlfn._xlws.FILTER(Competitions[compID], (Fixtures[[#This Row],[competition]] = Competitions[name]), "N/A")</f>
        <v>N/A</v>
      </c>
      <c r="V7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5" s="58" t="str" cm="1">
        <f t="array" ref="W7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5" s="58" t="str" cm="1">
        <f t="array" ref="X745">_xlfn._xlws.FILTER(Teams[name], (Fixtures[[#This Row],[userTeamID]] = Teams[teamID]), "N/A")</f>
        <v>N/A</v>
      </c>
      <c r="Y745" s="58" t="str" cm="1">
        <f t="array" ref="Y745">_xlfn._xlws.FILTER(Teams[teamType], (Fixtures[[#This Row],[userTeamID]] = Teams[teamID]), "N/A")</f>
        <v>N/A</v>
      </c>
      <c r="Z745" s="58" t="str" cm="1">
        <f t="array" ref="Z7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5" s="58" t="str">
        <f>IF(Fixtures[[#This Row],[userSide]] = "N/A", "N/A", IF(Fixtures[[#This Row],[userSide]] = "H", Fixtures[[#This Row],[awayTeam]], Fixtures[[#This Row],[homeTeam]]))</f>
        <v>N/A</v>
      </c>
      <c r="AB745" s="58" t="str" cm="1">
        <f t="array" ref="AB745">_xlfn._xlws.FILTER(Teams[teamID], Fixtures[[#This Row],[oppTeam]] = Teams[name], "N/A")</f>
        <v>N/A</v>
      </c>
      <c r="AC745" s="58" t="str" cm="1">
        <f t="array" ref="AC745">_xlfn._xlws.FILTER(Teams[teamType], Fixtures[[#This Row],[oppTeam]] = Teams[name], "N/A")</f>
        <v>N/A</v>
      </c>
      <c r="AD745" s="58" t="str">
        <f>IF(ISBLANK(Fixtures[[#This Row],[date]]), "N/A", IF(Fixtures[[#This Row],[userSide]]="H", Fixtures[[#This Row],[homeScore]], Fixtures[[#This Row],[awayScore]]))</f>
        <v>N/A</v>
      </c>
      <c r="AE745" s="58" t="str">
        <f>IF(ISBLANK(Fixtures[[#This Row],[date]]), "N/A", IF(Fixtures[[#This Row],[userScore]] = Fixtures[[#This Row],[homeScore]], Fixtures[[#This Row],[awayScore]], Fixtures[[#This Row],[homeScore]]))</f>
        <v>N/A</v>
      </c>
      <c r="AF745" s="58" t="b">
        <f>NOT(AND(ISBLANK(Fixtures[[#This Row],[homePens]]), ISBLANK(Fixtures[[#This Row],[awayPens]])))</f>
        <v>0</v>
      </c>
      <c r="AG745" s="58" t="str">
        <f>IF(Fixtures[[#This Row],[penalties]], IF(Fixtures[[#This Row],[userSide]]="H", Fixtures[[#This Row],[homePens]], Fixtures[[#This Row],[awayPens]]), "N/A")</f>
        <v>N/A</v>
      </c>
      <c r="AH745" s="58" t="str">
        <f>IF(Fixtures[[#This Row],[penalties]], IF(Fixtures[[#This Row],[userPens]]=Fixtures[[#This Row],[homePens]],Fixtures[[#This Row],[awayPens]],Fixtures[[#This Row],[homePens]]), "N/A")</f>
        <v>N/A</v>
      </c>
      <c r="AI745" s="58" t="b">
        <f>COUNTBLANK(Fixtures[[#This Row],[G]:[MOTM]]) = 0</f>
        <v>0</v>
      </c>
      <c r="AJ745" s="58" t="str">
        <f>IF(Fixtures[[#This Row],[APP]], Fixtures[[#This Row],[G]]+Fixtures[[#This Row],[A]], "N/A")</f>
        <v>N/A</v>
      </c>
      <c r="AK7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6" spans="1:39" ht="13">
      <c r="A746" s="55"/>
      <c r="B746" s="61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7"/>
      <c r="R746" s="56"/>
      <c r="S746" s="58" t="str" cm="1">
        <f t="array" ref="S746">_xlfn._xlws.FILTER(Competitions[compType], (Fixtures[[#This Row],[competition]] = Competitions[name]), "N/A")</f>
        <v>N/A</v>
      </c>
      <c r="T746" s="58" t="str" cm="1">
        <f t="array" ref="T746">_xlfn._xlws.FILTER(Competitions[exhibition], (Fixtures[[#This Row],[competition]] = Competitions[name]), "N/A")</f>
        <v>N/A</v>
      </c>
      <c r="U746" s="58" t="str" cm="1">
        <f t="array" ref="U746">_xlfn._xlws.FILTER(Competitions[compID], (Fixtures[[#This Row],[competition]] = Competitions[name]), "N/A")</f>
        <v>N/A</v>
      </c>
      <c r="V7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6" s="58" t="str" cm="1">
        <f t="array" ref="W7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6" s="58" t="str" cm="1">
        <f t="array" ref="X746">_xlfn._xlws.FILTER(Teams[name], (Fixtures[[#This Row],[userTeamID]] = Teams[teamID]), "N/A")</f>
        <v>N/A</v>
      </c>
      <c r="Y746" s="58" t="str" cm="1">
        <f t="array" ref="Y746">_xlfn._xlws.FILTER(Teams[teamType], (Fixtures[[#This Row],[userTeamID]] = Teams[teamID]), "N/A")</f>
        <v>N/A</v>
      </c>
      <c r="Z746" s="58" t="str" cm="1">
        <f t="array" ref="Z7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6" s="58" t="str">
        <f>IF(Fixtures[[#This Row],[userSide]] = "N/A", "N/A", IF(Fixtures[[#This Row],[userSide]] = "H", Fixtures[[#This Row],[awayTeam]], Fixtures[[#This Row],[homeTeam]]))</f>
        <v>N/A</v>
      </c>
      <c r="AB746" s="58" t="str" cm="1">
        <f t="array" ref="AB746">_xlfn._xlws.FILTER(Teams[teamID], Fixtures[[#This Row],[oppTeam]] = Teams[name], "N/A")</f>
        <v>N/A</v>
      </c>
      <c r="AC746" s="58" t="str" cm="1">
        <f t="array" ref="AC746">_xlfn._xlws.FILTER(Teams[teamType], Fixtures[[#This Row],[oppTeam]] = Teams[name], "N/A")</f>
        <v>N/A</v>
      </c>
      <c r="AD746" s="58" t="str">
        <f>IF(ISBLANK(Fixtures[[#This Row],[date]]), "N/A", IF(Fixtures[[#This Row],[userSide]]="H", Fixtures[[#This Row],[homeScore]], Fixtures[[#This Row],[awayScore]]))</f>
        <v>N/A</v>
      </c>
      <c r="AE746" s="58" t="str">
        <f>IF(ISBLANK(Fixtures[[#This Row],[date]]), "N/A", IF(Fixtures[[#This Row],[userScore]] = Fixtures[[#This Row],[homeScore]], Fixtures[[#This Row],[awayScore]], Fixtures[[#This Row],[homeScore]]))</f>
        <v>N/A</v>
      </c>
      <c r="AF746" s="58" t="b">
        <f>NOT(AND(ISBLANK(Fixtures[[#This Row],[homePens]]), ISBLANK(Fixtures[[#This Row],[awayPens]])))</f>
        <v>0</v>
      </c>
      <c r="AG746" s="58" t="str">
        <f>IF(Fixtures[[#This Row],[penalties]], IF(Fixtures[[#This Row],[userSide]]="H", Fixtures[[#This Row],[homePens]], Fixtures[[#This Row],[awayPens]]), "N/A")</f>
        <v>N/A</v>
      </c>
      <c r="AH746" s="58" t="str">
        <f>IF(Fixtures[[#This Row],[penalties]], IF(Fixtures[[#This Row],[userPens]]=Fixtures[[#This Row],[homePens]],Fixtures[[#This Row],[awayPens]],Fixtures[[#This Row],[homePens]]), "N/A")</f>
        <v>N/A</v>
      </c>
      <c r="AI746" s="58" t="b">
        <f>COUNTBLANK(Fixtures[[#This Row],[G]:[MOTM]]) = 0</f>
        <v>0</v>
      </c>
      <c r="AJ746" s="58" t="str">
        <f>IF(Fixtures[[#This Row],[APP]], Fixtures[[#This Row],[G]]+Fixtures[[#This Row],[A]], "N/A")</f>
        <v>N/A</v>
      </c>
      <c r="AK7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7" spans="1:39" ht="13">
      <c r="A747" s="55"/>
      <c r="B747" s="61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7"/>
      <c r="R747" s="56"/>
      <c r="S747" s="58" t="str" cm="1">
        <f t="array" ref="S747">_xlfn._xlws.FILTER(Competitions[compType], (Fixtures[[#This Row],[competition]] = Competitions[name]), "N/A")</f>
        <v>N/A</v>
      </c>
      <c r="T747" s="58" t="str" cm="1">
        <f t="array" ref="T747">_xlfn._xlws.FILTER(Competitions[exhibition], (Fixtures[[#This Row],[competition]] = Competitions[name]), "N/A")</f>
        <v>N/A</v>
      </c>
      <c r="U747" s="58" t="str" cm="1">
        <f t="array" ref="U747">_xlfn._xlws.FILTER(Competitions[compID], (Fixtures[[#This Row],[competition]] = Competitions[name]), "N/A")</f>
        <v>N/A</v>
      </c>
      <c r="V7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7" s="58" t="str" cm="1">
        <f t="array" ref="W7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7" s="58" t="str" cm="1">
        <f t="array" ref="X747">_xlfn._xlws.FILTER(Teams[name], (Fixtures[[#This Row],[userTeamID]] = Teams[teamID]), "N/A")</f>
        <v>N/A</v>
      </c>
      <c r="Y747" s="58" t="str" cm="1">
        <f t="array" ref="Y747">_xlfn._xlws.FILTER(Teams[teamType], (Fixtures[[#This Row],[userTeamID]] = Teams[teamID]), "N/A")</f>
        <v>N/A</v>
      </c>
      <c r="Z747" s="58" t="str" cm="1">
        <f t="array" ref="Z7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7" s="58" t="str">
        <f>IF(Fixtures[[#This Row],[userSide]] = "N/A", "N/A", IF(Fixtures[[#This Row],[userSide]] = "H", Fixtures[[#This Row],[awayTeam]], Fixtures[[#This Row],[homeTeam]]))</f>
        <v>N/A</v>
      </c>
      <c r="AB747" s="58" t="str" cm="1">
        <f t="array" ref="AB747">_xlfn._xlws.FILTER(Teams[teamID], Fixtures[[#This Row],[oppTeam]] = Teams[name], "N/A")</f>
        <v>N/A</v>
      </c>
      <c r="AC747" s="58" t="str" cm="1">
        <f t="array" ref="AC747">_xlfn._xlws.FILTER(Teams[teamType], Fixtures[[#This Row],[oppTeam]] = Teams[name], "N/A")</f>
        <v>N/A</v>
      </c>
      <c r="AD747" s="58" t="str">
        <f>IF(ISBLANK(Fixtures[[#This Row],[date]]), "N/A", IF(Fixtures[[#This Row],[userSide]]="H", Fixtures[[#This Row],[homeScore]], Fixtures[[#This Row],[awayScore]]))</f>
        <v>N/A</v>
      </c>
      <c r="AE747" s="58" t="str">
        <f>IF(ISBLANK(Fixtures[[#This Row],[date]]), "N/A", IF(Fixtures[[#This Row],[userScore]] = Fixtures[[#This Row],[homeScore]], Fixtures[[#This Row],[awayScore]], Fixtures[[#This Row],[homeScore]]))</f>
        <v>N/A</v>
      </c>
      <c r="AF747" s="58" t="b">
        <f>NOT(AND(ISBLANK(Fixtures[[#This Row],[homePens]]), ISBLANK(Fixtures[[#This Row],[awayPens]])))</f>
        <v>0</v>
      </c>
      <c r="AG747" s="58" t="str">
        <f>IF(Fixtures[[#This Row],[penalties]], IF(Fixtures[[#This Row],[userSide]]="H", Fixtures[[#This Row],[homePens]], Fixtures[[#This Row],[awayPens]]), "N/A")</f>
        <v>N/A</v>
      </c>
      <c r="AH747" s="58" t="str">
        <f>IF(Fixtures[[#This Row],[penalties]], IF(Fixtures[[#This Row],[userPens]]=Fixtures[[#This Row],[homePens]],Fixtures[[#This Row],[awayPens]],Fixtures[[#This Row],[homePens]]), "N/A")</f>
        <v>N/A</v>
      </c>
      <c r="AI747" s="58" t="b">
        <f>COUNTBLANK(Fixtures[[#This Row],[G]:[MOTM]]) = 0</f>
        <v>0</v>
      </c>
      <c r="AJ747" s="58" t="str">
        <f>IF(Fixtures[[#This Row],[APP]], Fixtures[[#This Row],[G]]+Fixtures[[#This Row],[A]], "N/A")</f>
        <v>N/A</v>
      </c>
      <c r="AK7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8" spans="1:39" ht="13">
      <c r="A748" s="55"/>
      <c r="B748" s="61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7"/>
      <c r="R748" s="56"/>
      <c r="S748" s="58" t="str" cm="1">
        <f t="array" ref="S748">_xlfn._xlws.FILTER(Competitions[compType], (Fixtures[[#This Row],[competition]] = Competitions[name]), "N/A")</f>
        <v>N/A</v>
      </c>
      <c r="T748" s="58" t="str" cm="1">
        <f t="array" ref="T748">_xlfn._xlws.FILTER(Competitions[exhibition], (Fixtures[[#This Row],[competition]] = Competitions[name]), "N/A")</f>
        <v>N/A</v>
      </c>
      <c r="U748" s="58" t="str" cm="1">
        <f t="array" ref="U748">_xlfn._xlws.FILTER(Competitions[compID], (Fixtures[[#This Row],[competition]] = Competitions[name]), "N/A")</f>
        <v>N/A</v>
      </c>
      <c r="V7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8" s="58" t="str" cm="1">
        <f t="array" ref="W7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8" s="58" t="str" cm="1">
        <f t="array" ref="X748">_xlfn._xlws.FILTER(Teams[name], (Fixtures[[#This Row],[userTeamID]] = Teams[teamID]), "N/A")</f>
        <v>N/A</v>
      </c>
      <c r="Y748" s="58" t="str" cm="1">
        <f t="array" ref="Y748">_xlfn._xlws.FILTER(Teams[teamType], (Fixtures[[#This Row],[userTeamID]] = Teams[teamID]), "N/A")</f>
        <v>N/A</v>
      </c>
      <c r="Z748" s="58" t="str" cm="1">
        <f t="array" ref="Z7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8" s="58" t="str">
        <f>IF(Fixtures[[#This Row],[userSide]] = "N/A", "N/A", IF(Fixtures[[#This Row],[userSide]] = "H", Fixtures[[#This Row],[awayTeam]], Fixtures[[#This Row],[homeTeam]]))</f>
        <v>N/A</v>
      </c>
      <c r="AB748" s="58" t="str" cm="1">
        <f t="array" ref="AB748">_xlfn._xlws.FILTER(Teams[teamID], Fixtures[[#This Row],[oppTeam]] = Teams[name], "N/A")</f>
        <v>N/A</v>
      </c>
      <c r="AC748" s="58" t="str" cm="1">
        <f t="array" ref="AC748">_xlfn._xlws.FILTER(Teams[teamType], Fixtures[[#This Row],[oppTeam]] = Teams[name], "N/A")</f>
        <v>N/A</v>
      </c>
      <c r="AD748" s="58" t="str">
        <f>IF(ISBLANK(Fixtures[[#This Row],[date]]), "N/A", IF(Fixtures[[#This Row],[userSide]]="H", Fixtures[[#This Row],[homeScore]], Fixtures[[#This Row],[awayScore]]))</f>
        <v>N/A</v>
      </c>
      <c r="AE748" s="58" t="str">
        <f>IF(ISBLANK(Fixtures[[#This Row],[date]]), "N/A", IF(Fixtures[[#This Row],[userScore]] = Fixtures[[#This Row],[homeScore]], Fixtures[[#This Row],[awayScore]], Fixtures[[#This Row],[homeScore]]))</f>
        <v>N/A</v>
      </c>
      <c r="AF748" s="58" t="b">
        <f>NOT(AND(ISBLANK(Fixtures[[#This Row],[homePens]]), ISBLANK(Fixtures[[#This Row],[awayPens]])))</f>
        <v>0</v>
      </c>
      <c r="AG748" s="58" t="str">
        <f>IF(Fixtures[[#This Row],[penalties]], IF(Fixtures[[#This Row],[userSide]]="H", Fixtures[[#This Row],[homePens]], Fixtures[[#This Row],[awayPens]]), "N/A")</f>
        <v>N/A</v>
      </c>
      <c r="AH748" s="58" t="str">
        <f>IF(Fixtures[[#This Row],[penalties]], IF(Fixtures[[#This Row],[userPens]]=Fixtures[[#This Row],[homePens]],Fixtures[[#This Row],[awayPens]],Fixtures[[#This Row],[homePens]]), "N/A")</f>
        <v>N/A</v>
      </c>
      <c r="AI748" s="58" t="b">
        <f>COUNTBLANK(Fixtures[[#This Row],[G]:[MOTM]]) = 0</f>
        <v>0</v>
      </c>
      <c r="AJ748" s="58" t="str">
        <f>IF(Fixtures[[#This Row],[APP]], Fixtures[[#This Row],[G]]+Fixtures[[#This Row],[A]], "N/A")</f>
        <v>N/A</v>
      </c>
      <c r="AK7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49" spans="1:39" ht="13">
      <c r="A749" s="55"/>
      <c r="B749" s="61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7"/>
      <c r="R749" s="56"/>
      <c r="S749" s="58" t="str" cm="1">
        <f t="array" ref="S749">_xlfn._xlws.FILTER(Competitions[compType], (Fixtures[[#This Row],[competition]] = Competitions[name]), "N/A")</f>
        <v>N/A</v>
      </c>
      <c r="T749" s="58" t="str" cm="1">
        <f t="array" ref="T749">_xlfn._xlws.FILTER(Competitions[exhibition], (Fixtures[[#This Row],[competition]] = Competitions[name]), "N/A")</f>
        <v>N/A</v>
      </c>
      <c r="U749" s="58" t="str" cm="1">
        <f t="array" ref="U749">_xlfn._xlws.FILTER(Competitions[compID], (Fixtures[[#This Row],[competition]] = Competitions[name]), "N/A")</f>
        <v>N/A</v>
      </c>
      <c r="V7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49" s="58" t="str" cm="1">
        <f t="array" ref="W7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49" s="58" t="str" cm="1">
        <f t="array" ref="X749">_xlfn._xlws.FILTER(Teams[name], (Fixtures[[#This Row],[userTeamID]] = Teams[teamID]), "N/A")</f>
        <v>N/A</v>
      </c>
      <c r="Y749" s="58" t="str" cm="1">
        <f t="array" ref="Y749">_xlfn._xlws.FILTER(Teams[teamType], (Fixtures[[#This Row],[userTeamID]] = Teams[teamID]), "N/A")</f>
        <v>N/A</v>
      </c>
      <c r="Z749" s="58" t="str" cm="1">
        <f t="array" ref="Z7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49" s="58" t="str">
        <f>IF(Fixtures[[#This Row],[userSide]] = "N/A", "N/A", IF(Fixtures[[#This Row],[userSide]] = "H", Fixtures[[#This Row],[awayTeam]], Fixtures[[#This Row],[homeTeam]]))</f>
        <v>N/A</v>
      </c>
      <c r="AB749" s="58" t="str" cm="1">
        <f t="array" ref="AB749">_xlfn._xlws.FILTER(Teams[teamID], Fixtures[[#This Row],[oppTeam]] = Teams[name], "N/A")</f>
        <v>N/A</v>
      </c>
      <c r="AC749" s="58" t="str" cm="1">
        <f t="array" ref="AC749">_xlfn._xlws.FILTER(Teams[teamType], Fixtures[[#This Row],[oppTeam]] = Teams[name], "N/A")</f>
        <v>N/A</v>
      </c>
      <c r="AD749" s="58" t="str">
        <f>IF(ISBLANK(Fixtures[[#This Row],[date]]), "N/A", IF(Fixtures[[#This Row],[userSide]]="H", Fixtures[[#This Row],[homeScore]], Fixtures[[#This Row],[awayScore]]))</f>
        <v>N/A</v>
      </c>
      <c r="AE749" s="58" t="str">
        <f>IF(ISBLANK(Fixtures[[#This Row],[date]]), "N/A", IF(Fixtures[[#This Row],[userScore]] = Fixtures[[#This Row],[homeScore]], Fixtures[[#This Row],[awayScore]], Fixtures[[#This Row],[homeScore]]))</f>
        <v>N/A</v>
      </c>
      <c r="AF749" s="58" t="b">
        <f>NOT(AND(ISBLANK(Fixtures[[#This Row],[homePens]]), ISBLANK(Fixtures[[#This Row],[awayPens]])))</f>
        <v>0</v>
      </c>
      <c r="AG749" s="58" t="str">
        <f>IF(Fixtures[[#This Row],[penalties]], IF(Fixtures[[#This Row],[userSide]]="H", Fixtures[[#This Row],[homePens]], Fixtures[[#This Row],[awayPens]]), "N/A")</f>
        <v>N/A</v>
      </c>
      <c r="AH749" s="58" t="str">
        <f>IF(Fixtures[[#This Row],[penalties]], IF(Fixtures[[#This Row],[userPens]]=Fixtures[[#This Row],[homePens]],Fixtures[[#This Row],[awayPens]],Fixtures[[#This Row],[homePens]]), "N/A")</f>
        <v>N/A</v>
      </c>
      <c r="AI749" s="58" t="b">
        <f>COUNTBLANK(Fixtures[[#This Row],[G]:[MOTM]]) = 0</f>
        <v>0</v>
      </c>
      <c r="AJ749" s="58" t="str">
        <f>IF(Fixtures[[#This Row],[APP]], Fixtures[[#This Row],[G]]+Fixtures[[#This Row],[A]], "N/A")</f>
        <v>N/A</v>
      </c>
      <c r="AK7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0" spans="1:39" ht="13">
      <c r="A750" s="55"/>
      <c r="B750" s="61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7"/>
      <c r="R750" s="56"/>
      <c r="S750" s="58" t="str" cm="1">
        <f t="array" ref="S750">_xlfn._xlws.FILTER(Competitions[compType], (Fixtures[[#This Row],[competition]] = Competitions[name]), "N/A")</f>
        <v>N/A</v>
      </c>
      <c r="T750" s="58" t="str" cm="1">
        <f t="array" ref="T750">_xlfn._xlws.FILTER(Competitions[exhibition], (Fixtures[[#This Row],[competition]] = Competitions[name]), "N/A")</f>
        <v>N/A</v>
      </c>
      <c r="U750" s="58" t="str" cm="1">
        <f t="array" ref="U750">_xlfn._xlws.FILTER(Competitions[compID], (Fixtures[[#This Row],[competition]] = Competitions[name]), "N/A")</f>
        <v>N/A</v>
      </c>
      <c r="V7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0" s="58" t="str" cm="1">
        <f t="array" ref="W7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0" s="58" t="str" cm="1">
        <f t="array" ref="X750">_xlfn._xlws.FILTER(Teams[name], (Fixtures[[#This Row],[userTeamID]] = Teams[teamID]), "N/A")</f>
        <v>N/A</v>
      </c>
      <c r="Y750" s="58" t="str" cm="1">
        <f t="array" ref="Y750">_xlfn._xlws.FILTER(Teams[teamType], (Fixtures[[#This Row],[userTeamID]] = Teams[teamID]), "N/A")</f>
        <v>N/A</v>
      </c>
      <c r="Z750" s="58" t="str" cm="1">
        <f t="array" ref="Z7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0" s="58" t="str">
        <f>IF(Fixtures[[#This Row],[userSide]] = "N/A", "N/A", IF(Fixtures[[#This Row],[userSide]] = "H", Fixtures[[#This Row],[awayTeam]], Fixtures[[#This Row],[homeTeam]]))</f>
        <v>N/A</v>
      </c>
      <c r="AB750" s="58" t="str" cm="1">
        <f t="array" ref="AB750">_xlfn._xlws.FILTER(Teams[teamID], Fixtures[[#This Row],[oppTeam]] = Teams[name], "N/A")</f>
        <v>N/A</v>
      </c>
      <c r="AC750" s="58" t="str" cm="1">
        <f t="array" ref="AC750">_xlfn._xlws.FILTER(Teams[teamType], Fixtures[[#This Row],[oppTeam]] = Teams[name], "N/A")</f>
        <v>N/A</v>
      </c>
      <c r="AD750" s="58" t="str">
        <f>IF(ISBLANK(Fixtures[[#This Row],[date]]), "N/A", IF(Fixtures[[#This Row],[userSide]]="H", Fixtures[[#This Row],[homeScore]], Fixtures[[#This Row],[awayScore]]))</f>
        <v>N/A</v>
      </c>
      <c r="AE750" s="58" t="str">
        <f>IF(ISBLANK(Fixtures[[#This Row],[date]]), "N/A", IF(Fixtures[[#This Row],[userScore]] = Fixtures[[#This Row],[homeScore]], Fixtures[[#This Row],[awayScore]], Fixtures[[#This Row],[homeScore]]))</f>
        <v>N/A</v>
      </c>
      <c r="AF750" s="58" t="b">
        <f>NOT(AND(ISBLANK(Fixtures[[#This Row],[homePens]]), ISBLANK(Fixtures[[#This Row],[awayPens]])))</f>
        <v>0</v>
      </c>
      <c r="AG750" s="58" t="str">
        <f>IF(Fixtures[[#This Row],[penalties]], IF(Fixtures[[#This Row],[userSide]]="H", Fixtures[[#This Row],[homePens]], Fixtures[[#This Row],[awayPens]]), "N/A")</f>
        <v>N/A</v>
      </c>
      <c r="AH750" s="58" t="str">
        <f>IF(Fixtures[[#This Row],[penalties]], IF(Fixtures[[#This Row],[userPens]]=Fixtures[[#This Row],[homePens]],Fixtures[[#This Row],[awayPens]],Fixtures[[#This Row],[homePens]]), "N/A")</f>
        <v>N/A</v>
      </c>
      <c r="AI750" s="58" t="b">
        <f>COUNTBLANK(Fixtures[[#This Row],[G]:[MOTM]]) = 0</f>
        <v>0</v>
      </c>
      <c r="AJ750" s="58" t="str">
        <f>IF(Fixtures[[#This Row],[APP]], Fixtures[[#This Row],[G]]+Fixtures[[#This Row],[A]], "N/A")</f>
        <v>N/A</v>
      </c>
      <c r="AK7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1" spans="1:39" ht="13">
      <c r="A751" s="55"/>
      <c r="B751" s="61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7"/>
      <c r="R751" s="56"/>
      <c r="S751" s="58" t="str" cm="1">
        <f t="array" ref="S751">_xlfn._xlws.FILTER(Competitions[compType], (Fixtures[[#This Row],[competition]] = Competitions[name]), "N/A")</f>
        <v>N/A</v>
      </c>
      <c r="T751" s="58" t="str" cm="1">
        <f t="array" ref="T751">_xlfn._xlws.FILTER(Competitions[exhibition], (Fixtures[[#This Row],[competition]] = Competitions[name]), "N/A")</f>
        <v>N/A</v>
      </c>
      <c r="U751" s="58" t="str" cm="1">
        <f t="array" ref="U751">_xlfn._xlws.FILTER(Competitions[compID], (Fixtures[[#This Row],[competition]] = Competitions[name]), "N/A")</f>
        <v>N/A</v>
      </c>
      <c r="V7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1" s="58" t="str" cm="1">
        <f t="array" ref="W7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1" s="58" t="str" cm="1">
        <f t="array" ref="X751">_xlfn._xlws.FILTER(Teams[name], (Fixtures[[#This Row],[userTeamID]] = Teams[teamID]), "N/A")</f>
        <v>N/A</v>
      </c>
      <c r="Y751" s="58" t="str" cm="1">
        <f t="array" ref="Y751">_xlfn._xlws.FILTER(Teams[teamType], (Fixtures[[#This Row],[userTeamID]] = Teams[teamID]), "N/A")</f>
        <v>N/A</v>
      </c>
      <c r="Z751" s="58" t="str" cm="1">
        <f t="array" ref="Z7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1" s="58" t="str">
        <f>IF(Fixtures[[#This Row],[userSide]] = "N/A", "N/A", IF(Fixtures[[#This Row],[userSide]] = "H", Fixtures[[#This Row],[awayTeam]], Fixtures[[#This Row],[homeTeam]]))</f>
        <v>N/A</v>
      </c>
      <c r="AB751" s="58" t="str" cm="1">
        <f t="array" ref="AB751">_xlfn._xlws.FILTER(Teams[teamID], Fixtures[[#This Row],[oppTeam]] = Teams[name], "N/A")</f>
        <v>N/A</v>
      </c>
      <c r="AC751" s="58" t="str" cm="1">
        <f t="array" ref="AC751">_xlfn._xlws.FILTER(Teams[teamType], Fixtures[[#This Row],[oppTeam]] = Teams[name], "N/A")</f>
        <v>N/A</v>
      </c>
      <c r="AD751" s="58" t="str">
        <f>IF(ISBLANK(Fixtures[[#This Row],[date]]), "N/A", IF(Fixtures[[#This Row],[userSide]]="H", Fixtures[[#This Row],[homeScore]], Fixtures[[#This Row],[awayScore]]))</f>
        <v>N/A</v>
      </c>
      <c r="AE751" s="58" t="str">
        <f>IF(ISBLANK(Fixtures[[#This Row],[date]]), "N/A", IF(Fixtures[[#This Row],[userScore]] = Fixtures[[#This Row],[homeScore]], Fixtures[[#This Row],[awayScore]], Fixtures[[#This Row],[homeScore]]))</f>
        <v>N/A</v>
      </c>
      <c r="AF751" s="58" t="b">
        <f>NOT(AND(ISBLANK(Fixtures[[#This Row],[homePens]]), ISBLANK(Fixtures[[#This Row],[awayPens]])))</f>
        <v>0</v>
      </c>
      <c r="AG751" s="58" t="str">
        <f>IF(Fixtures[[#This Row],[penalties]], IF(Fixtures[[#This Row],[userSide]]="H", Fixtures[[#This Row],[homePens]], Fixtures[[#This Row],[awayPens]]), "N/A")</f>
        <v>N/A</v>
      </c>
      <c r="AH751" s="58" t="str">
        <f>IF(Fixtures[[#This Row],[penalties]], IF(Fixtures[[#This Row],[userPens]]=Fixtures[[#This Row],[homePens]],Fixtures[[#This Row],[awayPens]],Fixtures[[#This Row],[homePens]]), "N/A")</f>
        <v>N/A</v>
      </c>
      <c r="AI751" s="58" t="b">
        <f>COUNTBLANK(Fixtures[[#This Row],[G]:[MOTM]]) = 0</f>
        <v>0</v>
      </c>
      <c r="AJ751" s="58" t="str">
        <f>IF(Fixtures[[#This Row],[APP]], Fixtures[[#This Row],[G]]+Fixtures[[#This Row],[A]], "N/A")</f>
        <v>N/A</v>
      </c>
      <c r="AK7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2" spans="1:39" ht="13">
      <c r="A752" s="55"/>
      <c r="B752" s="61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7"/>
      <c r="R752" s="56"/>
      <c r="S752" s="58" t="str" cm="1">
        <f t="array" ref="S752">_xlfn._xlws.FILTER(Competitions[compType], (Fixtures[[#This Row],[competition]] = Competitions[name]), "N/A")</f>
        <v>N/A</v>
      </c>
      <c r="T752" s="58" t="str" cm="1">
        <f t="array" ref="T752">_xlfn._xlws.FILTER(Competitions[exhibition], (Fixtures[[#This Row],[competition]] = Competitions[name]), "N/A")</f>
        <v>N/A</v>
      </c>
      <c r="U752" s="58" t="str" cm="1">
        <f t="array" ref="U752">_xlfn._xlws.FILTER(Competitions[compID], (Fixtures[[#This Row],[competition]] = Competitions[name]), "N/A")</f>
        <v>N/A</v>
      </c>
      <c r="V7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2" s="58" t="str" cm="1">
        <f t="array" ref="W7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2" s="58" t="str" cm="1">
        <f t="array" ref="X752">_xlfn._xlws.FILTER(Teams[name], (Fixtures[[#This Row],[userTeamID]] = Teams[teamID]), "N/A")</f>
        <v>N/A</v>
      </c>
      <c r="Y752" s="58" t="str" cm="1">
        <f t="array" ref="Y752">_xlfn._xlws.FILTER(Teams[teamType], (Fixtures[[#This Row],[userTeamID]] = Teams[teamID]), "N/A")</f>
        <v>N/A</v>
      </c>
      <c r="Z752" s="58" t="str" cm="1">
        <f t="array" ref="Z7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2" s="58" t="str">
        <f>IF(Fixtures[[#This Row],[userSide]] = "N/A", "N/A", IF(Fixtures[[#This Row],[userSide]] = "H", Fixtures[[#This Row],[awayTeam]], Fixtures[[#This Row],[homeTeam]]))</f>
        <v>N/A</v>
      </c>
      <c r="AB752" s="58" t="str" cm="1">
        <f t="array" ref="AB752">_xlfn._xlws.FILTER(Teams[teamID], Fixtures[[#This Row],[oppTeam]] = Teams[name], "N/A")</f>
        <v>N/A</v>
      </c>
      <c r="AC752" s="58" t="str" cm="1">
        <f t="array" ref="AC752">_xlfn._xlws.FILTER(Teams[teamType], Fixtures[[#This Row],[oppTeam]] = Teams[name], "N/A")</f>
        <v>N/A</v>
      </c>
      <c r="AD752" s="58" t="str">
        <f>IF(ISBLANK(Fixtures[[#This Row],[date]]), "N/A", IF(Fixtures[[#This Row],[userSide]]="H", Fixtures[[#This Row],[homeScore]], Fixtures[[#This Row],[awayScore]]))</f>
        <v>N/A</v>
      </c>
      <c r="AE752" s="58" t="str">
        <f>IF(ISBLANK(Fixtures[[#This Row],[date]]), "N/A", IF(Fixtures[[#This Row],[userScore]] = Fixtures[[#This Row],[homeScore]], Fixtures[[#This Row],[awayScore]], Fixtures[[#This Row],[homeScore]]))</f>
        <v>N/A</v>
      </c>
      <c r="AF752" s="58" t="b">
        <f>NOT(AND(ISBLANK(Fixtures[[#This Row],[homePens]]), ISBLANK(Fixtures[[#This Row],[awayPens]])))</f>
        <v>0</v>
      </c>
      <c r="AG752" s="58" t="str">
        <f>IF(Fixtures[[#This Row],[penalties]], IF(Fixtures[[#This Row],[userSide]]="H", Fixtures[[#This Row],[homePens]], Fixtures[[#This Row],[awayPens]]), "N/A")</f>
        <v>N/A</v>
      </c>
      <c r="AH752" s="58" t="str">
        <f>IF(Fixtures[[#This Row],[penalties]], IF(Fixtures[[#This Row],[userPens]]=Fixtures[[#This Row],[homePens]],Fixtures[[#This Row],[awayPens]],Fixtures[[#This Row],[homePens]]), "N/A")</f>
        <v>N/A</v>
      </c>
      <c r="AI752" s="58" t="b">
        <f>COUNTBLANK(Fixtures[[#This Row],[G]:[MOTM]]) = 0</f>
        <v>0</v>
      </c>
      <c r="AJ752" s="58" t="str">
        <f>IF(Fixtures[[#This Row],[APP]], Fixtures[[#This Row],[G]]+Fixtures[[#This Row],[A]], "N/A")</f>
        <v>N/A</v>
      </c>
      <c r="AK7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3" spans="1:39" ht="13">
      <c r="A753" s="55"/>
      <c r="B753" s="61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7"/>
      <c r="R753" s="56"/>
      <c r="S753" s="58" t="str" cm="1">
        <f t="array" ref="S753">_xlfn._xlws.FILTER(Competitions[compType], (Fixtures[[#This Row],[competition]] = Competitions[name]), "N/A")</f>
        <v>N/A</v>
      </c>
      <c r="T753" s="58" t="str" cm="1">
        <f t="array" ref="T753">_xlfn._xlws.FILTER(Competitions[exhibition], (Fixtures[[#This Row],[competition]] = Competitions[name]), "N/A")</f>
        <v>N/A</v>
      </c>
      <c r="U753" s="58" t="str" cm="1">
        <f t="array" ref="U753">_xlfn._xlws.FILTER(Competitions[compID], (Fixtures[[#This Row],[competition]] = Competitions[name]), "N/A")</f>
        <v>N/A</v>
      </c>
      <c r="V7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3" s="58" t="str" cm="1">
        <f t="array" ref="W7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3" s="58" t="str" cm="1">
        <f t="array" ref="X753">_xlfn._xlws.FILTER(Teams[name], (Fixtures[[#This Row],[userTeamID]] = Teams[teamID]), "N/A")</f>
        <v>N/A</v>
      </c>
      <c r="Y753" s="58" t="str" cm="1">
        <f t="array" ref="Y753">_xlfn._xlws.FILTER(Teams[teamType], (Fixtures[[#This Row],[userTeamID]] = Teams[teamID]), "N/A")</f>
        <v>N/A</v>
      </c>
      <c r="Z753" s="58" t="str" cm="1">
        <f t="array" ref="Z7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3" s="58" t="str">
        <f>IF(Fixtures[[#This Row],[userSide]] = "N/A", "N/A", IF(Fixtures[[#This Row],[userSide]] = "H", Fixtures[[#This Row],[awayTeam]], Fixtures[[#This Row],[homeTeam]]))</f>
        <v>N/A</v>
      </c>
      <c r="AB753" s="58" t="str" cm="1">
        <f t="array" ref="AB753">_xlfn._xlws.FILTER(Teams[teamID], Fixtures[[#This Row],[oppTeam]] = Teams[name], "N/A")</f>
        <v>N/A</v>
      </c>
      <c r="AC753" s="58" t="str" cm="1">
        <f t="array" ref="AC753">_xlfn._xlws.FILTER(Teams[teamType], Fixtures[[#This Row],[oppTeam]] = Teams[name], "N/A")</f>
        <v>N/A</v>
      </c>
      <c r="AD753" s="58" t="str">
        <f>IF(ISBLANK(Fixtures[[#This Row],[date]]), "N/A", IF(Fixtures[[#This Row],[userSide]]="H", Fixtures[[#This Row],[homeScore]], Fixtures[[#This Row],[awayScore]]))</f>
        <v>N/A</v>
      </c>
      <c r="AE753" s="58" t="str">
        <f>IF(ISBLANK(Fixtures[[#This Row],[date]]), "N/A", IF(Fixtures[[#This Row],[userScore]] = Fixtures[[#This Row],[homeScore]], Fixtures[[#This Row],[awayScore]], Fixtures[[#This Row],[homeScore]]))</f>
        <v>N/A</v>
      </c>
      <c r="AF753" s="58" t="b">
        <f>NOT(AND(ISBLANK(Fixtures[[#This Row],[homePens]]), ISBLANK(Fixtures[[#This Row],[awayPens]])))</f>
        <v>0</v>
      </c>
      <c r="AG753" s="58" t="str">
        <f>IF(Fixtures[[#This Row],[penalties]], IF(Fixtures[[#This Row],[userSide]]="H", Fixtures[[#This Row],[homePens]], Fixtures[[#This Row],[awayPens]]), "N/A")</f>
        <v>N/A</v>
      </c>
      <c r="AH753" s="58" t="str">
        <f>IF(Fixtures[[#This Row],[penalties]], IF(Fixtures[[#This Row],[userPens]]=Fixtures[[#This Row],[homePens]],Fixtures[[#This Row],[awayPens]],Fixtures[[#This Row],[homePens]]), "N/A")</f>
        <v>N/A</v>
      </c>
      <c r="AI753" s="58" t="b">
        <f>COUNTBLANK(Fixtures[[#This Row],[G]:[MOTM]]) = 0</f>
        <v>0</v>
      </c>
      <c r="AJ753" s="58" t="str">
        <f>IF(Fixtures[[#This Row],[APP]], Fixtures[[#This Row],[G]]+Fixtures[[#This Row],[A]], "N/A")</f>
        <v>N/A</v>
      </c>
      <c r="AK7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4" spans="1:39" ht="13">
      <c r="A754" s="55"/>
      <c r="B754" s="61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7"/>
      <c r="R754" s="56"/>
      <c r="S754" s="58" t="str" cm="1">
        <f t="array" ref="S754">_xlfn._xlws.FILTER(Competitions[compType], (Fixtures[[#This Row],[competition]] = Competitions[name]), "N/A")</f>
        <v>N/A</v>
      </c>
      <c r="T754" s="58" t="str" cm="1">
        <f t="array" ref="T754">_xlfn._xlws.FILTER(Competitions[exhibition], (Fixtures[[#This Row],[competition]] = Competitions[name]), "N/A")</f>
        <v>N/A</v>
      </c>
      <c r="U754" s="58" t="str" cm="1">
        <f t="array" ref="U754">_xlfn._xlws.FILTER(Competitions[compID], (Fixtures[[#This Row],[competition]] = Competitions[name]), "N/A")</f>
        <v>N/A</v>
      </c>
      <c r="V7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4" s="58" t="str" cm="1">
        <f t="array" ref="W7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4" s="58" t="str" cm="1">
        <f t="array" ref="X754">_xlfn._xlws.FILTER(Teams[name], (Fixtures[[#This Row],[userTeamID]] = Teams[teamID]), "N/A")</f>
        <v>N/A</v>
      </c>
      <c r="Y754" s="58" t="str" cm="1">
        <f t="array" ref="Y754">_xlfn._xlws.FILTER(Teams[teamType], (Fixtures[[#This Row],[userTeamID]] = Teams[teamID]), "N/A")</f>
        <v>N/A</v>
      </c>
      <c r="Z754" s="58" t="str" cm="1">
        <f t="array" ref="Z7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4" s="58" t="str">
        <f>IF(Fixtures[[#This Row],[userSide]] = "N/A", "N/A", IF(Fixtures[[#This Row],[userSide]] = "H", Fixtures[[#This Row],[awayTeam]], Fixtures[[#This Row],[homeTeam]]))</f>
        <v>N/A</v>
      </c>
      <c r="AB754" s="58" t="str" cm="1">
        <f t="array" ref="AB754">_xlfn._xlws.FILTER(Teams[teamID], Fixtures[[#This Row],[oppTeam]] = Teams[name], "N/A")</f>
        <v>N/A</v>
      </c>
      <c r="AC754" s="58" t="str" cm="1">
        <f t="array" ref="AC754">_xlfn._xlws.FILTER(Teams[teamType], Fixtures[[#This Row],[oppTeam]] = Teams[name], "N/A")</f>
        <v>N/A</v>
      </c>
      <c r="AD754" s="58" t="str">
        <f>IF(ISBLANK(Fixtures[[#This Row],[date]]), "N/A", IF(Fixtures[[#This Row],[userSide]]="H", Fixtures[[#This Row],[homeScore]], Fixtures[[#This Row],[awayScore]]))</f>
        <v>N/A</v>
      </c>
      <c r="AE754" s="58" t="str">
        <f>IF(ISBLANK(Fixtures[[#This Row],[date]]), "N/A", IF(Fixtures[[#This Row],[userScore]] = Fixtures[[#This Row],[homeScore]], Fixtures[[#This Row],[awayScore]], Fixtures[[#This Row],[homeScore]]))</f>
        <v>N/A</v>
      </c>
      <c r="AF754" s="58" t="b">
        <f>NOT(AND(ISBLANK(Fixtures[[#This Row],[homePens]]), ISBLANK(Fixtures[[#This Row],[awayPens]])))</f>
        <v>0</v>
      </c>
      <c r="AG754" s="58" t="str">
        <f>IF(Fixtures[[#This Row],[penalties]], IF(Fixtures[[#This Row],[userSide]]="H", Fixtures[[#This Row],[homePens]], Fixtures[[#This Row],[awayPens]]), "N/A")</f>
        <v>N/A</v>
      </c>
      <c r="AH754" s="58" t="str">
        <f>IF(Fixtures[[#This Row],[penalties]], IF(Fixtures[[#This Row],[userPens]]=Fixtures[[#This Row],[homePens]],Fixtures[[#This Row],[awayPens]],Fixtures[[#This Row],[homePens]]), "N/A")</f>
        <v>N/A</v>
      </c>
      <c r="AI754" s="58" t="b">
        <f>COUNTBLANK(Fixtures[[#This Row],[G]:[MOTM]]) = 0</f>
        <v>0</v>
      </c>
      <c r="AJ754" s="58" t="str">
        <f>IF(Fixtures[[#This Row],[APP]], Fixtures[[#This Row],[G]]+Fixtures[[#This Row],[A]], "N/A")</f>
        <v>N/A</v>
      </c>
      <c r="AK7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5" spans="1:39" ht="13">
      <c r="A755" s="55"/>
      <c r="B755" s="61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7"/>
      <c r="R755" s="56"/>
      <c r="S755" s="58" t="str" cm="1">
        <f t="array" ref="S755">_xlfn._xlws.FILTER(Competitions[compType], (Fixtures[[#This Row],[competition]] = Competitions[name]), "N/A")</f>
        <v>N/A</v>
      </c>
      <c r="T755" s="58" t="str" cm="1">
        <f t="array" ref="T755">_xlfn._xlws.FILTER(Competitions[exhibition], (Fixtures[[#This Row],[competition]] = Competitions[name]), "N/A")</f>
        <v>N/A</v>
      </c>
      <c r="U755" s="58" t="str" cm="1">
        <f t="array" ref="U755">_xlfn._xlws.FILTER(Competitions[compID], (Fixtures[[#This Row],[competition]] = Competitions[name]), "N/A")</f>
        <v>N/A</v>
      </c>
      <c r="V7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5" s="58" t="str" cm="1">
        <f t="array" ref="W7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5" s="58" t="str" cm="1">
        <f t="array" ref="X755">_xlfn._xlws.FILTER(Teams[name], (Fixtures[[#This Row],[userTeamID]] = Teams[teamID]), "N/A")</f>
        <v>N/A</v>
      </c>
      <c r="Y755" s="58" t="str" cm="1">
        <f t="array" ref="Y755">_xlfn._xlws.FILTER(Teams[teamType], (Fixtures[[#This Row],[userTeamID]] = Teams[teamID]), "N/A")</f>
        <v>N/A</v>
      </c>
      <c r="Z755" s="58" t="str" cm="1">
        <f t="array" ref="Z7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5" s="58" t="str">
        <f>IF(Fixtures[[#This Row],[userSide]] = "N/A", "N/A", IF(Fixtures[[#This Row],[userSide]] = "H", Fixtures[[#This Row],[awayTeam]], Fixtures[[#This Row],[homeTeam]]))</f>
        <v>N/A</v>
      </c>
      <c r="AB755" s="58" t="str" cm="1">
        <f t="array" ref="AB755">_xlfn._xlws.FILTER(Teams[teamID], Fixtures[[#This Row],[oppTeam]] = Teams[name], "N/A")</f>
        <v>N/A</v>
      </c>
      <c r="AC755" s="58" t="str" cm="1">
        <f t="array" ref="AC755">_xlfn._xlws.FILTER(Teams[teamType], Fixtures[[#This Row],[oppTeam]] = Teams[name], "N/A")</f>
        <v>N/A</v>
      </c>
      <c r="AD755" s="58" t="str">
        <f>IF(ISBLANK(Fixtures[[#This Row],[date]]), "N/A", IF(Fixtures[[#This Row],[userSide]]="H", Fixtures[[#This Row],[homeScore]], Fixtures[[#This Row],[awayScore]]))</f>
        <v>N/A</v>
      </c>
      <c r="AE755" s="58" t="str">
        <f>IF(ISBLANK(Fixtures[[#This Row],[date]]), "N/A", IF(Fixtures[[#This Row],[userScore]] = Fixtures[[#This Row],[homeScore]], Fixtures[[#This Row],[awayScore]], Fixtures[[#This Row],[homeScore]]))</f>
        <v>N/A</v>
      </c>
      <c r="AF755" s="58" t="b">
        <f>NOT(AND(ISBLANK(Fixtures[[#This Row],[homePens]]), ISBLANK(Fixtures[[#This Row],[awayPens]])))</f>
        <v>0</v>
      </c>
      <c r="AG755" s="58" t="str">
        <f>IF(Fixtures[[#This Row],[penalties]], IF(Fixtures[[#This Row],[userSide]]="H", Fixtures[[#This Row],[homePens]], Fixtures[[#This Row],[awayPens]]), "N/A")</f>
        <v>N/A</v>
      </c>
      <c r="AH755" s="58" t="str">
        <f>IF(Fixtures[[#This Row],[penalties]], IF(Fixtures[[#This Row],[userPens]]=Fixtures[[#This Row],[homePens]],Fixtures[[#This Row],[awayPens]],Fixtures[[#This Row],[homePens]]), "N/A")</f>
        <v>N/A</v>
      </c>
      <c r="AI755" s="58" t="b">
        <f>COUNTBLANK(Fixtures[[#This Row],[G]:[MOTM]]) = 0</f>
        <v>0</v>
      </c>
      <c r="AJ755" s="58" t="str">
        <f>IF(Fixtures[[#This Row],[APP]], Fixtures[[#This Row],[G]]+Fixtures[[#This Row],[A]], "N/A")</f>
        <v>N/A</v>
      </c>
      <c r="AK7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6" spans="1:39" ht="13">
      <c r="A756" s="55"/>
      <c r="B756" s="61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7"/>
      <c r="R756" s="56"/>
      <c r="S756" s="58" t="str" cm="1">
        <f t="array" ref="S756">_xlfn._xlws.FILTER(Competitions[compType], (Fixtures[[#This Row],[competition]] = Competitions[name]), "N/A")</f>
        <v>N/A</v>
      </c>
      <c r="T756" s="58" t="str" cm="1">
        <f t="array" ref="T756">_xlfn._xlws.FILTER(Competitions[exhibition], (Fixtures[[#This Row],[competition]] = Competitions[name]), "N/A")</f>
        <v>N/A</v>
      </c>
      <c r="U756" s="58" t="str" cm="1">
        <f t="array" ref="U756">_xlfn._xlws.FILTER(Competitions[compID], (Fixtures[[#This Row],[competition]] = Competitions[name]), "N/A")</f>
        <v>N/A</v>
      </c>
      <c r="V7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6" s="58" t="str" cm="1">
        <f t="array" ref="W7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6" s="58" t="str" cm="1">
        <f t="array" ref="X756">_xlfn._xlws.FILTER(Teams[name], (Fixtures[[#This Row],[userTeamID]] = Teams[teamID]), "N/A")</f>
        <v>N/A</v>
      </c>
      <c r="Y756" s="58" t="str" cm="1">
        <f t="array" ref="Y756">_xlfn._xlws.FILTER(Teams[teamType], (Fixtures[[#This Row],[userTeamID]] = Teams[teamID]), "N/A")</f>
        <v>N/A</v>
      </c>
      <c r="Z756" s="58" t="str" cm="1">
        <f t="array" ref="Z7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6" s="58" t="str">
        <f>IF(Fixtures[[#This Row],[userSide]] = "N/A", "N/A", IF(Fixtures[[#This Row],[userSide]] = "H", Fixtures[[#This Row],[awayTeam]], Fixtures[[#This Row],[homeTeam]]))</f>
        <v>N/A</v>
      </c>
      <c r="AB756" s="58" t="str" cm="1">
        <f t="array" ref="AB756">_xlfn._xlws.FILTER(Teams[teamID], Fixtures[[#This Row],[oppTeam]] = Teams[name], "N/A")</f>
        <v>N/A</v>
      </c>
      <c r="AC756" s="58" t="str" cm="1">
        <f t="array" ref="AC756">_xlfn._xlws.FILTER(Teams[teamType], Fixtures[[#This Row],[oppTeam]] = Teams[name], "N/A")</f>
        <v>N/A</v>
      </c>
      <c r="AD756" s="58" t="str">
        <f>IF(ISBLANK(Fixtures[[#This Row],[date]]), "N/A", IF(Fixtures[[#This Row],[userSide]]="H", Fixtures[[#This Row],[homeScore]], Fixtures[[#This Row],[awayScore]]))</f>
        <v>N/A</v>
      </c>
      <c r="AE756" s="58" t="str">
        <f>IF(ISBLANK(Fixtures[[#This Row],[date]]), "N/A", IF(Fixtures[[#This Row],[userScore]] = Fixtures[[#This Row],[homeScore]], Fixtures[[#This Row],[awayScore]], Fixtures[[#This Row],[homeScore]]))</f>
        <v>N/A</v>
      </c>
      <c r="AF756" s="58" t="b">
        <f>NOT(AND(ISBLANK(Fixtures[[#This Row],[homePens]]), ISBLANK(Fixtures[[#This Row],[awayPens]])))</f>
        <v>0</v>
      </c>
      <c r="AG756" s="58" t="str">
        <f>IF(Fixtures[[#This Row],[penalties]], IF(Fixtures[[#This Row],[userSide]]="H", Fixtures[[#This Row],[homePens]], Fixtures[[#This Row],[awayPens]]), "N/A")</f>
        <v>N/A</v>
      </c>
      <c r="AH756" s="58" t="str">
        <f>IF(Fixtures[[#This Row],[penalties]], IF(Fixtures[[#This Row],[userPens]]=Fixtures[[#This Row],[homePens]],Fixtures[[#This Row],[awayPens]],Fixtures[[#This Row],[homePens]]), "N/A")</f>
        <v>N/A</v>
      </c>
      <c r="AI756" s="58" t="b">
        <f>COUNTBLANK(Fixtures[[#This Row],[G]:[MOTM]]) = 0</f>
        <v>0</v>
      </c>
      <c r="AJ756" s="58" t="str">
        <f>IF(Fixtures[[#This Row],[APP]], Fixtures[[#This Row],[G]]+Fixtures[[#This Row],[A]], "N/A")</f>
        <v>N/A</v>
      </c>
      <c r="AK7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7" spans="1:39" ht="13">
      <c r="A757" s="55"/>
      <c r="B757" s="61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7"/>
      <c r="R757" s="56"/>
      <c r="S757" s="58" t="str" cm="1">
        <f t="array" ref="S757">_xlfn._xlws.FILTER(Competitions[compType], (Fixtures[[#This Row],[competition]] = Competitions[name]), "N/A")</f>
        <v>N/A</v>
      </c>
      <c r="T757" s="58" t="str" cm="1">
        <f t="array" ref="T757">_xlfn._xlws.FILTER(Competitions[exhibition], (Fixtures[[#This Row],[competition]] = Competitions[name]), "N/A")</f>
        <v>N/A</v>
      </c>
      <c r="U757" s="58" t="str" cm="1">
        <f t="array" ref="U757">_xlfn._xlws.FILTER(Competitions[compID], (Fixtures[[#This Row],[competition]] = Competitions[name]), "N/A")</f>
        <v>N/A</v>
      </c>
      <c r="V7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7" s="58" t="str" cm="1">
        <f t="array" ref="W7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7" s="58" t="str" cm="1">
        <f t="array" ref="X757">_xlfn._xlws.FILTER(Teams[name], (Fixtures[[#This Row],[userTeamID]] = Teams[teamID]), "N/A")</f>
        <v>N/A</v>
      </c>
      <c r="Y757" s="58" t="str" cm="1">
        <f t="array" ref="Y757">_xlfn._xlws.FILTER(Teams[teamType], (Fixtures[[#This Row],[userTeamID]] = Teams[teamID]), "N/A")</f>
        <v>N/A</v>
      </c>
      <c r="Z757" s="58" t="str" cm="1">
        <f t="array" ref="Z7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7" s="58" t="str">
        <f>IF(Fixtures[[#This Row],[userSide]] = "N/A", "N/A", IF(Fixtures[[#This Row],[userSide]] = "H", Fixtures[[#This Row],[awayTeam]], Fixtures[[#This Row],[homeTeam]]))</f>
        <v>N/A</v>
      </c>
      <c r="AB757" s="58" t="str" cm="1">
        <f t="array" ref="AB757">_xlfn._xlws.FILTER(Teams[teamID], Fixtures[[#This Row],[oppTeam]] = Teams[name], "N/A")</f>
        <v>N/A</v>
      </c>
      <c r="AC757" s="58" t="str" cm="1">
        <f t="array" ref="AC757">_xlfn._xlws.FILTER(Teams[teamType], Fixtures[[#This Row],[oppTeam]] = Teams[name], "N/A")</f>
        <v>N/A</v>
      </c>
      <c r="AD757" s="58" t="str">
        <f>IF(ISBLANK(Fixtures[[#This Row],[date]]), "N/A", IF(Fixtures[[#This Row],[userSide]]="H", Fixtures[[#This Row],[homeScore]], Fixtures[[#This Row],[awayScore]]))</f>
        <v>N/A</v>
      </c>
      <c r="AE757" s="58" t="str">
        <f>IF(ISBLANK(Fixtures[[#This Row],[date]]), "N/A", IF(Fixtures[[#This Row],[userScore]] = Fixtures[[#This Row],[homeScore]], Fixtures[[#This Row],[awayScore]], Fixtures[[#This Row],[homeScore]]))</f>
        <v>N/A</v>
      </c>
      <c r="AF757" s="58" t="b">
        <f>NOT(AND(ISBLANK(Fixtures[[#This Row],[homePens]]), ISBLANK(Fixtures[[#This Row],[awayPens]])))</f>
        <v>0</v>
      </c>
      <c r="AG757" s="58" t="str">
        <f>IF(Fixtures[[#This Row],[penalties]], IF(Fixtures[[#This Row],[userSide]]="H", Fixtures[[#This Row],[homePens]], Fixtures[[#This Row],[awayPens]]), "N/A")</f>
        <v>N/A</v>
      </c>
      <c r="AH757" s="58" t="str">
        <f>IF(Fixtures[[#This Row],[penalties]], IF(Fixtures[[#This Row],[userPens]]=Fixtures[[#This Row],[homePens]],Fixtures[[#This Row],[awayPens]],Fixtures[[#This Row],[homePens]]), "N/A")</f>
        <v>N/A</v>
      </c>
      <c r="AI757" s="58" t="b">
        <f>COUNTBLANK(Fixtures[[#This Row],[G]:[MOTM]]) = 0</f>
        <v>0</v>
      </c>
      <c r="AJ757" s="58" t="str">
        <f>IF(Fixtures[[#This Row],[APP]], Fixtures[[#This Row],[G]]+Fixtures[[#This Row],[A]], "N/A")</f>
        <v>N/A</v>
      </c>
      <c r="AK7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8" spans="1:39" ht="13">
      <c r="A758" s="55"/>
      <c r="B758" s="61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7"/>
      <c r="R758" s="56"/>
      <c r="S758" s="58" t="str" cm="1">
        <f t="array" ref="S758">_xlfn._xlws.FILTER(Competitions[compType], (Fixtures[[#This Row],[competition]] = Competitions[name]), "N/A")</f>
        <v>N/A</v>
      </c>
      <c r="T758" s="58" t="str" cm="1">
        <f t="array" ref="T758">_xlfn._xlws.FILTER(Competitions[exhibition], (Fixtures[[#This Row],[competition]] = Competitions[name]), "N/A")</f>
        <v>N/A</v>
      </c>
      <c r="U758" s="58" t="str" cm="1">
        <f t="array" ref="U758">_xlfn._xlws.FILTER(Competitions[compID], (Fixtures[[#This Row],[competition]] = Competitions[name]), "N/A")</f>
        <v>N/A</v>
      </c>
      <c r="V7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8" s="58" t="str" cm="1">
        <f t="array" ref="W7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8" s="58" t="str" cm="1">
        <f t="array" ref="X758">_xlfn._xlws.FILTER(Teams[name], (Fixtures[[#This Row],[userTeamID]] = Teams[teamID]), "N/A")</f>
        <v>N/A</v>
      </c>
      <c r="Y758" s="58" t="str" cm="1">
        <f t="array" ref="Y758">_xlfn._xlws.FILTER(Teams[teamType], (Fixtures[[#This Row],[userTeamID]] = Teams[teamID]), "N/A")</f>
        <v>N/A</v>
      </c>
      <c r="Z758" s="58" t="str" cm="1">
        <f t="array" ref="Z7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8" s="58" t="str">
        <f>IF(Fixtures[[#This Row],[userSide]] = "N/A", "N/A", IF(Fixtures[[#This Row],[userSide]] = "H", Fixtures[[#This Row],[awayTeam]], Fixtures[[#This Row],[homeTeam]]))</f>
        <v>N/A</v>
      </c>
      <c r="AB758" s="58" t="str" cm="1">
        <f t="array" ref="AB758">_xlfn._xlws.FILTER(Teams[teamID], Fixtures[[#This Row],[oppTeam]] = Teams[name], "N/A")</f>
        <v>N/A</v>
      </c>
      <c r="AC758" s="58" t="str" cm="1">
        <f t="array" ref="AC758">_xlfn._xlws.FILTER(Teams[teamType], Fixtures[[#This Row],[oppTeam]] = Teams[name], "N/A")</f>
        <v>N/A</v>
      </c>
      <c r="AD758" s="58" t="str">
        <f>IF(ISBLANK(Fixtures[[#This Row],[date]]), "N/A", IF(Fixtures[[#This Row],[userSide]]="H", Fixtures[[#This Row],[homeScore]], Fixtures[[#This Row],[awayScore]]))</f>
        <v>N/A</v>
      </c>
      <c r="AE758" s="58" t="str">
        <f>IF(ISBLANK(Fixtures[[#This Row],[date]]), "N/A", IF(Fixtures[[#This Row],[userScore]] = Fixtures[[#This Row],[homeScore]], Fixtures[[#This Row],[awayScore]], Fixtures[[#This Row],[homeScore]]))</f>
        <v>N/A</v>
      </c>
      <c r="AF758" s="58" t="b">
        <f>NOT(AND(ISBLANK(Fixtures[[#This Row],[homePens]]), ISBLANK(Fixtures[[#This Row],[awayPens]])))</f>
        <v>0</v>
      </c>
      <c r="AG758" s="58" t="str">
        <f>IF(Fixtures[[#This Row],[penalties]], IF(Fixtures[[#This Row],[userSide]]="H", Fixtures[[#This Row],[homePens]], Fixtures[[#This Row],[awayPens]]), "N/A")</f>
        <v>N/A</v>
      </c>
      <c r="AH758" s="58" t="str">
        <f>IF(Fixtures[[#This Row],[penalties]], IF(Fixtures[[#This Row],[userPens]]=Fixtures[[#This Row],[homePens]],Fixtures[[#This Row],[awayPens]],Fixtures[[#This Row],[homePens]]), "N/A")</f>
        <v>N/A</v>
      </c>
      <c r="AI758" s="58" t="b">
        <f>COUNTBLANK(Fixtures[[#This Row],[G]:[MOTM]]) = 0</f>
        <v>0</v>
      </c>
      <c r="AJ758" s="58" t="str">
        <f>IF(Fixtures[[#This Row],[APP]], Fixtures[[#This Row],[G]]+Fixtures[[#This Row],[A]], "N/A")</f>
        <v>N/A</v>
      </c>
      <c r="AK7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59" spans="1:39" ht="13">
      <c r="A759" s="55"/>
      <c r="B759" s="61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7"/>
      <c r="R759" s="56"/>
      <c r="S759" s="58" t="str" cm="1">
        <f t="array" ref="S759">_xlfn._xlws.FILTER(Competitions[compType], (Fixtures[[#This Row],[competition]] = Competitions[name]), "N/A")</f>
        <v>N/A</v>
      </c>
      <c r="T759" s="58" t="str" cm="1">
        <f t="array" ref="T759">_xlfn._xlws.FILTER(Competitions[exhibition], (Fixtures[[#This Row],[competition]] = Competitions[name]), "N/A")</f>
        <v>N/A</v>
      </c>
      <c r="U759" s="58" t="str" cm="1">
        <f t="array" ref="U759">_xlfn._xlws.FILTER(Competitions[compID], (Fixtures[[#This Row],[competition]] = Competitions[name]), "N/A")</f>
        <v>N/A</v>
      </c>
      <c r="V7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59" s="58" t="str" cm="1">
        <f t="array" ref="W7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59" s="58" t="str" cm="1">
        <f t="array" ref="X759">_xlfn._xlws.FILTER(Teams[name], (Fixtures[[#This Row],[userTeamID]] = Teams[teamID]), "N/A")</f>
        <v>N/A</v>
      </c>
      <c r="Y759" s="58" t="str" cm="1">
        <f t="array" ref="Y759">_xlfn._xlws.FILTER(Teams[teamType], (Fixtures[[#This Row],[userTeamID]] = Teams[teamID]), "N/A")</f>
        <v>N/A</v>
      </c>
      <c r="Z759" s="58" t="str" cm="1">
        <f t="array" ref="Z7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59" s="58" t="str">
        <f>IF(Fixtures[[#This Row],[userSide]] = "N/A", "N/A", IF(Fixtures[[#This Row],[userSide]] = "H", Fixtures[[#This Row],[awayTeam]], Fixtures[[#This Row],[homeTeam]]))</f>
        <v>N/A</v>
      </c>
      <c r="AB759" s="58" t="str" cm="1">
        <f t="array" ref="AB759">_xlfn._xlws.FILTER(Teams[teamID], Fixtures[[#This Row],[oppTeam]] = Teams[name], "N/A")</f>
        <v>N/A</v>
      </c>
      <c r="AC759" s="58" t="str" cm="1">
        <f t="array" ref="AC759">_xlfn._xlws.FILTER(Teams[teamType], Fixtures[[#This Row],[oppTeam]] = Teams[name], "N/A")</f>
        <v>N/A</v>
      </c>
      <c r="AD759" s="58" t="str">
        <f>IF(ISBLANK(Fixtures[[#This Row],[date]]), "N/A", IF(Fixtures[[#This Row],[userSide]]="H", Fixtures[[#This Row],[homeScore]], Fixtures[[#This Row],[awayScore]]))</f>
        <v>N/A</v>
      </c>
      <c r="AE759" s="58" t="str">
        <f>IF(ISBLANK(Fixtures[[#This Row],[date]]), "N/A", IF(Fixtures[[#This Row],[userScore]] = Fixtures[[#This Row],[homeScore]], Fixtures[[#This Row],[awayScore]], Fixtures[[#This Row],[homeScore]]))</f>
        <v>N/A</v>
      </c>
      <c r="AF759" s="58" t="b">
        <f>NOT(AND(ISBLANK(Fixtures[[#This Row],[homePens]]), ISBLANK(Fixtures[[#This Row],[awayPens]])))</f>
        <v>0</v>
      </c>
      <c r="AG759" s="58" t="str">
        <f>IF(Fixtures[[#This Row],[penalties]], IF(Fixtures[[#This Row],[userSide]]="H", Fixtures[[#This Row],[homePens]], Fixtures[[#This Row],[awayPens]]), "N/A")</f>
        <v>N/A</v>
      </c>
      <c r="AH759" s="58" t="str">
        <f>IF(Fixtures[[#This Row],[penalties]], IF(Fixtures[[#This Row],[userPens]]=Fixtures[[#This Row],[homePens]],Fixtures[[#This Row],[awayPens]],Fixtures[[#This Row],[homePens]]), "N/A")</f>
        <v>N/A</v>
      </c>
      <c r="AI759" s="58" t="b">
        <f>COUNTBLANK(Fixtures[[#This Row],[G]:[MOTM]]) = 0</f>
        <v>0</v>
      </c>
      <c r="AJ759" s="58" t="str">
        <f>IF(Fixtures[[#This Row],[APP]], Fixtures[[#This Row],[G]]+Fixtures[[#This Row],[A]], "N/A")</f>
        <v>N/A</v>
      </c>
      <c r="AK7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0" spans="1:39" ht="13">
      <c r="A760" s="55"/>
      <c r="B760" s="61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7"/>
      <c r="R760" s="56"/>
      <c r="S760" s="58" t="str" cm="1">
        <f t="array" ref="S760">_xlfn._xlws.FILTER(Competitions[compType], (Fixtures[[#This Row],[competition]] = Competitions[name]), "N/A")</f>
        <v>N/A</v>
      </c>
      <c r="T760" s="58" t="str" cm="1">
        <f t="array" ref="T760">_xlfn._xlws.FILTER(Competitions[exhibition], (Fixtures[[#This Row],[competition]] = Competitions[name]), "N/A")</f>
        <v>N/A</v>
      </c>
      <c r="U760" s="58" t="str" cm="1">
        <f t="array" ref="U760">_xlfn._xlws.FILTER(Competitions[compID], (Fixtures[[#This Row],[competition]] = Competitions[name]), "N/A")</f>
        <v>N/A</v>
      </c>
      <c r="V7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0" s="58" t="str" cm="1">
        <f t="array" ref="W7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0" s="58" t="str" cm="1">
        <f t="array" ref="X760">_xlfn._xlws.FILTER(Teams[name], (Fixtures[[#This Row],[userTeamID]] = Teams[teamID]), "N/A")</f>
        <v>N/A</v>
      </c>
      <c r="Y760" s="58" t="str" cm="1">
        <f t="array" ref="Y760">_xlfn._xlws.FILTER(Teams[teamType], (Fixtures[[#This Row],[userTeamID]] = Teams[teamID]), "N/A")</f>
        <v>N/A</v>
      </c>
      <c r="Z760" s="58" t="str" cm="1">
        <f t="array" ref="Z7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0" s="58" t="str">
        <f>IF(Fixtures[[#This Row],[userSide]] = "N/A", "N/A", IF(Fixtures[[#This Row],[userSide]] = "H", Fixtures[[#This Row],[awayTeam]], Fixtures[[#This Row],[homeTeam]]))</f>
        <v>N/A</v>
      </c>
      <c r="AB760" s="58" t="str" cm="1">
        <f t="array" ref="AB760">_xlfn._xlws.FILTER(Teams[teamID], Fixtures[[#This Row],[oppTeam]] = Teams[name], "N/A")</f>
        <v>N/A</v>
      </c>
      <c r="AC760" s="58" t="str" cm="1">
        <f t="array" ref="AC760">_xlfn._xlws.FILTER(Teams[teamType], Fixtures[[#This Row],[oppTeam]] = Teams[name], "N/A")</f>
        <v>N/A</v>
      </c>
      <c r="AD760" s="58" t="str">
        <f>IF(ISBLANK(Fixtures[[#This Row],[date]]), "N/A", IF(Fixtures[[#This Row],[userSide]]="H", Fixtures[[#This Row],[homeScore]], Fixtures[[#This Row],[awayScore]]))</f>
        <v>N/A</v>
      </c>
      <c r="AE760" s="58" t="str">
        <f>IF(ISBLANK(Fixtures[[#This Row],[date]]), "N/A", IF(Fixtures[[#This Row],[userScore]] = Fixtures[[#This Row],[homeScore]], Fixtures[[#This Row],[awayScore]], Fixtures[[#This Row],[homeScore]]))</f>
        <v>N/A</v>
      </c>
      <c r="AF760" s="58" t="b">
        <f>NOT(AND(ISBLANK(Fixtures[[#This Row],[homePens]]), ISBLANK(Fixtures[[#This Row],[awayPens]])))</f>
        <v>0</v>
      </c>
      <c r="AG760" s="58" t="str">
        <f>IF(Fixtures[[#This Row],[penalties]], IF(Fixtures[[#This Row],[userSide]]="H", Fixtures[[#This Row],[homePens]], Fixtures[[#This Row],[awayPens]]), "N/A")</f>
        <v>N/A</v>
      </c>
      <c r="AH760" s="58" t="str">
        <f>IF(Fixtures[[#This Row],[penalties]], IF(Fixtures[[#This Row],[userPens]]=Fixtures[[#This Row],[homePens]],Fixtures[[#This Row],[awayPens]],Fixtures[[#This Row],[homePens]]), "N/A")</f>
        <v>N/A</v>
      </c>
      <c r="AI760" s="58" t="b">
        <f>COUNTBLANK(Fixtures[[#This Row],[G]:[MOTM]]) = 0</f>
        <v>0</v>
      </c>
      <c r="AJ760" s="58" t="str">
        <f>IF(Fixtures[[#This Row],[APP]], Fixtures[[#This Row],[G]]+Fixtures[[#This Row],[A]], "N/A")</f>
        <v>N/A</v>
      </c>
      <c r="AK7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1" spans="1:39" ht="13">
      <c r="A761" s="55"/>
      <c r="B761" s="61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7"/>
      <c r="R761" s="56"/>
      <c r="S761" s="58" t="str" cm="1">
        <f t="array" ref="S761">_xlfn._xlws.FILTER(Competitions[compType], (Fixtures[[#This Row],[competition]] = Competitions[name]), "N/A")</f>
        <v>N/A</v>
      </c>
      <c r="T761" s="58" t="str" cm="1">
        <f t="array" ref="T761">_xlfn._xlws.FILTER(Competitions[exhibition], (Fixtures[[#This Row],[competition]] = Competitions[name]), "N/A")</f>
        <v>N/A</v>
      </c>
      <c r="U761" s="58" t="str" cm="1">
        <f t="array" ref="U761">_xlfn._xlws.FILTER(Competitions[compID], (Fixtures[[#This Row],[competition]] = Competitions[name]), "N/A")</f>
        <v>N/A</v>
      </c>
      <c r="V7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1" s="58" t="str" cm="1">
        <f t="array" ref="W7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1" s="58" t="str" cm="1">
        <f t="array" ref="X761">_xlfn._xlws.FILTER(Teams[name], (Fixtures[[#This Row],[userTeamID]] = Teams[teamID]), "N/A")</f>
        <v>N/A</v>
      </c>
      <c r="Y761" s="58" t="str" cm="1">
        <f t="array" ref="Y761">_xlfn._xlws.FILTER(Teams[teamType], (Fixtures[[#This Row],[userTeamID]] = Teams[teamID]), "N/A")</f>
        <v>N/A</v>
      </c>
      <c r="Z761" s="58" t="str" cm="1">
        <f t="array" ref="Z7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1" s="58" t="str">
        <f>IF(Fixtures[[#This Row],[userSide]] = "N/A", "N/A", IF(Fixtures[[#This Row],[userSide]] = "H", Fixtures[[#This Row],[awayTeam]], Fixtures[[#This Row],[homeTeam]]))</f>
        <v>N/A</v>
      </c>
      <c r="AB761" s="58" t="str" cm="1">
        <f t="array" ref="AB761">_xlfn._xlws.FILTER(Teams[teamID], Fixtures[[#This Row],[oppTeam]] = Teams[name], "N/A")</f>
        <v>N/A</v>
      </c>
      <c r="AC761" s="58" t="str" cm="1">
        <f t="array" ref="AC761">_xlfn._xlws.FILTER(Teams[teamType], Fixtures[[#This Row],[oppTeam]] = Teams[name], "N/A")</f>
        <v>N/A</v>
      </c>
      <c r="AD761" s="58" t="str">
        <f>IF(ISBLANK(Fixtures[[#This Row],[date]]), "N/A", IF(Fixtures[[#This Row],[userSide]]="H", Fixtures[[#This Row],[homeScore]], Fixtures[[#This Row],[awayScore]]))</f>
        <v>N/A</v>
      </c>
      <c r="AE761" s="58" t="str">
        <f>IF(ISBLANK(Fixtures[[#This Row],[date]]), "N/A", IF(Fixtures[[#This Row],[userScore]] = Fixtures[[#This Row],[homeScore]], Fixtures[[#This Row],[awayScore]], Fixtures[[#This Row],[homeScore]]))</f>
        <v>N/A</v>
      </c>
      <c r="AF761" s="58" t="b">
        <f>NOT(AND(ISBLANK(Fixtures[[#This Row],[homePens]]), ISBLANK(Fixtures[[#This Row],[awayPens]])))</f>
        <v>0</v>
      </c>
      <c r="AG761" s="58" t="str">
        <f>IF(Fixtures[[#This Row],[penalties]], IF(Fixtures[[#This Row],[userSide]]="H", Fixtures[[#This Row],[homePens]], Fixtures[[#This Row],[awayPens]]), "N/A")</f>
        <v>N/A</v>
      </c>
      <c r="AH761" s="58" t="str">
        <f>IF(Fixtures[[#This Row],[penalties]], IF(Fixtures[[#This Row],[userPens]]=Fixtures[[#This Row],[homePens]],Fixtures[[#This Row],[awayPens]],Fixtures[[#This Row],[homePens]]), "N/A")</f>
        <v>N/A</v>
      </c>
      <c r="AI761" s="58" t="b">
        <f>COUNTBLANK(Fixtures[[#This Row],[G]:[MOTM]]) = 0</f>
        <v>0</v>
      </c>
      <c r="AJ761" s="58" t="str">
        <f>IF(Fixtures[[#This Row],[APP]], Fixtures[[#This Row],[G]]+Fixtures[[#This Row],[A]], "N/A")</f>
        <v>N/A</v>
      </c>
      <c r="AK7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2" spans="1:39" ht="13">
      <c r="A762" s="55"/>
      <c r="B762" s="61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7"/>
      <c r="R762" s="56"/>
      <c r="S762" s="58" t="str" cm="1">
        <f t="array" ref="S762">_xlfn._xlws.FILTER(Competitions[compType], (Fixtures[[#This Row],[competition]] = Competitions[name]), "N/A")</f>
        <v>N/A</v>
      </c>
      <c r="T762" s="58" t="str" cm="1">
        <f t="array" ref="T762">_xlfn._xlws.FILTER(Competitions[exhibition], (Fixtures[[#This Row],[competition]] = Competitions[name]), "N/A")</f>
        <v>N/A</v>
      </c>
      <c r="U762" s="58" t="str" cm="1">
        <f t="array" ref="U762">_xlfn._xlws.FILTER(Competitions[compID], (Fixtures[[#This Row],[competition]] = Competitions[name]), "N/A")</f>
        <v>N/A</v>
      </c>
      <c r="V7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2" s="58" t="str" cm="1">
        <f t="array" ref="W7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2" s="58" t="str" cm="1">
        <f t="array" ref="X762">_xlfn._xlws.FILTER(Teams[name], (Fixtures[[#This Row],[userTeamID]] = Teams[teamID]), "N/A")</f>
        <v>N/A</v>
      </c>
      <c r="Y762" s="58" t="str" cm="1">
        <f t="array" ref="Y762">_xlfn._xlws.FILTER(Teams[teamType], (Fixtures[[#This Row],[userTeamID]] = Teams[teamID]), "N/A")</f>
        <v>N/A</v>
      </c>
      <c r="Z762" s="58" t="str" cm="1">
        <f t="array" ref="Z7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2" s="58" t="str">
        <f>IF(Fixtures[[#This Row],[userSide]] = "N/A", "N/A", IF(Fixtures[[#This Row],[userSide]] = "H", Fixtures[[#This Row],[awayTeam]], Fixtures[[#This Row],[homeTeam]]))</f>
        <v>N/A</v>
      </c>
      <c r="AB762" s="58" t="str" cm="1">
        <f t="array" ref="AB762">_xlfn._xlws.FILTER(Teams[teamID], Fixtures[[#This Row],[oppTeam]] = Teams[name], "N/A")</f>
        <v>N/A</v>
      </c>
      <c r="AC762" s="58" t="str" cm="1">
        <f t="array" ref="AC762">_xlfn._xlws.FILTER(Teams[teamType], Fixtures[[#This Row],[oppTeam]] = Teams[name], "N/A")</f>
        <v>N/A</v>
      </c>
      <c r="AD762" s="58" t="str">
        <f>IF(ISBLANK(Fixtures[[#This Row],[date]]), "N/A", IF(Fixtures[[#This Row],[userSide]]="H", Fixtures[[#This Row],[homeScore]], Fixtures[[#This Row],[awayScore]]))</f>
        <v>N/A</v>
      </c>
      <c r="AE762" s="58" t="str">
        <f>IF(ISBLANK(Fixtures[[#This Row],[date]]), "N/A", IF(Fixtures[[#This Row],[userScore]] = Fixtures[[#This Row],[homeScore]], Fixtures[[#This Row],[awayScore]], Fixtures[[#This Row],[homeScore]]))</f>
        <v>N/A</v>
      </c>
      <c r="AF762" s="58" t="b">
        <f>NOT(AND(ISBLANK(Fixtures[[#This Row],[homePens]]), ISBLANK(Fixtures[[#This Row],[awayPens]])))</f>
        <v>0</v>
      </c>
      <c r="AG762" s="58" t="str">
        <f>IF(Fixtures[[#This Row],[penalties]], IF(Fixtures[[#This Row],[userSide]]="H", Fixtures[[#This Row],[homePens]], Fixtures[[#This Row],[awayPens]]), "N/A")</f>
        <v>N/A</v>
      </c>
      <c r="AH762" s="58" t="str">
        <f>IF(Fixtures[[#This Row],[penalties]], IF(Fixtures[[#This Row],[userPens]]=Fixtures[[#This Row],[homePens]],Fixtures[[#This Row],[awayPens]],Fixtures[[#This Row],[homePens]]), "N/A")</f>
        <v>N/A</v>
      </c>
      <c r="AI762" s="58" t="b">
        <f>COUNTBLANK(Fixtures[[#This Row],[G]:[MOTM]]) = 0</f>
        <v>0</v>
      </c>
      <c r="AJ762" s="58" t="str">
        <f>IF(Fixtures[[#This Row],[APP]], Fixtures[[#This Row],[G]]+Fixtures[[#This Row],[A]], "N/A")</f>
        <v>N/A</v>
      </c>
      <c r="AK7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3" spans="1:39" ht="13">
      <c r="A763" s="55"/>
      <c r="B763" s="61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7"/>
      <c r="R763" s="56"/>
      <c r="S763" s="58" t="str" cm="1">
        <f t="array" ref="S763">_xlfn._xlws.FILTER(Competitions[compType], (Fixtures[[#This Row],[competition]] = Competitions[name]), "N/A")</f>
        <v>N/A</v>
      </c>
      <c r="T763" s="58" t="str" cm="1">
        <f t="array" ref="T763">_xlfn._xlws.FILTER(Competitions[exhibition], (Fixtures[[#This Row],[competition]] = Competitions[name]), "N/A")</f>
        <v>N/A</v>
      </c>
      <c r="U763" s="58" t="str" cm="1">
        <f t="array" ref="U763">_xlfn._xlws.FILTER(Competitions[compID], (Fixtures[[#This Row],[competition]] = Competitions[name]), "N/A")</f>
        <v>N/A</v>
      </c>
      <c r="V7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3" s="58" t="str" cm="1">
        <f t="array" ref="W7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3" s="58" t="str" cm="1">
        <f t="array" ref="X763">_xlfn._xlws.FILTER(Teams[name], (Fixtures[[#This Row],[userTeamID]] = Teams[teamID]), "N/A")</f>
        <v>N/A</v>
      </c>
      <c r="Y763" s="58" t="str" cm="1">
        <f t="array" ref="Y763">_xlfn._xlws.FILTER(Teams[teamType], (Fixtures[[#This Row],[userTeamID]] = Teams[teamID]), "N/A")</f>
        <v>N/A</v>
      </c>
      <c r="Z763" s="58" t="str" cm="1">
        <f t="array" ref="Z7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3" s="58" t="str">
        <f>IF(Fixtures[[#This Row],[userSide]] = "N/A", "N/A", IF(Fixtures[[#This Row],[userSide]] = "H", Fixtures[[#This Row],[awayTeam]], Fixtures[[#This Row],[homeTeam]]))</f>
        <v>N/A</v>
      </c>
      <c r="AB763" s="58" t="str" cm="1">
        <f t="array" ref="AB763">_xlfn._xlws.FILTER(Teams[teamID], Fixtures[[#This Row],[oppTeam]] = Teams[name], "N/A")</f>
        <v>N/A</v>
      </c>
      <c r="AC763" s="58" t="str" cm="1">
        <f t="array" ref="AC763">_xlfn._xlws.FILTER(Teams[teamType], Fixtures[[#This Row],[oppTeam]] = Teams[name], "N/A")</f>
        <v>N/A</v>
      </c>
      <c r="AD763" s="58" t="str">
        <f>IF(ISBLANK(Fixtures[[#This Row],[date]]), "N/A", IF(Fixtures[[#This Row],[userSide]]="H", Fixtures[[#This Row],[homeScore]], Fixtures[[#This Row],[awayScore]]))</f>
        <v>N/A</v>
      </c>
      <c r="AE763" s="58" t="str">
        <f>IF(ISBLANK(Fixtures[[#This Row],[date]]), "N/A", IF(Fixtures[[#This Row],[userScore]] = Fixtures[[#This Row],[homeScore]], Fixtures[[#This Row],[awayScore]], Fixtures[[#This Row],[homeScore]]))</f>
        <v>N/A</v>
      </c>
      <c r="AF763" s="58" t="b">
        <f>NOT(AND(ISBLANK(Fixtures[[#This Row],[homePens]]), ISBLANK(Fixtures[[#This Row],[awayPens]])))</f>
        <v>0</v>
      </c>
      <c r="AG763" s="58" t="str">
        <f>IF(Fixtures[[#This Row],[penalties]], IF(Fixtures[[#This Row],[userSide]]="H", Fixtures[[#This Row],[homePens]], Fixtures[[#This Row],[awayPens]]), "N/A")</f>
        <v>N/A</v>
      </c>
      <c r="AH763" s="58" t="str">
        <f>IF(Fixtures[[#This Row],[penalties]], IF(Fixtures[[#This Row],[userPens]]=Fixtures[[#This Row],[homePens]],Fixtures[[#This Row],[awayPens]],Fixtures[[#This Row],[homePens]]), "N/A")</f>
        <v>N/A</v>
      </c>
      <c r="AI763" s="58" t="b">
        <f>COUNTBLANK(Fixtures[[#This Row],[G]:[MOTM]]) = 0</f>
        <v>0</v>
      </c>
      <c r="AJ763" s="58" t="str">
        <f>IF(Fixtures[[#This Row],[APP]], Fixtures[[#This Row],[G]]+Fixtures[[#This Row],[A]], "N/A")</f>
        <v>N/A</v>
      </c>
      <c r="AK7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4" spans="1:39" ht="13">
      <c r="A764" s="55"/>
      <c r="B764" s="61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7"/>
      <c r="R764" s="56"/>
      <c r="S764" s="58" t="str" cm="1">
        <f t="array" ref="S764">_xlfn._xlws.FILTER(Competitions[compType], (Fixtures[[#This Row],[competition]] = Competitions[name]), "N/A")</f>
        <v>N/A</v>
      </c>
      <c r="T764" s="58" t="str" cm="1">
        <f t="array" ref="T764">_xlfn._xlws.FILTER(Competitions[exhibition], (Fixtures[[#This Row],[competition]] = Competitions[name]), "N/A")</f>
        <v>N/A</v>
      </c>
      <c r="U764" s="58" t="str" cm="1">
        <f t="array" ref="U764">_xlfn._xlws.FILTER(Competitions[compID], (Fixtures[[#This Row],[competition]] = Competitions[name]), "N/A")</f>
        <v>N/A</v>
      </c>
      <c r="V7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4" s="58" t="str" cm="1">
        <f t="array" ref="W7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4" s="58" t="str" cm="1">
        <f t="array" ref="X764">_xlfn._xlws.FILTER(Teams[name], (Fixtures[[#This Row],[userTeamID]] = Teams[teamID]), "N/A")</f>
        <v>N/A</v>
      </c>
      <c r="Y764" s="58" t="str" cm="1">
        <f t="array" ref="Y764">_xlfn._xlws.FILTER(Teams[teamType], (Fixtures[[#This Row],[userTeamID]] = Teams[teamID]), "N/A")</f>
        <v>N/A</v>
      </c>
      <c r="Z764" s="58" t="str" cm="1">
        <f t="array" ref="Z7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4" s="58" t="str">
        <f>IF(Fixtures[[#This Row],[userSide]] = "N/A", "N/A", IF(Fixtures[[#This Row],[userSide]] = "H", Fixtures[[#This Row],[awayTeam]], Fixtures[[#This Row],[homeTeam]]))</f>
        <v>N/A</v>
      </c>
      <c r="AB764" s="58" t="str" cm="1">
        <f t="array" ref="AB764">_xlfn._xlws.FILTER(Teams[teamID], Fixtures[[#This Row],[oppTeam]] = Teams[name], "N/A")</f>
        <v>N/A</v>
      </c>
      <c r="AC764" s="58" t="str" cm="1">
        <f t="array" ref="AC764">_xlfn._xlws.FILTER(Teams[teamType], Fixtures[[#This Row],[oppTeam]] = Teams[name], "N/A")</f>
        <v>N/A</v>
      </c>
      <c r="AD764" s="58" t="str">
        <f>IF(ISBLANK(Fixtures[[#This Row],[date]]), "N/A", IF(Fixtures[[#This Row],[userSide]]="H", Fixtures[[#This Row],[homeScore]], Fixtures[[#This Row],[awayScore]]))</f>
        <v>N/A</v>
      </c>
      <c r="AE764" s="58" t="str">
        <f>IF(ISBLANK(Fixtures[[#This Row],[date]]), "N/A", IF(Fixtures[[#This Row],[userScore]] = Fixtures[[#This Row],[homeScore]], Fixtures[[#This Row],[awayScore]], Fixtures[[#This Row],[homeScore]]))</f>
        <v>N/A</v>
      </c>
      <c r="AF764" s="58" t="b">
        <f>NOT(AND(ISBLANK(Fixtures[[#This Row],[homePens]]), ISBLANK(Fixtures[[#This Row],[awayPens]])))</f>
        <v>0</v>
      </c>
      <c r="AG764" s="58" t="str">
        <f>IF(Fixtures[[#This Row],[penalties]], IF(Fixtures[[#This Row],[userSide]]="H", Fixtures[[#This Row],[homePens]], Fixtures[[#This Row],[awayPens]]), "N/A")</f>
        <v>N/A</v>
      </c>
      <c r="AH764" s="58" t="str">
        <f>IF(Fixtures[[#This Row],[penalties]], IF(Fixtures[[#This Row],[userPens]]=Fixtures[[#This Row],[homePens]],Fixtures[[#This Row],[awayPens]],Fixtures[[#This Row],[homePens]]), "N/A")</f>
        <v>N/A</v>
      </c>
      <c r="AI764" s="58" t="b">
        <f>COUNTBLANK(Fixtures[[#This Row],[G]:[MOTM]]) = 0</f>
        <v>0</v>
      </c>
      <c r="AJ764" s="58" t="str">
        <f>IF(Fixtures[[#This Row],[APP]], Fixtures[[#This Row],[G]]+Fixtures[[#This Row],[A]], "N/A")</f>
        <v>N/A</v>
      </c>
      <c r="AK7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5" spans="1:39" ht="13">
      <c r="A765" s="55"/>
      <c r="B765" s="61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7"/>
      <c r="R765" s="56"/>
      <c r="S765" s="58" t="str" cm="1">
        <f t="array" ref="S765">_xlfn._xlws.FILTER(Competitions[compType], (Fixtures[[#This Row],[competition]] = Competitions[name]), "N/A")</f>
        <v>N/A</v>
      </c>
      <c r="T765" s="58" t="str" cm="1">
        <f t="array" ref="T765">_xlfn._xlws.FILTER(Competitions[exhibition], (Fixtures[[#This Row],[competition]] = Competitions[name]), "N/A")</f>
        <v>N/A</v>
      </c>
      <c r="U765" s="58" t="str" cm="1">
        <f t="array" ref="U765">_xlfn._xlws.FILTER(Competitions[compID], (Fixtures[[#This Row],[competition]] = Competitions[name]), "N/A")</f>
        <v>N/A</v>
      </c>
      <c r="V7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5" s="58" t="str" cm="1">
        <f t="array" ref="W7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5" s="58" t="str" cm="1">
        <f t="array" ref="X765">_xlfn._xlws.FILTER(Teams[name], (Fixtures[[#This Row],[userTeamID]] = Teams[teamID]), "N/A")</f>
        <v>N/A</v>
      </c>
      <c r="Y765" s="58" t="str" cm="1">
        <f t="array" ref="Y765">_xlfn._xlws.FILTER(Teams[teamType], (Fixtures[[#This Row],[userTeamID]] = Teams[teamID]), "N/A")</f>
        <v>N/A</v>
      </c>
      <c r="Z765" s="58" t="str" cm="1">
        <f t="array" ref="Z7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5" s="58" t="str">
        <f>IF(Fixtures[[#This Row],[userSide]] = "N/A", "N/A", IF(Fixtures[[#This Row],[userSide]] = "H", Fixtures[[#This Row],[awayTeam]], Fixtures[[#This Row],[homeTeam]]))</f>
        <v>N/A</v>
      </c>
      <c r="AB765" s="58" t="str" cm="1">
        <f t="array" ref="AB765">_xlfn._xlws.FILTER(Teams[teamID], Fixtures[[#This Row],[oppTeam]] = Teams[name], "N/A")</f>
        <v>N/A</v>
      </c>
      <c r="AC765" s="58" t="str" cm="1">
        <f t="array" ref="AC765">_xlfn._xlws.FILTER(Teams[teamType], Fixtures[[#This Row],[oppTeam]] = Teams[name], "N/A")</f>
        <v>N/A</v>
      </c>
      <c r="AD765" s="58" t="str">
        <f>IF(ISBLANK(Fixtures[[#This Row],[date]]), "N/A", IF(Fixtures[[#This Row],[userSide]]="H", Fixtures[[#This Row],[homeScore]], Fixtures[[#This Row],[awayScore]]))</f>
        <v>N/A</v>
      </c>
      <c r="AE765" s="58" t="str">
        <f>IF(ISBLANK(Fixtures[[#This Row],[date]]), "N/A", IF(Fixtures[[#This Row],[userScore]] = Fixtures[[#This Row],[homeScore]], Fixtures[[#This Row],[awayScore]], Fixtures[[#This Row],[homeScore]]))</f>
        <v>N/A</v>
      </c>
      <c r="AF765" s="58" t="b">
        <f>NOT(AND(ISBLANK(Fixtures[[#This Row],[homePens]]), ISBLANK(Fixtures[[#This Row],[awayPens]])))</f>
        <v>0</v>
      </c>
      <c r="AG765" s="58" t="str">
        <f>IF(Fixtures[[#This Row],[penalties]], IF(Fixtures[[#This Row],[userSide]]="H", Fixtures[[#This Row],[homePens]], Fixtures[[#This Row],[awayPens]]), "N/A")</f>
        <v>N/A</v>
      </c>
      <c r="AH765" s="58" t="str">
        <f>IF(Fixtures[[#This Row],[penalties]], IF(Fixtures[[#This Row],[userPens]]=Fixtures[[#This Row],[homePens]],Fixtures[[#This Row],[awayPens]],Fixtures[[#This Row],[homePens]]), "N/A")</f>
        <v>N/A</v>
      </c>
      <c r="AI765" s="58" t="b">
        <f>COUNTBLANK(Fixtures[[#This Row],[G]:[MOTM]]) = 0</f>
        <v>0</v>
      </c>
      <c r="AJ765" s="58" t="str">
        <f>IF(Fixtures[[#This Row],[APP]], Fixtures[[#This Row],[G]]+Fixtures[[#This Row],[A]], "N/A")</f>
        <v>N/A</v>
      </c>
      <c r="AK7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6" spans="1:39" ht="13">
      <c r="A766" s="55"/>
      <c r="B766" s="61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7"/>
      <c r="R766" s="56"/>
      <c r="S766" s="58" t="str" cm="1">
        <f t="array" ref="S766">_xlfn._xlws.FILTER(Competitions[compType], (Fixtures[[#This Row],[competition]] = Competitions[name]), "N/A")</f>
        <v>N/A</v>
      </c>
      <c r="T766" s="58" t="str" cm="1">
        <f t="array" ref="T766">_xlfn._xlws.FILTER(Competitions[exhibition], (Fixtures[[#This Row],[competition]] = Competitions[name]), "N/A")</f>
        <v>N/A</v>
      </c>
      <c r="U766" s="58" t="str" cm="1">
        <f t="array" ref="U766">_xlfn._xlws.FILTER(Competitions[compID], (Fixtures[[#This Row],[competition]] = Competitions[name]), "N/A")</f>
        <v>N/A</v>
      </c>
      <c r="V7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6" s="58" t="str" cm="1">
        <f t="array" ref="W7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6" s="58" t="str" cm="1">
        <f t="array" ref="X766">_xlfn._xlws.FILTER(Teams[name], (Fixtures[[#This Row],[userTeamID]] = Teams[teamID]), "N/A")</f>
        <v>N/A</v>
      </c>
      <c r="Y766" s="58" t="str" cm="1">
        <f t="array" ref="Y766">_xlfn._xlws.FILTER(Teams[teamType], (Fixtures[[#This Row],[userTeamID]] = Teams[teamID]), "N/A")</f>
        <v>N/A</v>
      </c>
      <c r="Z766" s="58" t="str" cm="1">
        <f t="array" ref="Z7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6" s="58" t="str">
        <f>IF(Fixtures[[#This Row],[userSide]] = "N/A", "N/A", IF(Fixtures[[#This Row],[userSide]] = "H", Fixtures[[#This Row],[awayTeam]], Fixtures[[#This Row],[homeTeam]]))</f>
        <v>N/A</v>
      </c>
      <c r="AB766" s="58" t="str" cm="1">
        <f t="array" ref="AB766">_xlfn._xlws.FILTER(Teams[teamID], Fixtures[[#This Row],[oppTeam]] = Teams[name], "N/A")</f>
        <v>N/A</v>
      </c>
      <c r="AC766" s="58" t="str" cm="1">
        <f t="array" ref="AC766">_xlfn._xlws.FILTER(Teams[teamType], Fixtures[[#This Row],[oppTeam]] = Teams[name], "N/A")</f>
        <v>N/A</v>
      </c>
      <c r="AD766" s="58" t="str">
        <f>IF(ISBLANK(Fixtures[[#This Row],[date]]), "N/A", IF(Fixtures[[#This Row],[userSide]]="H", Fixtures[[#This Row],[homeScore]], Fixtures[[#This Row],[awayScore]]))</f>
        <v>N/A</v>
      </c>
      <c r="AE766" s="58" t="str">
        <f>IF(ISBLANK(Fixtures[[#This Row],[date]]), "N/A", IF(Fixtures[[#This Row],[userScore]] = Fixtures[[#This Row],[homeScore]], Fixtures[[#This Row],[awayScore]], Fixtures[[#This Row],[homeScore]]))</f>
        <v>N/A</v>
      </c>
      <c r="AF766" s="58" t="b">
        <f>NOT(AND(ISBLANK(Fixtures[[#This Row],[homePens]]), ISBLANK(Fixtures[[#This Row],[awayPens]])))</f>
        <v>0</v>
      </c>
      <c r="AG766" s="58" t="str">
        <f>IF(Fixtures[[#This Row],[penalties]], IF(Fixtures[[#This Row],[userSide]]="H", Fixtures[[#This Row],[homePens]], Fixtures[[#This Row],[awayPens]]), "N/A")</f>
        <v>N/A</v>
      </c>
      <c r="AH766" s="58" t="str">
        <f>IF(Fixtures[[#This Row],[penalties]], IF(Fixtures[[#This Row],[userPens]]=Fixtures[[#This Row],[homePens]],Fixtures[[#This Row],[awayPens]],Fixtures[[#This Row],[homePens]]), "N/A")</f>
        <v>N/A</v>
      </c>
      <c r="AI766" s="58" t="b">
        <f>COUNTBLANK(Fixtures[[#This Row],[G]:[MOTM]]) = 0</f>
        <v>0</v>
      </c>
      <c r="AJ766" s="58" t="str">
        <f>IF(Fixtures[[#This Row],[APP]], Fixtures[[#This Row],[G]]+Fixtures[[#This Row],[A]], "N/A")</f>
        <v>N/A</v>
      </c>
      <c r="AK7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7" spans="1:39" ht="13">
      <c r="A767" s="55"/>
      <c r="B767" s="61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7"/>
      <c r="R767" s="56"/>
      <c r="S767" s="58" t="str" cm="1">
        <f t="array" ref="S767">_xlfn._xlws.FILTER(Competitions[compType], (Fixtures[[#This Row],[competition]] = Competitions[name]), "N/A")</f>
        <v>N/A</v>
      </c>
      <c r="T767" s="58" t="str" cm="1">
        <f t="array" ref="T767">_xlfn._xlws.FILTER(Competitions[exhibition], (Fixtures[[#This Row],[competition]] = Competitions[name]), "N/A")</f>
        <v>N/A</v>
      </c>
      <c r="U767" s="58" t="str" cm="1">
        <f t="array" ref="U767">_xlfn._xlws.FILTER(Competitions[compID], (Fixtures[[#This Row],[competition]] = Competitions[name]), "N/A")</f>
        <v>N/A</v>
      </c>
      <c r="V7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7" s="58" t="str" cm="1">
        <f t="array" ref="W7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7" s="58" t="str" cm="1">
        <f t="array" ref="X767">_xlfn._xlws.FILTER(Teams[name], (Fixtures[[#This Row],[userTeamID]] = Teams[teamID]), "N/A")</f>
        <v>N/A</v>
      </c>
      <c r="Y767" s="58" t="str" cm="1">
        <f t="array" ref="Y767">_xlfn._xlws.FILTER(Teams[teamType], (Fixtures[[#This Row],[userTeamID]] = Teams[teamID]), "N/A")</f>
        <v>N/A</v>
      </c>
      <c r="Z767" s="58" t="str" cm="1">
        <f t="array" ref="Z7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7" s="58" t="str">
        <f>IF(Fixtures[[#This Row],[userSide]] = "N/A", "N/A", IF(Fixtures[[#This Row],[userSide]] = "H", Fixtures[[#This Row],[awayTeam]], Fixtures[[#This Row],[homeTeam]]))</f>
        <v>N/A</v>
      </c>
      <c r="AB767" s="58" t="str" cm="1">
        <f t="array" ref="AB767">_xlfn._xlws.FILTER(Teams[teamID], Fixtures[[#This Row],[oppTeam]] = Teams[name], "N/A")</f>
        <v>N/A</v>
      </c>
      <c r="AC767" s="58" t="str" cm="1">
        <f t="array" ref="AC767">_xlfn._xlws.FILTER(Teams[teamType], Fixtures[[#This Row],[oppTeam]] = Teams[name], "N/A")</f>
        <v>N/A</v>
      </c>
      <c r="AD767" s="58" t="str">
        <f>IF(ISBLANK(Fixtures[[#This Row],[date]]), "N/A", IF(Fixtures[[#This Row],[userSide]]="H", Fixtures[[#This Row],[homeScore]], Fixtures[[#This Row],[awayScore]]))</f>
        <v>N/A</v>
      </c>
      <c r="AE767" s="58" t="str">
        <f>IF(ISBLANK(Fixtures[[#This Row],[date]]), "N/A", IF(Fixtures[[#This Row],[userScore]] = Fixtures[[#This Row],[homeScore]], Fixtures[[#This Row],[awayScore]], Fixtures[[#This Row],[homeScore]]))</f>
        <v>N/A</v>
      </c>
      <c r="AF767" s="58" t="b">
        <f>NOT(AND(ISBLANK(Fixtures[[#This Row],[homePens]]), ISBLANK(Fixtures[[#This Row],[awayPens]])))</f>
        <v>0</v>
      </c>
      <c r="AG767" s="58" t="str">
        <f>IF(Fixtures[[#This Row],[penalties]], IF(Fixtures[[#This Row],[userSide]]="H", Fixtures[[#This Row],[homePens]], Fixtures[[#This Row],[awayPens]]), "N/A")</f>
        <v>N/A</v>
      </c>
      <c r="AH767" s="58" t="str">
        <f>IF(Fixtures[[#This Row],[penalties]], IF(Fixtures[[#This Row],[userPens]]=Fixtures[[#This Row],[homePens]],Fixtures[[#This Row],[awayPens]],Fixtures[[#This Row],[homePens]]), "N/A")</f>
        <v>N/A</v>
      </c>
      <c r="AI767" s="58" t="b">
        <f>COUNTBLANK(Fixtures[[#This Row],[G]:[MOTM]]) = 0</f>
        <v>0</v>
      </c>
      <c r="AJ767" s="58" t="str">
        <f>IF(Fixtures[[#This Row],[APP]], Fixtures[[#This Row],[G]]+Fixtures[[#This Row],[A]], "N/A")</f>
        <v>N/A</v>
      </c>
      <c r="AK7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8" spans="1:39" ht="13">
      <c r="A768" s="55"/>
      <c r="B768" s="61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7"/>
      <c r="R768" s="56"/>
      <c r="S768" s="58" t="str" cm="1">
        <f t="array" ref="S768">_xlfn._xlws.FILTER(Competitions[compType], (Fixtures[[#This Row],[competition]] = Competitions[name]), "N/A")</f>
        <v>N/A</v>
      </c>
      <c r="T768" s="58" t="str" cm="1">
        <f t="array" ref="T768">_xlfn._xlws.FILTER(Competitions[exhibition], (Fixtures[[#This Row],[competition]] = Competitions[name]), "N/A")</f>
        <v>N/A</v>
      </c>
      <c r="U768" s="58" t="str" cm="1">
        <f t="array" ref="U768">_xlfn._xlws.FILTER(Competitions[compID], (Fixtures[[#This Row],[competition]] = Competitions[name]), "N/A")</f>
        <v>N/A</v>
      </c>
      <c r="V7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8" s="58" t="str" cm="1">
        <f t="array" ref="W7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8" s="58" t="str" cm="1">
        <f t="array" ref="X768">_xlfn._xlws.FILTER(Teams[name], (Fixtures[[#This Row],[userTeamID]] = Teams[teamID]), "N/A")</f>
        <v>N/A</v>
      </c>
      <c r="Y768" s="58" t="str" cm="1">
        <f t="array" ref="Y768">_xlfn._xlws.FILTER(Teams[teamType], (Fixtures[[#This Row],[userTeamID]] = Teams[teamID]), "N/A")</f>
        <v>N/A</v>
      </c>
      <c r="Z768" s="58" t="str" cm="1">
        <f t="array" ref="Z7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8" s="58" t="str">
        <f>IF(Fixtures[[#This Row],[userSide]] = "N/A", "N/A", IF(Fixtures[[#This Row],[userSide]] = "H", Fixtures[[#This Row],[awayTeam]], Fixtures[[#This Row],[homeTeam]]))</f>
        <v>N/A</v>
      </c>
      <c r="AB768" s="58" t="str" cm="1">
        <f t="array" ref="AB768">_xlfn._xlws.FILTER(Teams[teamID], Fixtures[[#This Row],[oppTeam]] = Teams[name], "N/A")</f>
        <v>N/A</v>
      </c>
      <c r="AC768" s="58" t="str" cm="1">
        <f t="array" ref="AC768">_xlfn._xlws.FILTER(Teams[teamType], Fixtures[[#This Row],[oppTeam]] = Teams[name], "N/A")</f>
        <v>N/A</v>
      </c>
      <c r="AD768" s="58" t="str">
        <f>IF(ISBLANK(Fixtures[[#This Row],[date]]), "N/A", IF(Fixtures[[#This Row],[userSide]]="H", Fixtures[[#This Row],[homeScore]], Fixtures[[#This Row],[awayScore]]))</f>
        <v>N/A</v>
      </c>
      <c r="AE768" s="58" t="str">
        <f>IF(ISBLANK(Fixtures[[#This Row],[date]]), "N/A", IF(Fixtures[[#This Row],[userScore]] = Fixtures[[#This Row],[homeScore]], Fixtures[[#This Row],[awayScore]], Fixtures[[#This Row],[homeScore]]))</f>
        <v>N/A</v>
      </c>
      <c r="AF768" s="58" t="b">
        <f>NOT(AND(ISBLANK(Fixtures[[#This Row],[homePens]]), ISBLANK(Fixtures[[#This Row],[awayPens]])))</f>
        <v>0</v>
      </c>
      <c r="AG768" s="58" t="str">
        <f>IF(Fixtures[[#This Row],[penalties]], IF(Fixtures[[#This Row],[userSide]]="H", Fixtures[[#This Row],[homePens]], Fixtures[[#This Row],[awayPens]]), "N/A")</f>
        <v>N/A</v>
      </c>
      <c r="AH768" s="58" t="str">
        <f>IF(Fixtures[[#This Row],[penalties]], IF(Fixtures[[#This Row],[userPens]]=Fixtures[[#This Row],[homePens]],Fixtures[[#This Row],[awayPens]],Fixtures[[#This Row],[homePens]]), "N/A")</f>
        <v>N/A</v>
      </c>
      <c r="AI768" s="58" t="b">
        <f>COUNTBLANK(Fixtures[[#This Row],[G]:[MOTM]]) = 0</f>
        <v>0</v>
      </c>
      <c r="AJ768" s="58" t="str">
        <f>IF(Fixtures[[#This Row],[APP]], Fixtures[[#This Row],[G]]+Fixtures[[#This Row],[A]], "N/A")</f>
        <v>N/A</v>
      </c>
      <c r="AK7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69" spans="1:39" ht="13">
      <c r="A769" s="55"/>
      <c r="B769" s="61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7"/>
      <c r="R769" s="56"/>
      <c r="S769" s="58" t="str" cm="1">
        <f t="array" ref="S769">_xlfn._xlws.FILTER(Competitions[compType], (Fixtures[[#This Row],[competition]] = Competitions[name]), "N/A")</f>
        <v>N/A</v>
      </c>
      <c r="T769" s="58" t="str" cm="1">
        <f t="array" ref="T769">_xlfn._xlws.FILTER(Competitions[exhibition], (Fixtures[[#This Row],[competition]] = Competitions[name]), "N/A")</f>
        <v>N/A</v>
      </c>
      <c r="U769" s="58" t="str" cm="1">
        <f t="array" ref="U769">_xlfn._xlws.FILTER(Competitions[compID], (Fixtures[[#This Row],[competition]] = Competitions[name]), "N/A")</f>
        <v>N/A</v>
      </c>
      <c r="V7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69" s="58" t="str" cm="1">
        <f t="array" ref="W7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69" s="58" t="str" cm="1">
        <f t="array" ref="X769">_xlfn._xlws.FILTER(Teams[name], (Fixtures[[#This Row],[userTeamID]] = Teams[teamID]), "N/A")</f>
        <v>N/A</v>
      </c>
      <c r="Y769" s="58" t="str" cm="1">
        <f t="array" ref="Y769">_xlfn._xlws.FILTER(Teams[teamType], (Fixtures[[#This Row],[userTeamID]] = Teams[teamID]), "N/A")</f>
        <v>N/A</v>
      </c>
      <c r="Z769" s="58" t="str" cm="1">
        <f t="array" ref="Z7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69" s="58" t="str">
        <f>IF(Fixtures[[#This Row],[userSide]] = "N/A", "N/A", IF(Fixtures[[#This Row],[userSide]] = "H", Fixtures[[#This Row],[awayTeam]], Fixtures[[#This Row],[homeTeam]]))</f>
        <v>N/A</v>
      </c>
      <c r="AB769" s="58" t="str" cm="1">
        <f t="array" ref="AB769">_xlfn._xlws.FILTER(Teams[teamID], Fixtures[[#This Row],[oppTeam]] = Teams[name], "N/A")</f>
        <v>N/A</v>
      </c>
      <c r="AC769" s="58" t="str" cm="1">
        <f t="array" ref="AC769">_xlfn._xlws.FILTER(Teams[teamType], Fixtures[[#This Row],[oppTeam]] = Teams[name], "N/A")</f>
        <v>N/A</v>
      </c>
      <c r="AD769" s="58" t="str">
        <f>IF(ISBLANK(Fixtures[[#This Row],[date]]), "N/A", IF(Fixtures[[#This Row],[userSide]]="H", Fixtures[[#This Row],[homeScore]], Fixtures[[#This Row],[awayScore]]))</f>
        <v>N/A</v>
      </c>
      <c r="AE769" s="58" t="str">
        <f>IF(ISBLANK(Fixtures[[#This Row],[date]]), "N/A", IF(Fixtures[[#This Row],[userScore]] = Fixtures[[#This Row],[homeScore]], Fixtures[[#This Row],[awayScore]], Fixtures[[#This Row],[homeScore]]))</f>
        <v>N/A</v>
      </c>
      <c r="AF769" s="58" t="b">
        <f>NOT(AND(ISBLANK(Fixtures[[#This Row],[homePens]]), ISBLANK(Fixtures[[#This Row],[awayPens]])))</f>
        <v>0</v>
      </c>
      <c r="AG769" s="58" t="str">
        <f>IF(Fixtures[[#This Row],[penalties]], IF(Fixtures[[#This Row],[userSide]]="H", Fixtures[[#This Row],[homePens]], Fixtures[[#This Row],[awayPens]]), "N/A")</f>
        <v>N/A</v>
      </c>
      <c r="AH769" s="58" t="str">
        <f>IF(Fixtures[[#This Row],[penalties]], IF(Fixtures[[#This Row],[userPens]]=Fixtures[[#This Row],[homePens]],Fixtures[[#This Row],[awayPens]],Fixtures[[#This Row],[homePens]]), "N/A")</f>
        <v>N/A</v>
      </c>
      <c r="AI769" s="58" t="b">
        <f>COUNTBLANK(Fixtures[[#This Row],[G]:[MOTM]]) = 0</f>
        <v>0</v>
      </c>
      <c r="AJ769" s="58" t="str">
        <f>IF(Fixtures[[#This Row],[APP]], Fixtures[[#This Row],[G]]+Fixtures[[#This Row],[A]], "N/A")</f>
        <v>N/A</v>
      </c>
      <c r="AK7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0" spans="1:39" ht="13">
      <c r="A770" s="55"/>
      <c r="B770" s="61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7"/>
      <c r="R770" s="56"/>
      <c r="S770" s="58" t="str" cm="1">
        <f t="array" ref="S770">_xlfn._xlws.FILTER(Competitions[compType], (Fixtures[[#This Row],[competition]] = Competitions[name]), "N/A")</f>
        <v>N/A</v>
      </c>
      <c r="T770" s="58" t="str" cm="1">
        <f t="array" ref="T770">_xlfn._xlws.FILTER(Competitions[exhibition], (Fixtures[[#This Row],[competition]] = Competitions[name]), "N/A")</f>
        <v>N/A</v>
      </c>
      <c r="U770" s="58" t="str" cm="1">
        <f t="array" ref="U770">_xlfn._xlws.FILTER(Competitions[compID], (Fixtures[[#This Row],[competition]] = Competitions[name]), "N/A")</f>
        <v>N/A</v>
      </c>
      <c r="V7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0" s="58" t="str" cm="1">
        <f t="array" ref="W7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0" s="58" t="str" cm="1">
        <f t="array" ref="X770">_xlfn._xlws.FILTER(Teams[name], (Fixtures[[#This Row],[userTeamID]] = Teams[teamID]), "N/A")</f>
        <v>N/A</v>
      </c>
      <c r="Y770" s="58" t="str" cm="1">
        <f t="array" ref="Y770">_xlfn._xlws.FILTER(Teams[teamType], (Fixtures[[#This Row],[userTeamID]] = Teams[teamID]), "N/A")</f>
        <v>N/A</v>
      </c>
      <c r="Z770" s="58" t="str" cm="1">
        <f t="array" ref="Z7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0" s="58" t="str">
        <f>IF(Fixtures[[#This Row],[userSide]] = "N/A", "N/A", IF(Fixtures[[#This Row],[userSide]] = "H", Fixtures[[#This Row],[awayTeam]], Fixtures[[#This Row],[homeTeam]]))</f>
        <v>N/A</v>
      </c>
      <c r="AB770" s="58" t="str" cm="1">
        <f t="array" ref="AB770">_xlfn._xlws.FILTER(Teams[teamID], Fixtures[[#This Row],[oppTeam]] = Teams[name], "N/A")</f>
        <v>N/A</v>
      </c>
      <c r="AC770" s="58" t="str" cm="1">
        <f t="array" ref="AC770">_xlfn._xlws.FILTER(Teams[teamType], Fixtures[[#This Row],[oppTeam]] = Teams[name], "N/A")</f>
        <v>N/A</v>
      </c>
      <c r="AD770" s="58" t="str">
        <f>IF(ISBLANK(Fixtures[[#This Row],[date]]), "N/A", IF(Fixtures[[#This Row],[userSide]]="H", Fixtures[[#This Row],[homeScore]], Fixtures[[#This Row],[awayScore]]))</f>
        <v>N/A</v>
      </c>
      <c r="AE770" s="58" t="str">
        <f>IF(ISBLANK(Fixtures[[#This Row],[date]]), "N/A", IF(Fixtures[[#This Row],[userScore]] = Fixtures[[#This Row],[homeScore]], Fixtures[[#This Row],[awayScore]], Fixtures[[#This Row],[homeScore]]))</f>
        <v>N/A</v>
      </c>
      <c r="AF770" s="58" t="b">
        <f>NOT(AND(ISBLANK(Fixtures[[#This Row],[homePens]]), ISBLANK(Fixtures[[#This Row],[awayPens]])))</f>
        <v>0</v>
      </c>
      <c r="AG770" s="58" t="str">
        <f>IF(Fixtures[[#This Row],[penalties]], IF(Fixtures[[#This Row],[userSide]]="H", Fixtures[[#This Row],[homePens]], Fixtures[[#This Row],[awayPens]]), "N/A")</f>
        <v>N/A</v>
      </c>
      <c r="AH770" s="58" t="str">
        <f>IF(Fixtures[[#This Row],[penalties]], IF(Fixtures[[#This Row],[userPens]]=Fixtures[[#This Row],[homePens]],Fixtures[[#This Row],[awayPens]],Fixtures[[#This Row],[homePens]]), "N/A")</f>
        <v>N/A</v>
      </c>
      <c r="AI770" s="58" t="b">
        <f>COUNTBLANK(Fixtures[[#This Row],[G]:[MOTM]]) = 0</f>
        <v>0</v>
      </c>
      <c r="AJ770" s="58" t="str">
        <f>IF(Fixtures[[#This Row],[APP]], Fixtures[[#This Row],[G]]+Fixtures[[#This Row],[A]], "N/A")</f>
        <v>N/A</v>
      </c>
      <c r="AK7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1" spans="1:39" ht="13">
      <c r="A771" s="55"/>
      <c r="B771" s="61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7"/>
      <c r="R771" s="56"/>
      <c r="S771" s="58" t="str" cm="1">
        <f t="array" ref="S771">_xlfn._xlws.FILTER(Competitions[compType], (Fixtures[[#This Row],[competition]] = Competitions[name]), "N/A")</f>
        <v>N/A</v>
      </c>
      <c r="T771" s="58" t="str" cm="1">
        <f t="array" ref="T771">_xlfn._xlws.FILTER(Competitions[exhibition], (Fixtures[[#This Row],[competition]] = Competitions[name]), "N/A")</f>
        <v>N/A</v>
      </c>
      <c r="U771" s="58" t="str" cm="1">
        <f t="array" ref="U771">_xlfn._xlws.FILTER(Competitions[compID], (Fixtures[[#This Row],[competition]] = Competitions[name]), "N/A")</f>
        <v>N/A</v>
      </c>
      <c r="V7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1" s="58" t="str" cm="1">
        <f t="array" ref="W7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1" s="58" t="str" cm="1">
        <f t="array" ref="X771">_xlfn._xlws.FILTER(Teams[name], (Fixtures[[#This Row],[userTeamID]] = Teams[teamID]), "N/A")</f>
        <v>N/A</v>
      </c>
      <c r="Y771" s="58" t="str" cm="1">
        <f t="array" ref="Y771">_xlfn._xlws.FILTER(Teams[teamType], (Fixtures[[#This Row],[userTeamID]] = Teams[teamID]), "N/A")</f>
        <v>N/A</v>
      </c>
      <c r="Z771" s="58" t="str" cm="1">
        <f t="array" ref="Z7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1" s="58" t="str">
        <f>IF(Fixtures[[#This Row],[userSide]] = "N/A", "N/A", IF(Fixtures[[#This Row],[userSide]] = "H", Fixtures[[#This Row],[awayTeam]], Fixtures[[#This Row],[homeTeam]]))</f>
        <v>N/A</v>
      </c>
      <c r="AB771" s="58" t="str" cm="1">
        <f t="array" ref="AB771">_xlfn._xlws.FILTER(Teams[teamID], Fixtures[[#This Row],[oppTeam]] = Teams[name], "N/A")</f>
        <v>N/A</v>
      </c>
      <c r="AC771" s="58" t="str" cm="1">
        <f t="array" ref="AC771">_xlfn._xlws.FILTER(Teams[teamType], Fixtures[[#This Row],[oppTeam]] = Teams[name], "N/A")</f>
        <v>N/A</v>
      </c>
      <c r="AD771" s="58" t="str">
        <f>IF(ISBLANK(Fixtures[[#This Row],[date]]), "N/A", IF(Fixtures[[#This Row],[userSide]]="H", Fixtures[[#This Row],[homeScore]], Fixtures[[#This Row],[awayScore]]))</f>
        <v>N/A</v>
      </c>
      <c r="AE771" s="58" t="str">
        <f>IF(ISBLANK(Fixtures[[#This Row],[date]]), "N/A", IF(Fixtures[[#This Row],[userScore]] = Fixtures[[#This Row],[homeScore]], Fixtures[[#This Row],[awayScore]], Fixtures[[#This Row],[homeScore]]))</f>
        <v>N/A</v>
      </c>
      <c r="AF771" s="58" t="b">
        <f>NOT(AND(ISBLANK(Fixtures[[#This Row],[homePens]]), ISBLANK(Fixtures[[#This Row],[awayPens]])))</f>
        <v>0</v>
      </c>
      <c r="AG771" s="58" t="str">
        <f>IF(Fixtures[[#This Row],[penalties]], IF(Fixtures[[#This Row],[userSide]]="H", Fixtures[[#This Row],[homePens]], Fixtures[[#This Row],[awayPens]]), "N/A")</f>
        <v>N/A</v>
      </c>
      <c r="AH771" s="58" t="str">
        <f>IF(Fixtures[[#This Row],[penalties]], IF(Fixtures[[#This Row],[userPens]]=Fixtures[[#This Row],[homePens]],Fixtures[[#This Row],[awayPens]],Fixtures[[#This Row],[homePens]]), "N/A")</f>
        <v>N/A</v>
      </c>
      <c r="AI771" s="58" t="b">
        <f>COUNTBLANK(Fixtures[[#This Row],[G]:[MOTM]]) = 0</f>
        <v>0</v>
      </c>
      <c r="AJ771" s="58" t="str">
        <f>IF(Fixtures[[#This Row],[APP]], Fixtures[[#This Row],[G]]+Fixtures[[#This Row],[A]], "N/A")</f>
        <v>N/A</v>
      </c>
      <c r="AK7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2" spans="1:39" ht="13">
      <c r="A772" s="55"/>
      <c r="B772" s="61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7"/>
      <c r="R772" s="56"/>
      <c r="S772" s="58" t="str" cm="1">
        <f t="array" ref="S772">_xlfn._xlws.FILTER(Competitions[compType], (Fixtures[[#This Row],[competition]] = Competitions[name]), "N/A")</f>
        <v>N/A</v>
      </c>
      <c r="T772" s="58" t="str" cm="1">
        <f t="array" ref="T772">_xlfn._xlws.FILTER(Competitions[exhibition], (Fixtures[[#This Row],[competition]] = Competitions[name]), "N/A")</f>
        <v>N/A</v>
      </c>
      <c r="U772" s="58" t="str" cm="1">
        <f t="array" ref="U772">_xlfn._xlws.FILTER(Competitions[compID], (Fixtures[[#This Row],[competition]] = Competitions[name]), "N/A")</f>
        <v>N/A</v>
      </c>
      <c r="V7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2" s="58" t="str" cm="1">
        <f t="array" ref="W7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2" s="58" t="str" cm="1">
        <f t="array" ref="X772">_xlfn._xlws.FILTER(Teams[name], (Fixtures[[#This Row],[userTeamID]] = Teams[teamID]), "N/A")</f>
        <v>N/A</v>
      </c>
      <c r="Y772" s="58" t="str" cm="1">
        <f t="array" ref="Y772">_xlfn._xlws.FILTER(Teams[teamType], (Fixtures[[#This Row],[userTeamID]] = Teams[teamID]), "N/A")</f>
        <v>N/A</v>
      </c>
      <c r="Z772" s="58" t="str" cm="1">
        <f t="array" ref="Z7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2" s="58" t="str">
        <f>IF(Fixtures[[#This Row],[userSide]] = "N/A", "N/A", IF(Fixtures[[#This Row],[userSide]] = "H", Fixtures[[#This Row],[awayTeam]], Fixtures[[#This Row],[homeTeam]]))</f>
        <v>N/A</v>
      </c>
      <c r="AB772" s="58" t="str" cm="1">
        <f t="array" ref="AB772">_xlfn._xlws.FILTER(Teams[teamID], Fixtures[[#This Row],[oppTeam]] = Teams[name], "N/A")</f>
        <v>N/A</v>
      </c>
      <c r="AC772" s="58" t="str" cm="1">
        <f t="array" ref="AC772">_xlfn._xlws.FILTER(Teams[teamType], Fixtures[[#This Row],[oppTeam]] = Teams[name], "N/A")</f>
        <v>N/A</v>
      </c>
      <c r="AD772" s="58" t="str">
        <f>IF(ISBLANK(Fixtures[[#This Row],[date]]), "N/A", IF(Fixtures[[#This Row],[userSide]]="H", Fixtures[[#This Row],[homeScore]], Fixtures[[#This Row],[awayScore]]))</f>
        <v>N/A</v>
      </c>
      <c r="AE772" s="58" t="str">
        <f>IF(ISBLANK(Fixtures[[#This Row],[date]]), "N/A", IF(Fixtures[[#This Row],[userScore]] = Fixtures[[#This Row],[homeScore]], Fixtures[[#This Row],[awayScore]], Fixtures[[#This Row],[homeScore]]))</f>
        <v>N/A</v>
      </c>
      <c r="AF772" s="58" t="b">
        <f>NOT(AND(ISBLANK(Fixtures[[#This Row],[homePens]]), ISBLANK(Fixtures[[#This Row],[awayPens]])))</f>
        <v>0</v>
      </c>
      <c r="AG772" s="58" t="str">
        <f>IF(Fixtures[[#This Row],[penalties]], IF(Fixtures[[#This Row],[userSide]]="H", Fixtures[[#This Row],[homePens]], Fixtures[[#This Row],[awayPens]]), "N/A")</f>
        <v>N/A</v>
      </c>
      <c r="AH772" s="58" t="str">
        <f>IF(Fixtures[[#This Row],[penalties]], IF(Fixtures[[#This Row],[userPens]]=Fixtures[[#This Row],[homePens]],Fixtures[[#This Row],[awayPens]],Fixtures[[#This Row],[homePens]]), "N/A")</f>
        <v>N/A</v>
      </c>
      <c r="AI772" s="58" t="b">
        <f>COUNTBLANK(Fixtures[[#This Row],[G]:[MOTM]]) = 0</f>
        <v>0</v>
      </c>
      <c r="AJ772" s="58" t="str">
        <f>IF(Fixtures[[#This Row],[APP]], Fixtures[[#This Row],[G]]+Fixtures[[#This Row],[A]], "N/A")</f>
        <v>N/A</v>
      </c>
      <c r="AK7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3" spans="1:39" ht="13">
      <c r="A773" s="55"/>
      <c r="B773" s="61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7"/>
      <c r="R773" s="56"/>
      <c r="S773" s="58" t="str" cm="1">
        <f t="array" ref="S773">_xlfn._xlws.FILTER(Competitions[compType], (Fixtures[[#This Row],[competition]] = Competitions[name]), "N/A")</f>
        <v>N/A</v>
      </c>
      <c r="T773" s="58" t="str" cm="1">
        <f t="array" ref="T773">_xlfn._xlws.FILTER(Competitions[exhibition], (Fixtures[[#This Row],[competition]] = Competitions[name]), "N/A")</f>
        <v>N/A</v>
      </c>
      <c r="U773" s="58" t="str" cm="1">
        <f t="array" ref="U773">_xlfn._xlws.FILTER(Competitions[compID], (Fixtures[[#This Row],[competition]] = Competitions[name]), "N/A")</f>
        <v>N/A</v>
      </c>
      <c r="V7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3" s="58" t="str" cm="1">
        <f t="array" ref="W7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3" s="58" t="str" cm="1">
        <f t="array" ref="X773">_xlfn._xlws.FILTER(Teams[name], (Fixtures[[#This Row],[userTeamID]] = Teams[teamID]), "N/A")</f>
        <v>N/A</v>
      </c>
      <c r="Y773" s="58" t="str" cm="1">
        <f t="array" ref="Y773">_xlfn._xlws.FILTER(Teams[teamType], (Fixtures[[#This Row],[userTeamID]] = Teams[teamID]), "N/A")</f>
        <v>N/A</v>
      </c>
      <c r="Z773" s="58" t="str" cm="1">
        <f t="array" ref="Z7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3" s="58" t="str">
        <f>IF(Fixtures[[#This Row],[userSide]] = "N/A", "N/A", IF(Fixtures[[#This Row],[userSide]] = "H", Fixtures[[#This Row],[awayTeam]], Fixtures[[#This Row],[homeTeam]]))</f>
        <v>N/A</v>
      </c>
      <c r="AB773" s="58" t="str" cm="1">
        <f t="array" ref="AB773">_xlfn._xlws.FILTER(Teams[teamID], Fixtures[[#This Row],[oppTeam]] = Teams[name], "N/A")</f>
        <v>N/A</v>
      </c>
      <c r="AC773" s="58" t="str" cm="1">
        <f t="array" ref="AC773">_xlfn._xlws.FILTER(Teams[teamType], Fixtures[[#This Row],[oppTeam]] = Teams[name], "N/A")</f>
        <v>N/A</v>
      </c>
      <c r="AD773" s="58" t="str">
        <f>IF(ISBLANK(Fixtures[[#This Row],[date]]), "N/A", IF(Fixtures[[#This Row],[userSide]]="H", Fixtures[[#This Row],[homeScore]], Fixtures[[#This Row],[awayScore]]))</f>
        <v>N/A</v>
      </c>
      <c r="AE773" s="58" t="str">
        <f>IF(ISBLANK(Fixtures[[#This Row],[date]]), "N/A", IF(Fixtures[[#This Row],[userScore]] = Fixtures[[#This Row],[homeScore]], Fixtures[[#This Row],[awayScore]], Fixtures[[#This Row],[homeScore]]))</f>
        <v>N/A</v>
      </c>
      <c r="AF773" s="58" t="b">
        <f>NOT(AND(ISBLANK(Fixtures[[#This Row],[homePens]]), ISBLANK(Fixtures[[#This Row],[awayPens]])))</f>
        <v>0</v>
      </c>
      <c r="AG773" s="58" t="str">
        <f>IF(Fixtures[[#This Row],[penalties]], IF(Fixtures[[#This Row],[userSide]]="H", Fixtures[[#This Row],[homePens]], Fixtures[[#This Row],[awayPens]]), "N/A")</f>
        <v>N/A</v>
      </c>
      <c r="AH773" s="58" t="str">
        <f>IF(Fixtures[[#This Row],[penalties]], IF(Fixtures[[#This Row],[userPens]]=Fixtures[[#This Row],[homePens]],Fixtures[[#This Row],[awayPens]],Fixtures[[#This Row],[homePens]]), "N/A")</f>
        <v>N/A</v>
      </c>
      <c r="AI773" s="58" t="b">
        <f>COUNTBLANK(Fixtures[[#This Row],[G]:[MOTM]]) = 0</f>
        <v>0</v>
      </c>
      <c r="AJ773" s="58" t="str">
        <f>IF(Fixtures[[#This Row],[APP]], Fixtures[[#This Row],[G]]+Fixtures[[#This Row],[A]], "N/A")</f>
        <v>N/A</v>
      </c>
      <c r="AK7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4" spans="1:39" ht="13">
      <c r="A774" s="55"/>
      <c r="B774" s="61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7"/>
      <c r="R774" s="56"/>
      <c r="S774" s="58" t="str" cm="1">
        <f t="array" ref="S774">_xlfn._xlws.FILTER(Competitions[compType], (Fixtures[[#This Row],[competition]] = Competitions[name]), "N/A")</f>
        <v>N/A</v>
      </c>
      <c r="T774" s="58" t="str" cm="1">
        <f t="array" ref="T774">_xlfn._xlws.FILTER(Competitions[exhibition], (Fixtures[[#This Row],[competition]] = Competitions[name]), "N/A")</f>
        <v>N/A</v>
      </c>
      <c r="U774" s="58" t="str" cm="1">
        <f t="array" ref="U774">_xlfn._xlws.FILTER(Competitions[compID], (Fixtures[[#This Row],[competition]] = Competitions[name]), "N/A")</f>
        <v>N/A</v>
      </c>
      <c r="V7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4" s="58" t="str" cm="1">
        <f t="array" ref="W7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4" s="58" t="str" cm="1">
        <f t="array" ref="X774">_xlfn._xlws.FILTER(Teams[name], (Fixtures[[#This Row],[userTeamID]] = Teams[teamID]), "N/A")</f>
        <v>N/A</v>
      </c>
      <c r="Y774" s="58" t="str" cm="1">
        <f t="array" ref="Y774">_xlfn._xlws.FILTER(Teams[teamType], (Fixtures[[#This Row],[userTeamID]] = Teams[teamID]), "N/A")</f>
        <v>N/A</v>
      </c>
      <c r="Z774" s="58" t="str" cm="1">
        <f t="array" ref="Z7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4" s="58" t="str">
        <f>IF(Fixtures[[#This Row],[userSide]] = "N/A", "N/A", IF(Fixtures[[#This Row],[userSide]] = "H", Fixtures[[#This Row],[awayTeam]], Fixtures[[#This Row],[homeTeam]]))</f>
        <v>N/A</v>
      </c>
      <c r="AB774" s="58" t="str" cm="1">
        <f t="array" ref="AB774">_xlfn._xlws.FILTER(Teams[teamID], Fixtures[[#This Row],[oppTeam]] = Teams[name], "N/A")</f>
        <v>N/A</v>
      </c>
      <c r="AC774" s="58" t="str" cm="1">
        <f t="array" ref="AC774">_xlfn._xlws.FILTER(Teams[teamType], Fixtures[[#This Row],[oppTeam]] = Teams[name], "N/A")</f>
        <v>N/A</v>
      </c>
      <c r="AD774" s="58" t="str">
        <f>IF(ISBLANK(Fixtures[[#This Row],[date]]), "N/A", IF(Fixtures[[#This Row],[userSide]]="H", Fixtures[[#This Row],[homeScore]], Fixtures[[#This Row],[awayScore]]))</f>
        <v>N/A</v>
      </c>
      <c r="AE774" s="58" t="str">
        <f>IF(ISBLANK(Fixtures[[#This Row],[date]]), "N/A", IF(Fixtures[[#This Row],[userScore]] = Fixtures[[#This Row],[homeScore]], Fixtures[[#This Row],[awayScore]], Fixtures[[#This Row],[homeScore]]))</f>
        <v>N/A</v>
      </c>
      <c r="AF774" s="58" t="b">
        <f>NOT(AND(ISBLANK(Fixtures[[#This Row],[homePens]]), ISBLANK(Fixtures[[#This Row],[awayPens]])))</f>
        <v>0</v>
      </c>
      <c r="AG774" s="58" t="str">
        <f>IF(Fixtures[[#This Row],[penalties]], IF(Fixtures[[#This Row],[userSide]]="H", Fixtures[[#This Row],[homePens]], Fixtures[[#This Row],[awayPens]]), "N/A")</f>
        <v>N/A</v>
      </c>
      <c r="AH774" s="58" t="str">
        <f>IF(Fixtures[[#This Row],[penalties]], IF(Fixtures[[#This Row],[userPens]]=Fixtures[[#This Row],[homePens]],Fixtures[[#This Row],[awayPens]],Fixtures[[#This Row],[homePens]]), "N/A")</f>
        <v>N/A</v>
      </c>
      <c r="AI774" s="58" t="b">
        <f>COUNTBLANK(Fixtures[[#This Row],[G]:[MOTM]]) = 0</f>
        <v>0</v>
      </c>
      <c r="AJ774" s="58" t="str">
        <f>IF(Fixtures[[#This Row],[APP]], Fixtures[[#This Row],[G]]+Fixtures[[#This Row],[A]], "N/A")</f>
        <v>N/A</v>
      </c>
      <c r="AK7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5" spans="1:39" ht="13">
      <c r="A775" s="55"/>
      <c r="B775" s="61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7"/>
      <c r="R775" s="56"/>
      <c r="S775" s="58" t="str" cm="1">
        <f t="array" ref="S775">_xlfn._xlws.FILTER(Competitions[compType], (Fixtures[[#This Row],[competition]] = Competitions[name]), "N/A")</f>
        <v>N/A</v>
      </c>
      <c r="T775" s="58" t="str" cm="1">
        <f t="array" ref="T775">_xlfn._xlws.FILTER(Competitions[exhibition], (Fixtures[[#This Row],[competition]] = Competitions[name]), "N/A")</f>
        <v>N/A</v>
      </c>
      <c r="U775" s="58" t="str" cm="1">
        <f t="array" ref="U775">_xlfn._xlws.FILTER(Competitions[compID], (Fixtures[[#This Row],[competition]] = Competitions[name]), "N/A")</f>
        <v>N/A</v>
      </c>
      <c r="V7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5" s="58" t="str" cm="1">
        <f t="array" ref="W7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5" s="58" t="str" cm="1">
        <f t="array" ref="X775">_xlfn._xlws.FILTER(Teams[name], (Fixtures[[#This Row],[userTeamID]] = Teams[teamID]), "N/A")</f>
        <v>N/A</v>
      </c>
      <c r="Y775" s="58" t="str" cm="1">
        <f t="array" ref="Y775">_xlfn._xlws.FILTER(Teams[teamType], (Fixtures[[#This Row],[userTeamID]] = Teams[teamID]), "N/A")</f>
        <v>N/A</v>
      </c>
      <c r="Z775" s="58" t="str" cm="1">
        <f t="array" ref="Z7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5" s="58" t="str">
        <f>IF(Fixtures[[#This Row],[userSide]] = "N/A", "N/A", IF(Fixtures[[#This Row],[userSide]] = "H", Fixtures[[#This Row],[awayTeam]], Fixtures[[#This Row],[homeTeam]]))</f>
        <v>N/A</v>
      </c>
      <c r="AB775" s="58" t="str" cm="1">
        <f t="array" ref="AB775">_xlfn._xlws.FILTER(Teams[teamID], Fixtures[[#This Row],[oppTeam]] = Teams[name], "N/A")</f>
        <v>N/A</v>
      </c>
      <c r="AC775" s="58" t="str" cm="1">
        <f t="array" ref="AC775">_xlfn._xlws.FILTER(Teams[teamType], Fixtures[[#This Row],[oppTeam]] = Teams[name], "N/A")</f>
        <v>N/A</v>
      </c>
      <c r="AD775" s="58" t="str">
        <f>IF(ISBLANK(Fixtures[[#This Row],[date]]), "N/A", IF(Fixtures[[#This Row],[userSide]]="H", Fixtures[[#This Row],[homeScore]], Fixtures[[#This Row],[awayScore]]))</f>
        <v>N/A</v>
      </c>
      <c r="AE775" s="58" t="str">
        <f>IF(ISBLANK(Fixtures[[#This Row],[date]]), "N/A", IF(Fixtures[[#This Row],[userScore]] = Fixtures[[#This Row],[homeScore]], Fixtures[[#This Row],[awayScore]], Fixtures[[#This Row],[homeScore]]))</f>
        <v>N/A</v>
      </c>
      <c r="AF775" s="58" t="b">
        <f>NOT(AND(ISBLANK(Fixtures[[#This Row],[homePens]]), ISBLANK(Fixtures[[#This Row],[awayPens]])))</f>
        <v>0</v>
      </c>
      <c r="AG775" s="58" t="str">
        <f>IF(Fixtures[[#This Row],[penalties]], IF(Fixtures[[#This Row],[userSide]]="H", Fixtures[[#This Row],[homePens]], Fixtures[[#This Row],[awayPens]]), "N/A")</f>
        <v>N/A</v>
      </c>
      <c r="AH775" s="58" t="str">
        <f>IF(Fixtures[[#This Row],[penalties]], IF(Fixtures[[#This Row],[userPens]]=Fixtures[[#This Row],[homePens]],Fixtures[[#This Row],[awayPens]],Fixtures[[#This Row],[homePens]]), "N/A")</f>
        <v>N/A</v>
      </c>
      <c r="AI775" s="58" t="b">
        <f>COUNTBLANK(Fixtures[[#This Row],[G]:[MOTM]]) = 0</f>
        <v>0</v>
      </c>
      <c r="AJ775" s="58" t="str">
        <f>IF(Fixtures[[#This Row],[APP]], Fixtures[[#This Row],[G]]+Fixtures[[#This Row],[A]], "N/A")</f>
        <v>N/A</v>
      </c>
      <c r="AK7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6" spans="1:39" ht="13">
      <c r="A776" s="55"/>
      <c r="B776" s="61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7"/>
      <c r="R776" s="56"/>
      <c r="S776" s="58" t="str" cm="1">
        <f t="array" ref="S776">_xlfn._xlws.FILTER(Competitions[compType], (Fixtures[[#This Row],[competition]] = Competitions[name]), "N/A")</f>
        <v>N/A</v>
      </c>
      <c r="T776" s="58" t="str" cm="1">
        <f t="array" ref="T776">_xlfn._xlws.FILTER(Competitions[exhibition], (Fixtures[[#This Row],[competition]] = Competitions[name]), "N/A")</f>
        <v>N/A</v>
      </c>
      <c r="U776" s="58" t="str" cm="1">
        <f t="array" ref="U776">_xlfn._xlws.FILTER(Competitions[compID], (Fixtures[[#This Row],[competition]] = Competitions[name]), "N/A")</f>
        <v>N/A</v>
      </c>
      <c r="V7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6" s="58" t="str" cm="1">
        <f t="array" ref="W7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6" s="58" t="str" cm="1">
        <f t="array" ref="X776">_xlfn._xlws.FILTER(Teams[name], (Fixtures[[#This Row],[userTeamID]] = Teams[teamID]), "N/A")</f>
        <v>N/A</v>
      </c>
      <c r="Y776" s="58" t="str" cm="1">
        <f t="array" ref="Y776">_xlfn._xlws.FILTER(Teams[teamType], (Fixtures[[#This Row],[userTeamID]] = Teams[teamID]), "N/A")</f>
        <v>N/A</v>
      </c>
      <c r="Z776" s="58" t="str" cm="1">
        <f t="array" ref="Z7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6" s="58" t="str">
        <f>IF(Fixtures[[#This Row],[userSide]] = "N/A", "N/A", IF(Fixtures[[#This Row],[userSide]] = "H", Fixtures[[#This Row],[awayTeam]], Fixtures[[#This Row],[homeTeam]]))</f>
        <v>N/A</v>
      </c>
      <c r="AB776" s="58" t="str" cm="1">
        <f t="array" ref="AB776">_xlfn._xlws.FILTER(Teams[teamID], Fixtures[[#This Row],[oppTeam]] = Teams[name], "N/A")</f>
        <v>N/A</v>
      </c>
      <c r="AC776" s="58" t="str" cm="1">
        <f t="array" ref="AC776">_xlfn._xlws.FILTER(Teams[teamType], Fixtures[[#This Row],[oppTeam]] = Teams[name], "N/A")</f>
        <v>N/A</v>
      </c>
      <c r="AD776" s="58" t="str">
        <f>IF(ISBLANK(Fixtures[[#This Row],[date]]), "N/A", IF(Fixtures[[#This Row],[userSide]]="H", Fixtures[[#This Row],[homeScore]], Fixtures[[#This Row],[awayScore]]))</f>
        <v>N/A</v>
      </c>
      <c r="AE776" s="58" t="str">
        <f>IF(ISBLANK(Fixtures[[#This Row],[date]]), "N/A", IF(Fixtures[[#This Row],[userScore]] = Fixtures[[#This Row],[homeScore]], Fixtures[[#This Row],[awayScore]], Fixtures[[#This Row],[homeScore]]))</f>
        <v>N/A</v>
      </c>
      <c r="AF776" s="58" t="b">
        <f>NOT(AND(ISBLANK(Fixtures[[#This Row],[homePens]]), ISBLANK(Fixtures[[#This Row],[awayPens]])))</f>
        <v>0</v>
      </c>
      <c r="AG776" s="58" t="str">
        <f>IF(Fixtures[[#This Row],[penalties]], IF(Fixtures[[#This Row],[userSide]]="H", Fixtures[[#This Row],[homePens]], Fixtures[[#This Row],[awayPens]]), "N/A")</f>
        <v>N/A</v>
      </c>
      <c r="AH776" s="58" t="str">
        <f>IF(Fixtures[[#This Row],[penalties]], IF(Fixtures[[#This Row],[userPens]]=Fixtures[[#This Row],[homePens]],Fixtures[[#This Row],[awayPens]],Fixtures[[#This Row],[homePens]]), "N/A")</f>
        <v>N/A</v>
      </c>
      <c r="AI776" s="58" t="b">
        <f>COUNTBLANK(Fixtures[[#This Row],[G]:[MOTM]]) = 0</f>
        <v>0</v>
      </c>
      <c r="AJ776" s="58" t="str">
        <f>IF(Fixtures[[#This Row],[APP]], Fixtures[[#This Row],[G]]+Fixtures[[#This Row],[A]], "N/A")</f>
        <v>N/A</v>
      </c>
      <c r="AK7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7" spans="1:39" ht="13">
      <c r="A777" s="55"/>
      <c r="B777" s="61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7"/>
      <c r="R777" s="56"/>
      <c r="S777" s="58" t="str" cm="1">
        <f t="array" ref="S777">_xlfn._xlws.FILTER(Competitions[compType], (Fixtures[[#This Row],[competition]] = Competitions[name]), "N/A")</f>
        <v>N/A</v>
      </c>
      <c r="T777" s="58" t="str" cm="1">
        <f t="array" ref="T777">_xlfn._xlws.FILTER(Competitions[exhibition], (Fixtures[[#This Row],[competition]] = Competitions[name]), "N/A")</f>
        <v>N/A</v>
      </c>
      <c r="U777" s="58" t="str" cm="1">
        <f t="array" ref="U777">_xlfn._xlws.FILTER(Competitions[compID], (Fixtures[[#This Row],[competition]] = Competitions[name]), "N/A")</f>
        <v>N/A</v>
      </c>
      <c r="V7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7" s="58" t="str" cm="1">
        <f t="array" ref="W7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7" s="58" t="str" cm="1">
        <f t="array" ref="X777">_xlfn._xlws.FILTER(Teams[name], (Fixtures[[#This Row],[userTeamID]] = Teams[teamID]), "N/A")</f>
        <v>N/A</v>
      </c>
      <c r="Y777" s="58" t="str" cm="1">
        <f t="array" ref="Y777">_xlfn._xlws.FILTER(Teams[teamType], (Fixtures[[#This Row],[userTeamID]] = Teams[teamID]), "N/A")</f>
        <v>N/A</v>
      </c>
      <c r="Z777" s="58" t="str" cm="1">
        <f t="array" ref="Z7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7" s="58" t="str">
        <f>IF(Fixtures[[#This Row],[userSide]] = "N/A", "N/A", IF(Fixtures[[#This Row],[userSide]] = "H", Fixtures[[#This Row],[awayTeam]], Fixtures[[#This Row],[homeTeam]]))</f>
        <v>N/A</v>
      </c>
      <c r="AB777" s="58" t="str" cm="1">
        <f t="array" ref="AB777">_xlfn._xlws.FILTER(Teams[teamID], Fixtures[[#This Row],[oppTeam]] = Teams[name], "N/A")</f>
        <v>N/A</v>
      </c>
      <c r="AC777" s="58" t="str" cm="1">
        <f t="array" ref="AC777">_xlfn._xlws.FILTER(Teams[teamType], Fixtures[[#This Row],[oppTeam]] = Teams[name], "N/A")</f>
        <v>N/A</v>
      </c>
      <c r="AD777" s="58" t="str">
        <f>IF(ISBLANK(Fixtures[[#This Row],[date]]), "N/A", IF(Fixtures[[#This Row],[userSide]]="H", Fixtures[[#This Row],[homeScore]], Fixtures[[#This Row],[awayScore]]))</f>
        <v>N/A</v>
      </c>
      <c r="AE777" s="58" t="str">
        <f>IF(ISBLANK(Fixtures[[#This Row],[date]]), "N/A", IF(Fixtures[[#This Row],[userScore]] = Fixtures[[#This Row],[homeScore]], Fixtures[[#This Row],[awayScore]], Fixtures[[#This Row],[homeScore]]))</f>
        <v>N/A</v>
      </c>
      <c r="AF777" s="58" t="b">
        <f>NOT(AND(ISBLANK(Fixtures[[#This Row],[homePens]]), ISBLANK(Fixtures[[#This Row],[awayPens]])))</f>
        <v>0</v>
      </c>
      <c r="AG777" s="58" t="str">
        <f>IF(Fixtures[[#This Row],[penalties]], IF(Fixtures[[#This Row],[userSide]]="H", Fixtures[[#This Row],[homePens]], Fixtures[[#This Row],[awayPens]]), "N/A")</f>
        <v>N/A</v>
      </c>
      <c r="AH777" s="58" t="str">
        <f>IF(Fixtures[[#This Row],[penalties]], IF(Fixtures[[#This Row],[userPens]]=Fixtures[[#This Row],[homePens]],Fixtures[[#This Row],[awayPens]],Fixtures[[#This Row],[homePens]]), "N/A")</f>
        <v>N/A</v>
      </c>
      <c r="AI777" s="58" t="b">
        <f>COUNTBLANK(Fixtures[[#This Row],[G]:[MOTM]]) = 0</f>
        <v>0</v>
      </c>
      <c r="AJ777" s="58" t="str">
        <f>IF(Fixtures[[#This Row],[APP]], Fixtures[[#This Row],[G]]+Fixtures[[#This Row],[A]], "N/A")</f>
        <v>N/A</v>
      </c>
      <c r="AK7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8" spans="1:39" ht="13">
      <c r="A778" s="55"/>
      <c r="B778" s="61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7"/>
      <c r="R778" s="56"/>
      <c r="S778" s="58" t="str" cm="1">
        <f t="array" ref="S778">_xlfn._xlws.FILTER(Competitions[compType], (Fixtures[[#This Row],[competition]] = Competitions[name]), "N/A")</f>
        <v>N/A</v>
      </c>
      <c r="T778" s="58" t="str" cm="1">
        <f t="array" ref="T778">_xlfn._xlws.FILTER(Competitions[exhibition], (Fixtures[[#This Row],[competition]] = Competitions[name]), "N/A")</f>
        <v>N/A</v>
      </c>
      <c r="U778" s="58" t="str" cm="1">
        <f t="array" ref="U778">_xlfn._xlws.FILTER(Competitions[compID], (Fixtures[[#This Row],[competition]] = Competitions[name]), "N/A")</f>
        <v>N/A</v>
      </c>
      <c r="V7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8" s="58" t="str" cm="1">
        <f t="array" ref="W7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8" s="58" t="str" cm="1">
        <f t="array" ref="X778">_xlfn._xlws.FILTER(Teams[name], (Fixtures[[#This Row],[userTeamID]] = Teams[teamID]), "N/A")</f>
        <v>N/A</v>
      </c>
      <c r="Y778" s="58" t="str" cm="1">
        <f t="array" ref="Y778">_xlfn._xlws.FILTER(Teams[teamType], (Fixtures[[#This Row],[userTeamID]] = Teams[teamID]), "N/A")</f>
        <v>N/A</v>
      </c>
      <c r="Z778" s="58" t="str" cm="1">
        <f t="array" ref="Z7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8" s="58" t="str">
        <f>IF(Fixtures[[#This Row],[userSide]] = "N/A", "N/A", IF(Fixtures[[#This Row],[userSide]] = "H", Fixtures[[#This Row],[awayTeam]], Fixtures[[#This Row],[homeTeam]]))</f>
        <v>N/A</v>
      </c>
      <c r="AB778" s="58" t="str" cm="1">
        <f t="array" ref="AB778">_xlfn._xlws.FILTER(Teams[teamID], Fixtures[[#This Row],[oppTeam]] = Teams[name], "N/A")</f>
        <v>N/A</v>
      </c>
      <c r="AC778" s="58" t="str" cm="1">
        <f t="array" ref="AC778">_xlfn._xlws.FILTER(Teams[teamType], Fixtures[[#This Row],[oppTeam]] = Teams[name], "N/A")</f>
        <v>N/A</v>
      </c>
      <c r="AD778" s="58" t="str">
        <f>IF(ISBLANK(Fixtures[[#This Row],[date]]), "N/A", IF(Fixtures[[#This Row],[userSide]]="H", Fixtures[[#This Row],[homeScore]], Fixtures[[#This Row],[awayScore]]))</f>
        <v>N/A</v>
      </c>
      <c r="AE778" s="58" t="str">
        <f>IF(ISBLANK(Fixtures[[#This Row],[date]]), "N/A", IF(Fixtures[[#This Row],[userScore]] = Fixtures[[#This Row],[homeScore]], Fixtures[[#This Row],[awayScore]], Fixtures[[#This Row],[homeScore]]))</f>
        <v>N/A</v>
      </c>
      <c r="AF778" s="58" t="b">
        <f>NOT(AND(ISBLANK(Fixtures[[#This Row],[homePens]]), ISBLANK(Fixtures[[#This Row],[awayPens]])))</f>
        <v>0</v>
      </c>
      <c r="AG778" s="58" t="str">
        <f>IF(Fixtures[[#This Row],[penalties]], IF(Fixtures[[#This Row],[userSide]]="H", Fixtures[[#This Row],[homePens]], Fixtures[[#This Row],[awayPens]]), "N/A")</f>
        <v>N/A</v>
      </c>
      <c r="AH778" s="58" t="str">
        <f>IF(Fixtures[[#This Row],[penalties]], IF(Fixtures[[#This Row],[userPens]]=Fixtures[[#This Row],[homePens]],Fixtures[[#This Row],[awayPens]],Fixtures[[#This Row],[homePens]]), "N/A")</f>
        <v>N/A</v>
      </c>
      <c r="AI778" s="58" t="b">
        <f>COUNTBLANK(Fixtures[[#This Row],[G]:[MOTM]]) = 0</f>
        <v>0</v>
      </c>
      <c r="AJ778" s="58" t="str">
        <f>IF(Fixtures[[#This Row],[APP]], Fixtures[[#This Row],[G]]+Fixtures[[#This Row],[A]], "N/A")</f>
        <v>N/A</v>
      </c>
      <c r="AK7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79" spans="1:39" ht="13">
      <c r="A779" s="55"/>
      <c r="B779" s="61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7"/>
      <c r="R779" s="56"/>
      <c r="S779" s="58" t="str" cm="1">
        <f t="array" ref="S779">_xlfn._xlws.FILTER(Competitions[compType], (Fixtures[[#This Row],[competition]] = Competitions[name]), "N/A")</f>
        <v>N/A</v>
      </c>
      <c r="T779" s="58" t="str" cm="1">
        <f t="array" ref="T779">_xlfn._xlws.FILTER(Competitions[exhibition], (Fixtures[[#This Row],[competition]] = Competitions[name]), "N/A")</f>
        <v>N/A</v>
      </c>
      <c r="U779" s="58" t="str" cm="1">
        <f t="array" ref="U779">_xlfn._xlws.FILTER(Competitions[compID], (Fixtures[[#This Row],[competition]] = Competitions[name]), "N/A")</f>
        <v>N/A</v>
      </c>
      <c r="V7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79" s="58" t="str" cm="1">
        <f t="array" ref="W7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79" s="58" t="str" cm="1">
        <f t="array" ref="X779">_xlfn._xlws.FILTER(Teams[name], (Fixtures[[#This Row],[userTeamID]] = Teams[teamID]), "N/A")</f>
        <v>N/A</v>
      </c>
      <c r="Y779" s="58" t="str" cm="1">
        <f t="array" ref="Y779">_xlfn._xlws.FILTER(Teams[teamType], (Fixtures[[#This Row],[userTeamID]] = Teams[teamID]), "N/A")</f>
        <v>N/A</v>
      </c>
      <c r="Z779" s="58" t="str" cm="1">
        <f t="array" ref="Z7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79" s="58" t="str">
        <f>IF(Fixtures[[#This Row],[userSide]] = "N/A", "N/A", IF(Fixtures[[#This Row],[userSide]] = "H", Fixtures[[#This Row],[awayTeam]], Fixtures[[#This Row],[homeTeam]]))</f>
        <v>N/A</v>
      </c>
      <c r="AB779" s="58" t="str" cm="1">
        <f t="array" ref="AB779">_xlfn._xlws.FILTER(Teams[teamID], Fixtures[[#This Row],[oppTeam]] = Teams[name], "N/A")</f>
        <v>N/A</v>
      </c>
      <c r="AC779" s="58" t="str" cm="1">
        <f t="array" ref="AC779">_xlfn._xlws.FILTER(Teams[teamType], Fixtures[[#This Row],[oppTeam]] = Teams[name], "N/A")</f>
        <v>N/A</v>
      </c>
      <c r="AD779" s="58" t="str">
        <f>IF(ISBLANK(Fixtures[[#This Row],[date]]), "N/A", IF(Fixtures[[#This Row],[userSide]]="H", Fixtures[[#This Row],[homeScore]], Fixtures[[#This Row],[awayScore]]))</f>
        <v>N/A</v>
      </c>
      <c r="AE779" s="58" t="str">
        <f>IF(ISBLANK(Fixtures[[#This Row],[date]]), "N/A", IF(Fixtures[[#This Row],[userScore]] = Fixtures[[#This Row],[homeScore]], Fixtures[[#This Row],[awayScore]], Fixtures[[#This Row],[homeScore]]))</f>
        <v>N/A</v>
      </c>
      <c r="AF779" s="58" t="b">
        <f>NOT(AND(ISBLANK(Fixtures[[#This Row],[homePens]]), ISBLANK(Fixtures[[#This Row],[awayPens]])))</f>
        <v>0</v>
      </c>
      <c r="AG779" s="58" t="str">
        <f>IF(Fixtures[[#This Row],[penalties]], IF(Fixtures[[#This Row],[userSide]]="H", Fixtures[[#This Row],[homePens]], Fixtures[[#This Row],[awayPens]]), "N/A")</f>
        <v>N/A</v>
      </c>
      <c r="AH779" s="58" t="str">
        <f>IF(Fixtures[[#This Row],[penalties]], IF(Fixtures[[#This Row],[userPens]]=Fixtures[[#This Row],[homePens]],Fixtures[[#This Row],[awayPens]],Fixtures[[#This Row],[homePens]]), "N/A")</f>
        <v>N/A</v>
      </c>
      <c r="AI779" s="58" t="b">
        <f>COUNTBLANK(Fixtures[[#This Row],[G]:[MOTM]]) = 0</f>
        <v>0</v>
      </c>
      <c r="AJ779" s="58" t="str">
        <f>IF(Fixtures[[#This Row],[APP]], Fixtures[[#This Row],[G]]+Fixtures[[#This Row],[A]], "N/A")</f>
        <v>N/A</v>
      </c>
      <c r="AK7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0" spans="1:39" ht="13">
      <c r="A780" s="55"/>
      <c r="B780" s="61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7"/>
      <c r="R780" s="56"/>
      <c r="S780" s="58" t="str" cm="1">
        <f t="array" ref="S780">_xlfn._xlws.FILTER(Competitions[compType], (Fixtures[[#This Row],[competition]] = Competitions[name]), "N/A")</f>
        <v>N/A</v>
      </c>
      <c r="T780" s="58" t="str" cm="1">
        <f t="array" ref="T780">_xlfn._xlws.FILTER(Competitions[exhibition], (Fixtures[[#This Row],[competition]] = Competitions[name]), "N/A")</f>
        <v>N/A</v>
      </c>
      <c r="U780" s="58" t="str" cm="1">
        <f t="array" ref="U780">_xlfn._xlws.FILTER(Competitions[compID], (Fixtures[[#This Row],[competition]] = Competitions[name]), "N/A")</f>
        <v>N/A</v>
      </c>
      <c r="V7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0" s="58" t="str" cm="1">
        <f t="array" ref="W7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0" s="58" t="str" cm="1">
        <f t="array" ref="X780">_xlfn._xlws.FILTER(Teams[name], (Fixtures[[#This Row],[userTeamID]] = Teams[teamID]), "N/A")</f>
        <v>N/A</v>
      </c>
      <c r="Y780" s="58" t="str" cm="1">
        <f t="array" ref="Y780">_xlfn._xlws.FILTER(Teams[teamType], (Fixtures[[#This Row],[userTeamID]] = Teams[teamID]), "N/A")</f>
        <v>N/A</v>
      </c>
      <c r="Z780" s="58" t="str" cm="1">
        <f t="array" ref="Z7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0" s="58" t="str">
        <f>IF(Fixtures[[#This Row],[userSide]] = "N/A", "N/A", IF(Fixtures[[#This Row],[userSide]] = "H", Fixtures[[#This Row],[awayTeam]], Fixtures[[#This Row],[homeTeam]]))</f>
        <v>N/A</v>
      </c>
      <c r="AB780" s="58" t="str" cm="1">
        <f t="array" ref="AB780">_xlfn._xlws.FILTER(Teams[teamID], Fixtures[[#This Row],[oppTeam]] = Teams[name], "N/A")</f>
        <v>N/A</v>
      </c>
      <c r="AC780" s="58" t="str" cm="1">
        <f t="array" ref="AC780">_xlfn._xlws.FILTER(Teams[teamType], Fixtures[[#This Row],[oppTeam]] = Teams[name], "N/A")</f>
        <v>N/A</v>
      </c>
      <c r="AD780" s="58" t="str">
        <f>IF(ISBLANK(Fixtures[[#This Row],[date]]), "N/A", IF(Fixtures[[#This Row],[userSide]]="H", Fixtures[[#This Row],[homeScore]], Fixtures[[#This Row],[awayScore]]))</f>
        <v>N/A</v>
      </c>
      <c r="AE780" s="58" t="str">
        <f>IF(ISBLANK(Fixtures[[#This Row],[date]]), "N/A", IF(Fixtures[[#This Row],[userScore]] = Fixtures[[#This Row],[homeScore]], Fixtures[[#This Row],[awayScore]], Fixtures[[#This Row],[homeScore]]))</f>
        <v>N/A</v>
      </c>
      <c r="AF780" s="58" t="b">
        <f>NOT(AND(ISBLANK(Fixtures[[#This Row],[homePens]]), ISBLANK(Fixtures[[#This Row],[awayPens]])))</f>
        <v>0</v>
      </c>
      <c r="AG780" s="58" t="str">
        <f>IF(Fixtures[[#This Row],[penalties]], IF(Fixtures[[#This Row],[userSide]]="H", Fixtures[[#This Row],[homePens]], Fixtures[[#This Row],[awayPens]]), "N/A")</f>
        <v>N/A</v>
      </c>
      <c r="AH780" s="58" t="str">
        <f>IF(Fixtures[[#This Row],[penalties]], IF(Fixtures[[#This Row],[userPens]]=Fixtures[[#This Row],[homePens]],Fixtures[[#This Row],[awayPens]],Fixtures[[#This Row],[homePens]]), "N/A")</f>
        <v>N/A</v>
      </c>
      <c r="AI780" s="58" t="b">
        <f>COUNTBLANK(Fixtures[[#This Row],[G]:[MOTM]]) = 0</f>
        <v>0</v>
      </c>
      <c r="AJ780" s="58" t="str">
        <f>IF(Fixtures[[#This Row],[APP]], Fixtures[[#This Row],[G]]+Fixtures[[#This Row],[A]], "N/A")</f>
        <v>N/A</v>
      </c>
      <c r="AK7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1" spans="1:39" ht="13">
      <c r="A781" s="55"/>
      <c r="B781" s="61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7"/>
      <c r="R781" s="56"/>
      <c r="S781" s="58" t="str" cm="1">
        <f t="array" ref="S781">_xlfn._xlws.FILTER(Competitions[compType], (Fixtures[[#This Row],[competition]] = Competitions[name]), "N/A")</f>
        <v>N/A</v>
      </c>
      <c r="T781" s="58" t="str" cm="1">
        <f t="array" ref="T781">_xlfn._xlws.FILTER(Competitions[exhibition], (Fixtures[[#This Row],[competition]] = Competitions[name]), "N/A")</f>
        <v>N/A</v>
      </c>
      <c r="U781" s="58" t="str" cm="1">
        <f t="array" ref="U781">_xlfn._xlws.FILTER(Competitions[compID], (Fixtures[[#This Row],[competition]] = Competitions[name]), "N/A")</f>
        <v>N/A</v>
      </c>
      <c r="V7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1" s="58" t="str" cm="1">
        <f t="array" ref="W7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1" s="58" t="str" cm="1">
        <f t="array" ref="X781">_xlfn._xlws.FILTER(Teams[name], (Fixtures[[#This Row],[userTeamID]] = Teams[teamID]), "N/A")</f>
        <v>N/A</v>
      </c>
      <c r="Y781" s="58" t="str" cm="1">
        <f t="array" ref="Y781">_xlfn._xlws.FILTER(Teams[teamType], (Fixtures[[#This Row],[userTeamID]] = Teams[teamID]), "N/A")</f>
        <v>N/A</v>
      </c>
      <c r="Z781" s="58" t="str" cm="1">
        <f t="array" ref="Z7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1" s="58" t="str">
        <f>IF(Fixtures[[#This Row],[userSide]] = "N/A", "N/A", IF(Fixtures[[#This Row],[userSide]] = "H", Fixtures[[#This Row],[awayTeam]], Fixtures[[#This Row],[homeTeam]]))</f>
        <v>N/A</v>
      </c>
      <c r="AB781" s="58" t="str" cm="1">
        <f t="array" ref="AB781">_xlfn._xlws.FILTER(Teams[teamID], Fixtures[[#This Row],[oppTeam]] = Teams[name], "N/A")</f>
        <v>N/A</v>
      </c>
      <c r="AC781" s="58" t="str" cm="1">
        <f t="array" ref="AC781">_xlfn._xlws.FILTER(Teams[teamType], Fixtures[[#This Row],[oppTeam]] = Teams[name], "N/A")</f>
        <v>N/A</v>
      </c>
      <c r="AD781" s="58" t="str">
        <f>IF(ISBLANK(Fixtures[[#This Row],[date]]), "N/A", IF(Fixtures[[#This Row],[userSide]]="H", Fixtures[[#This Row],[homeScore]], Fixtures[[#This Row],[awayScore]]))</f>
        <v>N/A</v>
      </c>
      <c r="AE781" s="58" t="str">
        <f>IF(ISBLANK(Fixtures[[#This Row],[date]]), "N/A", IF(Fixtures[[#This Row],[userScore]] = Fixtures[[#This Row],[homeScore]], Fixtures[[#This Row],[awayScore]], Fixtures[[#This Row],[homeScore]]))</f>
        <v>N/A</v>
      </c>
      <c r="AF781" s="58" t="b">
        <f>NOT(AND(ISBLANK(Fixtures[[#This Row],[homePens]]), ISBLANK(Fixtures[[#This Row],[awayPens]])))</f>
        <v>0</v>
      </c>
      <c r="AG781" s="58" t="str">
        <f>IF(Fixtures[[#This Row],[penalties]], IF(Fixtures[[#This Row],[userSide]]="H", Fixtures[[#This Row],[homePens]], Fixtures[[#This Row],[awayPens]]), "N/A")</f>
        <v>N/A</v>
      </c>
      <c r="AH781" s="58" t="str">
        <f>IF(Fixtures[[#This Row],[penalties]], IF(Fixtures[[#This Row],[userPens]]=Fixtures[[#This Row],[homePens]],Fixtures[[#This Row],[awayPens]],Fixtures[[#This Row],[homePens]]), "N/A")</f>
        <v>N/A</v>
      </c>
      <c r="AI781" s="58" t="b">
        <f>COUNTBLANK(Fixtures[[#This Row],[G]:[MOTM]]) = 0</f>
        <v>0</v>
      </c>
      <c r="AJ781" s="58" t="str">
        <f>IF(Fixtures[[#This Row],[APP]], Fixtures[[#This Row],[G]]+Fixtures[[#This Row],[A]], "N/A")</f>
        <v>N/A</v>
      </c>
      <c r="AK7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2" spans="1:39" ht="13">
      <c r="A782" s="55"/>
      <c r="B782" s="61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7"/>
      <c r="R782" s="56"/>
      <c r="S782" s="58" t="str" cm="1">
        <f t="array" ref="S782">_xlfn._xlws.FILTER(Competitions[compType], (Fixtures[[#This Row],[competition]] = Competitions[name]), "N/A")</f>
        <v>N/A</v>
      </c>
      <c r="T782" s="58" t="str" cm="1">
        <f t="array" ref="T782">_xlfn._xlws.FILTER(Competitions[exhibition], (Fixtures[[#This Row],[competition]] = Competitions[name]), "N/A")</f>
        <v>N/A</v>
      </c>
      <c r="U782" s="58" t="str" cm="1">
        <f t="array" ref="U782">_xlfn._xlws.FILTER(Competitions[compID], (Fixtures[[#This Row],[competition]] = Competitions[name]), "N/A")</f>
        <v>N/A</v>
      </c>
      <c r="V7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2" s="58" t="str" cm="1">
        <f t="array" ref="W7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2" s="58" t="str" cm="1">
        <f t="array" ref="X782">_xlfn._xlws.FILTER(Teams[name], (Fixtures[[#This Row],[userTeamID]] = Teams[teamID]), "N/A")</f>
        <v>N/A</v>
      </c>
      <c r="Y782" s="58" t="str" cm="1">
        <f t="array" ref="Y782">_xlfn._xlws.FILTER(Teams[teamType], (Fixtures[[#This Row],[userTeamID]] = Teams[teamID]), "N/A")</f>
        <v>N/A</v>
      </c>
      <c r="Z782" s="58" t="str" cm="1">
        <f t="array" ref="Z7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2" s="58" t="str">
        <f>IF(Fixtures[[#This Row],[userSide]] = "N/A", "N/A", IF(Fixtures[[#This Row],[userSide]] = "H", Fixtures[[#This Row],[awayTeam]], Fixtures[[#This Row],[homeTeam]]))</f>
        <v>N/A</v>
      </c>
      <c r="AB782" s="58" t="str" cm="1">
        <f t="array" ref="AB782">_xlfn._xlws.FILTER(Teams[teamID], Fixtures[[#This Row],[oppTeam]] = Teams[name], "N/A")</f>
        <v>N/A</v>
      </c>
      <c r="AC782" s="58" t="str" cm="1">
        <f t="array" ref="AC782">_xlfn._xlws.FILTER(Teams[teamType], Fixtures[[#This Row],[oppTeam]] = Teams[name], "N/A")</f>
        <v>N/A</v>
      </c>
      <c r="AD782" s="58" t="str">
        <f>IF(ISBLANK(Fixtures[[#This Row],[date]]), "N/A", IF(Fixtures[[#This Row],[userSide]]="H", Fixtures[[#This Row],[homeScore]], Fixtures[[#This Row],[awayScore]]))</f>
        <v>N/A</v>
      </c>
      <c r="AE782" s="58" t="str">
        <f>IF(ISBLANK(Fixtures[[#This Row],[date]]), "N/A", IF(Fixtures[[#This Row],[userScore]] = Fixtures[[#This Row],[homeScore]], Fixtures[[#This Row],[awayScore]], Fixtures[[#This Row],[homeScore]]))</f>
        <v>N/A</v>
      </c>
      <c r="AF782" s="58" t="b">
        <f>NOT(AND(ISBLANK(Fixtures[[#This Row],[homePens]]), ISBLANK(Fixtures[[#This Row],[awayPens]])))</f>
        <v>0</v>
      </c>
      <c r="AG782" s="58" t="str">
        <f>IF(Fixtures[[#This Row],[penalties]], IF(Fixtures[[#This Row],[userSide]]="H", Fixtures[[#This Row],[homePens]], Fixtures[[#This Row],[awayPens]]), "N/A")</f>
        <v>N/A</v>
      </c>
      <c r="AH782" s="58" t="str">
        <f>IF(Fixtures[[#This Row],[penalties]], IF(Fixtures[[#This Row],[userPens]]=Fixtures[[#This Row],[homePens]],Fixtures[[#This Row],[awayPens]],Fixtures[[#This Row],[homePens]]), "N/A")</f>
        <v>N/A</v>
      </c>
      <c r="AI782" s="58" t="b">
        <f>COUNTBLANK(Fixtures[[#This Row],[G]:[MOTM]]) = 0</f>
        <v>0</v>
      </c>
      <c r="AJ782" s="58" t="str">
        <f>IF(Fixtures[[#This Row],[APP]], Fixtures[[#This Row],[G]]+Fixtures[[#This Row],[A]], "N/A")</f>
        <v>N/A</v>
      </c>
      <c r="AK7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3" spans="1:39" ht="13">
      <c r="A783" s="55"/>
      <c r="B783" s="61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7"/>
      <c r="R783" s="56"/>
      <c r="S783" s="58" t="str" cm="1">
        <f t="array" ref="S783">_xlfn._xlws.FILTER(Competitions[compType], (Fixtures[[#This Row],[competition]] = Competitions[name]), "N/A")</f>
        <v>N/A</v>
      </c>
      <c r="T783" s="58" t="str" cm="1">
        <f t="array" ref="T783">_xlfn._xlws.FILTER(Competitions[exhibition], (Fixtures[[#This Row],[competition]] = Competitions[name]), "N/A")</f>
        <v>N/A</v>
      </c>
      <c r="U783" s="58" t="str" cm="1">
        <f t="array" ref="U783">_xlfn._xlws.FILTER(Competitions[compID], (Fixtures[[#This Row],[competition]] = Competitions[name]), "N/A")</f>
        <v>N/A</v>
      </c>
      <c r="V7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3" s="58" t="str" cm="1">
        <f t="array" ref="W7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3" s="58" t="str" cm="1">
        <f t="array" ref="X783">_xlfn._xlws.FILTER(Teams[name], (Fixtures[[#This Row],[userTeamID]] = Teams[teamID]), "N/A")</f>
        <v>N/A</v>
      </c>
      <c r="Y783" s="58" t="str" cm="1">
        <f t="array" ref="Y783">_xlfn._xlws.FILTER(Teams[teamType], (Fixtures[[#This Row],[userTeamID]] = Teams[teamID]), "N/A")</f>
        <v>N/A</v>
      </c>
      <c r="Z783" s="58" t="str" cm="1">
        <f t="array" ref="Z7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3" s="58" t="str">
        <f>IF(Fixtures[[#This Row],[userSide]] = "N/A", "N/A", IF(Fixtures[[#This Row],[userSide]] = "H", Fixtures[[#This Row],[awayTeam]], Fixtures[[#This Row],[homeTeam]]))</f>
        <v>N/A</v>
      </c>
      <c r="AB783" s="58" t="str" cm="1">
        <f t="array" ref="AB783">_xlfn._xlws.FILTER(Teams[teamID], Fixtures[[#This Row],[oppTeam]] = Teams[name], "N/A")</f>
        <v>N/A</v>
      </c>
      <c r="AC783" s="58" t="str" cm="1">
        <f t="array" ref="AC783">_xlfn._xlws.FILTER(Teams[teamType], Fixtures[[#This Row],[oppTeam]] = Teams[name], "N/A")</f>
        <v>N/A</v>
      </c>
      <c r="AD783" s="58" t="str">
        <f>IF(ISBLANK(Fixtures[[#This Row],[date]]), "N/A", IF(Fixtures[[#This Row],[userSide]]="H", Fixtures[[#This Row],[homeScore]], Fixtures[[#This Row],[awayScore]]))</f>
        <v>N/A</v>
      </c>
      <c r="AE783" s="58" t="str">
        <f>IF(ISBLANK(Fixtures[[#This Row],[date]]), "N/A", IF(Fixtures[[#This Row],[userScore]] = Fixtures[[#This Row],[homeScore]], Fixtures[[#This Row],[awayScore]], Fixtures[[#This Row],[homeScore]]))</f>
        <v>N/A</v>
      </c>
      <c r="AF783" s="58" t="b">
        <f>NOT(AND(ISBLANK(Fixtures[[#This Row],[homePens]]), ISBLANK(Fixtures[[#This Row],[awayPens]])))</f>
        <v>0</v>
      </c>
      <c r="AG783" s="58" t="str">
        <f>IF(Fixtures[[#This Row],[penalties]], IF(Fixtures[[#This Row],[userSide]]="H", Fixtures[[#This Row],[homePens]], Fixtures[[#This Row],[awayPens]]), "N/A")</f>
        <v>N/A</v>
      </c>
      <c r="AH783" s="58" t="str">
        <f>IF(Fixtures[[#This Row],[penalties]], IF(Fixtures[[#This Row],[userPens]]=Fixtures[[#This Row],[homePens]],Fixtures[[#This Row],[awayPens]],Fixtures[[#This Row],[homePens]]), "N/A")</f>
        <v>N/A</v>
      </c>
      <c r="AI783" s="58" t="b">
        <f>COUNTBLANK(Fixtures[[#This Row],[G]:[MOTM]]) = 0</f>
        <v>0</v>
      </c>
      <c r="AJ783" s="58" t="str">
        <f>IF(Fixtures[[#This Row],[APP]], Fixtures[[#This Row],[G]]+Fixtures[[#This Row],[A]], "N/A")</f>
        <v>N/A</v>
      </c>
      <c r="AK7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4" spans="1:39" ht="13">
      <c r="A784" s="55"/>
      <c r="B784" s="61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7"/>
      <c r="R784" s="56"/>
      <c r="S784" s="58" t="str" cm="1">
        <f t="array" ref="S784">_xlfn._xlws.FILTER(Competitions[compType], (Fixtures[[#This Row],[competition]] = Competitions[name]), "N/A")</f>
        <v>N/A</v>
      </c>
      <c r="T784" s="58" t="str" cm="1">
        <f t="array" ref="T784">_xlfn._xlws.FILTER(Competitions[exhibition], (Fixtures[[#This Row],[competition]] = Competitions[name]), "N/A")</f>
        <v>N/A</v>
      </c>
      <c r="U784" s="58" t="str" cm="1">
        <f t="array" ref="U784">_xlfn._xlws.FILTER(Competitions[compID], (Fixtures[[#This Row],[competition]] = Competitions[name]), "N/A")</f>
        <v>N/A</v>
      </c>
      <c r="V7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4" s="58" t="str" cm="1">
        <f t="array" ref="W7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4" s="58" t="str" cm="1">
        <f t="array" ref="X784">_xlfn._xlws.FILTER(Teams[name], (Fixtures[[#This Row],[userTeamID]] = Teams[teamID]), "N/A")</f>
        <v>N/A</v>
      </c>
      <c r="Y784" s="58" t="str" cm="1">
        <f t="array" ref="Y784">_xlfn._xlws.FILTER(Teams[teamType], (Fixtures[[#This Row],[userTeamID]] = Teams[teamID]), "N/A")</f>
        <v>N/A</v>
      </c>
      <c r="Z784" s="58" t="str" cm="1">
        <f t="array" ref="Z7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4" s="58" t="str">
        <f>IF(Fixtures[[#This Row],[userSide]] = "N/A", "N/A", IF(Fixtures[[#This Row],[userSide]] = "H", Fixtures[[#This Row],[awayTeam]], Fixtures[[#This Row],[homeTeam]]))</f>
        <v>N/A</v>
      </c>
      <c r="AB784" s="58" t="str" cm="1">
        <f t="array" ref="AB784">_xlfn._xlws.FILTER(Teams[teamID], Fixtures[[#This Row],[oppTeam]] = Teams[name], "N/A")</f>
        <v>N/A</v>
      </c>
      <c r="AC784" s="58" t="str" cm="1">
        <f t="array" ref="AC784">_xlfn._xlws.FILTER(Teams[teamType], Fixtures[[#This Row],[oppTeam]] = Teams[name], "N/A")</f>
        <v>N/A</v>
      </c>
      <c r="AD784" s="58" t="str">
        <f>IF(ISBLANK(Fixtures[[#This Row],[date]]), "N/A", IF(Fixtures[[#This Row],[userSide]]="H", Fixtures[[#This Row],[homeScore]], Fixtures[[#This Row],[awayScore]]))</f>
        <v>N/A</v>
      </c>
      <c r="AE784" s="58" t="str">
        <f>IF(ISBLANK(Fixtures[[#This Row],[date]]), "N/A", IF(Fixtures[[#This Row],[userScore]] = Fixtures[[#This Row],[homeScore]], Fixtures[[#This Row],[awayScore]], Fixtures[[#This Row],[homeScore]]))</f>
        <v>N/A</v>
      </c>
      <c r="AF784" s="58" t="b">
        <f>NOT(AND(ISBLANK(Fixtures[[#This Row],[homePens]]), ISBLANK(Fixtures[[#This Row],[awayPens]])))</f>
        <v>0</v>
      </c>
      <c r="AG784" s="58" t="str">
        <f>IF(Fixtures[[#This Row],[penalties]], IF(Fixtures[[#This Row],[userSide]]="H", Fixtures[[#This Row],[homePens]], Fixtures[[#This Row],[awayPens]]), "N/A")</f>
        <v>N/A</v>
      </c>
      <c r="AH784" s="58" t="str">
        <f>IF(Fixtures[[#This Row],[penalties]], IF(Fixtures[[#This Row],[userPens]]=Fixtures[[#This Row],[homePens]],Fixtures[[#This Row],[awayPens]],Fixtures[[#This Row],[homePens]]), "N/A")</f>
        <v>N/A</v>
      </c>
      <c r="AI784" s="58" t="b">
        <f>COUNTBLANK(Fixtures[[#This Row],[G]:[MOTM]]) = 0</f>
        <v>0</v>
      </c>
      <c r="AJ784" s="58" t="str">
        <f>IF(Fixtures[[#This Row],[APP]], Fixtures[[#This Row],[G]]+Fixtures[[#This Row],[A]], "N/A")</f>
        <v>N/A</v>
      </c>
      <c r="AK7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5" spans="1:39" ht="13">
      <c r="A785" s="55"/>
      <c r="B785" s="61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7"/>
      <c r="R785" s="56"/>
      <c r="S785" s="58" t="str" cm="1">
        <f t="array" ref="S785">_xlfn._xlws.FILTER(Competitions[compType], (Fixtures[[#This Row],[competition]] = Competitions[name]), "N/A")</f>
        <v>N/A</v>
      </c>
      <c r="T785" s="58" t="str" cm="1">
        <f t="array" ref="T785">_xlfn._xlws.FILTER(Competitions[exhibition], (Fixtures[[#This Row],[competition]] = Competitions[name]), "N/A")</f>
        <v>N/A</v>
      </c>
      <c r="U785" s="58" t="str" cm="1">
        <f t="array" ref="U785">_xlfn._xlws.FILTER(Competitions[compID], (Fixtures[[#This Row],[competition]] = Competitions[name]), "N/A")</f>
        <v>N/A</v>
      </c>
      <c r="V7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5" s="58" t="str" cm="1">
        <f t="array" ref="W7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5" s="58" t="str" cm="1">
        <f t="array" ref="X785">_xlfn._xlws.FILTER(Teams[name], (Fixtures[[#This Row],[userTeamID]] = Teams[teamID]), "N/A")</f>
        <v>N/A</v>
      </c>
      <c r="Y785" s="58" t="str" cm="1">
        <f t="array" ref="Y785">_xlfn._xlws.FILTER(Teams[teamType], (Fixtures[[#This Row],[userTeamID]] = Teams[teamID]), "N/A")</f>
        <v>N/A</v>
      </c>
      <c r="Z785" s="58" t="str" cm="1">
        <f t="array" ref="Z7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5" s="58" t="str">
        <f>IF(Fixtures[[#This Row],[userSide]] = "N/A", "N/A", IF(Fixtures[[#This Row],[userSide]] = "H", Fixtures[[#This Row],[awayTeam]], Fixtures[[#This Row],[homeTeam]]))</f>
        <v>N/A</v>
      </c>
      <c r="AB785" s="58" t="str" cm="1">
        <f t="array" ref="AB785">_xlfn._xlws.FILTER(Teams[teamID], Fixtures[[#This Row],[oppTeam]] = Teams[name], "N/A")</f>
        <v>N/A</v>
      </c>
      <c r="AC785" s="58" t="str" cm="1">
        <f t="array" ref="AC785">_xlfn._xlws.FILTER(Teams[teamType], Fixtures[[#This Row],[oppTeam]] = Teams[name], "N/A")</f>
        <v>N/A</v>
      </c>
      <c r="AD785" s="58" t="str">
        <f>IF(ISBLANK(Fixtures[[#This Row],[date]]), "N/A", IF(Fixtures[[#This Row],[userSide]]="H", Fixtures[[#This Row],[homeScore]], Fixtures[[#This Row],[awayScore]]))</f>
        <v>N/A</v>
      </c>
      <c r="AE785" s="58" t="str">
        <f>IF(ISBLANK(Fixtures[[#This Row],[date]]), "N/A", IF(Fixtures[[#This Row],[userScore]] = Fixtures[[#This Row],[homeScore]], Fixtures[[#This Row],[awayScore]], Fixtures[[#This Row],[homeScore]]))</f>
        <v>N/A</v>
      </c>
      <c r="AF785" s="58" t="b">
        <f>NOT(AND(ISBLANK(Fixtures[[#This Row],[homePens]]), ISBLANK(Fixtures[[#This Row],[awayPens]])))</f>
        <v>0</v>
      </c>
      <c r="AG785" s="58" t="str">
        <f>IF(Fixtures[[#This Row],[penalties]], IF(Fixtures[[#This Row],[userSide]]="H", Fixtures[[#This Row],[homePens]], Fixtures[[#This Row],[awayPens]]), "N/A")</f>
        <v>N/A</v>
      </c>
      <c r="AH785" s="58" t="str">
        <f>IF(Fixtures[[#This Row],[penalties]], IF(Fixtures[[#This Row],[userPens]]=Fixtures[[#This Row],[homePens]],Fixtures[[#This Row],[awayPens]],Fixtures[[#This Row],[homePens]]), "N/A")</f>
        <v>N/A</v>
      </c>
      <c r="AI785" s="58" t="b">
        <f>COUNTBLANK(Fixtures[[#This Row],[G]:[MOTM]]) = 0</f>
        <v>0</v>
      </c>
      <c r="AJ785" s="58" t="str">
        <f>IF(Fixtures[[#This Row],[APP]], Fixtures[[#This Row],[G]]+Fixtures[[#This Row],[A]], "N/A")</f>
        <v>N/A</v>
      </c>
      <c r="AK7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6" spans="1:39" ht="13">
      <c r="A786" s="55"/>
      <c r="B786" s="61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7"/>
      <c r="R786" s="56"/>
      <c r="S786" s="58" t="str" cm="1">
        <f t="array" ref="S786">_xlfn._xlws.FILTER(Competitions[compType], (Fixtures[[#This Row],[competition]] = Competitions[name]), "N/A")</f>
        <v>N/A</v>
      </c>
      <c r="T786" s="58" t="str" cm="1">
        <f t="array" ref="T786">_xlfn._xlws.FILTER(Competitions[exhibition], (Fixtures[[#This Row],[competition]] = Competitions[name]), "N/A")</f>
        <v>N/A</v>
      </c>
      <c r="U786" s="58" t="str" cm="1">
        <f t="array" ref="U786">_xlfn._xlws.FILTER(Competitions[compID], (Fixtures[[#This Row],[competition]] = Competitions[name]), "N/A")</f>
        <v>N/A</v>
      </c>
      <c r="V7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6" s="58" t="str" cm="1">
        <f t="array" ref="W7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6" s="58" t="str" cm="1">
        <f t="array" ref="X786">_xlfn._xlws.FILTER(Teams[name], (Fixtures[[#This Row],[userTeamID]] = Teams[teamID]), "N/A")</f>
        <v>N/A</v>
      </c>
      <c r="Y786" s="58" t="str" cm="1">
        <f t="array" ref="Y786">_xlfn._xlws.FILTER(Teams[teamType], (Fixtures[[#This Row],[userTeamID]] = Teams[teamID]), "N/A")</f>
        <v>N/A</v>
      </c>
      <c r="Z786" s="58" t="str" cm="1">
        <f t="array" ref="Z7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6" s="58" t="str">
        <f>IF(Fixtures[[#This Row],[userSide]] = "N/A", "N/A", IF(Fixtures[[#This Row],[userSide]] = "H", Fixtures[[#This Row],[awayTeam]], Fixtures[[#This Row],[homeTeam]]))</f>
        <v>N/A</v>
      </c>
      <c r="AB786" s="58" t="str" cm="1">
        <f t="array" ref="AB786">_xlfn._xlws.FILTER(Teams[teamID], Fixtures[[#This Row],[oppTeam]] = Teams[name], "N/A")</f>
        <v>N/A</v>
      </c>
      <c r="AC786" s="58" t="str" cm="1">
        <f t="array" ref="AC786">_xlfn._xlws.FILTER(Teams[teamType], Fixtures[[#This Row],[oppTeam]] = Teams[name], "N/A")</f>
        <v>N/A</v>
      </c>
      <c r="AD786" s="58" t="str">
        <f>IF(ISBLANK(Fixtures[[#This Row],[date]]), "N/A", IF(Fixtures[[#This Row],[userSide]]="H", Fixtures[[#This Row],[homeScore]], Fixtures[[#This Row],[awayScore]]))</f>
        <v>N/A</v>
      </c>
      <c r="AE786" s="58" t="str">
        <f>IF(ISBLANK(Fixtures[[#This Row],[date]]), "N/A", IF(Fixtures[[#This Row],[userScore]] = Fixtures[[#This Row],[homeScore]], Fixtures[[#This Row],[awayScore]], Fixtures[[#This Row],[homeScore]]))</f>
        <v>N/A</v>
      </c>
      <c r="AF786" s="58" t="b">
        <f>NOT(AND(ISBLANK(Fixtures[[#This Row],[homePens]]), ISBLANK(Fixtures[[#This Row],[awayPens]])))</f>
        <v>0</v>
      </c>
      <c r="AG786" s="58" t="str">
        <f>IF(Fixtures[[#This Row],[penalties]], IF(Fixtures[[#This Row],[userSide]]="H", Fixtures[[#This Row],[homePens]], Fixtures[[#This Row],[awayPens]]), "N/A")</f>
        <v>N/A</v>
      </c>
      <c r="AH786" s="58" t="str">
        <f>IF(Fixtures[[#This Row],[penalties]], IF(Fixtures[[#This Row],[userPens]]=Fixtures[[#This Row],[homePens]],Fixtures[[#This Row],[awayPens]],Fixtures[[#This Row],[homePens]]), "N/A")</f>
        <v>N/A</v>
      </c>
      <c r="AI786" s="58" t="b">
        <f>COUNTBLANK(Fixtures[[#This Row],[G]:[MOTM]]) = 0</f>
        <v>0</v>
      </c>
      <c r="AJ786" s="58" t="str">
        <f>IF(Fixtures[[#This Row],[APP]], Fixtures[[#This Row],[G]]+Fixtures[[#This Row],[A]], "N/A")</f>
        <v>N/A</v>
      </c>
      <c r="AK7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7" spans="1:39" ht="13">
      <c r="A787" s="55"/>
      <c r="B787" s="61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7"/>
      <c r="R787" s="56"/>
      <c r="S787" s="58" t="str" cm="1">
        <f t="array" ref="S787">_xlfn._xlws.FILTER(Competitions[compType], (Fixtures[[#This Row],[competition]] = Competitions[name]), "N/A")</f>
        <v>N/A</v>
      </c>
      <c r="T787" s="58" t="str" cm="1">
        <f t="array" ref="T787">_xlfn._xlws.FILTER(Competitions[exhibition], (Fixtures[[#This Row],[competition]] = Competitions[name]), "N/A")</f>
        <v>N/A</v>
      </c>
      <c r="U787" s="58" t="str" cm="1">
        <f t="array" ref="U787">_xlfn._xlws.FILTER(Competitions[compID], (Fixtures[[#This Row],[competition]] = Competitions[name]), "N/A")</f>
        <v>N/A</v>
      </c>
      <c r="V7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7" s="58" t="str" cm="1">
        <f t="array" ref="W7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7" s="58" t="str" cm="1">
        <f t="array" ref="X787">_xlfn._xlws.FILTER(Teams[name], (Fixtures[[#This Row],[userTeamID]] = Teams[teamID]), "N/A")</f>
        <v>N/A</v>
      </c>
      <c r="Y787" s="58" t="str" cm="1">
        <f t="array" ref="Y787">_xlfn._xlws.FILTER(Teams[teamType], (Fixtures[[#This Row],[userTeamID]] = Teams[teamID]), "N/A")</f>
        <v>N/A</v>
      </c>
      <c r="Z787" s="58" t="str" cm="1">
        <f t="array" ref="Z7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7" s="58" t="str">
        <f>IF(Fixtures[[#This Row],[userSide]] = "N/A", "N/A", IF(Fixtures[[#This Row],[userSide]] = "H", Fixtures[[#This Row],[awayTeam]], Fixtures[[#This Row],[homeTeam]]))</f>
        <v>N/A</v>
      </c>
      <c r="AB787" s="58" t="str" cm="1">
        <f t="array" ref="AB787">_xlfn._xlws.FILTER(Teams[teamID], Fixtures[[#This Row],[oppTeam]] = Teams[name], "N/A")</f>
        <v>N/A</v>
      </c>
      <c r="AC787" s="58" t="str" cm="1">
        <f t="array" ref="AC787">_xlfn._xlws.FILTER(Teams[teamType], Fixtures[[#This Row],[oppTeam]] = Teams[name], "N/A")</f>
        <v>N/A</v>
      </c>
      <c r="AD787" s="58" t="str">
        <f>IF(ISBLANK(Fixtures[[#This Row],[date]]), "N/A", IF(Fixtures[[#This Row],[userSide]]="H", Fixtures[[#This Row],[homeScore]], Fixtures[[#This Row],[awayScore]]))</f>
        <v>N/A</v>
      </c>
      <c r="AE787" s="58" t="str">
        <f>IF(ISBLANK(Fixtures[[#This Row],[date]]), "N/A", IF(Fixtures[[#This Row],[userScore]] = Fixtures[[#This Row],[homeScore]], Fixtures[[#This Row],[awayScore]], Fixtures[[#This Row],[homeScore]]))</f>
        <v>N/A</v>
      </c>
      <c r="AF787" s="58" t="b">
        <f>NOT(AND(ISBLANK(Fixtures[[#This Row],[homePens]]), ISBLANK(Fixtures[[#This Row],[awayPens]])))</f>
        <v>0</v>
      </c>
      <c r="AG787" s="58" t="str">
        <f>IF(Fixtures[[#This Row],[penalties]], IF(Fixtures[[#This Row],[userSide]]="H", Fixtures[[#This Row],[homePens]], Fixtures[[#This Row],[awayPens]]), "N/A")</f>
        <v>N/A</v>
      </c>
      <c r="AH787" s="58" t="str">
        <f>IF(Fixtures[[#This Row],[penalties]], IF(Fixtures[[#This Row],[userPens]]=Fixtures[[#This Row],[homePens]],Fixtures[[#This Row],[awayPens]],Fixtures[[#This Row],[homePens]]), "N/A")</f>
        <v>N/A</v>
      </c>
      <c r="AI787" s="58" t="b">
        <f>COUNTBLANK(Fixtures[[#This Row],[G]:[MOTM]]) = 0</f>
        <v>0</v>
      </c>
      <c r="AJ787" s="58" t="str">
        <f>IF(Fixtures[[#This Row],[APP]], Fixtures[[#This Row],[G]]+Fixtures[[#This Row],[A]], "N/A")</f>
        <v>N/A</v>
      </c>
      <c r="AK7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8" spans="1:39" ht="13">
      <c r="A788" s="55"/>
      <c r="B788" s="61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7"/>
      <c r="R788" s="56"/>
      <c r="S788" s="58" t="str" cm="1">
        <f t="array" ref="S788">_xlfn._xlws.FILTER(Competitions[compType], (Fixtures[[#This Row],[competition]] = Competitions[name]), "N/A")</f>
        <v>N/A</v>
      </c>
      <c r="T788" s="58" t="str" cm="1">
        <f t="array" ref="T788">_xlfn._xlws.FILTER(Competitions[exhibition], (Fixtures[[#This Row],[competition]] = Competitions[name]), "N/A")</f>
        <v>N/A</v>
      </c>
      <c r="U788" s="58" t="str" cm="1">
        <f t="array" ref="U788">_xlfn._xlws.FILTER(Competitions[compID], (Fixtures[[#This Row],[competition]] = Competitions[name]), "N/A")</f>
        <v>N/A</v>
      </c>
      <c r="V7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8" s="58" t="str" cm="1">
        <f t="array" ref="W7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8" s="58" t="str" cm="1">
        <f t="array" ref="X788">_xlfn._xlws.FILTER(Teams[name], (Fixtures[[#This Row],[userTeamID]] = Teams[teamID]), "N/A")</f>
        <v>N/A</v>
      </c>
      <c r="Y788" s="58" t="str" cm="1">
        <f t="array" ref="Y788">_xlfn._xlws.FILTER(Teams[teamType], (Fixtures[[#This Row],[userTeamID]] = Teams[teamID]), "N/A")</f>
        <v>N/A</v>
      </c>
      <c r="Z788" s="58" t="str" cm="1">
        <f t="array" ref="Z7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8" s="58" t="str">
        <f>IF(Fixtures[[#This Row],[userSide]] = "N/A", "N/A", IF(Fixtures[[#This Row],[userSide]] = "H", Fixtures[[#This Row],[awayTeam]], Fixtures[[#This Row],[homeTeam]]))</f>
        <v>N/A</v>
      </c>
      <c r="AB788" s="58" t="str" cm="1">
        <f t="array" ref="AB788">_xlfn._xlws.FILTER(Teams[teamID], Fixtures[[#This Row],[oppTeam]] = Teams[name], "N/A")</f>
        <v>N/A</v>
      </c>
      <c r="AC788" s="58" t="str" cm="1">
        <f t="array" ref="AC788">_xlfn._xlws.FILTER(Teams[teamType], Fixtures[[#This Row],[oppTeam]] = Teams[name], "N/A")</f>
        <v>N/A</v>
      </c>
      <c r="AD788" s="58" t="str">
        <f>IF(ISBLANK(Fixtures[[#This Row],[date]]), "N/A", IF(Fixtures[[#This Row],[userSide]]="H", Fixtures[[#This Row],[homeScore]], Fixtures[[#This Row],[awayScore]]))</f>
        <v>N/A</v>
      </c>
      <c r="AE788" s="58" t="str">
        <f>IF(ISBLANK(Fixtures[[#This Row],[date]]), "N/A", IF(Fixtures[[#This Row],[userScore]] = Fixtures[[#This Row],[homeScore]], Fixtures[[#This Row],[awayScore]], Fixtures[[#This Row],[homeScore]]))</f>
        <v>N/A</v>
      </c>
      <c r="AF788" s="58" t="b">
        <f>NOT(AND(ISBLANK(Fixtures[[#This Row],[homePens]]), ISBLANK(Fixtures[[#This Row],[awayPens]])))</f>
        <v>0</v>
      </c>
      <c r="AG788" s="58" t="str">
        <f>IF(Fixtures[[#This Row],[penalties]], IF(Fixtures[[#This Row],[userSide]]="H", Fixtures[[#This Row],[homePens]], Fixtures[[#This Row],[awayPens]]), "N/A")</f>
        <v>N/A</v>
      </c>
      <c r="AH788" s="58" t="str">
        <f>IF(Fixtures[[#This Row],[penalties]], IF(Fixtures[[#This Row],[userPens]]=Fixtures[[#This Row],[homePens]],Fixtures[[#This Row],[awayPens]],Fixtures[[#This Row],[homePens]]), "N/A")</f>
        <v>N/A</v>
      </c>
      <c r="AI788" s="58" t="b">
        <f>COUNTBLANK(Fixtures[[#This Row],[G]:[MOTM]]) = 0</f>
        <v>0</v>
      </c>
      <c r="AJ788" s="58" t="str">
        <f>IF(Fixtures[[#This Row],[APP]], Fixtures[[#This Row],[G]]+Fixtures[[#This Row],[A]], "N/A")</f>
        <v>N/A</v>
      </c>
      <c r="AK7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89" spans="1:39" ht="13">
      <c r="A789" s="55"/>
      <c r="B789" s="61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7"/>
      <c r="R789" s="56"/>
      <c r="S789" s="58" t="str" cm="1">
        <f t="array" ref="S789">_xlfn._xlws.FILTER(Competitions[compType], (Fixtures[[#This Row],[competition]] = Competitions[name]), "N/A")</f>
        <v>N/A</v>
      </c>
      <c r="T789" s="58" t="str" cm="1">
        <f t="array" ref="T789">_xlfn._xlws.FILTER(Competitions[exhibition], (Fixtures[[#This Row],[competition]] = Competitions[name]), "N/A")</f>
        <v>N/A</v>
      </c>
      <c r="U789" s="58" t="str" cm="1">
        <f t="array" ref="U789">_xlfn._xlws.FILTER(Competitions[compID], (Fixtures[[#This Row],[competition]] = Competitions[name]), "N/A")</f>
        <v>N/A</v>
      </c>
      <c r="V7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89" s="58" t="str" cm="1">
        <f t="array" ref="W7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89" s="58" t="str" cm="1">
        <f t="array" ref="X789">_xlfn._xlws.FILTER(Teams[name], (Fixtures[[#This Row],[userTeamID]] = Teams[teamID]), "N/A")</f>
        <v>N/A</v>
      </c>
      <c r="Y789" s="58" t="str" cm="1">
        <f t="array" ref="Y789">_xlfn._xlws.FILTER(Teams[teamType], (Fixtures[[#This Row],[userTeamID]] = Teams[teamID]), "N/A")</f>
        <v>N/A</v>
      </c>
      <c r="Z789" s="58" t="str" cm="1">
        <f t="array" ref="Z7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89" s="58" t="str">
        <f>IF(Fixtures[[#This Row],[userSide]] = "N/A", "N/A", IF(Fixtures[[#This Row],[userSide]] = "H", Fixtures[[#This Row],[awayTeam]], Fixtures[[#This Row],[homeTeam]]))</f>
        <v>N/A</v>
      </c>
      <c r="AB789" s="58" t="str" cm="1">
        <f t="array" ref="AB789">_xlfn._xlws.FILTER(Teams[teamID], Fixtures[[#This Row],[oppTeam]] = Teams[name], "N/A")</f>
        <v>N/A</v>
      </c>
      <c r="AC789" s="58" t="str" cm="1">
        <f t="array" ref="AC789">_xlfn._xlws.FILTER(Teams[teamType], Fixtures[[#This Row],[oppTeam]] = Teams[name], "N/A")</f>
        <v>N/A</v>
      </c>
      <c r="AD789" s="58" t="str">
        <f>IF(ISBLANK(Fixtures[[#This Row],[date]]), "N/A", IF(Fixtures[[#This Row],[userSide]]="H", Fixtures[[#This Row],[homeScore]], Fixtures[[#This Row],[awayScore]]))</f>
        <v>N/A</v>
      </c>
      <c r="AE789" s="58" t="str">
        <f>IF(ISBLANK(Fixtures[[#This Row],[date]]), "N/A", IF(Fixtures[[#This Row],[userScore]] = Fixtures[[#This Row],[homeScore]], Fixtures[[#This Row],[awayScore]], Fixtures[[#This Row],[homeScore]]))</f>
        <v>N/A</v>
      </c>
      <c r="AF789" s="58" t="b">
        <f>NOT(AND(ISBLANK(Fixtures[[#This Row],[homePens]]), ISBLANK(Fixtures[[#This Row],[awayPens]])))</f>
        <v>0</v>
      </c>
      <c r="AG789" s="58" t="str">
        <f>IF(Fixtures[[#This Row],[penalties]], IF(Fixtures[[#This Row],[userSide]]="H", Fixtures[[#This Row],[homePens]], Fixtures[[#This Row],[awayPens]]), "N/A")</f>
        <v>N/A</v>
      </c>
      <c r="AH789" s="58" t="str">
        <f>IF(Fixtures[[#This Row],[penalties]], IF(Fixtures[[#This Row],[userPens]]=Fixtures[[#This Row],[homePens]],Fixtures[[#This Row],[awayPens]],Fixtures[[#This Row],[homePens]]), "N/A")</f>
        <v>N/A</v>
      </c>
      <c r="AI789" s="58" t="b">
        <f>COUNTBLANK(Fixtures[[#This Row],[G]:[MOTM]]) = 0</f>
        <v>0</v>
      </c>
      <c r="AJ789" s="58" t="str">
        <f>IF(Fixtures[[#This Row],[APP]], Fixtures[[#This Row],[G]]+Fixtures[[#This Row],[A]], "N/A")</f>
        <v>N/A</v>
      </c>
      <c r="AK7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0" spans="1:39" ht="13">
      <c r="A790" s="55"/>
      <c r="B790" s="61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7"/>
      <c r="R790" s="56"/>
      <c r="S790" s="58" t="str" cm="1">
        <f t="array" ref="S790">_xlfn._xlws.FILTER(Competitions[compType], (Fixtures[[#This Row],[competition]] = Competitions[name]), "N/A")</f>
        <v>N/A</v>
      </c>
      <c r="T790" s="58" t="str" cm="1">
        <f t="array" ref="T790">_xlfn._xlws.FILTER(Competitions[exhibition], (Fixtures[[#This Row],[competition]] = Competitions[name]), "N/A")</f>
        <v>N/A</v>
      </c>
      <c r="U790" s="58" t="str" cm="1">
        <f t="array" ref="U790">_xlfn._xlws.FILTER(Competitions[compID], (Fixtures[[#This Row],[competition]] = Competitions[name]), "N/A")</f>
        <v>N/A</v>
      </c>
      <c r="V7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0" s="58" t="str" cm="1">
        <f t="array" ref="W7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0" s="58" t="str" cm="1">
        <f t="array" ref="X790">_xlfn._xlws.FILTER(Teams[name], (Fixtures[[#This Row],[userTeamID]] = Teams[teamID]), "N/A")</f>
        <v>N/A</v>
      </c>
      <c r="Y790" s="58" t="str" cm="1">
        <f t="array" ref="Y790">_xlfn._xlws.FILTER(Teams[teamType], (Fixtures[[#This Row],[userTeamID]] = Teams[teamID]), "N/A")</f>
        <v>N/A</v>
      </c>
      <c r="Z790" s="58" t="str" cm="1">
        <f t="array" ref="Z7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0" s="58" t="str">
        <f>IF(Fixtures[[#This Row],[userSide]] = "N/A", "N/A", IF(Fixtures[[#This Row],[userSide]] = "H", Fixtures[[#This Row],[awayTeam]], Fixtures[[#This Row],[homeTeam]]))</f>
        <v>N/A</v>
      </c>
      <c r="AB790" s="58" t="str" cm="1">
        <f t="array" ref="AB790">_xlfn._xlws.FILTER(Teams[teamID], Fixtures[[#This Row],[oppTeam]] = Teams[name], "N/A")</f>
        <v>N/A</v>
      </c>
      <c r="AC790" s="58" t="str" cm="1">
        <f t="array" ref="AC790">_xlfn._xlws.FILTER(Teams[teamType], Fixtures[[#This Row],[oppTeam]] = Teams[name], "N/A")</f>
        <v>N/A</v>
      </c>
      <c r="AD790" s="58" t="str">
        <f>IF(ISBLANK(Fixtures[[#This Row],[date]]), "N/A", IF(Fixtures[[#This Row],[userSide]]="H", Fixtures[[#This Row],[homeScore]], Fixtures[[#This Row],[awayScore]]))</f>
        <v>N/A</v>
      </c>
      <c r="AE790" s="58" t="str">
        <f>IF(ISBLANK(Fixtures[[#This Row],[date]]), "N/A", IF(Fixtures[[#This Row],[userScore]] = Fixtures[[#This Row],[homeScore]], Fixtures[[#This Row],[awayScore]], Fixtures[[#This Row],[homeScore]]))</f>
        <v>N/A</v>
      </c>
      <c r="AF790" s="58" t="b">
        <f>NOT(AND(ISBLANK(Fixtures[[#This Row],[homePens]]), ISBLANK(Fixtures[[#This Row],[awayPens]])))</f>
        <v>0</v>
      </c>
      <c r="AG790" s="58" t="str">
        <f>IF(Fixtures[[#This Row],[penalties]], IF(Fixtures[[#This Row],[userSide]]="H", Fixtures[[#This Row],[homePens]], Fixtures[[#This Row],[awayPens]]), "N/A")</f>
        <v>N/A</v>
      </c>
      <c r="AH790" s="58" t="str">
        <f>IF(Fixtures[[#This Row],[penalties]], IF(Fixtures[[#This Row],[userPens]]=Fixtures[[#This Row],[homePens]],Fixtures[[#This Row],[awayPens]],Fixtures[[#This Row],[homePens]]), "N/A")</f>
        <v>N/A</v>
      </c>
      <c r="AI790" s="58" t="b">
        <f>COUNTBLANK(Fixtures[[#This Row],[G]:[MOTM]]) = 0</f>
        <v>0</v>
      </c>
      <c r="AJ790" s="58" t="str">
        <f>IF(Fixtures[[#This Row],[APP]], Fixtures[[#This Row],[G]]+Fixtures[[#This Row],[A]], "N/A")</f>
        <v>N/A</v>
      </c>
      <c r="AK7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1" spans="1:39" ht="13">
      <c r="A791" s="55"/>
      <c r="B791" s="61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7"/>
      <c r="R791" s="56"/>
      <c r="S791" s="58" t="str" cm="1">
        <f t="array" ref="S791">_xlfn._xlws.FILTER(Competitions[compType], (Fixtures[[#This Row],[competition]] = Competitions[name]), "N/A")</f>
        <v>N/A</v>
      </c>
      <c r="T791" s="58" t="str" cm="1">
        <f t="array" ref="T791">_xlfn._xlws.FILTER(Competitions[exhibition], (Fixtures[[#This Row],[competition]] = Competitions[name]), "N/A")</f>
        <v>N/A</v>
      </c>
      <c r="U791" s="58" t="str" cm="1">
        <f t="array" ref="U791">_xlfn._xlws.FILTER(Competitions[compID], (Fixtures[[#This Row],[competition]] = Competitions[name]), "N/A")</f>
        <v>N/A</v>
      </c>
      <c r="V7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1" s="58" t="str" cm="1">
        <f t="array" ref="W7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1" s="58" t="str" cm="1">
        <f t="array" ref="X791">_xlfn._xlws.FILTER(Teams[name], (Fixtures[[#This Row],[userTeamID]] = Teams[teamID]), "N/A")</f>
        <v>N/A</v>
      </c>
      <c r="Y791" s="58" t="str" cm="1">
        <f t="array" ref="Y791">_xlfn._xlws.FILTER(Teams[teamType], (Fixtures[[#This Row],[userTeamID]] = Teams[teamID]), "N/A")</f>
        <v>N/A</v>
      </c>
      <c r="Z791" s="58" t="str" cm="1">
        <f t="array" ref="Z7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1" s="58" t="str">
        <f>IF(Fixtures[[#This Row],[userSide]] = "N/A", "N/A", IF(Fixtures[[#This Row],[userSide]] = "H", Fixtures[[#This Row],[awayTeam]], Fixtures[[#This Row],[homeTeam]]))</f>
        <v>N/A</v>
      </c>
      <c r="AB791" s="58" t="str" cm="1">
        <f t="array" ref="AB791">_xlfn._xlws.FILTER(Teams[teamID], Fixtures[[#This Row],[oppTeam]] = Teams[name], "N/A")</f>
        <v>N/A</v>
      </c>
      <c r="AC791" s="58" t="str" cm="1">
        <f t="array" ref="AC791">_xlfn._xlws.FILTER(Teams[teamType], Fixtures[[#This Row],[oppTeam]] = Teams[name], "N/A")</f>
        <v>N/A</v>
      </c>
      <c r="AD791" s="58" t="str">
        <f>IF(ISBLANK(Fixtures[[#This Row],[date]]), "N/A", IF(Fixtures[[#This Row],[userSide]]="H", Fixtures[[#This Row],[homeScore]], Fixtures[[#This Row],[awayScore]]))</f>
        <v>N/A</v>
      </c>
      <c r="AE791" s="58" t="str">
        <f>IF(ISBLANK(Fixtures[[#This Row],[date]]), "N/A", IF(Fixtures[[#This Row],[userScore]] = Fixtures[[#This Row],[homeScore]], Fixtures[[#This Row],[awayScore]], Fixtures[[#This Row],[homeScore]]))</f>
        <v>N/A</v>
      </c>
      <c r="AF791" s="58" t="b">
        <f>NOT(AND(ISBLANK(Fixtures[[#This Row],[homePens]]), ISBLANK(Fixtures[[#This Row],[awayPens]])))</f>
        <v>0</v>
      </c>
      <c r="AG791" s="58" t="str">
        <f>IF(Fixtures[[#This Row],[penalties]], IF(Fixtures[[#This Row],[userSide]]="H", Fixtures[[#This Row],[homePens]], Fixtures[[#This Row],[awayPens]]), "N/A")</f>
        <v>N/A</v>
      </c>
      <c r="AH791" s="58" t="str">
        <f>IF(Fixtures[[#This Row],[penalties]], IF(Fixtures[[#This Row],[userPens]]=Fixtures[[#This Row],[homePens]],Fixtures[[#This Row],[awayPens]],Fixtures[[#This Row],[homePens]]), "N/A")</f>
        <v>N/A</v>
      </c>
      <c r="AI791" s="58" t="b">
        <f>COUNTBLANK(Fixtures[[#This Row],[G]:[MOTM]]) = 0</f>
        <v>0</v>
      </c>
      <c r="AJ791" s="58" t="str">
        <f>IF(Fixtures[[#This Row],[APP]], Fixtures[[#This Row],[G]]+Fixtures[[#This Row],[A]], "N/A")</f>
        <v>N/A</v>
      </c>
      <c r="AK7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2" spans="1:39" ht="13">
      <c r="A792" s="55"/>
      <c r="B792" s="61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7"/>
      <c r="R792" s="56"/>
      <c r="S792" s="58" t="str" cm="1">
        <f t="array" ref="S792">_xlfn._xlws.FILTER(Competitions[compType], (Fixtures[[#This Row],[competition]] = Competitions[name]), "N/A")</f>
        <v>N/A</v>
      </c>
      <c r="T792" s="58" t="str" cm="1">
        <f t="array" ref="T792">_xlfn._xlws.FILTER(Competitions[exhibition], (Fixtures[[#This Row],[competition]] = Competitions[name]), "N/A")</f>
        <v>N/A</v>
      </c>
      <c r="U792" s="58" t="str" cm="1">
        <f t="array" ref="U792">_xlfn._xlws.FILTER(Competitions[compID], (Fixtures[[#This Row],[competition]] = Competitions[name]), "N/A")</f>
        <v>N/A</v>
      </c>
      <c r="V7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2" s="58" t="str" cm="1">
        <f t="array" ref="W7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2" s="58" t="str" cm="1">
        <f t="array" ref="X792">_xlfn._xlws.FILTER(Teams[name], (Fixtures[[#This Row],[userTeamID]] = Teams[teamID]), "N/A")</f>
        <v>N/A</v>
      </c>
      <c r="Y792" s="58" t="str" cm="1">
        <f t="array" ref="Y792">_xlfn._xlws.FILTER(Teams[teamType], (Fixtures[[#This Row],[userTeamID]] = Teams[teamID]), "N/A")</f>
        <v>N/A</v>
      </c>
      <c r="Z792" s="58" t="str" cm="1">
        <f t="array" ref="Z7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2" s="58" t="str">
        <f>IF(Fixtures[[#This Row],[userSide]] = "N/A", "N/A", IF(Fixtures[[#This Row],[userSide]] = "H", Fixtures[[#This Row],[awayTeam]], Fixtures[[#This Row],[homeTeam]]))</f>
        <v>N/A</v>
      </c>
      <c r="AB792" s="58" t="str" cm="1">
        <f t="array" ref="AB792">_xlfn._xlws.FILTER(Teams[teamID], Fixtures[[#This Row],[oppTeam]] = Teams[name], "N/A")</f>
        <v>N/A</v>
      </c>
      <c r="AC792" s="58" t="str" cm="1">
        <f t="array" ref="AC792">_xlfn._xlws.FILTER(Teams[teamType], Fixtures[[#This Row],[oppTeam]] = Teams[name], "N/A")</f>
        <v>N/A</v>
      </c>
      <c r="AD792" s="58" t="str">
        <f>IF(ISBLANK(Fixtures[[#This Row],[date]]), "N/A", IF(Fixtures[[#This Row],[userSide]]="H", Fixtures[[#This Row],[homeScore]], Fixtures[[#This Row],[awayScore]]))</f>
        <v>N/A</v>
      </c>
      <c r="AE792" s="58" t="str">
        <f>IF(ISBLANK(Fixtures[[#This Row],[date]]), "N/A", IF(Fixtures[[#This Row],[userScore]] = Fixtures[[#This Row],[homeScore]], Fixtures[[#This Row],[awayScore]], Fixtures[[#This Row],[homeScore]]))</f>
        <v>N/A</v>
      </c>
      <c r="AF792" s="58" t="b">
        <f>NOT(AND(ISBLANK(Fixtures[[#This Row],[homePens]]), ISBLANK(Fixtures[[#This Row],[awayPens]])))</f>
        <v>0</v>
      </c>
      <c r="AG792" s="58" t="str">
        <f>IF(Fixtures[[#This Row],[penalties]], IF(Fixtures[[#This Row],[userSide]]="H", Fixtures[[#This Row],[homePens]], Fixtures[[#This Row],[awayPens]]), "N/A")</f>
        <v>N/A</v>
      </c>
      <c r="AH792" s="58" t="str">
        <f>IF(Fixtures[[#This Row],[penalties]], IF(Fixtures[[#This Row],[userPens]]=Fixtures[[#This Row],[homePens]],Fixtures[[#This Row],[awayPens]],Fixtures[[#This Row],[homePens]]), "N/A")</f>
        <v>N/A</v>
      </c>
      <c r="AI792" s="58" t="b">
        <f>COUNTBLANK(Fixtures[[#This Row],[G]:[MOTM]]) = 0</f>
        <v>0</v>
      </c>
      <c r="AJ792" s="58" t="str">
        <f>IF(Fixtures[[#This Row],[APP]], Fixtures[[#This Row],[G]]+Fixtures[[#This Row],[A]], "N/A")</f>
        <v>N/A</v>
      </c>
      <c r="AK7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3" spans="1:39" ht="13">
      <c r="A793" s="55"/>
      <c r="B793" s="61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7"/>
      <c r="R793" s="56"/>
      <c r="S793" s="58" t="str" cm="1">
        <f t="array" ref="S793">_xlfn._xlws.FILTER(Competitions[compType], (Fixtures[[#This Row],[competition]] = Competitions[name]), "N/A")</f>
        <v>N/A</v>
      </c>
      <c r="T793" s="58" t="str" cm="1">
        <f t="array" ref="T793">_xlfn._xlws.FILTER(Competitions[exhibition], (Fixtures[[#This Row],[competition]] = Competitions[name]), "N/A")</f>
        <v>N/A</v>
      </c>
      <c r="U793" s="58" t="str" cm="1">
        <f t="array" ref="U793">_xlfn._xlws.FILTER(Competitions[compID], (Fixtures[[#This Row],[competition]] = Competitions[name]), "N/A")</f>
        <v>N/A</v>
      </c>
      <c r="V7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3" s="58" t="str" cm="1">
        <f t="array" ref="W7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3" s="58" t="str" cm="1">
        <f t="array" ref="X793">_xlfn._xlws.FILTER(Teams[name], (Fixtures[[#This Row],[userTeamID]] = Teams[teamID]), "N/A")</f>
        <v>N/A</v>
      </c>
      <c r="Y793" s="58" t="str" cm="1">
        <f t="array" ref="Y793">_xlfn._xlws.FILTER(Teams[teamType], (Fixtures[[#This Row],[userTeamID]] = Teams[teamID]), "N/A")</f>
        <v>N/A</v>
      </c>
      <c r="Z793" s="58" t="str" cm="1">
        <f t="array" ref="Z7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3" s="58" t="str">
        <f>IF(Fixtures[[#This Row],[userSide]] = "N/A", "N/A", IF(Fixtures[[#This Row],[userSide]] = "H", Fixtures[[#This Row],[awayTeam]], Fixtures[[#This Row],[homeTeam]]))</f>
        <v>N/A</v>
      </c>
      <c r="AB793" s="58" t="str" cm="1">
        <f t="array" ref="AB793">_xlfn._xlws.FILTER(Teams[teamID], Fixtures[[#This Row],[oppTeam]] = Teams[name], "N/A")</f>
        <v>N/A</v>
      </c>
      <c r="AC793" s="58" t="str" cm="1">
        <f t="array" ref="AC793">_xlfn._xlws.FILTER(Teams[teamType], Fixtures[[#This Row],[oppTeam]] = Teams[name], "N/A")</f>
        <v>N/A</v>
      </c>
      <c r="AD793" s="58" t="str">
        <f>IF(ISBLANK(Fixtures[[#This Row],[date]]), "N/A", IF(Fixtures[[#This Row],[userSide]]="H", Fixtures[[#This Row],[homeScore]], Fixtures[[#This Row],[awayScore]]))</f>
        <v>N/A</v>
      </c>
      <c r="AE793" s="58" t="str">
        <f>IF(ISBLANK(Fixtures[[#This Row],[date]]), "N/A", IF(Fixtures[[#This Row],[userScore]] = Fixtures[[#This Row],[homeScore]], Fixtures[[#This Row],[awayScore]], Fixtures[[#This Row],[homeScore]]))</f>
        <v>N/A</v>
      </c>
      <c r="AF793" s="58" t="b">
        <f>NOT(AND(ISBLANK(Fixtures[[#This Row],[homePens]]), ISBLANK(Fixtures[[#This Row],[awayPens]])))</f>
        <v>0</v>
      </c>
      <c r="AG793" s="58" t="str">
        <f>IF(Fixtures[[#This Row],[penalties]], IF(Fixtures[[#This Row],[userSide]]="H", Fixtures[[#This Row],[homePens]], Fixtures[[#This Row],[awayPens]]), "N/A")</f>
        <v>N/A</v>
      </c>
      <c r="AH793" s="58" t="str">
        <f>IF(Fixtures[[#This Row],[penalties]], IF(Fixtures[[#This Row],[userPens]]=Fixtures[[#This Row],[homePens]],Fixtures[[#This Row],[awayPens]],Fixtures[[#This Row],[homePens]]), "N/A")</f>
        <v>N/A</v>
      </c>
      <c r="AI793" s="58" t="b">
        <f>COUNTBLANK(Fixtures[[#This Row],[G]:[MOTM]]) = 0</f>
        <v>0</v>
      </c>
      <c r="AJ793" s="58" t="str">
        <f>IF(Fixtures[[#This Row],[APP]], Fixtures[[#This Row],[G]]+Fixtures[[#This Row],[A]], "N/A")</f>
        <v>N/A</v>
      </c>
      <c r="AK7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4" spans="1:39" ht="13">
      <c r="A794" s="55"/>
      <c r="B794" s="61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7"/>
      <c r="R794" s="56"/>
      <c r="S794" s="58" t="str" cm="1">
        <f t="array" ref="S794">_xlfn._xlws.FILTER(Competitions[compType], (Fixtures[[#This Row],[competition]] = Competitions[name]), "N/A")</f>
        <v>N/A</v>
      </c>
      <c r="T794" s="58" t="str" cm="1">
        <f t="array" ref="T794">_xlfn._xlws.FILTER(Competitions[exhibition], (Fixtures[[#This Row],[competition]] = Competitions[name]), "N/A")</f>
        <v>N/A</v>
      </c>
      <c r="U794" s="58" t="str" cm="1">
        <f t="array" ref="U794">_xlfn._xlws.FILTER(Competitions[compID], (Fixtures[[#This Row],[competition]] = Competitions[name]), "N/A")</f>
        <v>N/A</v>
      </c>
      <c r="V7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4" s="58" t="str" cm="1">
        <f t="array" ref="W7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4" s="58" t="str" cm="1">
        <f t="array" ref="X794">_xlfn._xlws.FILTER(Teams[name], (Fixtures[[#This Row],[userTeamID]] = Teams[teamID]), "N/A")</f>
        <v>N/A</v>
      </c>
      <c r="Y794" s="58" t="str" cm="1">
        <f t="array" ref="Y794">_xlfn._xlws.FILTER(Teams[teamType], (Fixtures[[#This Row],[userTeamID]] = Teams[teamID]), "N/A")</f>
        <v>N/A</v>
      </c>
      <c r="Z794" s="58" t="str" cm="1">
        <f t="array" ref="Z7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4" s="58" t="str">
        <f>IF(Fixtures[[#This Row],[userSide]] = "N/A", "N/A", IF(Fixtures[[#This Row],[userSide]] = "H", Fixtures[[#This Row],[awayTeam]], Fixtures[[#This Row],[homeTeam]]))</f>
        <v>N/A</v>
      </c>
      <c r="AB794" s="58" t="str" cm="1">
        <f t="array" ref="AB794">_xlfn._xlws.FILTER(Teams[teamID], Fixtures[[#This Row],[oppTeam]] = Teams[name], "N/A")</f>
        <v>N/A</v>
      </c>
      <c r="AC794" s="58" t="str" cm="1">
        <f t="array" ref="AC794">_xlfn._xlws.FILTER(Teams[teamType], Fixtures[[#This Row],[oppTeam]] = Teams[name], "N/A")</f>
        <v>N/A</v>
      </c>
      <c r="AD794" s="58" t="str">
        <f>IF(ISBLANK(Fixtures[[#This Row],[date]]), "N/A", IF(Fixtures[[#This Row],[userSide]]="H", Fixtures[[#This Row],[homeScore]], Fixtures[[#This Row],[awayScore]]))</f>
        <v>N/A</v>
      </c>
      <c r="AE794" s="58" t="str">
        <f>IF(ISBLANK(Fixtures[[#This Row],[date]]), "N/A", IF(Fixtures[[#This Row],[userScore]] = Fixtures[[#This Row],[homeScore]], Fixtures[[#This Row],[awayScore]], Fixtures[[#This Row],[homeScore]]))</f>
        <v>N/A</v>
      </c>
      <c r="AF794" s="58" t="b">
        <f>NOT(AND(ISBLANK(Fixtures[[#This Row],[homePens]]), ISBLANK(Fixtures[[#This Row],[awayPens]])))</f>
        <v>0</v>
      </c>
      <c r="AG794" s="58" t="str">
        <f>IF(Fixtures[[#This Row],[penalties]], IF(Fixtures[[#This Row],[userSide]]="H", Fixtures[[#This Row],[homePens]], Fixtures[[#This Row],[awayPens]]), "N/A")</f>
        <v>N/A</v>
      </c>
      <c r="AH794" s="58" t="str">
        <f>IF(Fixtures[[#This Row],[penalties]], IF(Fixtures[[#This Row],[userPens]]=Fixtures[[#This Row],[homePens]],Fixtures[[#This Row],[awayPens]],Fixtures[[#This Row],[homePens]]), "N/A")</f>
        <v>N/A</v>
      </c>
      <c r="AI794" s="58" t="b">
        <f>COUNTBLANK(Fixtures[[#This Row],[G]:[MOTM]]) = 0</f>
        <v>0</v>
      </c>
      <c r="AJ794" s="58" t="str">
        <f>IF(Fixtures[[#This Row],[APP]], Fixtures[[#This Row],[G]]+Fixtures[[#This Row],[A]], "N/A")</f>
        <v>N/A</v>
      </c>
      <c r="AK7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5" spans="1:39" ht="13">
      <c r="A795" s="55"/>
      <c r="B795" s="61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7"/>
      <c r="R795" s="56"/>
      <c r="S795" s="58" t="str" cm="1">
        <f t="array" ref="S795">_xlfn._xlws.FILTER(Competitions[compType], (Fixtures[[#This Row],[competition]] = Competitions[name]), "N/A")</f>
        <v>N/A</v>
      </c>
      <c r="T795" s="58" t="str" cm="1">
        <f t="array" ref="T795">_xlfn._xlws.FILTER(Competitions[exhibition], (Fixtures[[#This Row],[competition]] = Competitions[name]), "N/A")</f>
        <v>N/A</v>
      </c>
      <c r="U795" s="58" t="str" cm="1">
        <f t="array" ref="U795">_xlfn._xlws.FILTER(Competitions[compID], (Fixtures[[#This Row],[competition]] = Competitions[name]), "N/A")</f>
        <v>N/A</v>
      </c>
      <c r="V7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5" s="58" t="str" cm="1">
        <f t="array" ref="W7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5" s="58" t="str" cm="1">
        <f t="array" ref="X795">_xlfn._xlws.FILTER(Teams[name], (Fixtures[[#This Row],[userTeamID]] = Teams[teamID]), "N/A")</f>
        <v>N/A</v>
      </c>
      <c r="Y795" s="58" t="str" cm="1">
        <f t="array" ref="Y795">_xlfn._xlws.FILTER(Teams[teamType], (Fixtures[[#This Row],[userTeamID]] = Teams[teamID]), "N/A")</f>
        <v>N/A</v>
      </c>
      <c r="Z795" s="58" t="str" cm="1">
        <f t="array" ref="Z7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5" s="58" t="str">
        <f>IF(Fixtures[[#This Row],[userSide]] = "N/A", "N/A", IF(Fixtures[[#This Row],[userSide]] = "H", Fixtures[[#This Row],[awayTeam]], Fixtures[[#This Row],[homeTeam]]))</f>
        <v>N/A</v>
      </c>
      <c r="AB795" s="58" t="str" cm="1">
        <f t="array" ref="AB795">_xlfn._xlws.FILTER(Teams[teamID], Fixtures[[#This Row],[oppTeam]] = Teams[name], "N/A")</f>
        <v>N/A</v>
      </c>
      <c r="AC795" s="58" t="str" cm="1">
        <f t="array" ref="AC795">_xlfn._xlws.FILTER(Teams[teamType], Fixtures[[#This Row],[oppTeam]] = Teams[name], "N/A")</f>
        <v>N/A</v>
      </c>
      <c r="AD795" s="58" t="str">
        <f>IF(ISBLANK(Fixtures[[#This Row],[date]]), "N/A", IF(Fixtures[[#This Row],[userSide]]="H", Fixtures[[#This Row],[homeScore]], Fixtures[[#This Row],[awayScore]]))</f>
        <v>N/A</v>
      </c>
      <c r="AE795" s="58" t="str">
        <f>IF(ISBLANK(Fixtures[[#This Row],[date]]), "N/A", IF(Fixtures[[#This Row],[userScore]] = Fixtures[[#This Row],[homeScore]], Fixtures[[#This Row],[awayScore]], Fixtures[[#This Row],[homeScore]]))</f>
        <v>N/A</v>
      </c>
      <c r="AF795" s="58" t="b">
        <f>NOT(AND(ISBLANK(Fixtures[[#This Row],[homePens]]), ISBLANK(Fixtures[[#This Row],[awayPens]])))</f>
        <v>0</v>
      </c>
      <c r="AG795" s="58" t="str">
        <f>IF(Fixtures[[#This Row],[penalties]], IF(Fixtures[[#This Row],[userSide]]="H", Fixtures[[#This Row],[homePens]], Fixtures[[#This Row],[awayPens]]), "N/A")</f>
        <v>N/A</v>
      </c>
      <c r="AH795" s="58" t="str">
        <f>IF(Fixtures[[#This Row],[penalties]], IF(Fixtures[[#This Row],[userPens]]=Fixtures[[#This Row],[homePens]],Fixtures[[#This Row],[awayPens]],Fixtures[[#This Row],[homePens]]), "N/A")</f>
        <v>N/A</v>
      </c>
      <c r="AI795" s="58" t="b">
        <f>COUNTBLANK(Fixtures[[#This Row],[G]:[MOTM]]) = 0</f>
        <v>0</v>
      </c>
      <c r="AJ795" s="58" t="str">
        <f>IF(Fixtures[[#This Row],[APP]], Fixtures[[#This Row],[G]]+Fixtures[[#This Row],[A]], "N/A")</f>
        <v>N/A</v>
      </c>
      <c r="AK7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6" spans="1:39" ht="13">
      <c r="A796" s="55"/>
      <c r="B796" s="61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7"/>
      <c r="R796" s="56"/>
      <c r="S796" s="58" t="str" cm="1">
        <f t="array" ref="S796">_xlfn._xlws.FILTER(Competitions[compType], (Fixtures[[#This Row],[competition]] = Competitions[name]), "N/A")</f>
        <v>N/A</v>
      </c>
      <c r="T796" s="58" t="str" cm="1">
        <f t="array" ref="T796">_xlfn._xlws.FILTER(Competitions[exhibition], (Fixtures[[#This Row],[competition]] = Competitions[name]), "N/A")</f>
        <v>N/A</v>
      </c>
      <c r="U796" s="58" t="str" cm="1">
        <f t="array" ref="U796">_xlfn._xlws.FILTER(Competitions[compID], (Fixtures[[#This Row],[competition]] = Competitions[name]), "N/A")</f>
        <v>N/A</v>
      </c>
      <c r="V7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6" s="58" t="str" cm="1">
        <f t="array" ref="W7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6" s="58" t="str" cm="1">
        <f t="array" ref="X796">_xlfn._xlws.FILTER(Teams[name], (Fixtures[[#This Row],[userTeamID]] = Teams[teamID]), "N/A")</f>
        <v>N/A</v>
      </c>
      <c r="Y796" s="58" t="str" cm="1">
        <f t="array" ref="Y796">_xlfn._xlws.FILTER(Teams[teamType], (Fixtures[[#This Row],[userTeamID]] = Teams[teamID]), "N/A")</f>
        <v>N/A</v>
      </c>
      <c r="Z796" s="58" t="str" cm="1">
        <f t="array" ref="Z7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6" s="58" t="str">
        <f>IF(Fixtures[[#This Row],[userSide]] = "N/A", "N/A", IF(Fixtures[[#This Row],[userSide]] = "H", Fixtures[[#This Row],[awayTeam]], Fixtures[[#This Row],[homeTeam]]))</f>
        <v>N/A</v>
      </c>
      <c r="AB796" s="58" t="str" cm="1">
        <f t="array" ref="AB796">_xlfn._xlws.FILTER(Teams[teamID], Fixtures[[#This Row],[oppTeam]] = Teams[name], "N/A")</f>
        <v>N/A</v>
      </c>
      <c r="AC796" s="58" t="str" cm="1">
        <f t="array" ref="AC796">_xlfn._xlws.FILTER(Teams[teamType], Fixtures[[#This Row],[oppTeam]] = Teams[name], "N/A")</f>
        <v>N/A</v>
      </c>
      <c r="AD796" s="58" t="str">
        <f>IF(ISBLANK(Fixtures[[#This Row],[date]]), "N/A", IF(Fixtures[[#This Row],[userSide]]="H", Fixtures[[#This Row],[homeScore]], Fixtures[[#This Row],[awayScore]]))</f>
        <v>N/A</v>
      </c>
      <c r="AE796" s="58" t="str">
        <f>IF(ISBLANK(Fixtures[[#This Row],[date]]), "N/A", IF(Fixtures[[#This Row],[userScore]] = Fixtures[[#This Row],[homeScore]], Fixtures[[#This Row],[awayScore]], Fixtures[[#This Row],[homeScore]]))</f>
        <v>N/A</v>
      </c>
      <c r="AF796" s="58" t="b">
        <f>NOT(AND(ISBLANK(Fixtures[[#This Row],[homePens]]), ISBLANK(Fixtures[[#This Row],[awayPens]])))</f>
        <v>0</v>
      </c>
      <c r="AG796" s="58" t="str">
        <f>IF(Fixtures[[#This Row],[penalties]], IF(Fixtures[[#This Row],[userSide]]="H", Fixtures[[#This Row],[homePens]], Fixtures[[#This Row],[awayPens]]), "N/A")</f>
        <v>N/A</v>
      </c>
      <c r="AH796" s="58" t="str">
        <f>IF(Fixtures[[#This Row],[penalties]], IF(Fixtures[[#This Row],[userPens]]=Fixtures[[#This Row],[homePens]],Fixtures[[#This Row],[awayPens]],Fixtures[[#This Row],[homePens]]), "N/A")</f>
        <v>N/A</v>
      </c>
      <c r="AI796" s="58" t="b">
        <f>COUNTBLANK(Fixtures[[#This Row],[G]:[MOTM]]) = 0</f>
        <v>0</v>
      </c>
      <c r="AJ796" s="58" t="str">
        <f>IF(Fixtures[[#This Row],[APP]], Fixtures[[#This Row],[G]]+Fixtures[[#This Row],[A]], "N/A")</f>
        <v>N/A</v>
      </c>
      <c r="AK7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7" spans="1:39" ht="13">
      <c r="A797" s="55"/>
      <c r="B797" s="61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7"/>
      <c r="R797" s="56"/>
      <c r="S797" s="58" t="str" cm="1">
        <f t="array" ref="S797">_xlfn._xlws.FILTER(Competitions[compType], (Fixtures[[#This Row],[competition]] = Competitions[name]), "N/A")</f>
        <v>N/A</v>
      </c>
      <c r="T797" s="58" t="str" cm="1">
        <f t="array" ref="T797">_xlfn._xlws.FILTER(Competitions[exhibition], (Fixtures[[#This Row],[competition]] = Competitions[name]), "N/A")</f>
        <v>N/A</v>
      </c>
      <c r="U797" s="58" t="str" cm="1">
        <f t="array" ref="U797">_xlfn._xlws.FILTER(Competitions[compID], (Fixtures[[#This Row],[competition]] = Competitions[name]), "N/A")</f>
        <v>N/A</v>
      </c>
      <c r="V7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7" s="58" t="str" cm="1">
        <f t="array" ref="W7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7" s="58" t="str" cm="1">
        <f t="array" ref="X797">_xlfn._xlws.FILTER(Teams[name], (Fixtures[[#This Row],[userTeamID]] = Teams[teamID]), "N/A")</f>
        <v>N/A</v>
      </c>
      <c r="Y797" s="58" t="str" cm="1">
        <f t="array" ref="Y797">_xlfn._xlws.FILTER(Teams[teamType], (Fixtures[[#This Row],[userTeamID]] = Teams[teamID]), "N/A")</f>
        <v>N/A</v>
      </c>
      <c r="Z797" s="58" t="str" cm="1">
        <f t="array" ref="Z7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7" s="58" t="str">
        <f>IF(Fixtures[[#This Row],[userSide]] = "N/A", "N/A", IF(Fixtures[[#This Row],[userSide]] = "H", Fixtures[[#This Row],[awayTeam]], Fixtures[[#This Row],[homeTeam]]))</f>
        <v>N/A</v>
      </c>
      <c r="AB797" s="58" t="str" cm="1">
        <f t="array" ref="AB797">_xlfn._xlws.FILTER(Teams[teamID], Fixtures[[#This Row],[oppTeam]] = Teams[name], "N/A")</f>
        <v>N/A</v>
      </c>
      <c r="AC797" s="58" t="str" cm="1">
        <f t="array" ref="AC797">_xlfn._xlws.FILTER(Teams[teamType], Fixtures[[#This Row],[oppTeam]] = Teams[name], "N/A")</f>
        <v>N/A</v>
      </c>
      <c r="AD797" s="58" t="str">
        <f>IF(ISBLANK(Fixtures[[#This Row],[date]]), "N/A", IF(Fixtures[[#This Row],[userSide]]="H", Fixtures[[#This Row],[homeScore]], Fixtures[[#This Row],[awayScore]]))</f>
        <v>N/A</v>
      </c>
      <c r="AE797" s="58" t="str">
        <f>IF(ISBLANK(Fixtures[[#This Row],[date]]), "N/A", IF(Fixtures[[#This Row],[userScore]] = Fixtures[[#This Row],[homeScore]], Fixtures[[#This Row],[awayScore]], Fixtures[[#This Row],[homeScore]]))</f>
        <v>N/A</v>
      </c>
      <c r="AF797" s="58" t="b">
        <f>NOT(AND(ISBLANK(Fixtures[[#This Row],[homePens]]), ISBLANK(Fixtures[[#This Row],[awayPens]])))</f>
        <v>0</v>
      </c>
      <c r="AG797" s="58" t="str">
        <f>IF(Fixtures[[#This Row],[penalties]], IF(Fixtures[[#This Row],[userSide]]="H", Fixtures[[#This Row],[homePens]], Fixtures[[#This Row],[awayPens]]), "N/A")</f>
        <v>N/A</v>
      </c>
      <c r="AH797" s="58" t="str">
        <f>IF(Fixtures[[#This Row],[penalties]], IF(Fixtures[[#This Row],[userPens]]=Fixtures[[#This Row],[homePens]],Fixtures[[#This Row],[awayPens]],Fixtures[[#This Row],[homePens]]), "N/A")</f>
        <v>N/A</v>
      </c>
      <c r="AI797" s="58" t="b">
        <f>COUNTBLANK(Fixtures[[#This Row],[G]:[MOTM]]) = 0</f>
        <v>0</v>
      </c>
      <c r="AJ797" s="58" t="str">
        <f>IF(Fixtures[[#This Row],[APP]], Fixtures[[#This Row],[G]]+Fixtures[[#This Row],[A]], "N/A")</f>
        <v>N/A</v>
      </c>
      <c r="AK7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8" spans="1:39" ht="13">
      <c r="A798" s="55"/>
      <c r="B798" s="61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7"/>
      <c r="R798" s="56"/>
      <c r="S798" s="58" t="str" cm="1">
        <f t="array" ref="S798">_xlfn._xlws.FILTER(Competitions[compType], (Fixtures[[#This Row],[competition]] = Competitions[name]), "N/A")</f>
        <v>N/A</v>
      </c>
      <c r="T798" s="58" t="str" cm="1">
        <f t="array" ref="T798">_xlfn._xlws.FILTER(Competitions[exhibition], (Fixtures[[#This Row],[competition]] = Competitions[name]), "N/A")</f>
        <v>N/A</v>
      </c>
      <c r="U798" s="58" t="str" cm="1">
        <f t="array" ref="U798">_xlfn._xlws.FILTER(Competitions[compID], (Fixtures[[#This Row],[competition]] = Competitions[name]), "N/A")</f>
        <v>N/A</v>
      </c>
      <c r="V7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8" s="58" t="str" cm="1">
        <f t="array" ref="W7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8" s="58" t="str" cm="1">
        <f t="array" ref="X798">_xlfn._xlws.FILTER(Teams[name], (Fixtures[[#This Row],[userTeamID]] = Teams[teamID]), "N/A")</f>
        <v>N/A</v>
      </c>
      <c r="Y798" s="58" t="str" cm="1">
        <f t="array" ref="Y798">_xlfn._xlws.FILTER(Teams[teamType], (Fixtures[[#This Row],[userTeamID]] = Teams[teamID]), "N/A")</f>
        <v>N/A</v>
      </c>
      <c r="Z798" s="58" t="str" cm="1">
        <f t="array" ref="Z7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8" s="58" t="str">
        <f>IF(Fixtures[[#This Row],[userSide]] = "N/A", "N/A", IF(Fixtures[[#This Row],[userSide]] = "H", Fixtures[[#This Row],[awayTeam]], Fixtures[[#This Row],[homeTeam]]))</f>
        <v>N/A</v>
      </c>
      <c r="AB798" s="58" t="str" cm="1">
        <f t="array" ref="AB798">_xlfn._xlws.FILTER(Teams[teamID], Fixtures[[#This Row],[oppTeam]] = Teams[name], "N/A")</f>
        <v>N/A</v>
      </c>
      <c r="AC798" s="58" t="str" cm="1">
        <f t="array" ref="AC798">_xlfn._xlws.FILTER(Teams[teamType], Fixtures[[#This Row],[oppTeam]] = Teams[name], "N/A")</f>
        <v>N/A</v>
      </c>
      <c r="AD798" s="58" t="str">
        <f>IF(ISBLANK(Fixtures[[#This Row],[date]]), "N/A", IF(Fixtures[[#This Row],[userSide]]="H", Fixtures[[#This Row],[homeScore]], Fixtures[[#This Row],[awayScore]]))</f>
        <v>N/A</v>
      </c>
      <c r="AE798" s="58" t="str">
        <f>IF(ISBLANK(Fixtures[[#This Row],[date]]), "N/A", IF(Fixtures[[#This Row],[userScore]] = Fixtures[[#This Row],[homeScore]], Fixtures[[#This Row],[awayScore]], Fixtures[[#This Row],[homeScore]]))</f>
        <v>N/A</v>
      </c>
      <c r="AF798" s="58" t="b">
        <f>NOT(AND(ISBLANK(Fixtures[[#This Row],[homePens]]), ISBLANK(Fixtures[[#This Row],[awayPens]])))</f>
        <v>0</v>
      </c>
      <c r="AG798" s="58" t="str">
        <f>IF(Fixtures[[#This Row],[penalties]], IF(Fixtures[[#This Row],[userSide]]="H", Fixtures[[#This Row],[homePens]], Fixtures[[#This Row],[awayPens]]), "N/A")</f>
        <v>N/A</v>
      </c>
      <c r="AH798" s="58" t="str">
        <f>IF(Fixtures[[#This Row],[penalties]], IF(Fixtures[[#This Row],[userPens]]=Fixtures[[#This Row],[homePens]],Fixtures[[#This Row],[awayPens]],Fixtures[[#This Row],[homePens]]), "N/A")</f>
        <v>N/A</v>
      </c>
      <c r="AI798" s="58" t="b">
        <f>COUNTBLANK(Fixtures[[#This Row],[G]:[MOTM]]) = 0</f>
        <v>0</v>
      </c>
      <c r="AJ798" s="58" t="str">
        <f>IF(Fixtures[[#This Row],[APP]], Fixtures[[#This Row],[G]]+Fixtures[[#This Row],[A]], "N/A")</f>
        <v>N/A</v>
      </c>
      <c r="AK7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799" spans="1:39" ht="13">
      <c r="A799" s="55"/>
      <c r="B799" s="61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7"/>
      <c r="R799" s="56"/>
      <c r="S799" s="58" t="str" cm="1">
        <f t="array" ref="S799">_xlfn._xlws.FILTER(Competitions[compType], (Fixtures[[#This Row],[competition]] = Competitions[name]), "N/A")</f>
        <v>N/A</v>
      </c>
      <c r="T799" s="58" t="str" cm="1">
        <f t="array" ref="T799">_xlfn._xlws.FILTER(Competitions[exhibition], (Fixtures[[#This Row],[competition]] = Competitions[name]), "N/A")</f>
        <v>N/A</v>
      </c>
      <c r="U799" s="58" t="str" cm="1">
        <f t="array" ref="U799">_xlfn._xlws.FILTER(Competitions[compID], (Fixtures[[#This Row],[competition]] = Competitions[name]), "N/A")</f>
        <v>N/A</v>
      </c>
      <c r="V7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799" s="58" t="str" cm="1">
        <f t="array" ref="W7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799" s="58" t="str" cm="1">
        <f t="array" ref="X799">_xlfn._xlws.FILTER(Teams[name], (Fixtures[[#This Row],[userTeamID]] = Teams[teamID]), "N/A")</f>
        <v>N/A</v>
      </c>
      <c r="Y799" s="58" t="str" cm="1">
        <f t="array" ref="Y799">_xlfn._xlws.FILTER(Teams[teamType], (Fixtures[[#This Row],[userTeamID]] = Teams[teamID]), "N/A")</f>
        <v>N/A</v>
      </c>
      <c r="Z799" s="58" t="str" cm="1">
        <f t="array" ref="Z7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799" s="58" t="str">
        <f>IF(Fixtures[[#This Row],[userSide]] = "N/A", "N/A", IF(Fixtures[[#This Row],[userSide]] = "H", Fixtures[[#This Row],[awayTeam]], Fixtures[[#This Row],[homeTeam]]))</f>
        <v>N/A</v>
      </c>
      <c r="AB799" s="58" t="str" cm="1">
        <f t="array" ref="AB799">_xlfn._xlws.FILTER(Teams[teamID], Fixtures[[#This Row],[oppTeam]] = Teams[name], "N/A")</f>
        <v>N/A</v>
      </c>
      <c r="AC799" s="58" t="str" cm="1">
        <f t="array" ref="AC799">_xlfn._xlws.FILTER(Teams[teamType], Fixtures[[#This Row],[oppTeam]] = Teams[name], "N/A")</f>
        <v>N/A</v>
      </c>
      <c r="AD799" s="58" t="str">
        <f>IF(ISBLANK(Fixtures[[#This Row],[date]]), "N/A", IF(Fixtures[[#This Row],[userSide]]="H", Fixtures[[#This Row],[homeScore]], Fixtures[[#This Row],[awayScore]]))</f>
        <v>N/A</v>
      </c>
      <c r="AE799" s="58" t="str">
        <f>IF(ISBLANK(Fixtures[[#This Row],[date]]), "N/A", IF(Fixtures[[#This Row],[userScore]] = Fixtures[[#This Row],[homeScore]], Fixtures[[#This Row],[awayScore]], Fixtures[[#This Row],[homeScore]]))</f>
        <v>N/A</v>
      </c>
      <c r="AF799" s="58" t="b">
        <f>NOT(AND(ISBLANK(Fixtures[[#This Row],[homePens]]), ISBLANK(Fixtures[[#This Row],[awayPens]])))</f>
        <v>0</v>
      </c>
      <c r="AG799" s="58" t="str">
        <f>IF(Fixtures[[#This Row],[penalties]], IF(Fixtures[[#This Row],[userSide]]="H", Fixtures[[#This Row],[homePens]], Fixtures[[#This Row],[awayPens]]), "N/A")</f>
        <v>N/A</v>
      </c>
      <c r="AH799" s="58" t="str">
        <f>IF(Fixtures[[#This Row],[penalties]], IF(Fixtures[[#This Row],[userPens]]=Fixtures[[#This Row],[homePens]],Fixtures[[#This Row],[awayPens]],Fixtures[[#This Row],[homePens]]), "N/A")</f>
        <v>N/A</v>
      </c>
      <c r="AI799" s="58" t="b">
        <f>COUNTBLANK(Fixtures[[#This Row],[G]:[MOTM]]) = 0</f>
        <v>0</v>
      </c>
      <c r="AJ799" s="58" t="str">
        <f>IF(Fixtures[[#This Row],[APP]], Fixtures[[#This Row],[G]]+Fixtures[[#This Row],[A]], "N/A")</f>
        <v>N/A</v>
      </c>
      <c r="AK7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7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7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0" spans="1:39" ht="13">
      <c r="A800" s="55"/>
      <c r="B800" s="61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7"/>
      <c r="R800" s="56"/>
      <c r="S800" s="58" t="str" cm="1">
        <f t="array" ref="S800">_xlfn._xlws.FILTER(Competitions[compType], (Fixtures[[#This Row],[competition]] = Competitions[name]), "N/A")</f>
        <v>N/A</v>
      </c>
      <c r="T800" s="58" t="str" cm="1">
        <f t="array" ref="T800">_xlfn._xlws.FILTER(Competitions[exhibition], (Fixtures[[#This Row],[competition]] = Competitions[name]), "N/A")</f>
        <v>N/A</v>
      </c>
      <c r="U800" s="58" t="str" cm="1">
        <f t="array" ref="U800">_xlfn._xlws.FILTER(Competitions[compID], (Fixtures[[#This Row],[competition]] = Competitions[name]), "N/A")</f>
        <v>N/A</v>
      </c>
      <c r="V8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0" s="58" t="str" cm="1">
        <f t="array" ref="W8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0" s="58" t="str" cm="1">
        <f t="array" ref="X800">_xlfn._xlws.FILTER(Teams[name], (Fixtures[[#This Row],[userTeamID]] = Teams[teamID]), "N/A")</f>
        <v>N/A</v>
      </c>
      <c r="Y800" s="58" t="str" cm="1">
        <f t="array" ref="Y800">_xlfn._xlws.FILTER(Teams[teamType], (Fixtures[[#This Row],[userTeamID]] = Teams[teamID]), "N/A")</f>
        <v>N/A</v>
      </c>
      <c r="Z800" s="58" t="str" cm="1">
        <f t="array" ref="Z8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0" s="58" t="str">
        <f>IF(Fixtures[[#This Row],[userSide]] = "N/A", "N/A", IF(Fixtures[[#This Row],[userSide]] = "H", Fixtures[[#This Row],[awayTeam]], Fixtures[[#This Row],[homeTeam]]))</f>
        <v>N/A</v>
      </c>
      <c r="AB800" s="58" t="str" cm="1">
        <f t="array" ref="AB800">_xlfn._xlws.FILTER(Teams[teamID], Fixtures[[#This Row],[oppTeam]] = Teams[name], "N/A")</f>
        <v>N/A</v>
      </c>
      <c r="AC800" s="58" t="str" cm="1">
        <f t="array" ref="AC800">_xlfn._xlws.FILTER(Teams[teamType], Fixtures[[#This Row],[oppTeam]] = Teams[name], "N/A")</f>
        <v>N/A</v>
      </c>
      <c r="AD800" s="58" t="str">
        <f>IF(ISBLANK(Fixtures[[#This Row],[date]]), "N/A", IF(Fixtures[[#This Row],[userSide]]="H", Fixtures[[#This Row],[homeScore]], Fixtures[[#This Row],[awayScore]]))</f>
        <v>N/A</v>
      </c>
      <c r="AE800" s="58" t="str">
        <f>IF(ISBLANK(Fixtures[[#This Row],[date]]), "N/A", IF(Fixtures[[#This Row],[userScore]] = Fixtures[[#This Row],[homeScore]], Fixtures[[#This Row],[awayScore]], Fixtures[[#This Row],[homeScore]]))</f>
        <v>N/A</v>
      </c>
      <c r="AF800" s="58" t="b">
        <f>NOT(AND(ISBLANK(Fixtures[[#This Row],[homePens]]), ISBLANK(Fixtures[[#This Row],[awayPens]])))</f>
        <v>0</v>
      </c>
      <c r="AG800" s="58" t="str">
        <f>IF(Fixtures[[#This Row],[penalties]], IF(Fixtures[[#This Row],[userSide]]="H", Fixtures[[#This Row],[homePens]], Fixtures[[#This Row],[awayPens]]), "N/A")</f>
        <v>N/A</v>
      </c>
      <c r="AH800" s="58" t="str">
        <f>IF(Fixtures[[#This Row],[penalties]], IF(Fixtures[[#This Row],[userPens]]=Fixtures[[#This Row],[homePens]],Fixtures[[#This Row],[awayPens]],Fixtures[[#This Row],[homePens]]), "N/A")</f>
        <v>N/A</v>
      </c>
      <c r="AI800" s="58" t="b">
        <f>COUNTBLANK(Fixtures[[#This Row],[G]:[MOTM]]) = 0</f>
        <v>0</v>
      </c>
      <c r="AJ800" s="58" t="str">
        <f>IF(Fixtures[[#This Row],[APP]], Fixtures[[#This Row],[G]]+Fixtures[[#This Row],[A]], "N/A")</f>
        <v>N/A</v>
      </c>
      <c r="AK8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1" spans="1:39" ht="13">
      <c r="A801" s="55"/>
      <c r="B801" s="61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7"/>
      <c r="R801" s="56"/>
      <c r="S801" s="58" t="str" cm="1">
        <f t="array" ref="S801">_xlfn._xlws.FILTER(Competitions[compType], (Fixtures[[#This Row],[competition]] = Competitions[name]), "N/A")</f>
        <v>N/A</v>
      </c>
      <c r="T801" s="58" t="str" cm="1">
        <f t="array" ref="T801">_xlfn._xlws.FILTER(Competitions[exhibition], (Fixtures[[#This Row],[competition]] = Competitions[name]), "N/A")</f>
        <v>N/A</v>
      </c>
      <c r="U801" s="58" t="str" cm="1">
        <f t="array" ref="U801">_xlfn._xlws.FILTER(Competitions[compID], (Fixtures[[#This Row],[competition]] = Competitions[name]), "N/A")</f>
        <v>N/A</v>
      </c>
      <c r="V8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1" s="58" t="str" cm="1">
        <f t="array" ref="W8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1" s="58" t="str" cm="1">
        <f t="array" ref="X801">_xlfn._xlws.FILTER(Teams[name], (Fixtures[[#This Row],[userTeamID]] = Teams[teamID]), "N/A")</f>
        <v>N/A</v>
      </c>
      <c r="Y801" s="58" t="str" cm="1">
        <f t="array" ref="Y801">_xlfn._xlws.FILTER(Teams[teamType], (Fixtures[[#This Row],[userTeamID]] = Teams[teamID]), "N/A")</f>
        <v>N/A</v>
      </c>
      <c r="Z801" s="58" t="str" cm="1">
        <f t="array" ref="Z8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1" s="58" t="str">
        <f>IF(Fixtures[[#This Row],[userSide]] = "N/A", "N/A", IF(Fixtures[[#This Row],[userSide]] = "H", Fixtures[[#This Row],[awayTeam]], Fixtures[[#This Row],[homeTeam]]))</f>
        <v>N/A</v>
      </c>
      <c r="AB801" s="58" t="str" cm="1">
        <f t="array" ref="AB801">_xlfn._xlws.FILTER(Teams[teamID], Fixtures[[#This Row],[oppTeam]] = Teams[name], "N/A")</f>
        <v>N/A</v>
      </c>
      <c r="AC801" s="58" t="str" cm="1">
        <f t="array" ref="AC801">_xlfn._xlws.FILTER(Teams[teamType], Fixtures[[#This Row],[oppTeam]] = Teams[name], "N/A")</f>
        <v>N/A</v>
      </c>
      <c r="AD801" s="58" t="str">
        <f>IF(ISBLANK(Fixtures[[#This Row],[date]]), "N/A", IF(Fixtures[[#This Row],[userSide]]="H", Fixtures[[#This Row],[homeScore]], Fixtures[[#This Row],[awayScore]]))</f>
        <v>N/A</v>
      </c>
      <c r="AE801" s="58" t="str">
        <f>IF(ISBLANK(Fixtures[[#This Row],[date]]), "N/A", IF(Fixtures[[#This Row],[userScore]] = Fixtures[[#This Row],[homeScore]], Fixtures[[#This Row],[awayScore]], Fixtures[[#This Row],[homeScore]]))</f>
        <v>N/A</v>
      </c>
      <c r="AF801" s="58" t="b">
        <f>NOT(AND(ISBLANK(Fixtures[[#This Row],[homePens]]), ISBLANK(Fixtures[[#This Row],[awayPens]])))</f>
        <v>0</v>
      </c>
      <c r="AG801" s="58" t="str">
        <f>IF(Fixtures[[#This Row],[penalties]], IF(Fixtures[[#This Row],[userSide]]="H", Fixtures[[#This Row],[homePens]], Fixtures[[#This Row],[awayPens]]), "N/A")</f>
        <v>N/A</v>
      </c>
      <c r="AH801" s="58" t="str">
        <f>IF(Fixtures[[#This Row],[penalties]], IF(Fixtures[[#This Row],[userPens]]=Fixtures[[#This Row],[homePens]],Fixtures[[#This Row],[awayPens]],Fixtures[[#This Row],[homePens]]), "N/A")</f>
        <v>N/A</v>
      </c>
      <c r="AI801" s="58" t="b">
        <f>COUNTBLANK(Fixtures[[#This Row],[G]:[MOTM]]) = 0</f>
        <v>0</v>
      </c>
      <c r="AJ801" s="58" t="str">
        <f>IF(Fixtures[[#This Row],[APP]], Fixtures[[#This Row],[G]]+Fixtures[[#This Row],[A]], "N/A")</f>
        <v>N/A</v>
      </c>
      <c r="AK8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2" spans="1:39" ht="13">
      <c r="A802" s="55"/>
      <c r="B802" s="61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7"/>
      <c r="R802" s="56"/>
      <c r="S802" s="58" t="str" cm="1">
        <f t="array" ref="S802">_xlfn._xlws.FILTER(Competitions[compType], (Fixtures[[#This Row],[competition]] = Competitions[name]), "N/A")</f>
        <v>N/A</v>
      </c>
      <c r="T802" s="58" t="str" cm="1">
        <f t="array" ref="T802">_xlfn._xlws.FILTER(Competitions[exhibition], (Fixtures[[#This Row],[competition]] = Competitions[name]), "N/A")</f>
        <v>N/A</v>
      </c>
      <c r="U802" s="58" t="str" cm="1">
        <f t="array" ref="U802">_xlfn._xlws.FILTER(Competitions[compID], (Fixtures[[#This Row],[competition]] = Competitions[name]), "N/A")</f>
        <v>N/A</v>
      </c>
      <c r="V8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2" s="58" t="str" cm="1">
        <f t="array" ref="W8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2" s="58" t="str" cm="1">
        <f t="array" ref="X802">_xlfn._xlws.FILTER(Teams[name], (Fixtures[[#This Row],[userTeamID]] = Teams[teamID]), "N/A")</f>
        <v>N/A</v>
      </c>
      <c r="Y802" s="58" t="str" cm="1">
        <f t="array" ref="Y802">_xlfn._xlws.FILTER(Teams[teamType], (Fixtures[[#This Row],[userTeamID]] = Teams[teamID]), "N/A")</f>
        <v>N/A</v>
      </c>
      <c r="Z802" s="58" t="str" cm="1">
        <f t="array" ref="Z8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2" s="58" t="str">
        <f>IF(Fixtures[[#This Row],[userSide]] = "N/A", "N/A", IF(Fixtures[[#This Row],[userSide]] = "H", Fixtures[[#This Row],[awayTeam]], Fixtures[[#This Row],[homeTeam]]))</f>
        <v>N/A</v>
      </c>
      <c r="AB802" s="58" t="str" cm="1">
        <f t="array" ref="AB802">_xlfn._xlws.FILTER(Teams[teamID], Fixtures[[#This Row],[oppTeam]] = Teams[name], "N/A")</f>
        <v>N/A</v>
      </c>
      <c r="AC802" s="58" t="str" cm="1">
        <f t="array" ref="AC802">_xlfn._xlws.FILTER(Teams[teamType], Fixtures[[#This Row],[oppTeam]] = Teams[name], "N/A")</f>
        <v>N/A</v>
      </c>
      <c r="AD802" s="58" t="str">
        <f>IF(ISBLANK(Fixtures[[#This Row],[date]]), "N/A", IF(Fixtures[[#This Row],[userSide]]="H", Fixtures[[#This Row],[homeScore]], Fixtures[[#This Row],[awayScore]]))</f>
        <v>N/A</v>
      </c>
      <c r="AE802" s="58" t="str">
        <f>IF(ISBLANK(Fixtures[[#This Row],[date]]), "N/A", IF(Fixtures[[#This Row],[userScore]] = Fixtures[[#This Row],[homeScore]], Fixtures[[#This Row],[awayScore]], Fixtures[[#This Row],[homeScore]]))</f>
        <v>N/A</v>
      </c>
      <c r="AF802" s="58" t="b">
        <f>NOT(AND(ISBLANK(Fixtures[[#This Row],[homePens]]), ISBLANK(Fixtures[[#This Row],[awayPens]])))</f>
        <v>0</v>
      </c>
      <c r="AG802" s="58" t="str">
        <f>IF(Fixtures[[#This Row],[penalties]], IF(Fixtures[[#This Row],[userSide]]="H", Fixtures[[#This Row],[homePens]], Fixtures[[#This Row],[awayPens]]), "N/A")</f>
        <v>N/A</v>
      </c>
      <c r="AH802" s="58" t="str">
        <f>IF(Fixtures[[#This Row],[penalties]], IF(Fixtures[[#This Row],[userPens]]=Fixtures[[#This Row],[homePens]],Fixtures[[#This Row],[awayPens]],Fixtures[[#This Row],[homePens]]), "N/A")</f>
        <v>N/A</v>
      </c>
      <c r="AI802" s="58" t="b">
        <f>COUNTBLANK(Fixtures[[#This Row],[G]:[MOTM]]) = 0</f>
        <v>0</v>
      </c>
      <c r="AJ802" s="58" t="str">
        <f>IF(Fixtures[[#This Row],[APP]], Fixtures[[#This Row],[G]]+Fixtures[[#This Row],[A]], "N/A")</f>
        <v>N/A</v>
      </c>
      <c r="AK8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3" spans="1:39" ht="13">
      <c r="A803" s="55"/>
      <c r="B803" s="61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7"/>
      <c r="R803" s="56"/>
      <c r="S803" s="58" t="str" cm="1">
        <f t="array" ref="S803">_xlfn._xlws.FILTER(Competitions[compType], (Fixtures[[#This Row],[competition]] = Competitions[name]), "N/A")</f>
        <v>N/A</v>
      </c>
      <c r="T803" s="58" t="str" cm="1">
        <f t="array" ref="T803">_xlfn._xlws.FILTER(Competitions[exhibition], (Fixtures[[#This Row],[competition]] = Competitions[name]), "N/A")</f>
        <v>N/A</v>
      </c>
      <c r="U803" s="58" t="str" cm="1">
        <f t="array" ref="U803">_xlfn._xlws.FILTER(Competitions[compID], (Fixtures[[#This Row],[competition]] = Competitions[name]), "N/A")</f>
        <v>N/A</v>
      </c>
      <c r="V8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3" s="58" t="str" cm="1">
        <f t="array" ref="W8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3" s="58" t="str" cm="1">
        <f t="array" ref="X803">_xlfn._xlws.FILTER(Teams[name], (Fixtures[[#This Row],[userTeamID]] = Teams[teamID]), "N/A")</f>
        <v>N/A</v>
      </c>
      <c r="Y803" s="58" t="str" cm="1">
        <f t="array" ref="Y803">_xlfn._xlws.FILTER(Teams[teamType], (Fixtures[[#This Row],[userTeamID]] = Teams[teamID]), "N/A")</f>
        <v>N/A</v>
      </c>
      <c r="Z803" s="58" t="str" cm="1">
        <f t="array" ref="Z8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3" s="58" t="str">
        <f>IF(Fixtures[[#This Row],[userSide]] = "N/A", "N/A", IF(Fixtures[[#This Row],[userSide]] = "H", Fixtures[[#This Row],[awayTeam]], Fixtures[[#This Row],[homeTeam]]))</f>
        <v>N/A</v>
      </c>
      <c r="AB803" s="58" t="str" cm="1">
        <f t="array" ref="AB803">_xlfn._xlws.FILTER(Teams[teamID], Fixtures[[#This Row],[oppTeam]] = Teams[name], "N/A")</f>
        <v>N/A</v>
      </c>
      <c r="AC803" s="58" t="str" cm="1">
        <f t="array" ref="AC803">_xlfn._xlws.FILTER(Teams[teamType], Fixtures[[#This Row],[oppTeam]] = Teams[name], "N/A")</f>
        <v>N/A</v>
      </c>
      <c r="AD803" s="58" t="str">
        <f>IF(ISBLANK(Fixtures[[#This Row],[date]]), "N/A", IF(Fixtures[[#This Row],[userSide]]="H", Fixtures[[#This Row],[homeScore]], Fixtures[[#This Row],[awayScore]]))</f>
        <v>N/A</v>
      </c>
      <c r="AE803" s="58" t="str">
        <f>IF(ISBLANK(Fixtures[[#This Row],[date]]), "N/A", IF(Fixtures[[#This Row],[userScore]] = Fixtures[[#This Row],[homeScore]], Fixtures[[#This Row],[awayScore]], Fixtures[[#This Row],[homeScore]]))</f>
        <v>N/A</v>
      </c>
      <c r="AF803" s="58" t="b">
        <f>NOT(AND(ISBLANK(Fixtures[[#This Row],[homePens]]), ISBLANK(Fixtures[[#This Row],[awayPens]])))</f>
        <v>0</v>
      </c>
      <c r="AG803" s="58" t="str">
        <f>IF(Fixtures[[#This Row],[penalties]], IF(Fixtures[[#This Row],[userSide]]="H", Fixtures[[#This Row],[homePens]], Fixtures[[#This Row],[awayPens]]), "N/A")</f>
        <v>N/A</v>
      </c>
      <c r="AH803" s="58" t="str">
        <f>IF(Fixtures[[#This Row],[penalties]], IF(Fixtures[[#This Row],[userPens]]=Fixtures[[#This Row],[homePens]],Fixtures[[#This Row],[awayPens]],Fixtures[[#This Row],[homePens]]), "N/A")</f>
        <v>N/A</v>
      </c>
      <c r="AI803" s="58" t="b">
        <f>COUNTBLANK(Fixtures[[#This Row],[G]:[MOTM]]) = 0</f>
        <v>0</v>
      </c>
      <c r="AJ803" s="58" t="str">
        <f>IF(Fixtures[[#This Row],[APP]], Fixtures[[#This Row],[G]]+Fixtures[[#This Row],[A]], "N/A")</f>
        <v>N/A</v>
      </c>
      <c r="AK8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4" spans="1:39" ht="13">
      <c r="A804" s="55"/>
      <c r="B804" s="61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7"/>
      <c r="R804" s="56"/>
      <c r="S804" s="58" t="str" cm="1">
        <f t="array" ref="S804">_xlfn._xlws.FILTER(Competitions[compType], (Fixtures[[#This Row],[competition]] = Competitions[name]), "N/A")</f>
        <v>N/A</v>
      </c>
      <c r="T804" s="58" t="str" cm="1">
        <f t="array" ref="T804">_xlfn._xlws.FILTER(Competitions[exhibition], (Fixtures[[#This Row],[competition]] = Competitions[name]), "N/A")</f>
        <v>N/A</v>
      </c>
      <c r="U804" s="58" t="str" cm="1">
        <f t="array" ref="U804">_xlfn._xlws.FILTER(Competitions[compID], (Fixtures[[#This Row],[competition]] = Competitions[name]), "N/A")</f>
        <v>N/A</v>
      </c>
      <c r="V8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4" s="58" t="str" cm="1">
        <f t="array" ref="W8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4" s="58" t="str" cm="1">
        <f t="array" ref="X804">_xlfn._xlws.FILTER(Teams[name], (Fixtures[[#This Row],[userTeamID]] = Teams[teamID]), "N/A")</f>
        <v>N/A</v>
      </c>
      <c r="Y804" s="58" t="str" cm="1">
        <f t="array" ref="Y804">_xlfn._xlws.FILTER(Teams[teamType], (Fixtures[[#This Row],[userTeamID]] = Teams[teamID]), "N/A")</f>
        <v>N/A</v>
      </c>
      <c r="Z804" s="58" t="str" cm="1">
        <f t="array" ref="Z8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4" s="58" t="str">
        <f>IF(Fixtures[[#This Row],[userSide]] = "N/A", "N/A", IF(Fixtures[[#This Row],[userSide]] = "H", Fixtures[[#This Row],[awayTeam]], Fixtures[[#This Row],[homeTeam]]))</f>
        <v>N/A</v>
      </c>
      <c r="AB804" s="58" t="str" cm="1">
        <f t="array" ref="AB804">_xlfn._xlws.FILTER(Teams[teamID], Fixtures[[#This Row],[oppTeam]] = Teams[name], "N/A")</f>
        <v>N/A</v>
      </c>
      <c r="AC804" s="58" t="str" cm="1">
        <f t="array" ref="AC804">_xlfn._xlws.FILTER(Teams[teamType], Fixtures[[#This Row],[oppTeam]] = Teams[name], "N/A")</f>
        <v>N/A</v>
      </c>
      <c r="AD804" s="58" t="str">
        <f>IF(ISBLANK(Fixtures[[#This Row],[date]]), "N/A", IF(Fixtures[[#This Row],[userSide]]="H", Fixtures[[#This Row],[homeScore]], Fixtures[[#This Row],[awayScore]]))</f>
        <v>N/A</v>
      </c>
      <c r="AE804" s="58" t="str">
        <f>IF(ISBLANK(Fixtures[[#This Row],[date]]), "N/A", IF(Fixtures[[#This Row],[userScore]] = Fixtures[[#This Row],[homeScore]], Fixtures[[#This Row],[awayScore]], Fixtures[[#This Row],[homeScore]]))</f>
        <v>N/A</v>
      </c>
      <c r="AF804" s="58" t="b">
        <f>NOT(AND(ISBLANK(Fixtures[[#This Row],[homePens]]), ISBLANK(Fixtures[[#This Row],[awayPens]])))</f>
        <v>0</v>
      </c>
      <c r="AG804" s="58" t="str">
        <f>IF(Fixtures[[#This Row],[penalties]], IF(Fixtures[[#This Row],[userSide]]="H", Fixtures[[#This Row],[homePens]], Fixtures[[#This Row],[awayPens]]), "N/A")</f>
        <v>N/A</v>
      </c>
      <c r="AH804" s="58" t="str">
        <f>IF(Fixtures[[#This Row],[penalties]], IF(Fixtures[[#This Row],[userPens]]=Fixtures[[#This Row],[homePens]],Fixtures[[#This Row],[awayPens]],Fixtures[[#This Row],[homePens]]), "N/A")</f>
        <v>N/A</v>
      </c>
      <c r="AI804" s="58" t="b">
        <f>COUNTBLANK(Fixtures[[#This Row],[G]:[MOTM]]) = 0</f>
        <v>0</v>
      </c>
      <c r="AJ804" s="58" t="str">
        <f>IF(Fixtures[[#This Row],[APP]], Fixtures[[#This Row],[G]]+Fixtures[[#This Row],[A]], "N/A")</f>
        <v>N/A</v>
      </c>
      <c r="AK8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5" spans="1:39" ht="13">
      <c r="A805" s="55"/>
      <c r="B805" s="61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7"/>
      <c r="R805" s="56"/>
      <c r="S805" s="58" t="str" cm="1">
        <f t="array" ref="S805">_xlfn._xlws.FILTER(Competitions[compType], (Fixtures[[#This Row],[competition]] = Competitions[name]), "N/A")</f>
        <v>N/A</v>
      </c>
      <c r="T805" s="58" t="str" cm="1">
        <f t="array" ref="T805">_xlfn._xlws.FILTER(Competitions[exhibition], (Fixtures[[#This Row],[competition]] = Competitions[name]), "N/A")</f>
        <v>N/A</v>
      </c>
      <c r="U805" s="58" t="str" cm="1">
        <f t="array" ref="U805">_xlfn._xlws.FILTER(Competitions[compID], (Fixtures[[#This Row],[competition]] = Competitions[name]), "N/A")</f>
        <v>N/A</v>
      </c>
      <c r="V8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5" s="58" t="str" cm="1">
        <f t="array" ref="W8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5" s="58" t="str" cm="1">
        <f t="array" ref="X805">_xlfn._xlws.FILTER(Teams[name], (Fixtures[[#This Row],[userTeamID]] = Teams[teamID]), "N/A")</f>
        <v>N/A</v>
      </c>
      <c r="Y805" s="58" t="str" cm="1">
        <f t="array" ref="Y805">_xlfn._xlws.FILTER(Teams[teamType], (Fixtures[[#This Row],[userTeamID]] = Teams[teamID]), "N/A")</f>
        <v>N/A</v>
      </c>
      <c r="Z805" s="58" t="str" cm="1">
        <f t="array" ref="Z8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5" s="58" t="str">
        <f>IF(Fixtures[[#This Row],[userSide]] = "N/A", "N/A", IF(Fixtures[[#This Row],[userSide]] = "H", Fixtures[[#This Row],[awayTeam]], Fixtures[[#This Row],[homeTeam]]))</f>
        <v>N/A</v>
      </c>
      <c r="AB805" s="58" t="str" cm="1">
        <f t="array" ref="AB805">_xlfn._xlws.FILTER(Teams[teamID], Fixtures[[#This Row],[oppTeam]] = Teams[name], "N/A")</f>
        <v>N/A</v>
      </c>
      <c r="AC805" s="58" t="str" cm="1">
        <f t="array" ref="AC805">_xlfn._xlws.FILTER(Teams[teamType], Fixtures[[#This Row],[oppTeam]] = Teams[name], "N/A")</f>
        <v>N/A</v>
      </c>
      <c r="AD805" s="58" t="str">
        <f>IF(ISBLANK(Fixtures[[#This Row],[date]]), "N/A", IF(Fixtures[[#This Row],[userSide]]="H", Fixtures[[#This Row],[homeScore]], Fixtures[[#This Row],[awayScore]]))</f>
        <v>N/A</v>
      </c>
      <c r="AE805" s="58" t="str">
        <f>IF(ISBLANK(Fixtures[[#This Row],[date]]), "N/A", IF(Fixtures[[#This Row],[userScore]] = Fixtures[[#This Row],[homeScore]], Fixtures[[#This Row],[awayScore]], Fixtures[[#This Row],[homeScore]]))</f>
        <v>N/A</v>
      </c>
      <c r="AF805" s="58" t="b">
        <f>NOT(AND(ISBLANK(Fixtures[[#This Row],[homePens]]), ISBLANK(Fixtures[[#This Row],[awayPens]])))</f>
        <v>0</v>
      </c>
      <c r="AG805" s="58" t="str">
        <f>IF(Fixtures[[#This Row],[penalties]], IF(Fixtures[[#This Row],[userSide]]="H", Fixtures[[#This Row],[homePens]], Fixtures[[#This Row],[awayPens]]), "N/A")</f>
        <v>N/A</v>
      </c>
      <c r="AH805" s="58" t="str">
        <f>IF(Fixtures[[#This Row],[penalties]], IF(Fixtures[[#This Row],[userPens]]=Fixtures[[#This Row],[homePens]],Fixtures[[#This Row],[awayPens]],Fixtures[[#This Row],[homePens]]), "N/A")</f>
        <v>N/A</v>
      </c>
      <c r="AI805" s="58" t="b">
        <f>COUNTBLANK(Fixtures[[#This Row],[G]:[MOTM]]) = 0</f>
        <v>0</v>
      </c>
      <c r="AJ805" s="58" t="str">
        <f>IF(Fixtures[[#This Row],[APP]], Fixtures[[#This Row],[G]]+Fixtures[[#This Row],[A]], "N/A")</f>
        <v>N/A</v>
      </c>
      <c r="AK8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6" spans="1:39" ht="13">
      <c r="A806" s="55"/>
      <c r="B806" s="61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7"/>
      <c r="R806" s="56"/>
      <c r="S806" s="58" t="str" cm="1">
        <f t="array" ref="S806">_xlfn._xlws.FILTER(Competitions[compType], (Fixtures[[#This Row],[competition]] = Competitions[name]), "N/A")</f>
        <v>N/A</v>
      </c>
      <c r="T806" s="58" t="str" cm="1">
        <f t="array" ref="T806">_xlfn._xlws.FILTER(Competitions[exhibition], (Fixtures[[#This Row],[competition]] = Competitions[name]), "N/A")</f>
        <v>N/A</v>
      </c>
      <c r="U806" s="58" t="str" cm="1">
        <f t="array" ref="U806">_xlfn._xlws.FILTER(Competitions[compID], (Fixtures[[#This Row],[competition]] = Competitions[name]), "N/A")</f>
        <v>N/A</v>
      </c>
      <c r="V8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6" s="58" t="str" cm="1">
        <f t="array" ref="W8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6" s="58" t="str" cm="1">
        <f t="array" ref="X806">_xlfn._xlws.FILTER(Teams[name], (Fixtures[[#This Row],[userTeamID]] = Teams[teamID]), "N/A")</f>
        <v>N/A</v>
      </c>
      <c r="Y806" s="58" t="str" cm="1">
        <f t="array" ref="Y806">_xlfn._xlws.FILTER(Teams[teamType], (Fixtures[[#This Row],[userTeamID]] = Teams[teamID]), "N/A")</f>
        <v>N/A</v>
      </c>
      <c r="Z806" s="58" t="str" cm="1">
        <f t="array" ref="Z8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6" s="58" t="str">
        <f>IF(Fixtures[[#This Row],[userSide]] = "N/A", "N/A", IF(Fixtures[[#This Row],[userSide]] = "H", Fixtures[[#This Row],[awayTeam]], Fixtures[[#This Row],[homeTeam]]))</f>
        <v>N/A</v>
      </c>
      <c r="AB806" s="58" t="str" cm="1">
        <f t="array" ref="AB806">_xlfn._xlws.FILTER(Teams[teamID], Fixtures[[#This Row],[oppTeam]] = Teams[name], "N/A")</f>
        <v>N/A</v>
      </c>
      <c r="AC806" s="58" t="str" cm="1">
        <f t="array" ref="AC806">_xlfn._xlws.FILTER(Teams[teamType], Fixtures[[#This Row],[oppTeam]] = Teams[name], "N/A")</f>
        <v>N/A</v>
      </c>
      <c r="AD806" s="58" t="str">
        <f>IF(ISBLANK(Fixtures[[#This Row],[date]]), "N/A", IF(Fixtures[[#This Row],[userSide]]="H", Fixtures[[#This Row],[homeScore]], Fixtures[[#This Row],[awayScore]]))</f>
        <v>N/A</v>
      </c>
      <c r="AE806" s="58" t="str">
        <f>IF(ISBLANK(Fixtures[[#This Row],[date]]), "N/A", IF(Fixtures[[#This Row],[userScore]] = Fixtures[[#This Row],[homeScore]], Fixtures[[#This Row],[awayScore]], Fixtures[[#This Row],[homeScore]]))</f>
        <v>N/A</v>
      </c>
      <c r="AF806" s="58" t="b">
        <f>NOT(AND(ISBLANK(Fixtures[[#This Row],[homePens]]), ISBLANK(Fixtures[[#This Row],[awayPens]])))</f>
        <v>0</v>
      </c>
      <c r="AG806" s="58" t="str">
        <f>IF(Fixtures[[#This Row],[penalties]], IF(Fixtures[[#This Row],[userSide]]="H", Fixtures[[#This Row],[homePens]], Fixtures[[#This Row],[awayPens]]), "N/A")</f>
        <v>N/A</v>
      </c>
      <c r="AH806" s="58" t="str">
        <f>IF(Fixtures[[#This Row],[penalties]], IF(Fixtures[[#This Row],[userPens]]=Fixtures[[#This Row],[homePens]],Fixtures[[#This Row],[awayPens]],Fixtures[[#This Row],[homePens]]), "N/A")</f>
        <v>N/A</v>
      </c>
      <c r="AI806" s="58" t="b">
        <f>COUNTBLANK(Fixtures[[#This Row],[G]:[MOTM]]) = 0</f>
        <v>0</v>
      </c>
      <c r="AJ806" s="58" t="str">
        <f>IF(Fixtures[[#This Row],[APP]], Fixtures[[#This Row],[G]]+Fixtures[[#This Row],[A]], "N/A")</f>
        <v>N/A</v>
      </c>
      <c r="AK8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7" spans="1:39" ht="13">
      <c r="A807" s="55"/>
      <c r="B807" s="61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7"/>
      <c r="R807" s="56"/>
      <c r="S807" s="58" t="str" cm="1">
        <f t="array" ref="S807">_xlfn._xlws.FILTER(Competitions[compType], (Fixtures[[#This Row],[competition]] = Competitions[name]), "N/A")</f>
        <v>N/A</v>
      </c>
      <c r="T807" s="58" t="str" cm="1">
        <f t="array" ref="T807">_xlfn._xlws.FILTER(Competitions[exhibition], (Fixtures[[#This Row],[competition]] = Competitions[name]), "N/A")</f>
        <v>N/A</v>
      </c>
      <c r="U807" s="58" t="str" cm="1">
        <f t="array" ref="U807">_xlfn._xlws.FILTER(Competitions[compID], (Fixtures[[#This Row],[competition]] = Competitions[name]), "N/A")</f>
        <v>N/A</v>
      </c>
      <c r="V8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7" s="58" t="str" cm="1">
        <f t="array" ref="W8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7" s="58" t="str" cm="1">
        <f t="array" ref="X807">_xlfn._xlws.FILTER(Teams[name], (Fixtures[[#This Row],[userTeamID]] = Teams[teamID]), "N/A")</f>
        <v>N/A</v>
      </c>
      <c r="Y807" s="58" t="str" cm="1">
        <f t="array" ref="Y807">_xlfn._xlws.FILTER(Teams[teamType], (Fixtures[[#This Row],[userTeamID]] = Teams[teamID]), "N/A")</f>
        <v>N/A</v>
      </c>
      <c r="Z807" s="58" t="str" cm="1">
        <f t="array" ref="Z8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7" s="58" t="str">
        <f>IF(Fixtures[[#This Row],[userSide]] = "N/A", "N/A", IF(Fixtures[[#This Row],[userSide]] = "H", Fixtures[[#This Row],[awayTeam]], Fixtures[[#This Row],[homeTeam]]))</f>
        <v>N/A</v>
      </c>
      <c r="AB807" s="58" t="str" cm="1">
        <f t="array" ref="AB807">_xlfn._xlws.FILTER(Teams[teamID], Fixtures[[#This Row],[oppTeam]] = Teams[name], "N/A")</f>
        <v>N/A</v>
      </c>
      <c r="AC807" s="58" t="str" cm="1">
        <f t="array" ref="AC807">_xlfn._xlws.FILTER(Teams[teamType], Fixtures[[#This Row],[oppTeam]] = Teams[name], "N/A")</f>
        <v>N/A</v>
      </c>
      <c r="AD807" s="58" t="str">
        <f>IF(ISBLANK(Fixtures[[#This Row],[date]]), "N/A", IF(Fixtures[[#This Row],[userSide]]="H", Fixtures[[#This Row],[homeScore]], Fixtures[[#This Row],[awayScore]]))</f>
        <v>N/A</v>
      </c>
      <c r="AE807" s="58" t="str">
        <f>IF(ISBLANK(Fixtures[[#This Row],[date]]), "N/A", IF(Fixtures[[#This Row],[userScore]] = Fixtures[[#This Row],[homeScore]], Fixtures[[#This Row],[awayScore]], Fixtures[[#This Row],[homeScore]]))</f>
        <v>N/A</v>
      </c>
      <c r="AF807" s="58" t="b">
        <f>NOT(AND(ISBLANK(Fixtures[[#This Row],[homePens]]), ISBLANK(Fixtures[[#This Row],[awayPens]])))</f>
        <v>0</v>
      </c>
      <c r="AG807" s="58" t="str">
        <f>IF(Fixtures[[#This Row],[penalties]], IF(Fixtures[[#This Row],[userSide]]="H", Fixtures[[#This Row],[homePens]], Fixtures[[#This Row],[awayPens]]), "N/A")</f>
        <v>N/A</v>
      </c>
      <c r="AH807" s="58" t="str">
        <f>IF(Fixtures[[#This Row],[penalties]], IF(Fixtures[[#This Row],[userPens]]=Fixtures[[#This Row],[homePens]],Fixtures[[#This Row],[awayPens]],Fixtures[[#This Row],[homePens]]), "N/A")</f>
        <v>N/A</v>
      </c>
      <c r="AI807" s="58" t="b">
        <f>COUNTBLANK(Fixtures[[#This Row],[G]:[MOTM]]) = 0</f>
        <v>0</v>
      </c>
      <c r="AJ807" s="58" t="str">
        <f>IF(Fixtures[[#This Row],[APP]], Fixtures[[#This Row],[G]]+Fixtures[[#This Row],[A]], "N/A")</f>
        <v>N/A</v>
      </c>
      <c r="AK8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8" spans="1:39" ht="13">
      <c r="A808" s="55"/>
      <c r="B808" s="61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7"/>
      <c r="R808" s="56"/>
      <c r="S808" s="58" t="str" cm="1">
        <f t="array" ref="S808">_xlfn._xlws.FILTER(Competitions[compType], (Fixtures[[#This Row],[competition]] = Competitions[name]), "N/A")</f>
        <v>N/A</v>
      </c>
      <c r="T808" s="58" t="str" cm="1">
        <f t="array" ref="T808">_xlfn._xlws.FILTER(Competitions[exhibition], (Fixtures[[#This Row],[competition]] = Competitions[name]), "N/A")</f>
        <v>N/A</v>
      </c>
      <c r="U808" s="58" t="str" cm="1">
        <f t="array" ref="U808">_xlfn._xlws.FILTER(Competitions[compID], (Fixtures[[#This Row],[competition]] = Competitions[name]), "N/A")</f>
        <v>N/A</v>
      </c>
      <c r="V8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8" s="58" t="str" cm="1">
        <f t="array" ref="W8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8" s="58" t="str" cm="1">
        <f t="array" ref="X808">_xlfn._xlws.FILTER(Teams[name], (Fixtures[[#This Row],[userTeamID]] = Teams[teamID]), "N/A")</f>
        <v>N/A</v>
      </c>
      <c r="Y808" s="58" t="str" cm="1">
        <f t="array" ref="Y808">_xlfn._xlws.FILTER(Teams[teamType], (Fixtures[[#This Row],[userTeamID]] = Teams[teamID]), "N/A")</f>
        <v>N/A</v>
      </c>
      <c r="Z808" s="58" t="str" cm="1">
        <f t="array" ref="Z8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8" s="58" t="str">
        <f>IF(Fixtures[[#This Row],[userSide]] = "N/A", "N/A", IF(Fixtures[[#This Row],[userSide]] = "H", Fixtures[[#This Row],[awayTeam]], Fixtures[[#This Row],[homeTeam]]))</f>
        <v>N/A</v>
      </c>
      <c r="AB808" s="58" t="str" cm="1">
        <f t="array" ref="AB808">_xlfn._xlws.FILTER(Teams[teamID], Fixtures[[#This Row],[oppTeam]] = Teams[name], "N/A")</f>
        <v>N/A</v>
      </c>
      <c r="AC808" s="58" t="str" cm="1">
        <f t="array" ref="AC808">_xlfn._xlws.FILTER(Teams[teamType], Fixtures[[#This Row],[oppTeam]] = Teams[name], "N/A")</f>
        <v>N/A</v>
      </c>
      <c r="AD808" s="58" t="str">
        <f>IF(ISBLANK(Fixtures[[#This Row],[date]]), "N/A", IF(Fixtures[[#This Row],[userSide]]="H", Fixtures[[#This Row],[homeScore]], Fixtures[[#This Row],[awayScore]]))</f>
        <v>N/A</v>
      </c>
      <c r="AE808" s="58" t="str">
        <f>IF(ISBLANK(Fixtures[[#This Row],[date]]), "N/A", IF(Fixtures[[#This Row],[userScore]] = Fixtures[[#This Row],[homeScore]], Fixtures[[#This Row],[awayScore]], Fixtures[[#This Row],[homeScore]]))</f>
        <v>N/A</v>
      </c>
      <c r="AF808" s="58" t="b">
        <f>NOT(AND(ISBLANK(Fixtures[[#This Row],[homePens]]), ISBLANK(Fixtures[[#This Row],[awayPens]])))</f>
        <v>0</v>
      </c>
      <c r="AG808" s="58" t="str">
        <f>IF(Fixtures[[#This Row],[penalties]], IF(Fixtures[[#This Row],[userSide]]="H", Fixtures[[#This Row],[homePens]], Fixtures[[#This Row],[awayPens]]), "N/A")</f>
        <v>N/A</v>
      </c>
      <c r="AH808" s="58" t="str">
        <f>IF(Fixtures[[#This Row],[penalties]], IF(Fixtures[[#This Row],[userPens]]=Fixtures[[#This Row],[homePens]],Fixtures[[#This Row],[awayPens]],Fixtures[[#This Row],[homePens]]), "N/A")</f>
        <v>N/A</v>
      </c>
      <c r="AI808" s="58" t="b">
        <f>COUNTBLANK(Fixtures[[#This Row],[G]:[MOTM]]) = 0</f>
        <v>0</v>
      </c>
      <c r="AJ808" s="58" t="str">
        <f>IF(Fixtures[[#This Row],[APP]], Fixtures[[#This Row],[G]]+Fixtures[[#This Row],[A]], "N/A")</f>
        <v>N/A</v>
      </c>
      <c r="AK8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09" spans="1:39" ht="13">
      <c r="A809" s="55"/>
      <c r="B809" s="61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7"/>
      <c r="R809" s="56"/>
      <c r="S809" s="58" t="str" cm="1">
        <f t="array" ref="S809">_xlfn._xlws.FILTER(Competitions[compType], (Fixtures[[#This Row],[competition]] = Competitions[name]), "N/A")</f>
        <v>N/A</v>
      </c>
      <c r="T809" s="58" t="str" cm="1">
        <f t="array" ref="T809">_xlfn._xlws.FILTER(Competitions[exhibition], (Fixtures[[#This Row],[competition]] = Competitions[name]), "N/A")</f>
        <v>N/A</v>
      </c>
      <c r="U809" s="58" t="str" cm="1">
        <f t="array" ref="U809">_xlfn._xlws.FILTER(Competitions[compID], (Fixtures[[#This Row],[competition]] = Competitions[name]), "N/A")</f>
        <v>N/A</v>
      </c>
      <c r="V8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09" s="58" t="str" cm="1">
        <f t="array" ref="W8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09" s="58" t="str" cm="1">
        <f t="array" ref="X809">_xlfn._xlws.FILTER(Teams[name], (Fixtures[[#This Row],[userTeamID]] = Teams[teamID]), "N/A")</f>
        <v>N/A</v>
      </c>
      <c r="Y809" s="58" t="str" cm="1">
        <f t="array" ref="Y809">_xlfn._xlws.FILTER(Teams[teamType], (Fixtures[[#This Row],[userTeamID]] = Teams[teamID]), "N/A")</f>
        <v>N/A</v>
      </c>
      <c r="Z809" s="58" t="str" cm="1">
        <f t="array" ref="Z8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09" s="58" t="str">
        <f>IF(Fixtures[[#This Row],[userSide]] = "N/A", "N/A", IF(Fixtures[[#This Row],[userSide]] = "H", Fixtures[[#This Row],[awayTeam]], Fixtures[[#This Row],[homeTeam]]))</f>
        <v>N/A</v>
      </c>
      <c r="AB809" s="58" t="str" cm="1">
        <f t="array" ref="AB809">_xlfn._xlws.FILTER(Teams[teamID], Fixtures[[#This Row],[oppTeam]] = Teams[name], "N/A")</f>
        <v>N/A</v>
      </c>
      <c r="AC809" s="58" t="str" cm="1">
        <f t="array" ref="AC809">_xlfn._xlws.FILTER(Teams[teamType], Fixtures[[#This Row],[oppTeam]] = Teams[name], "N/A")</f>
        <v>N/A</v>
      </c>
      <c r="AD809" s="58" t="str">
        <f>IF(ISBLANK(Fixtures[[#This Row],[date]]), "N/A", IF(Fixtures[[#This Row],[userSide]]="H", Fixtures[[#This Row],[homeScore]], Fixtures[[#This Row],[awayScore]]))</f>
        <v>N/A</v>
      </c>
      <c r="AE809" s="58" t="str">
        <f>IF(ISBLANK(Fixtures[[#This Row],[date]]), "N/A", IF(Fixtures[[#This Row],[userScore]] = Fixtures[[#This Row],[homeScore]], Fixtures[[#This Row],[awayScore]], Fixtures[[#This Row],[homeScore]]))</f>
        <v>N/A</v>
      </c>
      <c r="AF809" s="58" t="b">
        <f>NOT(AND(ISBLANK(Fixtures[[#This Row],[homePens]]), ISBLANK(Fixtures[[#This Row],[awayPens]])))</f>
        <v>0</v>
      </c>
      <c r="AG809" s="58" t="str">
        <f>IF(Fixtures[[#This Row],[penalties]], IF(Fixtures[[#This Row],[userSide]]="H", Fixtures[[#This Row],[homePens]], Fixtures[[#This Row],[awayPens]]), "N/A")</f>
        <v>N/A</v>
      </c>
      <c r="AH809" s="58" t="str">
        <f>IF(Fixtures[[#This Row],[penalties]], IF(Fixtures[[#This Row],[userPens]]=Fixtures[[#This Row],[homePens]],Fixtures[[#This Row],[awayPens]],Fixtures[[#This Row],[homePens]]), "N/A")</f>
        <v>N/A</v>
      </c>
      <c r="AI809" s="58" t="b">
        <f>COUNTBLANK(Fixtures[[#This Row],[G]:[MOTM]]) = 0</f>
        <v>0</v>
      </c>
      <c r="AJ809" s="58" t="str">
        <f>IF(Fixtures[[#This Row],[APP]], Fixtures[[#This Row],[G]]+Fixtures[[#This Row],[A]], "N/A")</f>
        <v>N/A</v>
      </c>
      <c r="AK8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0" spans="1:39" ht="13">
      <c r="A810" s="55"/>
      <c r="B810" s="61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7"/>
      <c r="R810" s="56"/>
      <c r="S810" s="58" t="str" cm="1">
        <f t="array" ref="S810">_xlfn._xlws.FILTER(Competitions[compType], (Fixtures[[#This Row],[competition]] = Competitions[name]), "N/A")</f>
        <v>N/A</v>
      </c>
      <c r="T810" s="58" t="str" cm="1">
        <f t="array" ref="T810">_xlfn._xlws.FILTER(Competitions[exhibition], (Fixtures[[#This Row],[competition]] = Competitions[name]), "N/A")</f>
        <v>N/A</v>
      </c>
      <c r="U810" s="58" t="str" cm="1">
        <f t="array" ref="U810">_xlfn._xlws.FILTER(Competitions[compID], (Fixtures[[#This Row],[competition]] = Competitions[name]), "N/A")</f>
        <v>N/A</v>
      </c>
      <c r="V8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0" s="58" t="str" cm="1">
        <f t="array" ref="W8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0" s="58" t="str" cm="1">
        <f t="array" ref="X810">_xlfn._xlws.FILTER(Teams[name], (Fixtures[[#This Row],[userTeamID]] = Teams[teamID]), "N/A")</f>
        <v>N/A</v>
      </c>
      <c r="Y810" s="58" t="str" cm="1">
        <f t="array" ref="Y810">_xlfn._xlws.FILTER(Teams[teamType], (Fixtures[[#This Row],[userTeamID]] = Teams[teamID]), "N/A")</f>
        <v>N/A</v>
      </c>
      <c r="Z810" s="58" t="str" cm="1">
        <f t="array" ref="Z8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0" s="58" t="str">
        <f>IF(Fixtures[[#This Row],[userSide]] = "N/A", "N/A", IF(Fixtures[[#This Row],[userSide]] = "H", Fixtures[[#This Row],[awayTeam]], Fixtures[[#This Row],[homeTeam]]))</f>
        <v>N/A</v>
      </c>
      <c r="AB810" s="58" t="str" cm="1">
        <f t="array" ref="AB810">_xlfn._xlws.FILTER(Teams[teamID], Fixtures[[#This Row],[oppTeam]] = Teams[name], "N/A")</f>
        <v>N/A</v>
      </c>
      <c r="AC810" s="58" t="str" cm="1">
        <f t="array" ref="AC810">_xlfn._xlws.FILTER(Teams[teamType], Fixtures[[#This Row],[oppTeam]] = Teams[name], "N/A")</f>
        <v>N/A</v>
      </c>
      <c r="AD810" s="58" t="str">
        <f>IF(ISBLANK(Fixtures[[#This Row],[date]]), "N/A", IF(Fixtures[[#This Row],[userSide]]="H", Fixtures[[#This Row],[homeScore]], Fixtures[[#This Row],[awayScore]]))</f>
        <v>N/A</v>
      </c>
      <c r="AE810" s="58" t="str">
        <f>IF(ISBLANK(Fixtures[[#This Row],[date]]), "N/A", IF(Fixtures[[#This Row],[userScore]] = Fixtures[[#This Row],[homeScore]], Fixtures[[#This Row],[awayScore]], Fixtures[[#This Row],[homeScore]]))</f>
        <v>N/A</v>
      </c>
      <c r="AF810" s="58" t="b">
        <f>NOT(AND(ISBLANK(Fixtures[[#This Row],[homePens]]), ISBLANK(Fixtures[[#This Row],[awayPens]])))</f>
        <v>0</v>
      </c>
      <c r="AG810" s="58" t="str">
        <f>IF(Fixtures[[#This Row],[penalties]], IF(Fixtures[[#This Row],[userSide]]="H", Fixtures[[#This Row],[homePens]], Fixtures[[#This Row],[awayPens]]), "N/A")</f>
        <v>N/A</v>
      </c>
      <c r="AH810" s="58" t="str">
        <f>IF(Fixtures[[#This Row],[penalties]], IF(Fixtures[[#This Row],[userPens]]=Fixtures[[#This Row],[homePens]],Fixtures[[#This Row],[awayPens]],Fixtures[[#This Row],[homePens]]), "N/A")</f>
        <v>N/A</v>
      </c>
      <c r="AI810" s="58" t="b">
        <f>COUNTBLANK(Fixtures[[#This Row],[G]:[MOTM]]) = 0</f>
        <v>0</v>
      </c>
      <c r="AJ810" s="58" t="str">
        <f>IF(Fixtures[[#This Row],[APP]], Fixtures[[#This Row],[G]]+Fixtures[[#This Row],[A]], "N/A")</f>
        <v>N/A</v>
      </c>
      <c r="AK8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1" spans="1:39" ht="13">
      <c r="A811" s="55"/>
      <c r="B811" s="61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7"/>
      <c r="R811" s="56"/>
      <c r="S811" s="58" t="str" cm="1">
        <f t="array" ref="S811">_xlfn._xlws.FILTER(Competitions[compType], (Fixtures[[#This Row],[competition]] = Competitions[name]), "N/A")</f>
        <v>N/A</v>
      </c>
      <c r="T811" s="58" t="str" cm="1">
        <f t="array" ref="T811">_xlfn._xlws.FILTER(Competitions[exhibition], (Fixtures[[#This Row],[competition]] = Competitions[name]), "N/A")</f>
        <v>N/A</v>
      </c>
      <c r="U811" s="58" t="str" cm="1">
        <f t="array" ref="U811">_xlfn._xlws.FILTER(Competitions[compID], (Fixtures[[#This Row],[competition]] = Competitions[name]), "N/A")</f>
        <v>N/A</v>
      </c>
      <c r="V8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1" s="58" t="str" cm="1">
        <f t="array" ref="W8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1" s="58" t="str" cm="1">
        <f t="array" ref="X811">_xlfn._xlws.FILTER(Teams[name], (Fixtures[[#This Row],[userTeamID]] = Teams[teamID]), "N/A")</f>
        <v>N/A</v>
      </c>
      <c r="Y811" s="58" t="str" cm="1">
        <f t="array" ref="Y811">_xlfn._xlws.FILTER(Teams[teamType], (Fixtures[[#This Row],[userTeamID]] = Teams[teamID]), "N/A")</f>
        <v>N/A</v>
      </c>
      <c r="Z811" s="58" t="str" cm="1">
        <f t="array" ref="Z8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1" s="58" t="str">
        <f>IF(Fixtures[[#This Row],[userSide]] = "N/A", "N/A", IF(Fixtures[[#This Row],[userSide]] = "H", Fixtures[[#This Row],[awayTeam]], Fixtures[[#This Row],[homeTeam]]))</f>
        <v>N/A</v>
      </c>
      <c r="AB811" s="58" t="str" cm="1">
        <f t="array" ref="AB811">_xlfn._xlws.FILTER(Teams[teamID], Fixtures[[#This Row],[oppTeam]] = Teams[name], "N/A")</f>
        <v>N/A</v>
      </c>
      <c r="AC811" s="58" t="str" cm="1">
        <f t="array" ref="AC811">_xlfn._xlws.FILTER(Teams[teamType], Fixtures[[#This Row],[oppTeam]] = Teams[name], "N/A")</f>
        <v>N/A</v>
      </c>
      <c r="AD811" s="58" t="str">
        <f>IF(ISBLANK(Fixtures[[#This Row],[date]]), "N/A", IF(Fixtures[[#This Row],[userSide]]="H", Fixtures[[#This Row],[homeScore]], Fixtures[[#This Row],[awayScore]]))</f>
        <v>N/A</v>
      </c>
      <c r="AE811" s="58" t="str">
        <f>IF(ISBLANK(Fixtures[[#This Row],[date]]), "N/A", IF(Fixtures[[#This Row],[userScore]] = Fixtures[[#This Row],[homeScore]], Fixtures[[#This Row],[awayScore]], Fixtures[[#This Row],[homeScore]]))</f>
        <v>N/A</v>
      </c>
      <c r="AF811" s="58" t="b">
        <f>NOT(AND(ISBLANK(Fixtures[[#This Row],[homePens]]), ISBLANK(Fixtures[[#This Row],[awayPens]])))</f>
        <v>0</v>
      </c>
      <c r="AG811" s="58" t="str">
        <f>IF(Fixtures[[#This Row],[penalties]], IF(Fixtures[[#This Row],[userSide]]="H", Fixtures[[#This Row],[homePens]], Fixtures[[#This Row],[awayPens]]), "N/A")</f>
        <v>N/A</v>
      </c>
      <c r="AH811" s="58" t="str">
        <f>IF(Fixtures[[#This Row],[penalties]], IF(Fixtures[[#This Row],[userPens]]=Fixtures[[#This Row],[homePens]],Fixtures[[#This Row],[awayPens]],Fixtures[[#This Row],[homePens]]), "N/A")</f>
        <v>N/A</v>
      </c>
      <c r="AI811" s="58" t="b">
        <f>COUNTBLANK(Fixtures[[#This Row],[G]:[MOTM]]) = 0</f>
        <v>0</v>
      </c>
      <c r="AJ811" s="58" t="str">
        <f>IF(Fixtures[[#This Row],[APP]], Fixtures[[#This Row],[G]]+Fixtures[[#This Row],[A]], "N/A")</f>
        <v>N/A</v>
      </c>
      <c r="AK8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2" spans="1:39" ht="13">
      <c r="A812" s="55"/>
      <c r="B812" s="61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7"/>
      <c r="R812" s="56"/>
      <c r="S812" s="58" t="str" cm="1">
        <f t="array" ref="S812">_xlfn._xlws.FILTER(Competitions[compType], (Fixtures[[#This Row],[competition]] = Competitions[name]), "N/A")</f>
        <v>N/A</v>
      </c>
      <c r="T812" s="58" t="str" cm="1">
        <f t="array" ref="T812">_xlfn._xlws.FILTER(Competitions[exhibition], (Fixtures[[#This Row],[competition]] = Competitions[name]), "N/A")</f>
        <v>N/A</v>
      </c>
      <c r="U812" s="58" t="str" cm="1">
        <f t="array" ref="U812">_xlfn._xlws.FILTER(Competitions[compID], (Fixtures[[#This Row],[competition]] = Competitions[name]), "N/A")</f>
        <v>N/A</v>
      </c>
      <c r="V8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2" s="58" t="str" cm="1">
        <f t="array" ref="W8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2" s="58" t="str" cm="1">
        <f t="array" ref="X812">_xlfn._xlws.FILTER(Teams[name], (Fixtures[[#This Row],[userTeamID]] = Teams[teamID]), "N/A")</f>
        <v>N/A</v>
      </c>
      <c r="Y812" s="58" t="str" cm="1">
        <f t="array" ref="Y812">_xlfn._xlws.FILTER(Teams[teamType], (Fixtures[[#This Row],[userTeamID]] = Teams[teamID]), "N/A")</f>
        <v>N/A</v>
      </c>
      <c r="Z812" s="58" t="str" cm="1">
        <f t="array" ref="Z8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2" s="58" t="str">
        <f>IF(Fixtures[[#This Row],[userSide]] = "N/A", "N/A", IF(Fixtures[[#This Row],[userSide]] = "H", Fixtures[[#This Row],[awayTeam]], Fixtures[[#This Row],[homeTeam]]))</f>
        <v>N/A</v>
      </c>
      <c r="AB812" s="58" t="str" cm="1">
        <f t="array" ref="AB812">_xlfn._xlws.FILTER(Teams[teamID], Fixtures[[#This Row],[oppTeam]] = Teams[name], "N/A")</f>
        <v>N/A</v>
      </c>
      <c r="AC812" s="58" t="str" cm="1">
        <f t="array" ref="AC812">_xlfn._xlws.FILTER(Teams[teamType], Fixtures[[#This Row],[oppTeam]] = Teams[name], "N/A")</f>
        <v>N/A</v>
      </c>
      <c r="AD812" s="58" t="str">
        <f>IF(ISBLANK(Fixtures[[#This Row],[date]]), "N/A", IF(Fixtures[[#This Row],[userSide]]="H", Fixtures[[#This Row],[homeScore]], Fixtures[[#This Row],[awayScore]]))</f>
        <v>N/A</v>
      </c>
      <c r="AE812" s="58" t="str">
        <f>IF(ISBLANK(Fixtures[[#This Row],[date]]), "N/A", IF(Fixtures[[#This Row],[userScore]] = Fixtures[[#This Row],[homeScore]], Fixtures[[#This Row],[awayScore]], Fixtures[[#This Row],[homeScore]]))</f>
        <v>N/A</v>
      </c>
      <c r="AF812" s="58" t="b">
        <f>NOT(AND(ISBLANK(Fixtures[[#This Row],[homePens]]), ISBLANK(Fixtures[[#This Row],[awayPens]])))</f>
        <v>0</v>
      </c>
      <c r="AG812" s="58" t="str">
        <f>IF(Fixtures[[#This Row],[penalties]], IF(Fixtures[[#This Row],[userSide]]="H", Fixtures[[#This Row],[homePens]], Fixtures[[#This Row],[awayPens]]), "N/A")</f>
        <v>N/A</v>
      </c>
      <c r="AH812" s="58" t="str">
        <f>IF(Fixtures[[#This Row],[penalties]], IF(Fixtures[[#This Row],[userPens]]=Fixtures[[#This Row],[homePens]],Fixtures[[#This Row],[awayPens]],Fixtures[[#This Row],[homePens]]), "N/A")</f>
        <v>N/A</v>
      </c>
      <c r="AI812" s="58" t="b">
        <f>COUNTBLANK(Fixtures[[#This Row],[G]:[MOTM]]) = 0</f>
        <v>0</v>
      </c>
      <c r="AJ812" s="58" t="str">
        <f>IF(Fixtures[[#This Row],[APP]], Fixtures[[#This Row],[G]]+Fixtures[[#This Row],[A]], "N/A")</f>
        <v>N/A</v>
      </c>
      <c r="AK8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3" spans="1:39" ht="13">
      <c r="A813" s="55"/>
      <c r="B813" s="61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7"/>
      <c r="R813" s="56"/>
      <c r="S813" s="58" t="str" cm="1">
        <f t="array" ref="S813">_xlfn._xlws.FILTER(Competitions[compType], (Fixtures[[#This Row],[competition]] = Competitions[name]), "N/A")</f>
        <v>N/A</v>
      </c>
      <c r="T813" s="58" t="str" cm="1">
        <f t="array" ref="T813">_xlfn._xlws.FILTER(Competitions[exhibition], (Fixtures[[#This Row],[competition]] = Competitions[name]), "N/A")</f>
        <v>N/A</v>
      </c>
      <c r="U813" s="58" t="str" cm="1">
        <f t="array" ref="U813">_xlfn._xlws.FILTER(Competitions[compID], (Fixtures[[#This Row],[competition]] = Competitions[name]), "N/A")</f>
        <v>N/A</v>
      </c>
      <c r="V8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3" s="58" t="str" cm="1">
        <f t="array" ref="W8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3" s="58" t="str" cm="1">
        <f t="array" ref="X813">_xlfn._xlws.FILTER(Teams[name], (Fixtures[[#This Row],[userTeamID]] = Teams[teamID]), "N/A")</f>
        <v>N/A</v>
      </c>
      <c r="Y813" s="58" t="str" cm="1">
        <f t="array" ref="Y813">_xlfn._xlws.FILTER(Teams[teamType], (Fixtures[[#This Row],[userTeamID]] = Teams[teamID]), "N/A")</f>
        <v>N/A</v>
      </c>
      <c r="Z813" s="58" t="str" cm="1">
        <f t="array" ref="Z8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3" s="58" t="str">
        <f>IF(Fixtures[[#This Row],[userSide]] = "N/A", "N/A", IF(Fixtures[[#This Row],[userSide]] = "H", Fixtures[[#This Row],[awayTeam]], Fixtures[[#This Row],[homeTeam]]))</f>
        <v>N/A</v>
      </c>
      <c r="AB813" s="58" t="str" cm="1">
        <f t="array" ref="AB813">_xlfn._xlws.FILTER(Teams[teamID], Fixtures[[#This Row],[oppTeam]] = Teams[name], "N/A")</f>
        <v>N/A</v>
      </c>
      <c r="AC813" s="58" t="str" cm="1">
        <f t="array" ref="AC813">_xlfn._xlws.FILTER(Teams[teamType], Fixtures[[#This Row],[oppTeam]] = Teams[name], "N/A")</f>
        <v>N/A</v>
      </c>
      <c r="AD813" s="58" t="str">
        <f>IF(ISBLANK(Fixtures[[#This Row],[date]]), "N/A", IF(Fixtures[[#This Row],[userSide]]="H", Fixtures[[#This Row],[homeScore]], Fixtures[[#This Row],[awayScore]]))</f>
        <v>N/A</v>
      </c>
      <c r="AE813" s="58" t="str">
        <f>IF(ISBLANK(Fixtures[[#This Row],[date]]), "N/A", IF(Fixtures[[#This Row],[userScore]] = Fixtures[[#This Row],[homeScore]], Fixtures[[#This Row],[awayScore]], Fixtures[[#This Row],[homeScore]]))</f>
        <v>N/A</v>
      </c>
      <c r="AF813" s="58" t="b">
        <f>NOT(AND(ISBLANK(Fixtures[[#This Row],[homePens]]), ISBLANK(Fixtures[[#This Row],[awayPens]])))</f>
        <v>0</v>
      </c>
      <c r="AG813" s="58" t="str">
        <f>IF(Fixtures[[#This Row],[penalties]], IF(Fixtures[[#This Row],[userSide]]="H", Fixtures[[#This Row],[homePens]], Fixtures[[#This Row],[awayPens]]), "N/A")</f>
        <v>N/A</v>
      </c>
      <c r="AH813" s="58" t="str">
        <f>IF(Fixtures[[#This Row],[penalties]], IF(Fixtures[[#This Row],[userPens]]=Fixtures[[#This Row],[homePens]],Fixtures[[#This Row],[awayPens]],Fixtures[[#This Row],[homePens]]), "N/A")</f>
        <v>N/A</v>
      </c>
      <c r="AI813" s="58" t="b">
        <f>COUNTBLANK(Fixtures[[#This Row],[G]:[MOTM]]) = 0</f>
        <v>0</v>
      </c>
      <c r="AJ813" s="58" t="str">
        <f>IF(Fixtures[[#This Row],[APP]], Fixtures[[#This Row],[G]]+Fixtures[[#This Row],[A]], "N/A")</f>
        <v>N/A</v>
      </c>
      <c r="AK8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4" spans="1:39" ht="13">
      <c r="A814" s="55"/>
      <c r="B814" s="61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7"/>
      <c r="R814" s="56"/>
      <c r="S814" s="58" t="str" cm="1">
        <f t="array" ref="S814">_xlfn._xlws.FILTER(Competitions[compType], (Fixtures[[#This Row],[competition]] = Competitions[name]), "N/A")</f>
        <v>N/A</v>
      </c>
      <c r="T814" s="58" t="str" cm="1">
        <f t="array" ref="T814">_xlfn._xlws.FILTER(Competitions[exhibition], (Fixtures[[#This Row],[competition]] = Competitions[name]), "N/A")</f>
        <v>N/A</v>
      </c>
      <c r="U814" s="58" t="str" cm="1">
        <f t="array" ref="U814">_xlfn._xlws.FILTER(Competitions[compID], (Fixtures[[#This Row],[competition]] = Competitions[name]), "N/A")</f>
        <v>N/A</v>
      </c>
      <c r="V8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4" s="58" t="str" cm="1">
        <f t="array" ref="W8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4" s="58" t="str" cm="1">
        <f t="array" ref="X814">_xlfn._xlws.FILTER(Teams[name], (Fixtures[[#This Row],[userTeamID]] = Teams[teamID]), "N/A")</f>
        <v>N/A</v>
      </c>
      <c r="Y814" s="58" t="str" cm="1">
        <f t="array" ref="Y814">_xlfn._xlws.FILTER(Teams[teamType], (Fixtures[[#This Row],[userTeamID]] = Teams[teamID]), "N/A")</f>
        <v>N/A</v>
      </c>
      <c r="Z814" s="58" t="str" cm="1">
        <f t="array" ref="Z8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4" s="58" t="str">
        <f>IF(Fixtures[[#This Row],[userSide]] = "N/A", "N/A", IF(Fixtures[[#This Row],[userSide]] = "H", Fixtures[[#This Row],[awayTeam]], Fixtures[[#This Row],[homeTeam]]))</f>
        <v>N/A</v>
      </c>
      <c r="AB814" s="58" t="str" cm="1">
        <f t="array" ref="AB814">_xlfn._xlws.FILTER(Teams[teamID], Fixtures[[#This Row],[oppTeam]] = Teams[name], "N/A")</f>
        <v>N/A</v>
      </c>
      <c r="AC814" s="58" t="str" cm="1">
        <f t="array" ref="AC814">_xlfn._xlws.FILTER(Teams[teamType], Fixtures[[#This Row],[oppTeam]] = Teams[name], "N/A")</f>
        <v>N/A</v>
      </c>
      <c r="AD814" s="58" t="str">
        <f>IF(ISBLANK(Fixtures[[#This Row],[date]]), "N/A", IF(Fixtures[[#This Row],[userSide]]="H", Fixtures[[#This Row],[homeScore]], Fixtures[[#This Row],[awayScore]]))</f>
        <v>N/A</v>
      </c>
      <c r="AE814" s="58" t="str">
        <f>IF(ISBLANK(Fixtures[[#This Row],[date]]), "N/A", IF(Fixtures[[#This Row],[userScore]] = Fixtures[[#This Row],[homeScore]], Fixtures[[#This Row],[awayScore]], Fixtures[[#This Row],[homeScore]]))</f>
        <v>N/A</v>
      </c>
      <c r="AF814" s="58" t="b">
        <f>NOT(AND(ISBLANK(Fixtures[[#This Row],[homePens]]), ISBLANK(Fixtures[[#This Row],[awayPens]])))</f>
        <v>0</v>
      </c>
      <c r="AG814" s="58" t="str">
        <f>IF(Fixtures[[#This Row],[penalties]], IF(Fixtures[[#This Row],[userSide]]="H", Fixtures[[#This Row],[homePens]], Fixtures[[#This Row],[awayPens]]), "N/A")</f>
        <v>N/A</v>
      </c>
      <c r="AH814" s="58" t="str">
        <f>IF(Fixtures[[#This Row],[penalties]], IF(Fixtures[[#This Row],[userPens]]=Fixtures[[#This Row],[homePens]],Fixtures[[#This Row],[awayPens]],Fixtures[[#This Row],[homePens]]), "N/A")</f>
        <v>N/A</v>
      </c>
      <c r="AI814" s="58" t="b">
        <f>COUNTBLANK(Fixtures[[#This Row],[G]:[MOTM]]) = 0</f>
        <v>0</v>
      </c>
      <c r="AJ814" s="58" t="str">
        <f>IF(Fixtures[[#This Row],[APP]], Fixtures[[#This Row],[G]]+Fixtures[[#This Row],[A]], "N/A")</f>
        <v>N/A</v>
      </c>
      <c r="AK8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5" spans="1:39" ht="13">
      <c r="A815" s="55"/>
      <c r="B815" s="61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7"/>
      <c r="R815" s="56"/>
      <c r="S815" s="58" t="str" cm="1">
        <f t="array" ref="S815">_xlfn._xlws.FILTER(Competitions[compType], (Fixtures[[#This Row],[competition]] = Competitions[name]), "N/A")</f>
        <v>N/A</v>
      </c>
      <c r="T815" s="58" t="str" cm="1">
        <f t="array" ref="T815">_xlfn._xlws.FILTER(Competitions[exhibition], (Fixtures[[#This Row],[competition]] = Competitions[name]), "N/A")</f>
        <v>N/A</v>
      </c>
      <c r="U815" s="58" t="str" cm="1">
        <f t="array" ref="U815">_xlfn._xlws.FILTER(Competitions[compID], (Fixtures[[#This Row],[competition]] = Competitions[name]), "N/A")</f>
        <v>N/A</v>
      </c>
      <c r="V8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5" s="58" t="str" cm="1">
        <f t="array" ref="W8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5" s="58" t="str" cm="1">
        <f t="array" ref="X815">_xlfn._xlws.FILTER(Teams[name], (Fixtures[[#This Row],[userTeamID]] = Teams[teamID]), "N/A")</f>
        <v>N/A</v>
      </c>
      <c r="Y815" s="58" t="str" cm="1">
        <f t="array" ref="Y815">_xlfn._xlws.FILTER(Teams[teamType], (Fixtures[[#This Row],[userTeamID]] = Teams[teamID]), "N/A")</f>
        <v>N/A</v>
      </c>
      <c r="Z815" s="58" t="str" cm="1">
        <f t="array" ref="Z8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5" s="58" t="str">
        <f>IF(Fixtures[[#This Row],[userSide]] = "N/A", "N/A", IF(Fixtures[[#This Row],[userSide]] = "H", Fixtures[[#This Row],[awayTeam]], Fixtures[[#This Row],[homeTeam]]))</f>
        <v>N/A</v>
      </c>
      <c r="AB815" s="58" t="str" cm="1">
        <f t="array" ref="AB815">_xlfn._xlws.FILTER(Teams[teamID], Fixtures[[#This Row],[oppTeam]] = Teams[name], "N/A")</f>
        <v>N/A</v>
      </c>
      <c r="AC815" s="58" t="str" cm="1">
        <f t="array" ref="AC815">_xlfn._xlws.FILTER(Teams[teamType], Fixtures[[#This Row],[oppTeam]] = Teams[name], "N/A")</f>
        <v>N/A</v>
      </c>
      <c r="AD815" s="58" t="str">
        <f>IF(ISBLANK(Fixtures[[#This Row],[date]]), "N/A", IF(Fixtures[[#This Row],[userSide]]="H", Fixtures[[#This Row],[homeScore]], Fixtures[[#This Row],[awayScore]]))</f>
        <v>N/A</v>
      </c>
      <c r="AE815" s="58" t="str">
        <f>IF(ISBLANK(Fixtures[[#This Row],[date]]), "N/A", IF(Fixtures[[#This Row],[userScore]] = Fixtures[[#This Row],[homeScore]], Fixtures[[#This Row],[awayScore]], Fixtures[[#This Row],[homeScore]]))</f>
        <v>N/A</v>
      </c>
      <c r="AF815" s="58" t="b">
        <f>NOT(AND(ISBLANK(Fixtures[[#This Row],[homePens]]), ISBLANK(Fixtures[[#This Row],[awayPens]])))</f>
        <v>0</v>
      </c>
      <c r="AG815" s="58" t="str">
        <f>IF(Fixtures[[#This Row],[penalties]], IF(Fixtures[[#This Row],[userSide]]="H", Fixtures[[#This Row],[homePens]], Fixtures[[#This Row],[awayPens]]), "N/A")</f>
        <v>N/A</v>
      </c>
      <c r="AH815" s="58" t="str">
        <f>IF(Fixtures[[#This Row],[penalties]], IF(Fixtures[[#This Row],[userPens]]=Fixtures[[#This Row],[homePens]],Fixtures[[#This Row],[awayPens]],Fixtures[[#This Row],[homePens]]), "N/A")</f>
        <v>N/A</v>
      </c>
      <c r="AI815" s="58" t="b">
        <f>COUNTBLANK(Fixtures[[#This Row],[G]:[MOTM]]) = 0</f>
        <v>0</v>
      </c>
      <c r="AJ815" s="58" t="str">
        <f>IF(Fixtures[[#This Row],[APP]], Fixtures[[#This Row],[G]]+Fixtures[[#This Row],[A]], "N/A")</f>
        <v>N/A</v>
      </c>
      <c r="AK8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6" spans="1:39" ht="13">
      <c r="A816" s="55"/>
      <c r="B816" s="61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7"/>
      <c r="R816" s="56"/>
      <c r="S816" s="58" t="str" cm="1">
        <f t="array" ref="S816">_xlfn._xlws.FILTER(Competitions[compType], (Fixtures[[#This Row],[competition]] = Competitions[name]), "N/A")</f>
        <v>N/A</v>
      </c>
      <c r="T816" s="58" t="str" cm="1">
        <f t="array" ref="T816">_xlfn._xlws.FILTER(Competitions[exhibition], (Fixtures[[#This Row],[competition]] = Competitions[name]), "N/A")</f>
        <v>N/A</v>
      </c>
      <c r="U816" s="58" t="str" cm="1">
        <f t="array" ref="U816">_xlfn._xlws.FILTER(Competitions[compID], (Fixtures[[#This Row],[competition]] = Competitions[name]), "N/A")</f>
        <v>N/A</v>
      </c>
      <c r="V8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6" s="58" t="str" cm="1">
        <f t="array" ref="W8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6" s="58" t="str" cm="1">
        <f t="array" ref="X816">_xlfn._xlws.FILTER(Teams[name], (Fixtures[[#This Row],[userTeamID]] = Teams[teamID]), "N/A")</f>
        <v>N/A</v>
      </c>
      <c r="Y816" s="58" t="str" cm="1">
        <f t="array" ref="Y816">_xlfn._xlws.FILTER(Teams[teamType], (Fixtures[[#This Row],[userTeamID]] = Teams[teamID]), "N/A")</f>
        <v>N/A</v>
      </c>
      <c r="Z816" s="58" t="str" cm="1">
        <f t="array" ref="Z8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6" s="58" t="str">
        <f>IF(Fixtures[[#This Row],[userSide]] = "N/A", "N/A", IF(Fixtures[[#This Row],[userSide]] = "H", Fixtures[[#This Row],[awayTeam]], Fixtures[[#This Row],[homeTeam]]))</f>
        <v>N/A</v>
      </c>
      <c r="AB816" s="58" t="str" cm="1">
        <f t="array" ref="AB816">_xlfn._xlws.FILTER(Teams[teamID], Fixtures[[#This Row],[oppTeam]] = Teams[name], "N/A")</f>
        <v>N/A</v>
      </c>
      <c r="AC816" s="58" t="str" cm="1">
        <f t="array" ref="AC816">_xlfn._xlws.FILTER(Teams[teamType], Fixtures[[#This Row],[oppTeam]] = Teams[name], "N/A")</f>
        <v>N/A</v>
      </c>
      <c r="AD816" s="58" t="str">
        <f>IF(ISBLANK(Fixtures[[#This Row],[date]]), "N/A", IF(Fixtures[[#This Row],[userSide]]="H", Fixtures[[#This Row],[homeScore]], Fixtures[[#This Row],[awayScore]]))</f>
        <v>N/A</v>
      </c>
      <c r="AE816" s="58" t="str">
        <f>IF(ISBLANK(Fixtures[[#This Row],[date]]), "N/A", IF(Fixtures[[#This Row],[userScore]] = Fixtures[[#This Row],[homeScore]], Fixtures[[#This Row],[awayScore]], Fixtures[[#This Row],[homeScore]]))</f>
        <v>N/A</v>
      </c>
      <c r="AF816" s="58" t="b">
        <f>NOT(AND(ISBLANK(Fixtures[[#This Row],[homePens]]), ISBLANK(Fixtures[[#This Row],[awayPens]])))</f>
        <v>0</v>
      </c>
      <c r="AG816" s="58" t="str">
        <f>IF(Fixtures[[#This Row],[penalties]], IF(Fixtures[[#This Row],[userSide]]="H", Fixtures[[#This Row],[homePens]], Fixtures[[#This Row],[awayPens]]), "N/A")</f>
        <v>N/A</v>
      </c>
      <c r="AH816" s="58" t="str">
        <f>IF(Fixtures[[#This Row],[penalties]], IF(Fixtures[[#This Row],[userPens]]=Fixtures[[#This Row],[homePens]],Fixtures[[#This Row],[awayPens]],Fixtures[[#This Row],[homePens]]), "N/A")</f>
        <v>N/A</v>
      </c>
      <c r="AI816" s="58" t="b">
        <f>COUNTBLANK(Fixtures[[#This Row],[G]:[MOTM]]) = 0</f>
        <v>0</v>
      </c>
      <c r="AJ816" s="58" t="str">
        <f>IF(Fixtures[[#This Row],[APP]], Fixtures[[#This Row],[G]]+Fixtures[[#This Row],[A]], "N/A")</f>
        <v>N/A</v>
      </c>
      <c r="AK8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7" spans="1:39" ht="13">
      <c r="A817" s="55"/>
      <c r="B817" s="61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7"/>
      <c r="R817" s="56"/>
      <c r="S817" s="58" t="str" cm="1">
        <f t="array" ref="S817">_xlfn._xlws.FILTER(Competitions[compType], (Fixtures[[#This Row],[competition]] = Competitions[name]), "N/A")</f>
        <v>N/A</v>
      </c>
      <c r="T817" s="58" t="str" cm="1">
        <f t="array" ref="T817">_xlfn._xlws.FILTER(Competitions[exhibition], (Fixtures[[#This Row],[competition]] = Competitions[name]), "N/A")</f>
        <v>N/A</v>
      </c>
      <c r="U817" s="58" t="str" cm="1">
        <f t="array" ref="U817">_xlfn._xlws.FILTER(Competitions[compID], (Fixtures[[#This Row],[competition]] = Competitions[name]), "N/A")</f>
        <v>N/A</v>
      </c>
      <c r="V8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7" s="58" t="str" cm="1">
        <f t="array" ref="W8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7" s="58" t="str" cm="1">
        <f t="array" ref="X817">_xlfn._xlws.FILTER(Teams[name], (Fixtures[[#This Row],[userTeamID]] = Teams[teamID]), "N/A")</f>
        <v>N/A</v>
      </c>
      <c r="Y817" s="58" t="str" cm="1">
        <f t="array" ref="Y817">_xlfn._xlws.FILTER(Teams[teamType], (Fixtures[[#This Row],[userTeamID]] = Teams[teamID]), "N/A")</f>
        <v>N/A</v>
      </c>
      <c r="Z817" s="58" t="str" cm="1">
        <f t="array" ref="Z8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7" s="58" t="str">
        <f>IF(Fixtures[[#This Row],[userSide]] = "N/A", "N/A", IF(Fixtures[[#This Row],[userSide]] = "H", Fixtures[[#This Row],[awayTeam]], Fixtures[[#This Row],[homeTeam]]))</f>
        <v>N/A</v>
      </c>
      <c r="AB817" s="58" t="str" cm="1">
        <f t="array" ref="AB817">_xlfn._xlws.FILTER(Teams[teamID], Fixtures[[#This Row],[oppTeam]] = Teams[name], "N/A")</f>
        <v>N/A</v>
      </c>
      <c r="AC817" s="58" t="str" cm="1">
        <f t="array" ref="AC817">_xlfn._xlws.FILTER(Teams[teamType], Fixtures[[#This Row],[oppTeam]] = Teams[name], "N/A")</f>
        <v>N/A</v>
      </c>
      <c r="AD817" s="58" t="str">
        <f>IF(ISBLANK(Fixtures[[#This Row],[date]]), "N/A", IF(Fixtures[[#This Row],[userSide]]="H", Fixtures[[#This Row],[homeScore]], Fixtures[[#This Row],[awayScore]]))</f>
        <v>N/A</v>
      </c>
      <c r="AE817" s="58" t="str">
        <f>IF(ISBLANK(Fixtures[[#This Row],[date]]), "N/A", IF(Fixtures[[#This Row],[userScore]] = Fixtures[[#This Row],[homeScore]], Fixtures[[#This Row],[awayScore]], Fixtures[[#This Row],[homeScore]]))</f>
        <v>N/A</v>
      </c>
      <c r="AF817" s="58" t="b">
        <f>NOT(AND(ISBLANK(Fixtures[[#This Row],[homePens]]), ISBLANK(Fixtures[[#This Row],[awayPens]])))</f>
        <v>0</v>
      </c>
      <c r="AG817" s="58" t="str">
        <f>IF(Fixtures[[#This Row],[penalties]], IF(Fixtures[[#This Row],[userSide]]="H", Fixtures[[#This Row],[homePens]], Fixtures[[#This Row],[awayPens]]), "N/A")</f>
        <v>N/A</v>
      </c>
      <c r="AH817" s="58" t="str">
        <f>IF(Fixtures[[#This Row],[penalties]], IF(Fixtures[[#This Row],[userPens]]=Fixtures[[#This Row],[homePens]],Fixtures[[#This Row],[awayPens]],Fixtures[[#This Row],[homePens]]), "N/A")</f>
        <v>N/A</v>
      </c>
      <c r="AI817" s="58" t="b">
        <f>COUNTBLANK(Fixtures[[#This Row],[G]:[MOTM]]) = 0</f>
        <v>0</v>
      </c>
      <c r="AJ817" s="58" t="str">
        <f>IF(Fixtures[[#This Row],[APP]], Fixtures[[#This Row],[G]]+Fixtures[[#This Row],[A]], "N/A")</f>
        <v>N/A</v>
      </c>
      <c r="AK8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8" spans="1:39" ht="13">
      <c r="A818" s="55"/>
      <c r="B818" s="61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7"/>
      <c r="R818" s="56"/>
      <c r="S818" s="58" t="str" cm="1">
        <f t="array" ref="S818">_xlfn._xlws.FILTER(Competitions[compType], (Fixtures[[#This Row],[competition]] = Competitions[name]), "N/A")</f>
        <v>N/A</v>
      </c>
      <c r="T818" s="58" t="str" cm="1">
        <f t="array" ref="T818">_xlfn._xlws.FILTER(Competitions[exhibition], (Fixtures[[#This Row],[competition]] = Competitions[name]), "N/A")</f>
        <v>N/A</v>
      </c>
      <c r="U818" s="58" t="str" cm="1">
        <f t="array" ref="U818">_xlfn._xlws.FILTER(Competitions[compID], (Fixtures[[#This Row],[competition]] = Competitions[name]), "N/A")</f>
        <v>N/A</v>
      </c>
      <c r="V8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8" s="58" t="str" cm="1">
        <f t="array" ref="W8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8" s="58" t="str" cm="1">
        <f t="array" ref="X818">_xlfn._xlws.FILTER(Teams[name], (Fixtures[[#This Row],[userTeamID]] = Teams[teamID]), "N/A")</f>
        <v>N/A</v>
      </c>
      <c r="Y818" s="58" t="str" cm="1">
        <f t="array" ref="Y818">_xlfn._xlws.FILTER(Teams[teamType], (Fixtures[[#This Row],[userTeamID]] = Teams[teamID]), "N/A")</f>
        <v>N/A</v>
      </c>
      <c r="Z818" s="58" t="str" cm="1">
        <f t="array" ref="Z8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8" s="58" t="str">
        <f>IF(Fixtures[[#This Row],[userSide]] = "N/A", "N/A", IF(Fixtures[[#This Row],[userSide]] = "H", Fixtures[[#This Row],[awayTeam]], Fixtures[[#This Row],[homeTeam]]))</f>
        <v>N/A</v>
      </c>
      <c r="AB818" s="58" t="str" cm="1">
        <f t="array" ref="AB818">_xlfn._xlws.FILTER(Teams[teamID], Fixtures[[#This Row],[oppTeam]] = Teams[name], "N/A")</f>
        <v>N/A</v>
      </c>
      <c r="AC818" s="58" t="str" cm="1">
        <f t="array" ref="AC818">_xlfn._xlws.FILTER(Teams[teamType], Fixtures[[#This Row],[oppTeam]] = Teams[name], "N/A")</f>
        <v>N/A</v>
      </c>
      <c r="AD818" s="58" t="str">
        <f>IF(ISBLANK(Fixtures[[#This Row],[date]]), "N/A", IF(Fixtures[[#This Row],[userSide]]="H", Fixtures[[#This Row],[homeScore]], Fixtures[[#This Row],[awayScore]]))</f>
        <v>N/A</v>
      </c>
      <c r="AE818" s="58" t="str">
        <f>IF(ISBLANK(Fixtures[[#This Row],[date]]), "N/A", IF(Fixtures[[#This Row],[userScore]] = Fixtures[[#This Row],[homeScore]], Fixtures[[#This Row],[awayScore]], Fixtures[[#This Row],[homeScore]]))</f>
        <v>N/A</v>
      </c>
      <c r="AF818" s="58" t="b">
        <f>NOT(AND(ISBLANK(Fixtures[[#This Row],[homePens]]), ISBLANK(Fixtures[[#This Row],[awayPens]])))</f>
        <v>0</v>
      </c>
      <c r="AG818" s="58" t="str">
        <f>IF(Fixtures[[#This Row],[penalties]], IF(Fixtures[[#This Row],[userSide]]="H", Fixtures[[#This Row],[homePens]], Fixtures[[#This Row],[awayPens]]), "N/A")</f>
        <v>N/A</v>
      </c>
      <c r="AH818" s="58" t="str">
        <f>IF(Fixtures[[#This Row],[penalties]], IF(Fixtures[[#This Row],[userPens]]=Fixtures[[#This Row],[homePens]],Fixtures[[#This Row],[awayPens]],Fixtures[[#This Row],[homePens]]), "N/A")</f>
        <v>N/A</v>
      </c>
      <c r="AI818" s="58" t="b">
        <f>COUNTBLANK(Fixtures[[#This Row],[G]:[MOTM]]) = 0</f>
        <v>0</v>
      </c>
      <c r="AJ818" s="58" t="str">
        <f>IF(Fixtures[[#This Row],[APP]], Fixtures[[#This Row],[G]]+Fixtures[[#This Row],[A]], "N/A")</f>
        <v>N/A</v>
      </c>
      <c r="AK8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19" spans="1:39" ht="13">
      <c r="A819" s="55"/>
      <c r="B819" s="61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7"/>
      <c r="R819" s="56"/>
      <c r="S819" s="58" t="str" cm="1">
        <f t="array" ref="S819">_xlfn._xlws.FILTER(Competitions[compType], (Fixtures[[#This Row],[competition]] = Competitions[name]), "N/A")</f>
        <v>N/A</v>
      </c>
      <c r="T819" s="58" t="str" cm="1">
        <f t="array" ref="T819">_xlfn._xlws.FILTER(Competitions[exhibition], (Fixtures[[#This Row],[competition]] = Competitions[name]), "N/A")</f>
        <v>N/A</v>
      </c>
      <c r="U819" s="58" t="str" cm="1">
        <f t="array" ref="U819">_xlfn._xlws.FILTER(Competitions[compID], (Fixtures[[#This Row],[competition]] = Competitions[name]), "N/A")</f>
        <v>N/A</v>
      </c>
      <c r="V8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19" s="58" t="str" cm="1">
        <f t="array" ref="W8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19" s="58" t="str" cm="1">
        <f t="array" ref="X819">_xlfn._xlws.FILTER(Teams[name], (Fixtures[[#This Row],[userTeamID]] = Teams[teamID]), "N/A")</f>
        <v>N/A</v>
      </c>
      <c r="Y819" s="58" t="str" cm="1">
        <f t="array" ref="Y819">_xlfn._xlws.FILTER(Teams[teamType], (Fixtures[[#This Row],[userTeamID]] = Teams[teamID]), "N/A")</f>
        <v>N/A</v>
      </c>
      <c r="Z819" s="58" t="str" cm="1">
        <f t="array" ref="Z8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19" s="58" t="str">
        <f>IF(Fixtures[[#This Row],[userSide]] = "N/A", "N/A", IF(Fixtures[[#This Row],[userSide]] = "H", Fixtures[[#This Row],[awayTeam]], Fixtures[[#This Row],[homeTeam]]))</f>
        <v>N/A</v>
      </c>
      <c r="AB819" s="58" t="str" cm="1">
        <f t="array" ref="AB819">_xlfn._xlws.FILTER(Teams[teamID], Fixtures[[#This Row],[oppTeam]] = Teams[name], "N/A")</f>
        <v>N/A</v>
      </c>
      <c r="AC819" s="58" t="str" cm="1">
        <f t="array" ref="AC819">_xlfn._xlws.FILTER(Teams[teamType], Fixtures[[#This Row],[oppTeam]] = Teams[name], "N/A")</f>
        <v>N/A</v>
      </c>
      <c r="AD819" s="58" t="str">
        <f>IF(ISBLANK(Fixtures[[#This Row],[date]]), "N/A", IF(Fixtures[[#This Row],[userSide]]="H", Fixtures[[#This Row],[homeScore]], Fixtures[[#This Row],[awayScore]]))</f>
        <v>N/A</v>
      </c>
      <c r="AE819" s="58" t="str">
        <f>IF(ISBLANK(Fixtures[[#This Row],[date]]), "N/A", IF(Fixtures[[#This Row],[userScore]] = Fixtures[[#This Row],[homeScore]], Fixtures[[#This Row],[awayScore]], Fixtures[[#This Row],[homeScore]]))</f>
        <v>N/A</v>
      </c>
      <c r="AF819" s="58" t="b">
        <f>NOT(AND(ISBLANK(Fixtures[[#This Row],[homePens]]), ISBLANK(Fixtures[[#This Row],[awayPens]])))</f>
        <v>0</v>
      </c>
      <c r="AG819" s="58" t="str">
        <f>IF(Fixtures[[#This Row],[penalties]], IF(Fixtures[[#This Row],[userSide]]="H", Fixtures[[#This Row],[homePens]], Fixtures[[#This Row],[awayPens]]), "N/A")</f>
        <v>N/A</v>
      </c>
      <c r="AH819" s="58" t="str">
        <f>IF(Fixtures[[#This Row],[penalties]], IF(Fixtures[[#This Row],[userPens]]=Fixtures[[#This Row],[homePens]],Fixtures[[#This Row],[awayPens]],Fixtures[[#This Row],[homePens]]), "N/A")</f>
        <v>N/A</v>
      </c>
      <c r="AI819" s="58" t="b">
        <f>COUNTBLANK(Fixtures[[#This Row],[G]:[MOTM]]) = 0</f>
        <v>0</v>
      </c>
      <c r="AJ819" s="58" t="str">
        <f>IF(Fixtures[[#This Row],[APP]], Fixtures[[#This Row],[G]]+Fixtures[[#This Row],[A]], "N/A")</f>
        <v>N/A</v>
      </c>
      <c r="AK8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0" spans="1:39" ht="13">
      <c r="A820" s="55"/>
      <c r="B820" s="61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7"/>
      <c r="R820" s="56"/>
      <c r="S820" s="58" t="str" cm="1">
        <f t="array" ref="S820">_xlfn._xlws.FILTER(Competitions[compType], (Fixtures[[#This Row],[competition]] = Competitions[name]), "N/A")</f>
        <v>N/A</v>
      </c>
      <c r="T820" s="58" t="str" cm="1">
        <f t="array" ref="T820">_xlfn._xlws.FILTER(Competitions[exhibition], (Fixtures[[#This Row],[competition]] = Competitions[name]), "N/A")</f>
        <v>N/A</v>
      </c>
      <c r="U820" s="58" t="str" cm="1">
        <f t="array" ref="U820">_xlfn._xlws.FILTER(Competitions[compID], (Fixtures[[#This Row],[competition]] = Competitions[name]), "N/A")</f>
        <v>N/A</v>
      </c>
      <c r="V8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0" s="58" t="str" cm="1">
        <f t="array" ref="W8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0" s="58" t="str" cm="1">
        <f t="array" ref="X820">_xlfn._xlws.FILTER(Teams[name], (Fixtures[[#This Row],[userTeamID]] = Teams[teamID]), "N/A")</f>
        <v>N/A</v>
      </c>
      <c r="Y820" s="58" t="str" cm="1">
        <f t="array" ref="Y820">_xlfn._xlws.FILTER(Teams[teamType], (Fixtures[[#This Row],[userTeamID]] = Teams[teamID]), "N/A")</f>
        <v>N/A</v>
      </c>
      <c r="Z820" s="58" t="str" cm="1">
        <f t="array" ref="Z8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0" s="58" t="str">
        <f>IF(Fixtures[[#This Row],[userSide]] = "N/A", "N/A", IF(Fixtures[[#This Row],[userSide]] = "H", Fixtures[[#This Row],[awayTeam]], Fixtures[[#This Row],[homeTeam]]))</f>
        <v>N/A</v>
      </c>
      <c r="AB820" s="58" t="str" cm="1">
        <f t="array" ref="AB820">_xlfn._xlws.FILTER(Teams[teamID], Fixtures[[#This Row],[oppTeam]] = Teams[name], "N/A")</f>
        <v>N/A</v>
      </c>
      <c r="AC820" s="58" t="str" cm="1">
        <f t="array" ref="AC820">_xlfn._xlws.FILTER(Teams[teamType], Fixtures[[#This Row],[oppTeam]] = Teams[name], "N/A")</f>
        <v>N/A</v>
      </c>
      <c r="AD820" s="58" t="str">
        <f>IF(ISBLANK(Fixtures[[#This Row],[date]]), "N/A", IF(Fixtures[[#This Row],[userSide]]="H", Fixtures[[#This Row],[homeScore]], Fixtures[[#This Row],[awayScore]]))</f>
        <v>N/A</v>
      </c>
      <c r="AE820" s="58" t="str">
        <f>IF(ISBLANK(Fixtures[[#This Row],[date]]), "N/A", IF(Fixtures[[#This Row],[userScore]] = Fixtures[[#This Row],[homeScore]], Fixtures[[#This Row],[awayScore]], Fixtures[[#This Row],[homeScore]]))</f>
        <v>N/A</v>
      </c>
      <c r="AF820" s="58" t="b">
        <f>NOT(AND(ISBLANK(Fixtures[[#This Row],[homePens]]), ISBLANK(Fixtures[[#This Row],[awayPens]])))</f>
        <v>0</v>
      </c>
      <c r="AG820" s="58" t="str">
        <f>IF(Fixtures[[#This Row],[penalties]], IF(Fixtures[[#This Row],[userSide]]="H", Fixtures[[#This Row],[homePens]], Fixtures[[#This Row],[awayPens]]), "N/A")</f>
        <v>N/A</v>
      </c>
      <c r="AH820" s="58" t="str">
        <f>IF(Fixtures[[#This Row],[penalties]], IF(Fixtures[[#This Row],[userPens]]=Fixtures[[#This Row],[homePens]],Fixtures[[#This Row],[awayPens]],Fixtures[[#This Row],[homePens]]), "N/A")</f>
        <v>N/A</v>
      </c>
      <c r="AI820" s="58" t="b">
        <f>COUNTBLANK(Fixtures[[#This Row],[G]:[MOTM]]) = 0</f>
        <v>0</v>
      </c>
      <c r="AJ820" s="58" t="str">
        <f>IF(Fixtures[[#This Row],[APP]], Fixtures[[#This Row],[G]]+Fixtures[[#This Row],[A]], "N/A")</f>
        <v>N/A</v>
      </c>
      <c r="AK8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1" spans="1:39" ht="13">
      <c r="A821" s="55"/>
      <c r="B821" s="61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7"/>
      <c r="R821" s="56"/>
      <c r="S821" s="58" t="str" cm="1">
        <f t="array" ref="S821">_xlfn._xlws.FILTER(Competitions[compType], (Fixtures[[#This Row],[competition]] = Competitions[name]), "N/A")</f>
        <v>N/A</v>
      </c>
      <c r="T821" s="58" t="str" cm="1">
        <f t="array" ref="T821">_xlfn._xlws.FILTER(Competitions[exhibition], (Fixtures[[#This Row],[competition]] = Competitions[name]), "N/A")</f>
        <v>N/A</v>
      </c>
      <c r="U821" s="58" t="str" cm="1">
        <f t="array" ref="U821">_xlfn._xlws.FILTER(Competitions[compID], (Fixtures[[#This Row],[competition]] = Competitions[name]), "N/A")</f>
        <v>N/A</v>
      </c>
      <c r="V8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1" s="58" t="str" cm="1">
        <f t="array" ref="W8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1" s="58" t="str" cm="1">
        <f t="array" ref="X821">_xlfn._xlws.FILTER(Teams[name], (Fixtures[[#This Row],[userTeamID]] = Teams[teamID]), "N/A")</f>
        <v>N/A</v>
      </c>
      <c r="Y821" s="58" t="str" cm="1">
        <f t="array" ref="Y821">_xlfn._xlws.FILTER(Teams[teamType], (Fixtures[[#This Row],[userTeamID]] = Teams[teamID]), "N/A")</f>
        <v>N/A</v>
      </c>
      <c r="Z821" s="58" t="str" cm="1">
        <f t="array" ref="Z8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1" s="58" t="str">
        <f>IF(Fixtures[[#This Row],[userSide]] = "N/A", "N/A", IF(Fixtures[[#This Row],[userSide]] = "H", Fixtures[[#This Row],[awayTeam]], Fixtures[[#This Row],[homeTeam]]))</f>
        <v>N/A</v>
      </c>
      <c r="AB821" s="58" t="str" cm="1">
        <f t="array" ref="AB821">_xlfn._xlws.FILTER(Teams[teamID], Fixtures[[#This Row],[oppTeam]] = Teams[name], "N/A")</f>
        <v>N/A</v>
      </c>
      <c r="AC821" s="58" t="str" cm="1">
        <f t="array" ref="AC821">_xlfn._xlws.FILTER(Teams[teamType], Fixtures[[#This Row],[oppTeam]] = Teams[name], "N/A")</f>
        <v>N/A</v>
      </c>
      <c r="AD821" s="58" t="str">
        <f>IF(ISBLANK(Fixtures[[#This Row],[date]]), "N/A", IF(Fixtures[[#This Row],[userSide]]="H", Fixtures[[#This Row],[homeScore]], Fixtures[[#This Row],[awayScore]]))</f>
        <v>N/A</v>
      </c>
      <c r="AE821" s="58" t="str">
        <f>IF(ISBLANK(Fixtures[[#This Row],[date]]), "N/A", IF(Fixtures[[#This Row],[userScore]] = Fixtures[[#This Row],[homeScore]], Fixtures[[#This Row],[awayScore]], Fixtures[[#This Row],[homeScore]]))</f>
        <v>N/A</v>
      </c>
      <c r="AF821" s="58" t="b">
        <f>NOT(AND(ISBLANK(Fixtures[[#This Row],[homePens]]), ISBLANK(Fixtures[[#This Row],[awayPens]])))</f>
        <v>0</v>
      </c>
      <c r="AG821" s="58" t="str">
        <f>IF(Fixtures[[#This Row],[penalties]], IF(Fixtures[[#This Row],[userSide]]="H", Fixtures[[#This Row],[homePens]], Fixtures[[#This Row],[awayPens]]), "N/A")</f>
        <v>N/A</v>
      </c>
      <c r="AH821" s="58" t="str">
        <f>IF(Fixtures[[#This Row],[penalties]], IF(Fixtures[[#This Row],[userPens]]=Fixtures[[#This Row],[homePens]],Fixtures[[#This Row],[awayPens]],Fixtures[[#This Row],[homePens]]), "N/A")</f>
        <v>N/A</v>
      </c>
      <c r="AI821" s="58" t="b">
        <f>COUNTBLANK(Fixtures[[#This Row],[G]:[MOTM]]) = 0</f>
        <v>0</v>
      </c>
      <c r="AJ821" s="58" t="str">
        <f>IF(Fixtures[[#This Row],[APP]], Fixtures[[#This Row],[G]]+Fixtures[[#This Row],[A]], "N/A")</f>
        <v>N/A</v>
      </c>
      <c r="AK8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2" spans="1:39" ht="13">
      <c r="A822" s="55"/>
      <c r="B822" s="61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7"/>
      <c r="R822" s="56"/>
      <c r="S822" s="58" t="str" cm="1">
        <f t="array" ref="S822">_xlfn._xlws.FILTER(Competitions[compType], (Fixtures[[#This Row],[competition]] = Competitions[name]), "N/A")</f>
        <v>N/A</v>
      </c>
      <c r="T822" s="58" t="str" cm="1">
        <f t="array" ref="T822">_xlfn._xlws.FILTER(Competitions[exhibition], (Fixtures[[#This Row],[competition]] = Competitions[name]), "N/A")</f>
        <v>N/A</v>
      </c>
      <c r="U822" s="58" t="str" cm="1">
        <f t="array" ref="U822">_xlfn._xlws.FILTER(Competitions[compID], (Fixtures[[#This Row],[competition]] = Competitions[name]), "N/A")</f>
        <v>N/A</v>
      </c>
      <c r="V8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2" s="58" t="str" cm="1">
        <f t="array" ref="W8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2" s="58" t="str" cm="1">
        <f t="array" ref="X822">_xlfn._xlws.FILTER(Teams[name], (Fixtures[[#This Row],[userTeamID]] = Teams[teamID]), "N/A")</f>
        <v>N/A</v>
      </c>
      <c r="Y822" s="58" t="str" cm="1">
        <f t="array" ref="Y822">_xlfn._xlws.FILTER(Teams[teamType], (Fixtures[[#This Row],[userTeamID]] = Teams[teamID]), "N/A")</f>
        <v>N/A</v>
      </c>
      <c r="Z822" s="58" t="str" cm="1">
        <f t="array" ref="Z8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2" s="58" t="str">
        <f>IF(Fixtures[[#This Row],[userSide]] = "N/A", "N/A", IF(Fixtures[[#This Row],[userSide]] = "H", Fixtures[[#This Row],[awayTeam]], Fixtures[[#This Row],[homeTeam]]))</f>
        <v>N/A</v>
      </c>
      <c r="AB822" s="58" t="str" cm="1">
        <f t="array" ref="AB822">_xlfn._xlws.FILTER(Teams[teamID], Fixtures[[#This Row],[oppTeam]] = Teams[name], "N/A")</f>
        <v>N/A</v>
      </c>
      <c r="AC822" s="58" t="str" cm="1">
        <f t="array" ref="AC822">_xlfn._xlws.FILTER(Teams[teamType], Fixtures[[#This Row],[oppTeam]] = Teams[name], "N/A")</f>
        <v>N/A</v>
      </c>
      <c r="AD822" s="58" t="str">
        <f>IF(ISBLANK(Fixtures[[#This Row],[date]]), "N/A", IF(Fixtures[[#This Row],[userSide]]="H", Fixtures[[#This Row],[homeScore]], Fixtures[[#This Row],[awayScore]]))</f>
        <v>N/A</v>
      </c>
      <c r="AE822" s="58" t="str">
        <f>IF(ISBLANK(Fixtures[[#This Row],[date]]), "N/A", IF(Fixtures[[#This Row],[userScore]] = Fixtures[[#This Row],[homeScore]], Fixtures[[#This Row],[awayScore]], Fixtures[[#This Row],[homeScore]]))</f>
        <v>N/A</v>
      </c>
      <c r="AF822" s="58" t="b">
        <f>NOT(AND(ISBLANK(Fixtures[[#This Row],[homePens]]), ISBLANK(Fixtures[[#This Row],[awayPens]])))</f>
        <v>0</v>
      </c>
      <c r="AG822" s="58" t="str">
        <f>IF(Fixtures[[#This Row],[penalties]], IF(Fixtures[[#This Row],[userSide]]="H", Fixtures[[#This Row],[homePens]], Fixtures[[#This Row],[awayPens]]), "N/A")</f>
        <v>N/A</v>
      </c>
      <c r="AH822" s="58" t="str">
        <f>IF(Fixtures[[#This Row],[penalties]], IF(Fixtures[[#This Row],[userPens]]=Fixtures[[#This Row],[homePens]],Fixtures[[#This Row],[awayPens]],Fixtures[[#This Row],[homePens]]), "N/A")</f>
        <v>N/A</v>
      </c>
      <c r="AI822" s="58" t="b">
        <f>COUNTBLANK(Fixtures[[#This Row],[G]:[MOTM]]) = 0</f>
        <v>0</v>
      </c>
      <c r="AJ822" s="58" t="str">
        <f>IF(Fixtures[[#This Row],[APP]], Fixtures[[#This Row],[G]]+Fixtures[[#This Row],[A]], "N/A")</f>
        <v>N/A</v>
      </c>
      <c r="AK8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3" spans="1:39" ht="13">
      <c r="A823" s="55"/>
      <c r="B823" s="61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7"/>
      <c r="R823" s="56"/>
      <c r="S823" s="58" t="str" cm="1">
        <f t="array" ref="S823">_xlfn._xlws.FILTER(Competitions[compType], (Fixtures[[#This Row],[competition]] = Competitions[name]), "N/A")</f>
        <v>N/A</v>
      </c>
      <c r="T823" s="58" t="str" cm="1">
        <f t="array" ref="T823">_xlfn._xlws.FILTER(Competitions[exhibition], (Fixtures[[#This Row],[competition]] = Competitions[name]), "N/A")</f>
        <v>N/A</v>
      </c>
      <c r="U823" s="58" t="str" cm="1">
        <f t="array" ref="U823">_xlfn._xlws.FILTER(Competitions[compID], (Fixtures[[#This Row],[competition]] = Competitions[name]), "N/A")</f>
        <v>N/A</v>
      </c>
      <c r="V8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3" s="58" t="str" cm="1">
        <f t="array" ref="W8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3" s="58" t="str" cm="1">
        <f t="array" ref="X823">_xlfn._xlws.FILTER(Teams[name], (Fixtures[[#This Row],[userTeamID]] = Teams[teamID]), "N/A")</f>
        <v>N/A</v>
      </c>
      <c r="Y823" s="58" t="str" cm="1">
        <f t="array" ref="Y823">_xlfn._xlws.FILTER(Teams[teamType], (Fixtures[[#This Row],[userTeamID]] = Teams[teamID]), "N/A")</f>
        <v>N/A</v>
      </c>
      <c r="Z823" s="58" t="str" cm="1">
        <f t="array" ref="Z8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3" s="58" t="str">
        <f>IF(Fixtures[[#This Row],[userSide]] = "N/A", "N/A", IF(Fixtures[[#This Row],[userSide]] = "H", Fixtures[[#This Row],[awayTeam]], Fixtures[[#This Row],[homeTeam]]))</f>
        <v>N/A</v>
      </c>
      <c r="AB823" s="58" t="str" cm="1">
        <f t="array" ref="AB823">_xlfn._xlws.FILTER(Teams[teamID], Fixtures[[#This Row],[oppTeam]] = Teams[name], "N/A")</f>
        <v>N/A</v>
      </c>
      <c r="AC823" s="58" t="str" cm="1">
        <f t="array" ref="AC823">_xlfn._xlws.FILTER(Teams[teamType], Fixtures[[#This Row],[oppTeam]] = Teams[name], "N/A")</f>
        <v>N/A</v>
      </c>
      <c r="AD823" s="58" t="str">
        <f>IF(ISBLANK(Fixtures[[#This Row],[date]]), "N/A", IF(Fixtures[[#This Row],[userSide]]="H", Fixtures[[#This Row],[homeScore]], Fixtures[[#This Row],[awayScore]]))</f>
        <v>N/A</v>
      </c>
      <c r="AE823" s="58" t="str">
        <f>IF(ISBLANK(Fixtures[[#This Row],[date]]), "N/A", IF(Fixtures[[#This Row],[userScore]] = Fixtures[[#This Row],[homeScore]], Fixtures[[#This Row],[awayScore]], Fixtures[[#This Row],[homeScore]]))</f>
        <v>N/A</v>
      </c>
      <c r="AF823" s="58" t="b">
        <f>NOT(AND(ISBLANK(Fixtures[[#This Row],[homePens]]), ISBLANK(Fixtures[[#This Row],[awayPens]])))</f>
        <v>0</v>
      </c>
      <c r="AG823" s="58" t="str">
        <f>IF(Fixtures[[#This Row],[penalties]], IF(Fixtures[[#This Row],[userSide]]="H", Fixtures[[#This Row],[homePens]], Fixtures[[#This Row],[awayPens]]), "N/A")</f>
        <v>N/A</v>
      </c>
      <c r="AH823" s="58" t="str">
        <f>IF(Fixtures[[#This Row],[penalties]], IF(Fixtures[[#This Row],[userPens]]=Fixtures[[#This Row],[homePens]],Fixtures[[#This Row],[awayPens]],Fixtures[[#This Row],[homePens]]), "N/A")</f>
        <v>N/A</v>
      </c>
      <c r="AI823" s="58" t="b">
        <f>COUNTBLANK(Fixtures[[#This Row],[G]:[MOTM]]) = 0</f>
        <v>0</v>
      </c>
      <c r="AJ823" s="58" t="str">
        <f>IF(Fixtures[[#This Row],[APP]], Fixtures[[#This Row],[G]]+Fixtures[[#This Row],[A]], "N/A")</f>
        <v>N/A</v>
      </c>
      <c r="AK8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4" spans="1:39" ht="13">
      <c r="A824" s="55"/>
      <c r="B824" s="61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7"/>
      <c r="R824" s="56"/>
      <c r="S824" s="58" t="str" cm="1">
        <f t="array" ref="S824">_xlfn._xlws.FILTER(Competitions[compType], (Fixtures[[#This Row],[competition]] = Competitions[name]), "N/A")</f>
        <v>N/A</v>
      </c>
      <c r="T824" s="58" t="str" cm="1">
        <f t="array" ref="T824">_xlfn._xlws.FILTER(Competitions[exhibition], (Fixtures[[#This Row],[competition]] = Competitions[name]), "N/A")</f>
        <v>N/A</v>
      </c>
      <c r="U824" s="58" t="str" cm="1">
        <f t="array" ref="U824">_xlfn._xlws.FILTER(Competitions[compID], (Fixtures[[#This Row],[competition]] = Competitions[name]), "N/A")</f>
        <v>N/A</v>
      </c>
      <c r="V8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4" s="58" t="str" cm="1">
        <f t="array" ref="W8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4" s="58" t="str" cm="1">
        <f t="array" ref="X824">_xlfn._xlws.FILTER(Teams[name], (Fixtures[[#This Row],[userTeamID]] = Teams[teamID]), "N/A")</f>
        <v>N/A</v>
      </c>
      <c r="Y824" s="58" t="str" cm="1">
        <f t="array" ref="Y824">_xlfn._xlws.FILTER(Teams[teamType], (Fixtures[[#This Row],[userTeamID]] = Teams[teamID]), "N/A")</f>
        <v>N/A</v>
      </c>
      <c r="Z824" s="58" t="str" cm="1">
        <f t="array" ref="Z8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4" s="58" t="str">
        <f>IF(Fixtures[[#This Row],[userSide]] = "N/A", "N/A", IF(Fixtures[[#This Row],[userSide]] = "H", Fixtures[[#This Row],[awayTeam]], Fixtures[[#This Row],[homeTeam]]))</f>
        <v>N/A</v>
      </c>
      <c r="AB824" s="58" t="str" cm="1">
        <f t="array" ref="AB824">_xlfn._xlws.FILTER(Teams[teamID], Fixtures[[#This Row],[oppTeam]] = Teams[name], "N/A")</f>
        <v>N/A</v>
      </c>
      <c r="AC824" s="58" t="str" cm="1">
        <f t="array" ref="AC824">_xlfn._xlws.FILTER(Teams[teamType], Fixtures[[#This Row],[oppTeam]] = Teams[name], "N/A")</f>
        <v>N/A</v>
      </c>
      <c r="AD824" s="58" t="str">
        <f>IF(ISBLANK(Fixtures[[#This Row],[date]]), "N/A", IF(Fixtures[[#This Row],[userSide]]="H", Fixtures[[#This Row],[homeScore]], Fixtures[[#This Row],[awayScore]]))</f>
        <v>N/A</v>
      </c>
      <c r="AE824" s="58" t="str">
        <f>IF(ISBLANK(Fixtures[[#This Row],[date]]), "N/A", IF(Fixtures[[#This Row],[userScore]] = Fixtures[[#This Row],[homeScore]], Fixtures[[#This Row],[awayScore]], Fixtures[[#This Row],[homeScore]]))</f>
        <v>N/A</v>
      </c>
      <c r="AF824" s="58" t="b">
        <f>NOT(AND(ISBLANK(Fixtures[[#This Row],[homePens]]), ISBLANK(Fixtures[[#This Row],[awayPens]])))</f>
        <v>0</v>
      </c>
      <c r="AG824" s="58" t="str">
        <f>IF(Fixtures[[#This Row],[penalties]], IF(Fixtures[[#This Row],[userSide]]="H", Fixtures[[#This Row],[homePens]], Fixtures[[#This Row],[awayPens]]), "N/A")</f>
        <v>N/A</v>
      </c>
      <c r="AH824" s="58" t="str">
        <f>IF(Fixtures[[#This Row],[penalties]], IF(Fixtures[[#This Row],[userPens]]=Fixtures[[#This Row],[homePens]],Fixtures[[#This Row],[awayPens]],Fixtures[[#This Row],[homePens]]), "N/A")</f>
        <v>N/A</v>
      </c>
      <c r="AI824" s="58" t="b">
        <f>COUNTBLANK(Fixtures[[#This Row],[G]:[MOTM]]) = 0</f>
        <v>0</v>
      </c>
      <c r="AJ824" s="58" t="str">
        <f>IF(Fixtures[[#This Row],[APP]], Fixtures[[#This Row],[G]]+Fixtures[[#This Row],[A]], "N/A")</f>
        <v>N/A</v>
      </c>
      <c r="AK8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5" spans="1:39" ht="13">
      <c r="A825" s="55"/>
      <c r="B825" s="61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7"/>
      <c r="R825" s="56"/>
      <c r="S825" s="58" t="str" cm="1">
        <f t="array" ref="S825">_xlfn._xlws.FILTER(Competitions[compType], (Fixtures[[#This Row],[competition]] = Competitions[name]), "N/A")</f>
        <v>N/A</v>
      </c>
      <c r="T825" s="58" t="str" cm="1">
        <f t="array" ref="T825">_xlfn._xlws.FILTER(Competitions[exhibition], (Fixtures[[#This Row],[competition]] = Competitions[name]), "N/A")</f>
        <v>N/A</v>
      </c>
      <c r="U825" s="58" t="str" cm="1">
        <f t="array" ref="U825">_xlfn._xlws.FILTER(Competitions[compID], (Fixtures[[#This Row],[competition]] = Competitions[name]), "N/A")</f>
        <v>N/A</v>
      </c>
      <c r="V8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5" s="58" t="str" cm="1">
        <f t="array" ref="W8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5" s="58" t="str" cm="1">
        <f t="array" ref="X825">_xlfn._xlws.FILTER(Teams[name], (Fixtures[[#This Row],[userTeamID]] = Teams[teamID]), "N/A")</f>
        <v>N/A</v>
      </c>
      <c r="Y825" s="58" t="str" cm="1">
        <f t="array" ref="Y825">_xlfn._xlws.FILTER(Teams[teamType], (Fixtures[[#This Row],[userTeamID]] = Teams[teamID]), "N/A")</f>
        <v>N/A</v>
      </c>
      <c r="Z825" s="58" t="str" cm="1">
        <f t="array" ref="Z8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5" s="58" t="str">
        <f>IF(Fixtures[[#This Row],[userSide]] = "N/A", "N/A", IF(Fixtures[[#This Row],[userSide]] = "H", Fixtures[[#This Row],[awayTeam]], Fixtures[[#This Row],[homeTeam]]))</f>
        <v>N/A</v>
      </c>
      <c r="AB825" s="58" t="str" cm="1">
        <f t="array" ref="AB825">_xlfn._xlws.FILTER(Teams[teamID], Fixtures[[#This Row],[oppTeam]] = Teams[name], "N/A")</f>
        <v>N/A</v>
      </c>
      <c r="AC825" s="58" t="str" cm="1">
        <f t="array" ref="AC825">_xlfn._xlws.FILTER(Teams[teamType], Fixtures[[#This Row],[oppTeam]] = Teams[name], "N/A")</f>
        <v>N/A</v>
      </c>
      <c r="AD825" s="58" t="str">
        <f>IF(ISBLANK(Fixtures[[#This Row],[date]]), "N/A", IF(Fixtures[[#This Row],[userSide]]="H", Fixtures[[#This Row],[homeScore]], Fixtures[[#This Row],[awayScore]]))</f>
        <v>N/A</v>
      </c>
      <c r="AE825" s="58" t="str">
        <f>IF(ISBLANK(Fixtures[[#This Row],[date]]), "N/A", IF(Fixtures[[#This Row],[userScore]] = Fixtures[[#This Row],[homeScore]], Fixtures[[#This Row],[awayScore]], Fixtures[[#This Row],[homeScore]]))</f>
        <v>N/A</v>
      </c>
      <c r="AF825" s="58" t="b">
        <f>NOT(AND(ISBLANK(Fixtures[[#This Row],[homePens]]), ISBLANK(Fixtures[[#This Row],[awayPens]])))</f>
        <v>0</v>
      </c>
      <c r="AG825" s="58" t="str">
        <f>IF(Fixtures[[#This Row],[penalties]], IF(Fixtures[[#This Row],[userSide]]="H", Fixtures[[#This Row],[homePens]], Fixtures[[#This Row],[awayPens]]), "N/A")</f>
        <v>N/A</v>
      </c>
      <c r="AH825" s="58" t="str">
        <f>IF(Fixtures[[#This Row],[penalties]], IF(Fixtures[[#This Row],[userPens]]=Fixtures[[#This Row],[homePens]],Fixtures[[#This Row],[awayPens]],Fixtures[[#This Row],[homePens]]), "N/A")</f>
        <v>N/A</v>
      </c>
      <c r="AI825" s="58" t="b">
        <f>COUNTBLANK(Fixtures[[#This Row],[G]:[MOTM]]) = 0</f>
        <v>0</v>
      </c>
      <c r="AJ825" s="58" t="str">
        <f>IF(Fixtures[[#This Row],[APP]], Fixtures[[#This Row],[G]]+Fixtures[[#This Row],[A]], "N/A")</f>
        <v>N/A</v>
      </c>
      <c r="AK8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6" spans="1:39" ht="13">
      <c r="A826" s="55"/>
      <c r="B826" s="61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7"/>
      <c r="R826" s="56"/>
      <c r="S826" s="58" t="str" cm="1">
        <f t="array" ref="S826">_xlfn._xlws.FILTER(Competitions[compType], (Fixtures[[#This Row],[competition]] = Competitions[name]), "N/A")</f>
        <v>N/A</v>
      </c>
      <c r="T826" s="58" t="str" cm="1">
        <f t="array" ref="T826">_xlfn._xlws.FILTER(Competitions[exhibition], (Fixtures[[#This Row],[competition]] = Competitions[name]), "N/A")</f>
        <v>N/A</v>
      </c>
      <c r="U826" s="58" t="str" cm="1">
        <f t="array" ref="U826">_xlfn._xlws.FILTER(Competitions[compID], (Fixtures[[#This Row],[competition]] = Competitions[name]), "N/A")</f>
        <v>N/A</v>
      </c>
      <c r="V8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6" s="58" t="str" cm="1">
        <f t="array" ref="W8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6" s="58" t="str" cm="1">
        <f t="array" ref="X826">_xlfn._xlws.FILTER(Teams[name], (Fixtures[[#This Row],[userTeamID]] = Teams[teamID]), "N/A")</f>
        <v>N/A</v>
      </c>
      <c r="Y826" s="58" t="str" cm="1">
        <f t="array" ref="Y826">_xlfn._xlws.FILTER(Teams[teamType], (Fixtures[[#This Row],[userTeamID]] = Teams[teamID]), "N/A")</f>
        <v>N/A</v>
      </c>
      <c r="Z826" s="58" t="str" cm="1">
        <f t="array" ref="Z8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6" s="58" t="str">
        <f>IF(Fixtures[[#This Row],[userSide]] = "N/A", "N/A", IF(Fixtures[[#This Row],[userSide]] = "H", Fixtures[[#This Row],[awayTeam]], Fixtures[[#This Row],[homeTeam]]))</f>
        <v>N/A</v>
      </c>
      <c r="AB826" s="58" t="str" cm="1">
        <f t="array" ref="AB826">_xlfn._xlws.FILTER(Teams[teamID], Fixtures[[#This Row],[oppTeam]] = Teams[name], "N/A")</f>
        <v>N/A</v>
      </c>
      <c r="AC826" s="58" t="str" cm="1">
        <f t="array" ref="AC826">_xlfn._xlws.FILTER(Teams[teamType], Fixtures[[#This Row],[oppTeam]] = Teams[name], "N/A")</f>
        <v>N/A</v>
      </c>
      <c r="AD826" s="58" t="str">
        <f>IF(ISBLANK(Fixtures[[#This Row],[date]]), "N/A", IF(Fixtures[[#This Row],[userSide]]="H", Fixtures[[#This Row],[homeScore]], Fixtures[[#This Row],[awayScore]]))</f>
        <v>N/A</v>
      </c>
      <c r="AE826" s="58" t="str">
        <f>IF(ISBLANK(Fixtures[[#This Row],[date]]), "N/A", IF(Fixtures[[#This Row],[userScore]] = Fixtures[[#This Row],[homeScore]], Fixtures[[#This Row],[awayScore]], Fixtures[[#This Row],[homeScore]]))</f>
        <v>N/A</v>
      </c>
      <c r="AF826" s="58" t="b">
        <f>NOT(AND(ISBLANK(Fixtures[[#This Row],[homePens]]), ISBLANK(Fixtures[[#This Row],[awayPens]])))</f>
        <v>0</v>
      </c>
      <c r="AG826" s="58" t="str">
        <f>IF(Fixtures[[#This Row],[penalties]], IF(Fixtures[[#This Row],[userSide]]="H", Fixtures[[#This Row],[homePens]], Fixtures[[#This Row],[awayPens]]), "N/A")</f>
        <v>N/A</v>
      </c>
      <c r="AH826" s="58" t="str">
        <f>IF(Fixtures[[#This Row],[penalties]], IF(Fixtures[[#This Row],[userPens]]=Fixtures[[#This Row],[homePens]],Fixtures[[#This Row],[awayPens]],Fixtures[[#This Row],[homePens]]), "N/A")</f>
        <v>N/A</v>
      </c>
      <c r="AI826" s="58" t="b">
        <f>COUNTBLANK(Fixtures[[#This Row],[G]:[MOTM]]) = 0</f>
        <v>0</v>
      </c>
      <c r="AJ826" s="58" t="str">
        <f>IF(Fixtures[[#This Row],[APP]], Fixtures[[#This Row],[G]]+Fixtures[[#This Row],[A]], "N/A")</f>
        <v>N/A</v>
      </c>
      <c r="AK8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7" spans="1:39" ht="13">
      <c r="A827" s="55"/>
      <c r="B827" s="61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7"/>
      <c r="R827" s="56"/>
      <c r="S827" s="58" t="str" cm="1">
        <f t="array" ref="S827">_xlfn._xlws.FILTER(Competitions[compType], (Fixtures[[#This Row],[competition]] = Competitions[name]), "N/A")</f>
        <v>N/A</v>
      </c>
      <c r="T827" s="58" t="str" cm="1">
        <f t="array" ref="T827">_xlfn._xlws.FILTER(Competitions[exhibition], (Fixtures[[#This Row],[competition]] = Competitions[name]), "N/A")</f>
        <v>N/A</v>
      </c>
      <c r="U827" s="58" t="str" cm="1">
        <f t="array" ref="U827">_xlfn._xlws.FILTER(Competitions[compID], (Fixtures[[#This Row],[competition]] = Competitions[name]), "N/A")</f>
        <v>N/A</v>
      </c>
      <c r="V8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7" s="58" t="str" cm="1">
        <f t="array" ref="W8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7" s="58" t="str" cm="1">
        <f t="array" ref="X827">_xlfn._xlws.FILTER(Teams[name], (Fixtures[[#This Row],[userTeamID]] = Teams[teamID]), "N/A")</f>
        <v>N/A</v>
      </c>
      <c r="Y827" s="58" t="str" cm="1">
        <f t="array" ref="Y827">_xlfn._xlws.FILTER(Teams[teamType], (Fixtures[[#This Row],[userTeamID]] = Teams[teamID]), "N/A")</f>
        <v>N/A</v>
      </c>
      <c r="Z827" s="58" t="str" cm="1">
        <f t="array" ref="Z8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7" s="58" t="str">
        <f>IF(Fixtures[[#This Row],[userSide]] = "N/A", "N/A", IF(Fixtures[[#This Row],[userSide]] = "H", Fixtures[[#This Row],[awayTeam]], Fixtures[[#This Row],[homeTeam]]))</f>
        <v>N/A</v>
      </c>
      <c r="AB827" s="58" t="str" cm="1">
        <f t="array" ref="AB827">_xlfn._xlws.FILTER(Teams[teamID], Fixtures[[#This Row],[oppTeam]] = Teams[name], "N/A")</f>
        <v>N/A</v>
      </c>
      <c r="AC827" s="58" t="str" cm="1">
        <f t="array" ref="AC827">_xlfn._xlws.FILTER(Teams[teamType], Fixtures[[#This Row],[oppTeam]] = Teams[name], "N/A")</f>
        <v>N/A</v>
      </c>
      <c r="AD827" s="58" t="str">
        <f>IF(ISBLANK(Fixtures[[#This Row],[date]]), "N/A", IF(Fixtures[[#This Row],[userSide]]="H", Fixtures[[#This Row],[homeScore]], Fixtures[[#This Row],[awayScore]]))</f>
        <v>N/A</v>
      </c>
      <c r="AE827" s="58" t="str">
        <f>IF(ISBLANK(Fixtures[[#This Row],[date]]), "N/A", IF(Fixtures[[#This Row],[userScore]] = Fixtures[[#This Row],[homeScore]], Fixtures[[#This Row],[awayScore]], Fixtures[[#This Row],[homeScore]]))</f>
        <v>N/A</v>
      </c>
      <c r="AF827" s="58" t="b">
        <f>NOT(AND(ISBLANK(Fixtures[[#This Row],[homePens]]), ISBLANK(Fixtures[[#This Row],[awayPens]])))</f>
        <v>0</v>
      </c>
      <c r="AG827" s="58" t="str">
        <f>IF(Fixtures[[#This Row],[penalties]], IF(Fixtures[[#This Row],[userSide]]="H", Fixtures[[#This Row],[homePens]], Fixtures[[#This Row],[awayPens]]), "N/A")</f>
        <v>N/A</v>
      </c>
      <c r="AH827" s="58" t="str">
        <f>IF(Fixtures[[#This Row],[penalties]], IF(Fixtures[[#This Row],[userPens]]=Fixtures[[#This Row],[homePens]],Fixtures[[#This Row],[awayPens]],Fixtures[[#This Row],[homePens]]), "N/A")</f>
        <v>N/A</v>
      </c>
      <c r="AI827" s="58" t="b">
        <f>COUNTBLANK(Fixtures[[#This Row],[G]:[MOTM]]) = 0</f>
        <v>0</v>
      </c>
      <c r="AJ827" s="58" t="str">
        <f>IF(Fixtures[[#This Row],[APP]], Fixtures[[#This Row],[G]]+Fixtures[[#This Row],[A]], "N/A")</f>
        <v>N/A</v>
      </c>
      <c r="AK8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8" spans="1:39" ht="13">
      <c r="A828" s="55"/>
      <c r="B828" s="61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7"/>
      <c r="R828" s="56"/>
      <c r="S828" s="58" t="str" cm="1">
        <f t="array" ref="S828">_xlfn._xlws.FILTER(Competitions[compType], (Fixtures[[#This Row],[competition]] = Competitions[name]), "N/A")</f>
        <v>N/A</v>
      </c>
      <c r="T828" s="58" t="str" cm="1">
        <f t="array" ref="T828">_xlfn._xlws.FILTER(Competitions[exhibition], (Fixtures[[#This Row],[competition]] = Competitions[name]), "N/A")</f>
        <v>N/A</v>
      </c>
      <c r="U828" s="58" t="str" cm="1">
        <f t="array" ref="U828">_xlfn._xlws.FILTER(Competitions[compID], (Fixtures[[#This Row],[competition]] = Competitions[name]), "N/A")</f>
        <v>N/A</v>
      </c>
      <c r="V8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8" s="58" t="str" cm="1">
        <f t="array" ref="W8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8" s="58" t="str" cm="1">
        <f t="array" ref="X828">_xlfn._xlws.FILTER(Teams[name], (Fixtures[[#This Row],[userTeamID]] = Teams[teamID]), "N/A")</f>
        <v>N/A</v>
      </c>
      <c r="Y828" s="58" t="str" cm="1">
        <f t="array" ref="Y828">_xlfn._xlws.FILTER(Teams[teamType], (Fixtures[[#This Row],[userTeamID]] = Teams[teamID]), "N/A")</f>
        <v>N/A</v>
      </c>
      <c r="Z828" s="58" t="str" cm="1">
        <f t="array" ref="Z8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8" s="58" t="str">
        <f>IF(Fixtures[[#This Row],[userSide]] = "N/A", "N/A", IF(Fixtures[[#This Row],[userSide]] = "H", Fixtures[[#This Row],[awayTeam]], Fixtures[[#This Row],[homeTeam]]))</f>
        <v>N/A</v>
      </c>
      <c r="AB828" s="58" t="str" cm="1">
        <f t="array" ref="AB828">_xlfn._xlws.FILTER(Teams[teamID], Fixtures[[#This Row],[oppTeam]] = Teams[name], "N/A")</f>
        <v>N/A</v>
      </c>
      <c r="AC828" s="58" t="str" cm="1">
        <f t="array" ref="AC828">_xlfn._xlws.FILTER(Teams[teamType], Fixtures[[#This Row],[oppTeam]] = Teams[name], "N/A")</f>
        <v>N/A</v>
      </c>
      <c r="AD828" s="58" t="str">
        <f>IF(ISBLANK(Fixtures[[#This Row],[date]]), "N/A", IF(Fixtures[[#This Row],[userSide]]="H", Fixtures[[#This Row],[homeScore]], Fixtures[[#This Row],[awayScore]]))</f>
        <v>N/A</v>
      </c>
      <c r="AE828" s="58" t="str">
        <f>IF(ISBLANK(Fixtures[[#This Row],[date]]), "N/A", IF(Fixtures[[#This Row],[userScore]] = Fixtures[[#This Row],[homeScore]], Fixtures[[#This Row],[awayScore]], Fixtures[[#This Row],[homeScore]]))</f>
        <v>N/A</v>
      </c>
      <c r="AF828" s="58" t="b">
        <f>NOT(AND(ISBLANK(Fixtures[[#This Row],[homePens]]), ISBLANK(Fixtures[[#This Row],[awayPens]])))</f>
        <v>0</v>
      </c>
      <c r="AG828" s="58" t="str">
        <f>IF(Fixtures[[#This Row],[penalties]], IF(Fixtures[[#This Row],[userSide]]="H", Fixtures[[#This Row],[homePens]], Fixtures[[#This Row],[awayPens]]), "N/A")</f>
        <v>N/A</v>
      </c>
      <c r="AH828" s="58" t="str">
        <f>IF(Fixtures[[#This Row],[penalties]], IF(Fixtures[[#This Row],[userPens]]=Fixtures[[#This Row],[homePens]],Fixtures[[#This Row],[awayPens]],Fixtures[[#This Row],[homePens]]), "N/A")</f>
        <v>N/A</v>
      </c>
      <c r="AI828" s="58" t="b">
        <f>COUNTBLANK(Fixtures[[#This Row],[G]:[MOTM]]) = 0</f>
        <v>0</v>
      </c>
      <c r="AJ828" s="58" t="str">
        <f>IF(Fixtures[[#This Row],[APP]], Fixtures[[#This Row],[G]]+Fixtures[[#This Row],[A]], "N/A")</f>
        <v>N/A</v>
      </c>
      <c r="AK8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29" spans="1:39" ht="13">
      <c r="A829" s="55"/>
      <c r="B829" s="61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7"/>
      <c r="R829" s="56"/>
      <c r="S829" s="58" t="str" cm="1">
        <f t="array" ref="S829">_xlfn._xlws.FILTER(Competitions[compType], (Fixtures[[#This Row],[competition]] = Competitions[name]), "N/A")</f>
        <v>N/A</v>
      </c>
      <c r="T829" s="58" t="str" cm="1">
        <f t="array" ref="T829">_xlfn._xlws.FILTER(Competitions[exhibition], (Fixtures[[#This Row],[competition]] = Competitions[name]), "N/A")</f>
        <v>N/A</v>
      </c>
      <c r="U829" s="58" t="str" cm="1">
        <f t="array" ref="U829">_xlfn._xlws.FILTER(Competitions[compID], (Fixtures[[#This Row],[competition]] = Competitions[name]), "N/A")</f>
        <v>N/A</v>
      </c>
      <c r="V8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29" s="58" t="str" cm="1">
        <f t="array" ref="W8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29" s="58" t="str" cm="1">
        <f t="array" ref="X829">_xlfn._xlws.FILTER(Teams[name], (Fixtures[[#This Row],[userTeamID]] = Teams[teamID]), "N/A")</f>
        <v>N/A</v>
      </c>
      <c r="Y829" s="58" t="str" cm="1">
        <f t="array" ref="Y829">_xlfn._xlws.FILTER(Teams[teamType], (Fixtures[[#This Row],[userTeamID]] = Teams[teamID]), "N/A")</f>
        <v>N/A</v>
      </c>
      <c r="Z829" s="58" t="str" cm="1">
        <f t="array" ref="Z8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29" s="58" t="str">
        <f>IF(Fixtures[[#This Row],[userSide]] = "N/A", "N/A", IF(Fixtures[[#This Row],[userSide]] = "H", Fixtures[[#This Row],[awayTeam]], Fixtures[[#This Row],[homeTeam]]))</f>
        <v>N/A</v>
      </c>
      <c r="AB829" s="58" t="str" cm="1">
        <f t="array" ref="AB829">_xlfn._xlws.FILTER(Teams[teamID], Fixtures[[#This Row],[oppTeam]] = Teams[name], "N/A")</f>
        <v>N/A</v>
      </c>
      <c r="AC829" s="58" t="str" cm="1">
        <f t="array" ref="AC829">_xlfn._xlws.FILTER(Teams[teamType], Fixtures[[#This Row],[oppTeam]] = Teams[name], "N/A")</f>
        <v>N/A</v>
      </c>
      <c r="AD829" s="58" t="str">
        <f>IF(ISBLANK(Fixtures[[#This Row],[date]]), "N/A", IF(Fixtures[[#This Row],[userSide]]="H", Fixtures[[#This Row],[homeScore]], Fixtures[[#This Row],[awayScore]]))</f>
        <v>N/A</v>
      </c>
      <c r="AE829" s="58" t="str">
        <f>IF(ISBLANK(Fixtures[[#This Row],[date]]), "N/A", IF(Fixtures[[#This Row],[userScore]] = Fixtures[[#This Row],[homeScore]], Fixtures[[#This Row],[awayScore]], Fixtures[[#This Row],[homeScore]]))</f>
        <v>N/A</v>
      </c>
      <c r="AF829" s="58" t="b">
        <f>NOT(AND(ISBLANK(Fixtures[[#This Row],[homePens]]), ISBLANK(Fixtures[[#This Row],[awayPens]])))</f>
        <v>0</v>
      </c>
      <c r="AG829" s="58" t="str">
        <f>IF(Fixtures[[#This Row],[penalties]], IF(Fixtures[[#This Row],[userSide]]="H", Fixtures[[#This Row],[homePens]], Fixtures[[#This Row],[awayPens]]), "N/A")</f>
        <v>N/A</v>
      </c>
      <c r="AH829" s="58" t="str">
        <f>IF(Fixtures[[#This Row],[penalties]], IF(Fixtures[[#This Row],[userPens]]=Fixtures[[#This Row],[homePens]],Fixtures[[#This Row],[awayPens]],Fixtures[[#This Row],[homePens]]), "N/A")</f>
        <v>N/A</v>
      </c>
      <c r="AI829" s="58" t="b">
        <f>COUNTBLANK(Fixtures[[#This Row],[G]:[MOTM]]) = 0</f>
        <v>0</v>
      </c>
      <c r="AJ829" s="58" t="str">
        <f>IF(Fixtures[[#This Row],[APP]], Fixtures[[#This Row],[G]]+Fixtures[[#This Row],[A]], "N/A")</f>
        <v>N/A</v>
      </c>
      <c r="AK8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0" spans="1:39" ht="13">
      <c r="A830" s="55"/>
      <c r="B830" s="61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7"/>
      <c r="R830" s="56"/>
      <c r="S830" s="58" t="str" cm="1">
        <f t="array" ref="S830">_xlfn._xlws.FILTER(Competitions[compType], (Fixtures[[#This Row],[competition]] = Competitions[name]), "N/A")</f>
        <v>N/A</v>
      </c>
      <c r="T830" s="58" t="str" cm="1">
        <f t="array" ref="T830">_xlfn._xlws.FILTER(Competitions[exhibition], (Fixtures[[#This Row],[competition]] = Competitions[name]), "N/A")</f>
        <v>N/A</v>
      </c>
      <c r="U830" s="58" t="str" cm="1">
        <f t="array" ref="U830">_xlfn._xlws.FILTER(Competitions[compID], (Fixtures[[#This Row],[competition]] = Competitions[name]), "N/A")</f>
        <v>N/A</v>
      </c>
      <c r="V8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0" s="58" t="str" cm="1">
        <f t="array" ref="W8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0" s="58" t="str" cm="1">
        <f t="array" ref="X830">_xlfn._xlws.FILTER(Teams[name], (Fixtures[[#This Row],[userTeamID]] = Teams[teamID]), "N/A")</f>
        <v>N/A</v>
      </c>
      <c r="Y830" s="58" t="str" cm="1">
        <f t="array" ref="Y830">_xlfn._xlws.FILTER(Teams[teamType], (Fixtures[[#This Row],[userTeamID]] = Teams[teamID]), "N/A")</f>
        <v>N/A</v>
      </c>
      <c r="Z830" s="58" t="str" cm="1">
        <f t="array" ref="Z8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0" s="58" t="str">
        <f>IF(Fixtures[[#This Row],[userSide]] = "N/A", "N/A", IF(Fixtures[[#This Row],[userSide]] = "H", Fixtures[[#This Row],[awayTeam]], Fixtures[[#This Row],[homeTeam]]))</f>
        <v>N/A</v>
      </c>
      <c r="AB830" s="58" t="str" cm="1">
        <f t="array" ref="AB830">_xlfn._xlws.FILTER(Teams[teamID], Fixtures[[#This Row],[oppTeam]] = Teams[name], "N/A")</f>
        <v>N/A</v>
      </c>
      <c r="AC830" s="58" t="str" cm="1">
        <f t="array" ref="AC830">_xlfn._xlws.FILTER(Teams[teamType], Fixtures[[#This Row],[oppTeam]] = Teams[name], "N/A")</f>
        <v>N/A</v>
      </c>
      <c r="AD830" s="58" t="str">
        <f>IF(ISBLANK(Fixtures[[#This Row],[date]]), "N/A", IF(Fixtures[[#This Row],[userSide]]="H", Fixtures[[#This Row],[homeScore]], Fixtures[[#This Row],[awayScore]]))</f>
        <v>N/A</v>
      </c>
      <c r="AE830" s="58" t="str">
        <f>IF(ISBLANK(Fixtures[[#This Row],[date]]), "N/A", IF(Fixtures[[#This Row],[userScore]] = Fixtures[[#This Row],[homeScore]], Fixtures[[#This Row],[awayScore]], Fixtures[[#This Row],[homeScore]]))</f>
        <v>N/A</v>
      </c>
      <c r="AF830" s="58" t="b">
        <f>NOT(AND(ISBLANK(Fixtures[[#This Row],[homePens]]), ISBLANK(Fixtures[[#This Row],[awayPens]])))</f>
        <v>0</v>
      </c>
      <c r="AG830" s="58" t="str">
        <f>IF(Fixtures[[#This Row],[penalties]], IF(Fixtures[[#This Row],[userSide]]="H", Fixtures[[#This Row],[homePens]], Fixtures[[#This Row],[awayPens]]), "N/A")</f>
        <v>N/A</v>
      </c>
      <c r="AH830" s="58" t="str">
        <f>IF(Fixtures[[#This Row],[penalties]], IF(Fixtures[[#This Row],[userPens]]=Fixtures[[#This Row],[homePens]],Fixtures[[#This Row],[awayPens]],Fixtures[[#This Row],[homePens]]), "N/A")</f>
        <v>N/A</v>
      </c>
      <c r="AI830" s="58" t="b">
        <f>COUNTBLANK(Fixtures[[#This Row],[G]:[MOTM]]) = 0</f>
        <v>0</v>
      </c>
      <c r="AJ830" s="58" t="str">
        <f>IF(Fixtures[[#This Row],[APP]], Fixtures[[#This Row],[G]]+Fixtures[[#This Row],[A]], "N/A")</f>
        <v>N/A</v>
      </c>
      <c r="AK8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1" spans="1:39" ht="13">
      <c r="A831" s="55"/>
      <c r="B831" s="61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7"/>
      <c r="R831" s="56"/>
      <c r="S831" s="58" t="str" cm="1">
        <f t="array" ref="S831">_xlfn._xlws.FILTER(Competitions[compType], (Fixtures[[#This Row],[competition]] = Competitions[name]), "N/A")</f>
        <v>N/A</v>
      </c>
      <c r="T831" s="58" t="str" cm="1">
        <f t="array" ref="T831">_xlfn._xlws.FILTER(Competitions[exhibition], (Fixtures[[#This Row],[competition]] = Competitions[name]), "N/A")</f>
        <v>N/A</v>
      </c>
      <c r="U831" s="58" t="str" cm="1">
        <f t="array" ref="U831">_xlfn._xlws.FILTER(Competitions[compID], (Fixtures[[#This Row],[competition]] = Competitions[name]), "N/A")</f>
        <v>N/A</v>
      </c>
      <c r="V8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1" s="58" t="str" cm="1">
        <f t="array" ref="W8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1" s="58" t="str" cm="1">
        <f t="array" ref="X831">_xlfn._xlws.FILTER(Teams[name], (Fixtures[[#This Row],[userTeamID]] = Teams[teamID]), "N/A")</f>
        <v>N/A</v>
      </c>
      <c r="Y831" s="58" t="str" cm="1">
        <f t="array" ref="Y831">_xlfn._xlws.FILTER(Teams[teamType], (Fixtures[[#This Row],[userTeamID]] = Teams[teamID]), "N/A")</f>
        <v>N/A</v>
      </c>
      <c r="Z831" s="58" t="str" cm="1">
        <f t="array" ref="Z8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1" s="58" t="str">
        <f>IF(Fixtures[[#This Row],[userSide]] = "N/A", "N/A", IF(Fixtures[[#This Row],[userSide]] = "H", Fixtures[[#This Row],[awayTeam]], Fixtures[[#This Row],[homeTeam]]))</f>
        <v>N/A</v>
      </c>
      <c r="AB831" s="58" t="str" cm="1">
        <f t="array" ref="AB831">_xlfn._xlws.FILTER(Teams[teamID], Fixtures[[#This Row],[oppTeam]] = Teams[name], "N/A")</f>
        <v>N/A</v>
      </c>
      <c r="AC831" s="58" t="str" cm="1">
        <f t="array" ref="AC831">_xlfn._xlws.FILTER(Teams[teamType], Fixtures[[#This Row],[oppTeam]] = Teams[name], "N/A")</f>
        <v>N/A</v>
      </c>
      <c r="AD831" s="58" t="str">
        <f>IF(ISBLANK(Fixtures[[#This Row],[date]]), "N/A", IF(Fixtures[[#This Row],[userSide]]="H", Fixtures[[#This Row],[homeScore]], Fixtures[[#This Row],[awayScore]]))</f>
        <v>N/A</v>
      </c>
      <c r="AE831" s="58" t="str">
        <f>IF(ISBLANK(Fixtures[[#This Row],[date]]), "N/A", IF(Fixtures[[#This Row],[userScore]] = Fixtures[[#This Row],[homeScore]], Fixtures[[#This Row],[awayScore]], Fixtures[[#This Row],[homeScore]]))</f>
        <v>N/A</v>
      </c>
      <c r="AF831" s="58" t="b">
        <f>NOT(AND(ISBLANK(Fixtures[[#This Row],[homePens]]), ISBLANK(Fixtures[[#This Row],[awayPens]])))</f>
        <v>0</v>
      </c>
      <c r="AG831" s="58" t="str">
        <f>IF(Fixtures[[#This Row],[penalties]], IF(Fixtures[[#This Row],[userSide]]="H", Fixtures[[#This Row],[homePens]], Fixtures[[#This Row],[awayPens]]), "N/A")</f>
        <v>N/A</v>
      </c>
      <c r="AH831" s="58" t="str">
        <f>IF(Fixtures[[#This Row],[penalties]], IF(Fixtures[[#This Row],[userPens]]=Fixtures[[#This Row],[homePens]],Fixtures[[#This Row],[awayPens]],Fixtures[[#This Row],[homePens]]), "N/A")</f>
        <v>N/A</v>
      </c>
      <c r="AI831" s="58" t="b">
        <f>COUNTBLANK(Fixtures[[#This Row],[G]:[MOTM]]) = 0</f>
        <v>0</v>
      </c>
      <c r="AJ831" s="58" t="str">
        <f>IF(Fixtures[[#This Row],[APP]], Fixtures[[#This Row],[G]]+Fixtures[[#This Row],[A]], "N/A")</f>
        <v>N/A</v>
      </c>
      <c r="AK8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2" spans="1:39" ht="13">
      <c r="A832" s="55"/>
      <c r="B832" s="61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7"/>
      <c r="R832" s="56"/>
      <c r="S832" s="58" t="str" cm="1">
        <f t="array" ref="S832">_xlfn._xlws.FILTER(Competitions[compType], (Fixtures[[#This Row],[competition]] = Competitions[name]), "N/A")</f>
        <v>N/A</v>
      </c>
      <c r="T832" s="58" t="str" cm="1">
        <f t="array" ref="T832">_xlfn._xlws.FILTER(Competitions[exhibition], (Fixtures[[#This Row],[competition]] = Competitions[name]), "N/A")</f>
        <v>N/A</v>
      </c>
      <c r="U832" s="58" t="str" cm="1">
        <f t="array" ref="U832">_xlfn._xlws.FILTER(Competitions[compID], (Fixtures[[#This Row],[competition]] = Competitions[name]), "N/A")</f>
        <v>N/A</v>
      </c>
      <c r="V8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2" s="58" t="str" cm="1">
        <f t="array" ref="W8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2" s="58" t="str" cm="1">
        <f t="array" ref="X832">_xlfn._xlws.FILTER(Teams[name], (Fixtures[[#This Row],[userTeamID]] = Teams[teamID]), "N/A")</f>
        <v>N/A</v>
      </c>
      <c r="Y832" s="58" t="str" cm="1">
        <f t="array" ref="Y832">_xlfn._xlws.FILTER(Teams[teamType], (Fixtures[[#This Row],[userTeamID]] = Teams[teamID]), "N/A")</f>
        <v>N/A</v>
      </c>
      <c r="Z832" s="58" t="str" cm="1">
        <f t="array" ref="Z8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2" s="58" t="str">
        <f>IF(Fixtures[[#This Row],[userSide]] = "N/A", "N/A", IF(Fixtures[[#This Row],[userSide]] = "H", Fixtures[[#This Row],[awayTeam]], Fixtures[[#This Row],[homeTeam]]))</f>
        <v>N/A</v>
      </c>
      <c r="AB832" s="58" t="str" cm="1">
        <f t="array" ref="AB832">_xlfn._xlws.FILTER(Teams[teamID], Fixtures[[#This Row],[oppTeam]] = Teams[name], "N/A")</f>
        <v>N/A</v>
      </c>
      <c r="AC832" s="58" t="str" cm="1">
        <f t="array" ref="AC832">_xlfn._xlws.FILTER(Teams[teamType], Fixtures[[#This Row],[oppTeam]] = Teams[name], "N/A")</f>
        <v>N/A</v>
      </c>
      <c r="AD832" s="58" t="str">
        <f>IF(ISBLANK(Fixtures[[#This Row],[date]]), "N/A", IF(Fixtures[[#This Row],[userSide]]="H", Fixtures[[#This Row],[homeScore]], Fixtures[[#This Row],[awayScore]]))</f>
        <v>N/A</v>
      </c>
      <c r="AE832" s="58" t="str">
        <f>IF(ISBLANK(Fixtures[[#This Row],[date]]), "N/A", IF(Fixtures[[#This Row],[userScore]] = Fixtures[[#This Row],[homeScore]], Fixtures[[#This Row],[awayScore]], Fixtures[[#This Row],[homeScore]]))</f>
        <v>N/A</v>
      </c>
      <c r="AF832" s="58" t="b">
        <f>NOT(AND(ISBLANK(Fixtures[[#This Row],[homePens]]), ISBLANK(Fixtures[[#This Row],[awayPens]])))</f>
        <v>0</v>
      </c>
      <c r="AG832" s="58" t="str">
        <f>IF(Fixtures[[#This Row],[penalties]], IF(Fixtures[[#This Row],[userSide]]="H", Fixtures[[#This Row],[homePens]], Fixtures[[#This Row],[awayPens]]), "N/A")</f>
        <v>N/A</v>
      </c>
      <c r="AH832" s="58" t="str">
        <f>IF(Fixtures[[#This Row],[penalties]], IF(Fixtures[[#This Row],[userPens]]=Fixtures[[#This Row],[homePens]],Fixtures[[#This Row],[awayPens]],Fixtures[[#This Row],[homePens]]), "N/A")</f>
        <v>N/A</v>
      </c>
      <c r="AI832" s="58" t="b">
        <f>COUNTBLANK(Fixtures[[#This Row],[G]:[MOTM]]) = 0</f>
        <v>0</v>
      </c>
      <c r="AJ832" s="58" t="str">
        <f>IF(Fixtures[[#This Row],[APP]], Fixtures[[#This Row],[G]]+Fixtures[[#This Row],[A]], "N/A")</f>
        <v>N/A</v>
      </c>
      <c r="AK8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3" spans="1:39" ht="13">
      <c r="A833" s="55"/>
      <c r="B833" s="61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7"/>
      <c r="R833" s="56"/>
      <c r="S833" s="58" t="str" cm="1">
        <f t="array" ref="S833">_xlfn._xlws.FILTER(Competitions[compType], (Fixtures[[#This Row],[competition]] = Competitions[name]), "N/A")</f>
        <v>N/A</v>
      </c>
      <c r="T833" s="58" t="str" cm="1">
        <f t="array" ref="T833">_xlfn._xlws.FILTER(Competitions[exhibition], (Fixtures[[#This Row],[competition]] = Competitions[name]), "N/A")</f>
        <v>N/A</v>
      </c>
      <c r="U833" s="58" t="str" cm="1">
        <f t="array" ref="U833">_xlfn._xlws.FILTER(Competitions[compID], (Fixtures[[#This Row],[competition]] = Competitions[name]), "N/A")</f>
        <v>N/A</v>
      </c>
      <c r="V8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3" s="58" t="str" cm="1">
        <f t="array" ref="W8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3" s="58" t="str" cm="1">
        <f t="array" ref="X833">_xlfn._xlws.FILTER(Teams[name], (Fixtures[[#This Row],[userTeamID]] = Teams[teamID]), "N/A")</f>
        <v>N/A</v>
      </c>
      <c r="Y833" s="58" t="str" cm="1">
        <f t="array" ref="Y833">_xlfn._xlws.FILTER(Teams[teamType], (Fixtures[[#This Row],[userTeamID]] = Teams[teamID]), "N/A")</f>
        <v>N/A</v>
      </c>
      <c r="Z833" s="58" t="str" cm="1">
        <f t="array" ref="Z8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3" s="58" t="str">
        <f>IF(Fixtures[[#This Row],[userSide]] = "N/A", "N/A", IF(Fixtures[[#This Row],[userSide]] = "H", Fixtures[[#This Row],[awayTeam]], Fixtures[[#This Row],[homeTeam]]))</f>
        <v>N/A</v>
      </c>
      <c r="AB833" s="58" t="str" cm="1">
        <f t="array" ref="AB833">_xlfn._xlws.FILTER(Teams[teamID], Fixtures[[#This Row],[oppTeam]] = Teams[name], "N/A")</f>
        <v>N/A</v>
      </c>
      <c r="AC833" s="58" t="str" cm="1">
        <f t="array" ref="AC833">_xlfn._xlws.FILTER(Teams[teamType], Fixtures[[#This Row],[oppTeam]] = Teams[name], "N/A")</f>
        <v>N/A</v>
      </c>
      <c r="AD833" s="58" t="str">
        <f>IF(ISBLANK(Fixtures[[#This Row],[date]]), "N/A", IF(Fixtures[[#This Row],[userSide]]="H", Fixtures[[#This Row],[homeScore]], Fixtures[[#This Row],[awayScore]]))</f>
        <v>N/A</v>
      </c>
      <c r="AE833" s="58" t="str">
        <f>IF(ISBLANK(Fixtures[[#This Row],[date]]), "N/A", IF(Fixtures[[#This Row],[userScore]] = Fixtures[[#This Row],[homeScore]], Fixtures[[#This Row],[awayScore]], Fixtures[[#This Row],[homeScore]]))</f>
        <v>N/A</v>
      </c>
      <c r="AF833" s="58" t="b">
        <f>NOT(AND(ISBLANK(Fixtures[[#This Row],[homePens]]), ISBLANK(Fixtures[[#This Row],[awayPens]])))</f>
        <v>0</v>
      </c>
      <c r="AG833" s="58" t="str">
        <f>IF(Fixtures[[#This Row],[penalties]], IF(Fixtures[[#This Row],[userSide]]="H", Fixtures[[#This Row],[homePens]], Fixtures[[#This Row],[awayPens]]), "N/A")</f>
        <v>N/A</v>
      </c>
      <c r="AH833" s="58" t="str">
        <f>IF(Fixtures[[#This Row],[penalties]], IF(Fixtures[[#This Row],[userPens]]=Fixtures[[#This Row],[homePens]],Fixtures[[#This Row],[awayPens]],Fixtures[[#This Row],[homePens]]), "N/A")</f>
        <v>N/A</v>
      </c>
      <c r="AI833" s="58" t="b">
        <f>COUNTBLANK(Fixtures[[#This Row],[G]:[MOTM]]) = 0</f>
        <v>0</v>
      </c>
      <c r="AJ833" s="58" t="str">
        <f>IF(Fixtures[[#This Row],[APP]], Fixtures[[#This Row],[G]]+Fixtures[[#This Row],[A]], "N/A")</f>
        <v>N/A</v>
      </c>
      <c r="AK8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4" spans="1:39" ht="13">
      <c r="A834" s="55"/>
      <c r="B834" s="61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7"/>
      <c r="R834" s="56"/>
      <c r="S834" s="58" t="str" cm="1">
        <f t="array" ref="S834">_xlfn._xlws.FILTER(Competitions[compType], (Fixtures[[#This Row],[competition]] = Competitions[name]), "N/A")</f>
        <v>N/A</v>
      </c>
      <c r="T834" s="58" t="str" cm="1">
        <f t="array" ref="T834">_xlfn._xlws.FILTER(Competitions[exhibition], (Fixtures[[#This Row],[competition]] = Competitions[name]), "N/A")</f>
        <v>N/A</v>
      </c>
      <c r="U834" s="58" t="str" cm="1">
        <f t="array" ref="U834">_xlfn._xlws.FILTER(Competitions[compID], (Fixtures[[#This Row],[competition]] = Competitions[name]), "N/A")</f>
        <v>N/A</v>
      </c>
      <c r="V8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4" s="58" t="str" cm="1">
        <f t="array" ref="W8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4" s="58" t="str" cm="1">
        <f t="array" ref="X834">_xlfn._xlws.FILTER(Teams[name], (Fixtures[[#This Row],[userTeamID]] = Teams[teamID]), "N/A")</f>
        <v>N/A</v>
      </c>
      <c r="Y834" s="58" t="str" cm="1">
        <f t="array" ref="Y834">_xlfn._xlws.FILTER(Teams[teamType], (Fixtures[[#This Row],[userTeamID]] = Teams[teamID]), "N/A")</f>
        <v>N/A</v>
      </c>
      <c r="Z834" s="58" t="str" cm="1">
        <f t="array" ref="Z8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4" s="58" t="str">
        <f>IF(Fixtures[[#This Row],[userSide]] = "N/A", "N/A", IF(Fixtures[[#This Row],[userSide]] = "H", Fixtures[[#This Row],[awayTeam]], Fixtures[[#This Row],[homeTeam]]))</f>
        <v>N/A</v>
      </c>
      <c r="AB834" s="58" t="str" cm="1">
        <f t="array" ref="AB834">_xlfn._xlws.FILTER(Teams[teamID], Fixtures[[#This Row],[oppTeam]] = Teams[name], "N/A")</f>
        <v>N/A</v>
      </c>
      <c r="AC834" s="58" t="str" cm="1">
        <f t="array" ref="AC834">_xlfn._xlws.FILTER(Teams[teamType], Fixtures[[#This Row],[oppTeam]] = Teams[name], "N/A")</f>
        <v>N/A</v>
      </c>
      <c r="AD834" s="58" t="str">
        <f>IF(ISBLANK(Fixtures[[#This Row],[date]]), "N/A", IF(Fixtures[[#This Row],[userSide]]="H", Fixtures[[#This Row],[homeScore]], Fixtures[[#This Row],[awayScore]]))</f>
        <v>N/A</v>
      </c>
      <c r="AE834" s="58" t="str">
        <f>IF(ISBLANK(Fixtures[[#This Row],[date]]), "N/A", IF(Fixtures[[#This Row],[userScore]] = Fixtures[[#This Row],[homeScore]], Fixtures[[#This Row],[awayScore]], Fixtures[[#This Row],[homeScore]]))</f>
        <v>N/A</v>
      </c>
      <c r="AF834" s="58" t="b">
        <f>NOT(AND(ISBLANK(Fixtures[[#This Row],[homePens]]), ISBLANK(Fixtures[[#This Row],[awayPens]])))</f>
        <v>0</v>
      </c>
      <c r="AG834" s="58" t="str">
        <f>IF(Fixtures[[#This Row],[penalties]], IF(Fixtures[[#This Row],[userSide]]="H", Fixtures[[#This Row],[homePens]], Fixtures[[#This Row],[awayPens]]), "N/A")</f>
        <v>N/A</v>
      </c>
      <c r="AH834" s="58" t="str">
        <f>IF(Fixtures[[#This Row],[penalties]], IF(Fixtures[[#This Row],[userPens]]=Fixtures[[#This Row],[homePens]],Fixtures[[#This Row],[awayPens]],Fixtures[[#This Row],[homePens]]), "N/A")</f>
        <v>N/A</v>
      </c>
      <c r="AI834" s="58" t="b">
        <f>COUNTBLANK(Fixtures[[#This Row],[G]:[MOTM]]) = 0</f>
        <v>0</v>
      </c>
      <c r="AJ834" s="58" t="str">
        <f>IF(Fixtures[[#This Row],[APP]], Fixtures[[#This Row],[G]]+Fixtures[[#This Row],[A]], "N/A")</f>
        <v>N/A</v>
      </c>
      <c r="AK8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5" spans="1:39" ht="13">
      <c r="A835" s="55"/>
      <c r="B835" s="61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7"/>
      <c r="R835" s="56"/>
      <c r="S835" s="58" t="str" cm="1">
        <f t="array" ref="S835">_xlfn._xlws.FILTER(Competitions[compType], (Fixtures[[#This Row],[competition]] = Competitions[name]), "N/A")</f>
        <v>N/A</v>
      </c>
      <c r="T835" s="58" t="str" cm="1">
        <f t="array" ref="T835">_xlfn._xlws.FILTER(Competitions[exhibition], (Fixtures[[#This Row],[competition]] = Competitions[name]), "N/A")</f>
        <v>N/A</v>
      </c>
      <c r="U835" s="58" t="str" cm="1">
        <f t="array" ref="U835">_xlfn._xlws.FILTER(Competitions[compID], (Fixtures[[#This Row],[competition]] = Competitions[name]), "N/A")</f>
        <v>N/A</v>
      </c>
      <c r="V8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5" s="58" t="str" cm="1">
        <f t="array" ref="W8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5" s="58" t="str" cm="1">
        <f t="array" ref="X835">_xlfn._xlws.FILTER(Teams[name], (Fixtures[[#This Row],[userTeamID]] = Teams[teamID]), "N/A")</f>
        <v>N/A</v>
      </c>
      <c r="Y835" s="58" t="str" cm="1">
        <f t="array" ref="Y835">_xlfn._xlws.FILTER(Teams[teamType], (Fixtures[[#This Row],[userTeamID]] = Teams[teamID]), "N/A")</f>
        <v>N/A</v>
      </c>
      <c r="Z835" s="58" t="str" cm="1">
        <f t="array" ref="Z8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5" s="58" t="str">
        <f>IF(Fixtures[[#This Row],[userSide]] = "N/A", "N/A", IF(Fixtures[[#This Row],[userSide]] = "H", Fixtures[[#This Row],[awayTeam]], Fixtures[[#This Row],[homeTeam]]))</f>
        <v>N/A</v>
      </c>
      <c r="AB835" s="58" t="str" cm="1">
        <f t="array" ref="AB835">_xlfn._xlws.FILTER(Teams[teamID], Fixtures[[#This Row],[oppTeam]] = Teams[name], "N/A")</f>
        <v>N/A</v>
      </c>
      <c r="AC835" s="58" t="str" cm="1">
        <f t="array" ref="AC835">_xlfn._xlws.FILTER(Teams[teamType], Fixtures[[#This Row],[oppTeam]] = Teams[name], "N/A")</f>
        <v>N/A</v>
      </c>
      <c r="AD835" s="58" t="str">
        <f>IF(ISBLANK(Fixtures[[#This Row],[date]]), "N/A", IF(Fixtures[[#This Row],[userSide]]="H", Fixtures[[#This Row],[homeScore]], Fixtures[[#This Row],[awayScore]]))</f>
        <v>N/A</v>
      </c>
      <c r="AE835" s="58" t="str">
        <f>IF(ISBLANK(Fixtures[[#This Row],[date]]), "N/A", IF(Fixtures[[#This Row],[userScore]] = Fixtures[[#This Row],[homeScore]], Fixtures[[#This Row],[awayScore]], Fixtures[[#This Row],[homeScore]]))</f>
        <v>N/A</v>
      </c>
      <c r="AF835" s="58" t="b">
        <f>NOT(AND(ISBLANK(Fixtures[[#This Row],[homePens]]), ISBLANK(Fixtures[[#This Row],[awayPens]])))</f>
        <v>0</v>
      </c>
      <c r="AG835" s="58" t="str">
        <f>IF(Fixtures[[#This Row],[penalties]], IF(Fixtures[[#This Row],[userSide]]="H", Fixtures[[#This Row],[homePens]], Fixtures[[#This Row],[awayPens]]), "N/A")</f>
        <v>N/A</v>
      </c>
      <c r="AH835" s="58" t="str">
        <f>IF(Fixtures[[#This Row],[penalties]], IF(Fixtures[[#This Row],[userPens]]=Fixtures[[#This Row],[homePens]],Fixtures[[#This Row],[awayPens]],Fixtures[[#This Row],[homePens]]), "N/A")</f>
        <v>N/A</v>
      </c>
      <c r="AI835" s="58" t="b">
        <f>COUNTBLANK(Fixtures[[#This Row],[G]:[MOTM]]) = 0</f>
        <v>0</v>
      </c>
      <c r="AJ835" s="58" t="str">
        <f>IF(Fixtures[[#This Row],[APP]], Fixtures[[#This Row],[G]]+Fixtures[[#This Row],[A]], "N/A")</f>
        <v>N/A</v>
      </c>
      <c r="AK8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6" spans="1:39" ht="13">
      <c r="A836" s="55"/>
      <c r="B836" s="61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7"/>
      <c r="R836" s="56"/>
      <c r="S836" s="58" t="str" cm="1">
        <f t="array" ref="S836">_xlfn._xlws.FILTER(Competitions[compType], (Fixtures[[#This Row],[competition]] = Competitions[name]), "N/A")</f>
        <v>N/A</v>
      </c>
      <c r="T836" s="58" t="str" cm="1">
        <f t="array" ref="T836">_xlfn._xlws.FILTER(Competitions[exhibition], (Fixtures[[#This Row],[competition]] = Competitions[name]), "N/A")</f>
        <v>N/A</v>
      </c>
      <c r="U836" s="58" t="str" cm="1">
        <f t="array" ref="U836">_xlfn._xlws.FILTER(Competitions[compID], (Fixtures[[#This Row],[competition]] = Competitions[name]), "N/A")</f>
        <v>N/A</v>
      </c>
      <c r="V8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6" s="58" t="str" cm="1">
        <f t="array" ref="W8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6" s="58" t="str" cm="1">
        <f t="array" ref="X836">_xlfn._xlws.FILTER(Teams[name], (Fixtures[[#This Row],[userTeamID]] = Teams[teamID]), "N/A")</f>
        <v>N/A</v>
      </c>
      <c r="Y836" s="58" t="str" cm="1">
        <f t="array" ref="Y836">_xlfn._xlws.FILTER(Teams[teamType], (Fixtures[[#This Row],[userTeamID]] = Teams[teamID]), "N/A")</f>
        <v>N/A</v>
      </c>
      <c r="Z836" s="58" t="str" cm="1">
        <f t="array" ref="Z8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6" s="58" t="str">
        <f>IF(Fixtures[[#This Row],[userSide]] = "N/A", "N/A", IF(Fixtures[[#This Row],[userSide]] = "H", Fixtures[[#This Row],[awayTeam]], Fixtures[[#This Row],[homeTeam]]))</f>
        <v>N/A</v>
      </c>
      <c r="AB836" s="58" t="str" cm="1">
        <f t="array" ref="AB836">_xlfn._xlws.FILTER(Teams[teamID], Fixtures[[#This Row],[oppTeam]] = Teams[name], "N/A")</f>
        <v>N/A</v>
      </c>
      <c r="AC836" s="58" t="str" cm="1">
        <f t="array" ref="AC836">_xlfn._xlws.FILTER(Teams[teamType], Fixtures[[#This Row],[oppTeam]] = Teams[name], "N/A")</f>
        <v>N/A</v>
      </c>
      <c r="AD836" s="58" t="str">
        <f>IF(ISBLANK(Fixtures[[#This Row],[date]]), "N/A", IF(Fixtures[[#This Row],[userSide]]="H", Fixtures[[#This Row],[homeScore]], Fixtures[[#This Row],[awayScore]]))</f>
        <v>N/A</v>
      </c>
      <c r="AE836" s="58" t="str">
        <f>IF(ISBLANK(Fixtures[[#This Row],[date]]), "N/A", IF(Fixtures[[#This Row],[userScore]] = Fixtures[[#This Row],[homeScore]], Fixtures[[#This Row],[awayScore]], Fixtures[[#This Row],[homeScore]]))</f>
        <v>N/A</v>
      </c>
      <c r="AF836" s="58" t="b">
        <f>NOT(AND(ISBLANK(Fixtures[[#This Row],[homePens]]), ISBLANK(Fixtures[[#This Row],[awayPens]])))</f>
        <v>0</v>
      </c>
      <c r="AG836" s="58" t="str">
        <f>IF(Fixtures[[#This Row],[penalties]], IF(Fixtures[[#This Row],[userSide]]="H", Fixtures[[#This Row],[homePens]], Fixtures[[#This Row],[awayPens]]), "N/A")</f>
        <v>N/A</v>
      </c>
      <c r="AH836" s="58" t="str">
        <f>IF(Fixtures[[#This Row],[penalties]], IF(Fixtures[[#This Row],[userPens]]=Fixtures[[#This Row],[homePens]],Fixtures[[#This Row],[awayPens]],Fixtures[[#This Row],[homePens]]), "N/A")</f>
        <v>N/A</v>
      </c>
      <c r="AI836" s="58" t="b">
        <f>COUNTBLANK(Fixtures[[#This Row],[G]:[MOTM]]) = 0</f>
        <v>0</v>
      </c>
      <c r="AJ836" s="58" t="str">
        <f>IF(Fixtures[[#This Row],[APP]], Fixtures[[#This Row],[G]]+Fixtures[[#This Row],[A]], "N/A")</f>
        <v>N/A</v>
      </c>
      <c r="AK8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7" spans="1:39" ht="13">
      <c r="A837" s="55"/>
      <c r="B837" s="61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7"/>
      <c r="R837" s="56"/>
      <c r="S837" s="58" t="str" cm="1">
        <f t="array" ref="S837">_xlfn._xlws.FILTER(Competitions[compType], (Fixtures[[#This Row],[competition]] = Competitions[name]), "N/A")</f>
        <v>N/A</v>
      </c>
      <c r="T837" s="58" t="str" cm="1">
        <f t="array" ref="T837">_xlfn._xlws.FILTER(Competitions[exhibition], (Fixtures[[#This Row],[competition]] = Competitions[name]), "N/A")</f>
        <v>N/A</v>
      </c>
      <c r="U837" s="58" t="str" cm="1">
        <f t="array" ref="U837">_xlfn._xlws.FILTER(Competitions[compID], (Fixtures[[#This Row],[competition]] = Competitions[name]), "N/A")</f>
        <v>N/A</v>
      </c>
      <c r="V8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7" s="58" t="str" cm="1">
        <f t="array" ref="W8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7" s="58" t="str" cm="1">
        <f t="array" ref="X837">_xlfn._xlws.FILTER(Teams[name], (Fixtures[[#This Row],[userTeamID]] = Teams[teamID]), "N/A")</f>
        <v>N/A</v>
      </c>
      <c r="Y837" s="58" t="str" cm="1">
        <f t="array" ref="Y837">_xlfn._xlws.FILTER(Teams[teamType], (Fixtures[[#This Row],[userTeamID]] = Teams[teamID]), "N/A")</f>
        <v>N/A</v>
      </c>
      <c r="Z837" s="58" t="str" cm="1">
        <f t="array" ref="Z8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7" s="58" t="str">
        <f>IF(Fixtures[[#This Row],[userSide]] = "N/A", "N/A", IF(Fixtures[[#This Row],[userSide]] = "H", Fixtures[[#This Row],[awayTeam]], Fixtures[[#This Row],[homeTeam]]))</f>
        <v>N/A</v>
      </c>
      <c r="AB837" s="58" t="str" cm="1">
        <f t="array" ref="AB837">_xlfn._xlws.FILTER(Teams[teamID], Fixtures[[#This Row],[oppTeam]] = Teams[name], "N/A")</f>
        <v>N/A</v>
      </c>
      <c r="AC837" s="58" t="str" cm="1">
        <f t="array" ref="AC837">_xlfn._xlws.FILTER(Teams[teamType], Fixtures[[#This Row],[oppTeam]] = Teams[name], "N/A")</f>
        <v>N/A</v>
      </c>
      <c r="AD837" s="58" t="str">
        <f>IF(ISBLANK(Fixtures[[#This Row],[date]]), "N/A", IF(Fixtures[[#This Row],[userSide]]="H", Fixtures[[#This Row],[homeScore]], Fixtures[[#This Row],[awayScore]]))</f>
        <v>N/A</v>
      </c>
      <c r="AE837" s="58" t="str">
        <f>IF(ISBLANK(Fixtures[[#This Row],[date]]), "N/A", IF(Fixtures[[#This Row],[userScore]] = Fixtures[[#This Row],[homeScore]], Fixtures[[#This Row],[awayScore]], Fixtures[[#This Row],[homeScore]]))</f>
        <v>N/A</v>
      </c>
      <c r="AF837" s="58" t="b">
        <f>NOT(AND(ISBLANK(Fixtures[[#This Row],[homePens]]), ISBLANK(Fixtures[[#This Row],[awayPens]])))</f>
        <v>0</v>
      </c>
      <c r="AG837" s="58" t="str">
        <f>IF(Fixtures[[#This Row],[penalties]], IF(Fixtures[[#This Row],[userSide]]="H", Fixtures[[#This Row],[homePens]], Fixtures[[#This Row],[awayPens]]), "N/A")</f>
        <v>N/A</v>
      </c>
      <c r="AH837" s="58" t="str">
        <f>IF(Fixtures[[#This Row],[penalties]], IF(Fixtures[[#This Row],[userPens]]=Fixtures[[#This Row],[homePens]],Fixtures[[#This Row],[awayPens]],Fixtures[[#This Row],[homePens]]), "N/A")</f>
        <v>N/A</v>
      </c>
      <c r="AI837" s="58" t="b">
        <f>COUNTBLANK(Fixtures[[#This Row],[G]:[MOTM]]) = 0</f>
        <v>0</v>
      </c>
      <c r="AJ837" s="58" t="str">
        <f>IF(Fixtures[[#This Row],[APP]], Fixtures[[#This Row],[G]]+Fixtures[[#This Row],[A]], "N/A")</f>
        <v>N/A</v>
      </c>
      <c r="AK8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8" spans="1:39" ht="13">
      <c r="A838" s="55"/>
      <c r="B838" s="61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7"/>
      <c r="R838" s="56"/>
      <c r="S838" s="58" t="str" cm="1">
        <f t="array" ref="S838">_xlfn._xlws.FILTER(Competitions[compType], (Fixtures[[#This Row],[competition]] = Competitions[name]), "N/A")</f>
        <v>N/A</v>
      </c>
      <c r="T838" s="58" t="str" cm="1">
        <f t="array" ref="T838">_xlfn._xlws.FILTER(Competitions[exhibition], (Fixtures[[#This Row],[competition]] = Competitions[name]), "N/A")</f>
        <v>N/A</v>
      </c>
      <c r="U838" s="58" t="str" cm="1">
        <f t="array" ref="U838">_xlfn._xlws.FILTER(Competitions[compID], (Fixtures[[#This Row],[competition]] = Competitions[name]), "N/A")</f>
        <v>N/A</v>
      </c>
      <c r="V8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8" s="58" t="str" cm="1">
        <f t="array" ref="W8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8" s="58" t="str" cm="1">
        <f t="array" ref="X838">_xlfn._xlws.FILTER(Teams[name], (Fixtures[[#This Row],[userTeamID]] = Teams[teamID]), "N/A")</f>
        <v>N/A</v>
      </c>
      <c r="Y838" s="58" t="str" cm="1">
        <f t="array" ref="Y838">_xlfn._xlws.FILTER(Teams[teamType], (Fixtures[[#This Row],[userTeamID]] = Teams[teamID]), "N/A")</f>
        <v>N/A</v>
      </c>
      <c r="Z838" s="58" t="str" cm="1">
        <f t="array" ref="Z8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8" s="58" t="str">
        <f>IF(Fixtures[[#This Row],[userSide]] = "N/A", "N/A", IF(Fixtures[[#This Row],[userSide]] = "H", Fixtures[[#This Row],[awayTeam]], Fixtures[[#This Row],[homeTeam]]))</f>
        <v>N/A</v>
      </c>
      <c r="AB838" s="58" t="str" cm="1">
        <f t="array" ref="AB838">_xlfn._xlws.FILTER(Teams[teamID], Fixtures[[#This Row],[oppTeam]] = Teams[name], "N/A")</f>
        <v>N/A</v>
      </c>
      <c r="AC838" s="58" t="str" cm="1">
        <f t="array" ref="AC838">_xlfn._xlws.FILTER(Teams[teamType], Fixtures[[#This Row],[oppTeam]] = Teams[name], "N/A")</f>
        <v>N/A</v>
      </c>
      <c r="AD838" s="58" t="str">
        <f>IF(ISBLANK(Fixtures[[#This Row],[date]]), "N/A", IF(Fixtures[[#This Row],[userSide]]="H", Fixtures[[#This Row],[homeScore]], Fixtures[[#This Row],[awayScore]]))</f>
        <v>N/A</v>
      </c>
      <c r="AE838" s="58" t="str">
        <f>IF(ISBLANK(Fixtures[[#This Row],[date]]), "N/A", IF(Fixtures[[#This Row],[userScore]] = Fixtures[[#This Row],[homeScore]], Fixtures[[#This Row],[awayScore]], Fixtures[[#This Row],[homeScore]]))</f>
        <v>N/A</v>
      </c>
      <c r="AF838" s="58" t="b">
        <f>NOT(AND(ISBLANK(Fixtures[[#This Row],[homePens]]), ISBLANK(Fixtures[[#This Row],[awayPens]])))</f>
        <v>0</v>
      </c>
      <c r="AG838" s="58" t="str">
        <f>IF(Fixtures[[#This Row],[penalties]], IF(Fixtures[[#This Row],[userSide]]="H", Fixtures[[#This Row],[homePens]], Fixtures[[#This Row],[awayPens]]), "N/A")</f>
        <v>N/A</v>
      </c>
      <c r="AH838" s="58" t="str">
        <f>IF(Fixtures[[#This Row],[penalties]], IF(Fixtures[[#This Row],[userPens]]=Fixtures[[#This Row],[homePens]],Fixtures[[#This Row],[awayPens]],Fixtures[[#This Row],[homePens]]), "N/A")</f>
        <v>N/A</v>
      </c>
      <c r="AI838" s="58" t="b">
        <f>COUNTBLANK(Fixtures[[#This Row],[G]:[MOTM]]) = 0</f>
        <v>0</v>
      </c>
      <c r="AJ838" s="58" t="str">
        <f>IF(Fixtures[[#This Row],[APP]], Fixtures[[#This Row],[G]]+Fixtures[[#This Row],[A]], "N/A")</f>
        <v>N/A</v>
      </c>
      <c r="AK8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39" spans="1:39" ht="13">
      <c r="A839" s="55"/>
      <c r="B839" s="61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7"/>
      <c r="R839" s="56"/>
      <c r="S839" s="58" t="str" cm="1">
        <f t="array" ref="S839">_xlfn._xlws.FILTER(Competitions[compType], (Fixtures[[#This Row],[competition]] = Competitions[name]), "N/A")</f>
        <v>N/A</v>
      </c>
      <c r="T839" s="58" t="str" cm="1">
        <f t="array" ref="T839">_xlfn._xlws.FILTER(Competitions[exhibition], (Fixtures[[#This Row],[competition]] = Competitions[name]), "N/A")</f>
        <v>N/A</v>
      </c>
      <c r="U839" s="58" t="str" cm="1">
        <f t="array" ref="U839">_xlfn._xlws.FILTER(Competitions[compID], (Fixtures[[#This Row],[competition]] = Competitions[name]), "N/A")</f>
        <v>N/A</v>
      </c>
      <c r="V8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39" s="58" t="str" cm="1">
        <f t="array" ref="W8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39" s="58" t="str" cm="1">
        <f t="array" ref="X839">_xlfn._xlws.FILTER(Teams[name], (Fixtures[[#This Row],[userTeamID]] = Teams[teamID]), "N/A")</f>
        <v>N/A</v>
      </c>
      <c r="Y839" s="58" t="str" cm="1">
        <f t="array" ref="Y839">_xlfn._xlws.FILTER(Teams[teamType], (Fixtures[[#This Row],[userTeamID]] = Teams[teamID]), "N/A")</f>
        <v>N/A</v>
      </c>
      <c r="Z839" s="58" t="str" cm="1">
        <f t="array" ref="Z8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39" s="58" t="str">
        <f>IF(Fixtures[[#This Row],[userSide]] = "N/A", "N/A", IF(Fixtures[[#This Row],[userSide]] = "H", Fixtures[[#This Row],[awayTeam]], Fixtures[[#This Row],[homeTeam]]))</f>
        <v>N/A</v>
      </c>
      <c r="AB839" s="58" t="str" cm="1">
        <f t="array" ref="AB839">_xlfn._xlws.FILTER(Teams[teamID], Fixtures[[#This Row],[oppTeam]] = Teams[name], "N/A")</f>
        <v>N/A</v>
      </c>
      <c r="AC839" s="58" t="str" cm="1">
        <f t="array" ref="AC839">_xlfn._xlws.FILTER(Teams[teamType], Fixtures[[#This Row],[oppTeam]] = Teams[name], "N/A")</f>
        <v>N/A</v>
      </c>
      <c r="AD839" s="58" t="str">
        <f>IF(ISBLANK(Fixtures[[#This Row],[date]]), "N/A", IF(Fixtures[[#This Row],[userSide]]="H", Fixtures[[#This Row],[homeScore]], Fixtures[[#This Row],[awayScore]]))</f>
        <v>N/A</v>
      </c>
      <c r="AE839" s="58" t="str">
        <f>IF(ISBLANK(Fixtures[[#This Row],[date]]), "N/A", IF(Fixtures[[#This Row],[userScore]] = Fixtures[[#This Row],[homeScore]], Fixtures[[#This Row],[awayScore]], Fixtures[[#This Row],[homeScore]]))</f>
        <v>N/A</v>
      </c>
      <c r="AF839" s="58" t="b">
        <f>NOT(AND(ISBLANK(Fixtures[[#This Row],[homePens]]), ISBLANK(Fixtures[[#This Row],[awayPens]])))</f>
        <v>0</v>
      </c>
      <c r="AG839" s="58" t="str">
        <f>IF(Fixtures[[#This Row],[penalties]], IF(Fixtures[[#This Row],[userSide]]="H", Fixtures[[#This Row],[homePens]], Fixtures[[#This Row],[awayPens]]), "N/A")</f>
        <v>N/A</v>
      </c>
      <c r="AH839" s="58" t="str">
        <f>IF(Fixtures[[#This Row],[penalties]], IF(Fixtures[[#This Row],[userPens]]=Fixtures[[#This Row],[homePens]],Fixtures[[#This Row],[awayPens]],Fixtures[[#This Row],[homePens]]), "N/A")</f>
        <v>N/A</v>
      </c>
      <c r="AI839" s="58" t="b">
        <f>COUNTBLANK(Fixtures[[#This Row],[G]:[MOTM]]) = 0</f>
        <v>0</v>
      </c>
      <c r="AJ839" s="58" t="str">
        <f>IF(Fixtures[[#This Row],[APP]], Fixtures[[#This Row],[G]]+Fixtures[[#This Row],[A]], "N/A")</f>
        <v>N/A</v>
      </c>
      <c r="AK8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0" spans="1:39" ht="13">
      <c r="A840" s="55"/>
      <c r="B840" s="61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7"/>
      <c r="R840" s="56"/>
      <c r="S840" s="58" t="str" cm="1">
        <f t="array" ref="S840">_xlfn._xlws.FILTER(Competitions[compType], (Fixtures[[#This Row],[competition]] = Competitions[name]), "N/A")</f>
        <v>N/A</v>
      </c>
      <c r="T840" s="58" t="str" cm="1">
        <f t="array" ref="T840">_xlfn._xlws.FILTER(Competitions[exhibition], (Fixtures[[#This Row],[competition]] = Competitions[name]), "N/A")</f>
        <v>N/A</v>
      </c>
      <c r="U840" s="58" t="str" cm="1">
        <f t="array" ref="U840">_xlfn._xlws.FILTER(Competitions[compID], (Fixtures[[#This Row],[competition]] = Competitions[name]), "N/A")</f>
        <v>N/A</v>
      </c>
      <c r="V8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0" s="58" t="str" cm="1">
        <f t="array" ref="W8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0" s="58" t="str" cm="1">
        <f t="array" ref="X840">_xlfn._xlws.FILTER(Teams[name], (Fixtures[[#This Row],[userTeamID]] = Teams[teamID]), "N/A")</f>
        <v>N/A</v>
      </c>
      <c r="Y840" s="58" t="str" cm="1">
        <f t="array" ref="Y840">_xlfn._xlws.FILTER(Teams[teamType], (Fixtures[[#This Row],[userTeamID]] = Teams[teamID]), "N/A")</f>
        <v>N/A</v>
      </c>
      <c r="Z840" s="58" t="str" cm="1">
        <f t="array" ref="Z8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0" s="58" t="str">
        <f>IF(Fixtures[[#This Row],[userSide]] = "N/A", "N/A", IF(Fixtures[[#This Row],[userSide]] = "H", Fixtures[[#This Row],[awayTeam]], Fixtures[[#This Row],[homeTeam]]))</f>
        <v>N/A</v>
      </c>
      <c r="AB840" s="58" t="str" cm="1">
        <f t="array" ref="AB840">_xlfn._xlws.FILTER(Teams[teamID], Fixtures[[#This Row],[oppTeam]] = Teams[name], "N/A")</f>
        <v>N/A</v>
      </c>
      <c r="AC840" s="58" t="str" cm="1">
        <f t="array" ref="AC840">_xlfn._xlws.FILTER(Teams[teamType], Fixtures[[#This Row],[oppTeam]] = Teams[name], "N/A")</f>
        <v>N/A</v>
      </c>
      <c r="AD840" s="58" t="str">
        <f>IF(ISBLANK(Fixtures[[#This Row],[date]]), "N/A", IF(Fixtures[[#This Row],[userSide]]="H", Fixtures[[#This Row],[homeScore]], Fixtures[[#This Row],[awayScore]]))</f>
        <v>N/A</v>
      </c>
      <c r="AE840" s="58" t="str">
        <f>IF(ISBLANK(Fixtures[[#This Row],[date]]), "N/A", IF(Fixtures[[#This Row],[userScore]] = Fixtures[[#This Row],[homeScore]], Fixtures[[#This Row],[awayScore]], Fixtures[[#This Row],[homeScore]]))</f>
        <v>N/A</v>
      </c>
      <c r="AF840" s="58" t="b">
        <f>NOT(AND(ISBLANK(Fixtures[[#This Row],[homePens]]), ISBLANK(Fixtures[[#This Row],[awayPens]])))</f>
        <v>0</v>
      </c>
      <c r="AG840" s="58" t="str">
        <f>IF(Fixtures[[#This Row],[penalties]], IF(Fixtures[[#This Row],[userSide]]="H", Fixtures[[#This Row],[homePens]], Fixtures[[#This Row],[awayPens]]), "N/A")</f>
        <v>N/A</v>
      </c>
      <c r="AH840" s="58" t="str">
        <f>IF(Fixtures[[#This Row],[penalties]], IF(Fixtures[[#This Row],[userPens]]=Fixtures[[#This Row],[homePens]],Fixtures[[#This Row],[awayPens]],Fixtures[[#This Row],[homePens]]), "N/A")</f>
        <v>N/A</v>
      </c>
      <c r="AI840" s="58" t="b">
        <f>COUNTBLANK(Fixtures[[#This Row],[G]:[MOTM]]) = 0</f>
        <v>0</v>
      </c>
      <c r="AJ840" s="58" t="str">
        <f>IF(Fixtures[[#This Row],[APP]], Fixtures[[#This Row],[G]]+Fixtures[[#This Row],[A]], "N/A")</f>
        <v>N/A</v>
      </c>
      <c r="AK8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1" spans="1:39" ht="13">
      <c r="A841" s="55"/>
      <c r="B841" s="61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7"/>
      <c r="R841" s="56"/>
      <c r="S841" s="58" t="str" cm="1">
        <f t="array" ref="S841">_xlfn._xlws.FILTER(Competitions[compType], (Fixtures[[#This Row],[competition]] = Competitions[name]), "N/A")</f>
        <v>N/A</v>
      </c>
      <c r="T841" s="58" t="str" cm="1">
        <f t="array" ref="T841">_xlfn._xlws.FILTER(Competitions[exhibition], (Fixtures[[#This Row],[competition]] = Competitions[name]), "N/A")</f>
        <v>N/A</v>
      </c>
      <c r="U841" s="58" t="str" cm="1">
        <f t="array" ref="U841">_xlfn._xlws.FILTER(Competitions[compID], (Fixtures[[#This Row],[competition]] = Competitions[name]), "N/A")</f>
        <v>N/A</v>
      </c>
      <c r="V8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1" s="58" t="str" cm="1">
        <f t="array" ref="W8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1" s="58" t="str" cm="1">
        <f t="array" ref="X841">_xlfn._xlws.FILTER(Teams[name], (Fixtures[[#This Row],[userTeamID]] = Teams[teamID]), "N/A")</f>
        <v>N/A</v>
      </c>
      <c r="Y841" s="58" t="str" cm="1">
        <f t="array" ref="Y841">_xlfn._xlws.FILTER(Teams[teamType], (Fixtures[[#This Row],[userTeamID]] = Teams[teamID]), "N/A")</f>
        <v>N/A</v>
      </c>
      <c r="Z841" s="58" t="str" cm="1">
        <f t="array" ref="Z8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1" s="58" t="str">
        <f>IF(Fixtures[[#This Row],[userSide]] = "N/A", "N/A", IF(Fixtures[[#This Row],[userSide]] = "H", Fixtures[[#This Row],[awayTeam]], Fixtures[[#This Row],[homeTeam]]))</f>
        <v>N/A</v>
      </c>
      <c r="AB841" s="58" t="str" cm="1">
        <f t="array" ref="AB841">_xlfn._xlws.FILTER(Teams[teamID], Fixtures[[#This Row],[oppTeam]] = Teams[name], "N/A")</f>
        <v>N/A</v>
      </c>
      <c r="AC841" s="58" t="str" cm="1">
        <f t="array" ref="AC841">_xlfn._xlws.FILTER(Teams[teamType], Fixtures[[#This Row],[oppTeam]] = Teams[name], "N/A")</f>
        <v>N/A</v>
      </c>
      <c r="AD841" s="58" t="str">
        <f>IF(ISBLANK(Fixtures[[#This Row],[date]]), "N/A", IF(Fixtures[[#This Row],[userSide]]="H", Fixtures[[#This Row],[homeScore]], Fixtures[[#This Row],[awayScore]]))</f>
        <v>N/A</v>
      </c>
      <c r="AE841" s="58" t="str">
        <f>IF(ISBLANK(Fixtures[[#This Row],[date]]), "N/A", IF(Fixtures[[#This Row],[userScore]] = Fixtures[[#This Row],[homeScore]], Fixtures[[#This Row],[awayScore]], Fixtures[[#This Row],[homeScore]]))</f>
        <v>N/A</v>
      </c>
      <c r="AF841" s="58" t="b">
        <f>NOT(AND(ISBLANK(Fixtures[[#This Row],[homePens]]), ISBLANK(Fixtures[[#This Row],[awayPens]])))</f>
        <v>0</v>
      </c>
      <c r="AG841" s="58" t="str">
        <f>IF(Fixtures[[#This Row],[penalties]], IF(Fixtures[[#This Row],[userSide]]="H", Fixtures[[#This Row],[homePens]], Fixtures[[#This Row],[awayPens]]), "N/A")</f>
        <v>N/A</v>
      </c>
      <c r="AH841" s="58" t="str">
        <f>IF(Fixtures[[#This Row],[penalties]], IF(Fixtures[[#This Row],[userPens]]=Fixtures[[#This Row],[homePens]],Fixtures[[#This Row],[awayPens]],Fixtures[[#This Row],[homePens]]), "N/A")</f>
        <v>N/A</v>
      </c>
      <c r="AI841" s="58" t="b">
        <f>COUNTBLANK(Fixtures[[#This Row],[G]:[MOTM]]) = 0</f>
        <v>0</v>
      </c>
      <c r="AJ841" s="58" t="str">
        <f>IF(Fixtures[[#This Row],[APP]], Fixtures[[#This Row],[G]]+Fixtures[[#This Row],[A]], "N/A")</f>
        <v>N/A</v>
      </c>
      <c r="AK8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2" spans="1:39" ht="13">
      <c r="A842" s="55"/>
      <c r="B842" s="61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7"/>
      <c r="R842" s="56"/>
      <c r="S842" s="58" t="str" cm="1">
        <f t="array" ref="S842">_xlfn._xlws.FILTER(Competitions[compType], (Fixtures[[#This Row],[competition]] = Competitions[name]), "N/A")</f>
        <v>N/A</v>
      </c>
      <c r="T842" s="58" t="str" cm="1">
        <f t="array" ref="T842">_xlfn._xlws.FILTER(Competitions[exhibition], (Fixtures[[#This Row],[competition]] = Competitions[name]), "N/A")</f>
        <v>N/A</v>
      </c>
      <c r="U842" s="58" t="str" cm="1">
        <f t="array" ref="U842">_xlfn._xlws.FILTER(Competitions[compID], (Fixtures[[#This Row],[competition]] = Competitions[name]), "N/A")</f>
        <v>N/A</v>
      </c>
      <c r="V8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2" s="58" t="str" cm="1">
        <f t="array" ref="W8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2" s="58" t="str" cm="1">
        <f t="array" ref="X842">_xlfn._xlws.FILTER(Teams[name], (Fixtures[[#This Row],[userTeamID]] = Teams[teamID]), "N/A")</f>
        <v>N/A</v>
      </c>
      <c r="Y842" s="58" t="str" cm="1">
        <f t="array" ref="Y842">_xlfn._xlws.FILTER(Teams[teamType], (Fixtures[[#This Row],[userTeamID]] = Teams[teamID]), "N/A")</f>
        <v>N/A</v>
      </c>
      <c r="Z842" s="58" t="str" cm="1">
        <f t="array" ref="Z8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2" s="58" t="str">
        <f>IF(Fixtures[[#This Row],[userSide]] = "N/A", "N/A", IF(Fixtures[[#This Row],[userSide]] = "H", Fixtures[[#This Row],[awayTeam]], Fixtures[[#This Row],[homeTeam]]))</f>
        <v>N/A</v>
      </c>
      <c r="AB842" s="58" t="str" cm="1">
        <f t="array" ref="AB842">_xlfn._xlws.FILTER(Teams[teamID], Fixtures[[#This Row],[oppTeam]] = Teams[name], "N/A")</f>
        <v>N/A</v>
      </c>
      <c r="AC842" s="58" t="str" cm="1">
        <f t="array" ref="AC842">_xlfn._xlws.FILTER(Teams[teamType], Fixtures[[#This Row],[oppTeam]] = Teams[name], "N/A")</f>
        <v>N/A</v>
      </c>
      <c r="AD842" s="58" t="str">
        <f>IF(ISBLANK(Fixtures[[#This Row],[date]]), "N/A", IF(Fixtures[[#This Row],[userSide]]="H", Fixtures[[#This Row],[homeScore]], Fixtures[[#This Row],[awayScore]]))</f>
        <v>N/A</v>
      </c>
      <c r="AE842" s="58" t="str">
        <f>IF(ISBLANK(Fixtures[[#This Row],[date]]), "N/A", IF(Fixtures[[#This Row],[userScore]] = Fixtures[[#This Row],[homeScore]], Fixtures[[#This Row],[awayScore]], Fixtures[[#This Row],[homeScore]]))</f>
        <v>N/A</v>
      </c>
      <c r="AF842" s="58" t="b">
        <f>NOT(AND(ISBLANK(Fixtures[[#This Row],[homePens]]), ISBLANK(Fixtures[[#This Row],[awayPens]])))</f>
        <v>0</v>
      </c>
      <c r="AG842" s="58" t="str">
        <f>IF(Fixtures[[#This Row],[penalties]], IF(Fixtures[[#This Row],[userSide]]="H", Fixtures[[#This Row],[homePens]], Fixtures[[#This Row],[awayPens]]), "N/A")</f>
        <v>N/A</v>
      </c>
      <c r="AH842" s="58" t="str">
        <f>IF(Fixtures[[#This Row],[penalties]], IF(Fixtures[[#This Row],[userPens]]=Fixtures[[#This Row],[homePens]],Fixtures[[#This Row],[awayPens]],Fixtures[[#This Row],[homePens]]), "N/A")</f>
        <v>N/A</v>
      </c>
      <c r="AI842" s="58" t="b">
        <f>COUNTBLANK(Fixtures[[#This Row],[G]:[MOTM]]) = 0</f>
        <v>0</v>
      </c>
      <c r="AJ842" s="58" t="str">
        <f>IF(Fixtures[[#This Row],[APP]], Fixtures[[#This Row],[G]]+Fixtures[[#This Row],[A]], "N/A")</f>
        <v>N/A</v>
      </c>
      <c r="AK8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3" spans="1:39" ht="13">
      <c r="A843" s="55"/>
      <c r="B843" s="61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7"/>
      <c r="R843" s="56"/>
      <c r="S843" s="58" t="str" cm="1">
        <f t="array" ref="S843">_xlfn._xlws.FILTER(Competitions[compType], (Fixtures[[#This Row],[competition]] = Competitions[name]), "N/A")</f>
        <v>N/A</v>
      </c>
      <c r="T843" s="58" t="str" cm="1">
        <f t="array" ref="T843">_xlfn._xlws.FILTER(Competitions[exhibition], (Fixtures[[#This Row],[competition]] = Competitions[name]), "N/A")</f>
        <v>N/A</v>
      </c>
      <c r="U843" s="58" t="str" cm="1">
        <f t="array" ref="U843">_xlfn._xlws.FILTER(Competitions[compID], (Fixtures[[#This Row],[competition]] = Competitions[name]), "N/A")</f>
        <v>N/A</v>
      </c>
      <c r="V8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3" s="58" t="str" cm="1">
        <f t="array" ref="W8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3" s="58" t="str" cm="1">
        <f t="array" ref="X843">_xlfn._xlws.FILTER(Teams[name], (Fixtures[[#This Row],[userTeamID]] = Teams[teamID]), "N/A")</f>
        <v>N/A</v>
      </c>
      <c r="Y843" s="58" t="str" cm="1">
        <f t="array" ref="Y843">_xlfn._xlws.FILTER(Teams[teamType], (Fixtures[[#This Row],[userTeamID]] = Teams[teamID]), "N/A")</f>
        <v>N/A</v>
      </c>
      <c r="Z843" s="58" t="str" cm="1">
        <f t="array" ref="Z8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3" s="58" t="str">
        <f>IF(Fixtures[[#This Row],[userSide]] = "N/A", "N/A", IF(Fixtures[[#This Row],[userSide]] = "H", Fixtures[[#This Row],[awayTeam]], Fixtures[[#This Row],[homeTeam]]))</f>
        <v>N/A</v>
      </c>
      <c r="AB843" s="58" t="str" cm="1">
        <f t="array" ref="AB843">_xlfn._xlws.FILTER(Teams[teamID], Fixtures[[#This Row],[oppTeam]] = Teams[name], "N/A")</f>
        <v>N/A</v>
      </c>
      <c r="AC843" s="58" t="str" cm="1">
        <f t="array" ref="AC843">_xlfn._xlws.FILTER(Teams[teamType], Fixtures[[#This Row],[oppTeam]] = Teams[name], "N/A")</f>
        <v>N/A</v>
      </c>
      <c r="AD843" s="58" t="str">
        <f>IF(ISBLANK(Fixtures[[#This Row],[date]]), "N/A", IF(Fixtures[[#This Row],[userSide]]="H", Fixtures[[#This Row],[homeScore]], Fixtures[[#This Row],[awayScore]]))</f>
        <v>N/A</v>
      </c>
      <c r="AE843" s="58" t="str">
        <f>IF(ISBLANK(Fixtures[[#This Row],[date]]), "N/A", IF(Fixtures[[#This Row],[userScore]] = Fixtures[[#This Row],[homeScore]], Fixtures[[#This Row],[awayScore]], Fixtures[[#This Row],[homeScore]]))</f>
        <v>N/A</v>
      </c>
      <c r="AF843" s="58" t="b">
        <f>NOT(AND(ISBLANK(Fixtures[[#This Row],[homePens]]), ISBLANK(Fixtures[[#This Row],[awayPens]])))</f>
        <v>0</v>
      </c>
      <c r="AG843" s="58" t="str">
        <f>IF(Fixtures[[#This Row],[penalties]], IF(Fixtures[[#This Row],[userSide]]="H", Fixtures[[#This Row],[homePens]], Fixtures[[#This Row],[awayPens]]), "N/A")</f>
        <v>N/A</v>
      </c>
      <c r="AH843" s="58" t="str">
        <f>IF(Fixtures[[#This Row],[penalties]], IF(Fixtures[[#This Row],[userPens]]=Fixtures[[#This Row],[homePens]],Fixtures[[#This Row],[awayPens]],Fixtures[[#This Row],[homePens]]), "N/A")</f>
        <v>N/A</v>
      </c>
      <c r="AI843" s="58" t="b">
        <f>COUNTBLANK(Fixtures[[#This Row],[G]:[MOTM]]) = 0</f>
        <v>0</v>
      </c>
      <c r="AJ843" s="58" t="str">
        <f>IF(Fixtures[[#This Row],[APP]], Fixtures[[#This Row],[G]]+Fixtures[[#This Row],[A]], "N/A")</f>
        <v>N/A</v>
      </c>
      <c r="AK8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4" spans="1:39" ht="13">
      <c r="A844" s="55"/>
      <c r="B844" s="61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7"/>
      <c r="R844" s="56"/>
      <c r="S844" s="58" t="str" cm="1">
        <f t="array" ref="S844">_xlfn._xlws.FILTER(Competitions[compType], (Fixtures[[#This Row],[competition]] = Competitions[name]), "N/A")</f>
        <v>N/A</v>
      </c>
      <c r="T844" s="58" t="str" cm="1">
        <f t="array" ref="T844">_xlfn._xlws.FILTER(Competitions[exhibition], (Fixtures[[#This Row],[competition]] = Competitions[name]), "N/A")</f>
        <v>N/A</v>
      </c>
      <c r="U844" s="58" t="str" cm="1">
        <f t="array" ref="U844">_xlfn._xlws.FILTER(Competitions[compID], (Fixtures[[#This Row],[competition]] = Competitions[name]), "N/A")</f>
        <v>N/A</v>
      </c>
      <c r="V8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4" s="58" t="str" cm="1">
        <f t="array" ref="W8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4" s="58" t="str" cm="1">
        <f t="array" ref="X844">_xlfn._xlws.FILTER(Teams[name], (Fixtures[[#This Row],[userTeamID]] = Teams[teamID]), "N/A")</f>
        <v>N/A</v>
      </c>
      <c r="Y844" s="58" t="str" cm="1">
        <f t="array" ref="Y844">_xlfn._xlws.FILTER(Teams[teamType], (Fixtures[[#This Row],[userTeamID]] = Teams[teamID]), "N/A")</f>
        <v>N/A</v>
      </c>
      <c r="Z844" s="58" t="str" cm="1">
        <f t="array" ref="Z8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4" s="58" t="str">
        <f>IF(Fixtures[[#This Row],[userSide]] = "N/A", "N/A", IF(Fixtures[[#This Row],[userSide]] = "H", Fixtures[[#This Row],[awayTeam]], Fixtures[[#This Row],[homeTeam]]))</f>
        <v>N/A</v>
      </c>
      <c r="AB844" s="58" t="str" cm="1">
        <f t="array" ref="AB844">_xlfn._xlws.FILTER(Teams[teamID], Fixtures[[#This Row],[oppTeam]] = Teams[name], "N/A")</f>
        <v>N/A</v>
      </c>
      <c r="AC844" s="58" t="str" cm="1">
        <f t="array" ref="AC844">_xlfn._xlws.FILTER(Teams[teamType], Fixtures[[#This Row],[oppTeam]] = Teams[name], "N/A")</f>
        <v>N/A</v>
      </c>
      <c r="AD844" s="58" t="str">
        <f>IF(ISBLANK(Fixtures[[#This Row],[date]]), "N/A", IF(Fixtures[[#This Row],[userSide]]="H", Fixtures[[#This Row],[homeScore]], Fixtures[[#This Row],[awayScore]]))</f>
        <v>N/A</v>
      </c>
      <c r="AE844" s="58" t="str">
        <f>IF(ISBLANK(Fixtures[[#This Row],[date]]), "N/A", IF(Fixtures[[#This Row],[userScore]] = Fixtures[[#This Row],[homeScore]], Fixtures[[#This Row],[awayScore]], Fixtures[[#This Row],[homeScore]]))</f>
        <v>N/A</v>
      </c>
      <c r="AF844" s="58" t="b">
        <f>NOT(AND(ISBLANK(Fixtures[[#This Row],[homePens]]), ISBLANK(Fixtures[[#This Row],[awayPens]])))</f>
        <v>0</v>
      </c>
      <c r="AG844" s="58" t="str">
        <f>IF(Fixtures[[#This Row],[penalties]], IF(Fixtures[[#This Row],[userSide]]="H", Fixtures[[#This Row],[homePens]], Fixtures[[#This Row],[awayPens]]), "N/A")</f>
        <v>N/A</v>
      </c>
      <c r="AH844" s="58" t="str">
        <f>IF(Fixtures[[#This Row],[penalties]], IF(Fixtures[[#This Row],[userPens]]=Fixtures[[#This Row],[homePens]],Fixtures[[#This Row],[awayPens]],Fixtures[[#This Row],[homePens]]), "N/A")</f>
        <v>N/A</v>
      </c>
      <c r="AI844" s="58" t="b">
        <f>COUNTBLANK(Fixtures[[#This Row],[G]:[MOTM]]) = 0</f>
        <v>0</v>
      </c>
      <c r="AJ844" s="58" t="str">
        <f>IF(Fixtures[[#This Row],[APP]], Fixtures[[#This Row],[G]]+Fixtures[[#This Row],[A]], "N/A")</f>
        <v>N/A</v>
      </c>
      <c r="AK8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5" spans="1:39" ht="13">
      <c r="A845" s="55"/>
      <c r="B845" s="61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7"/>
      <c r="R845" s="56"/>
      <c r="S845" s="58" t="str" cm="1">
        <f t="array" ref="S845">_xlfn._xlws.FILTER(Competitions[compType], (Fixtures[[#This Row],[competition]] = Competitions[name]), "N/A")</f>
        <v>N/A</v>
      </c>
      <c r="T845" s="58" t="str" cm="1">
        <f t="array" ref="T845">_xlfn._xlws.FILTER(Competitions[exhibition], (Fixtures[[#This Row],[competition]] = Competitions[name]), "N/A")</f>
        <v>N/A</v>
      </c>
      <c r="U845" s="58" t="str" cm="1">
        <f t="array" ref="U845">_xlfn._xlws.FILTER(Competitions[compID], (Fixtures[[#This Row],[competition]] = Competitions[name]), "N/A")</f>
        <v>N/A</v>
      </c>
      <c r="V8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5" s="58" t="str" cm="1">
        <f t="array" ref="W8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5" s="58" t="str" cm="1">
        <f t="array" ref="X845">_xlfn._xlws.FILTER(Teams[name], (Fixtures[[#This Row],[userTeamID]] = Teams[teamID]), "N/A")</f>
        <v>N/A</v>
      </c>
      <c r="Y845" s="58" t="str" cm="1">
        <f t="array" ref="Y845">_xlfn._xlws.FILTER(Teams[teamType], (Fixtures[[#This Row],[userTeamID]] = Teams[teamID]), "N/A")</f>
        <v>N/A</v>
      </c>
      <c r="Z845" s="58" t="str" cm="1">
        <f t="array" ref="Z8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5" s="58" t="str">
        <f>IF(Fixtures[[#This Row],[userSide]] = "N/A", "N/A", IF(Fixtures[[#This Row],[userSide]] = "H", Fixtures[[#This Row],[awayTeam]], Fixtures[[#This Row],[homeTeam]]))</f>
        <v>N/A</v>
      </c>
      <c r="AB845" s="58" t="str" cm="1">
        <f t="array" ref="AB845">_xlfn._xlws.FILTER(Teams[teamID], Fixtures[[#This Row],[oppTeam]] = Teams[name], "N/A")</f>
        <v>N/A</v>
      </c>
      <c r="AC845" s="58" t="str" cm="1">
        <f t="array" ref="AC845">_xlfn._xlws.FILTER(Teams[teamType], Fixtures[[#This Row],[oppTeam]] = Teams[name], "N/A")</f>
        <v>N/A</v>
      </c>
      <c r="AD845" s="58" t="str">
        <f>IF(ISBLANK(Fixtures[[#This Row],[date]]), "N/A", IF(Fixtures[[#This Row],[userSide]]="H", Fixtures[[#This Row],[homeScore]], Fixtures[[#This Row],[awayScore]]))</f>
        <v>N/A</v>
      </c>
      <c r="AE845" s="58" t="str">
        <f>IF(ISBLANK(Fixtures[[#This Row],[date]]), "N/A", IF(Fixtures[[#This Row],[userScore]] = Fixtures[[#This Row],[homeScore]], Fixtures[[#This Row],[awayScore]], Fixtures[[#This Row],[homeScore]]))</f>
        <v>N/A</v>
      </c>
      <c r="AF845" s="58" t="b">
        <f>NOT(AND(ISBLANK(Fixtures[[#This Row],[homePens]]), ISBLANK(Fixtures[[#This Row],[awayPens]])))</f>
        <v>0</v>
      </c>
      <c r="AG845" s="58" t="str">
        <f>IF(Fixtures[[#This Row],[penalties]], IF(Fixtures[[#This Row],[userSide]]="H", Fixtures[[#This Row],[homePens]], Fixtures[[#This Row],[awayPens]]), "N/A")</f>
        <v>N/A</v>
      </c>
      <c r="AH845" s="58" t="str">
        <f>IF(Fixtures[[#This Row],[penalties]], IF(Fixtures[[#This Row],[userPens]]=Fixtures[[#This Row],[homePens]],Fixtures[[#This Row],[awayPens]],Fixtures[[#This Row],[homePens]]), "N/A")</f>
        <v>N/A</v>
      </c>
      <c r="AI845" s="58" t="b">
        <f>COUNTBLANK(Fixtures[[#This Row],[G]:[MOTM]]) = 0</f>
        <v>0</v>
      </c>
      <c r="AJ845" s="58" t="str">
        <f>IF(Fixtures[[#This Row],[APP]], Fixtures[[#This Row],[G]]+Fixtures[[#This Row],[A]], "N/A")</f>
        <v>N/A</v>
      </c>
      <c r="AK8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6" spans="1:39" ht="13">
      <c r="A846" s="55"/>
      <c r="B846" s="61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7"/>
      <c r="R846" s="56"/>
      <c r="S846" s="58" t="str" cm="1">
        <f t="array" ref="S846">_xlfn._xlws.FILTER(Competitions[compType], (Fixtures[[#This Row],[competition]] = Competitions[name]), "N/A")</f>
        <v>N/A</v>
      </c>
      <c r="T846" s="58" t="str" cm="1">
        <f t="array" ref="T846">_xlfn._xlws.FILTER(Competitions[exhibition], (Fixtures[[#This Row],[competition]] = Competitions[name]), "N/A")</f>
        <v>N/A</v>
      </c>
      <c r="U846" s="58" t="str" cm="1">
        <f t="array" ref="U846">_xlfn._xlws.FILTER(Competitions[compID], (Fixtures[[#This Row],[competition]] = Competitions[name]), "N/A")</f>
        <v>N/A</v>
      </c>
      <c r="V8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6" s="58" t="str" cm="1">
        <f t="array" ref="W8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6" s="58" t="str" cm="1">
        <f t="array" ref="X846">_xlfn._xlws.FILTER(Teams[name], (Fixtures[[#This Row],[userTeamID]] = Teams[teamID]), "N/A")</f>
        <v>N/A</v>
      </c>
      <c r="Y846" s="58" t="str" cm="1">
        <f t="array" ref="Y846">_xlfn._xlws.FILTER(Teams[teamType], (Fixtures[[#This Row],[userTeamID]] = Teams[teamID]), "N/A")</f>
        <v>N/A</v>
      </c>
      <c r="Z846" s="58" t="str" cm="1">
        <f t="array" ref="Z8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6" s="58" t="str">
        <f>IF(Fixtures[[#This Row],[userSide]] = "N/A", "N/A", IF(Fixtures[[#This Row],[userSide]] = "H", Fixtures[[#This Row],[awayTeam]], Fixtures[[#This Row],[homeTeam]]))</f>
        <v>N/A</v>
      </c>
      <c r="AB846" s="58" t="str" cm="1">
        <f t="array" ref="AB846">_xlfn._xlws.FILTER(Teams[teamID], Fixtures[[#This Row],[oppTeam]] = Teams[name], "N/A")</f>
        <v>N/A</v>
      </c>
      <c r="AC846" s="58" t="str" cm="1">
        <f t="array" ref="AC846">_xlfn._xlws.FILTER(Teams[teamType], Fixtures[[#This Row],[oppTeam]] = Teams[name], "N/A")</f>
        <v>N/A</v>
      </c>
      <c r="AD846" s="58" t="str">
        <f>IF(ISBLANK(Fixtures[[#This Row],[date]]), "N/A", IF(Fixtures[[#This Row],[userSide]]="H", Fixtures[[#This Row],[homeScore]], Fixtures[[#This Row],[awayScore]]))</f>
        <v>N/A</v>
      </c>
      <c r="AE846" s="58" t="str">
        <f>IF(ISBLANK(Fixtures[[#This Row],[date]]), "N/A", IF(Fixtures[[#This Row],[userScore]] = Fixtures[[#This Row],[homeScore]], Fixtures[[#This Row],[awayScore]], Fixtures[[#This Row],[homeScore]]))</f>
        <v>N/A</v>
      </c>
      <c r="AF846" s="58" t="b">
        <f>NOT(AND(ISBLANK(Fixtures[[#This Row],[homePens]]), ISBLANK(Fixtures[[#This Row],[awayPens]])))</f>
        <v>0</v>
      </c>
      <c r="AG846" s="58" t="str">
        <f>IF(Fixtures[[#This Row],[penalties]], IF(Fixtures[[#This Row],[userSide]]="H", Fixtures[[#This Row],[homePens]], Fixtures[[#This Row],[awayPens]]), "N/A")</f>
        <v>N/A</v>
      </c>
      <c r="AH846" s="58" t="str">
        <f>IF(Fixtures[[#This Row],[penalties]], IF(Fixtures[[#This Row],[userPens]]=Fixtures[[#This Row],[homePens]],Fixtures[[#This Row],[awayPens]],Fixtures[[#This Row],[homePens]]), "N/A")</f>
        <v>N/A</v>
      </c>
      <c r="AI846" s="58" t="b">
        <f>COUNTBLANK(Fixtures[[#This Row],[G]:[MOTM]]) = 0</f>
        <v>0</v>
      </c>
      <c r="AJ846" s="58" t="str">
        <f>IF(Fixtures[[#This Row],[APP]], Fixtures[[#This Row],[G]]+Fixtures[[#This Row],[A]], "N/A")</f>
        <v>N/A</v>
      </c>
      <c r="AK8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7" spans="1:39" ht="13">
      <c r="A847" s="55"/>
      <c r="B847" s="61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7"/>
      <c r="R847" s="56"/>
      <c r="S847" s="58" t="str" cm="1">
        <f t="array" ref="S847">_xlfn._xlws.FILTER(Competitions[compType], (Fixtures[[#This Row],[competition]] = Competitions[name]), "N/A")</f>
        <v>N/A</v>
      </c>
      <c r="T847" s="58" t="str" cm="1">
        <f t="array" ref="T847">_xlfn._xlws.FILTER(Competitions[exhibition], (Fixtures[[#This Row],[competition]] = Competitions[name]), "N/A")</f>
        <v>N/A</v>
      </c>
      <c r="U847" s="58" t="str" cm="1">
        <f t="array" ref="U847">_xlfn._xlws.FILTER(Competitions[compID], (Fixtures[[#This Row],[competition]] = Competitions[name]), "N/A")</f>
        <v>N/A</v>
      </c>
      <c r="V8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7" s="58" t="str" cm="1">
        <f t="array" ref="W8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7" s="58" t="str" cm="1">
        <f t="array" ref="X847">_xlfn._xlws.FILTER(Teams[name], (Fixtures[[#This Row],[userTeamID]] = Teams[teamID]), "N/A")</f>
        <v>N/A</v>
      </c>
      <c r="Y847" s="58" t="str" cm="1">
        <f t="array" ref="Y847">_xlfn._xlws.FILTER(Teams[teamType], (Fixtures[[#This Row],[userTeamID]] = Teams[teamID]), "N/A")</f>
        <v>N/A</v>
      </c>
      <c r="Z847" s="58" t="str" cm="1">
        <f t="array" ref="Z8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7" s="58" t="str">
        <f>IF(Fixtures[[#This Row],[userSide]] = "N/A", "N/A", IF(Fixtures[[#This Row],[userSide]] = "H", Fixtures[[#This Row],[awayTeam]], Fixtures[[#This Row],[homeTeam]]))</f>
        <v>N/A</v>
      </c>
      <c r="AB847" s="58" t="str" cm="1">
        <f t="array" ref="AB847">_xlfn._xlws.FILTER(Teams[teamID], Fixtures[[#This Row],[oppTeam]] = Teams[name], "N/A")</f>
        <v>N/A</v>
      </c>
      <c r="AC847" s="58" t="str" cm="1">
        <f t="array" ref="AC847">_xlfn._xlws.FILTER(Teams[teamType], Fixtures[[#This Row],[oppTeam]] = Teams[name], "N/A")</f>
        <v>N/A</v>
      </c>
      <c r="AD847" s="58" t="str">
        <f>IF(ISBLANK(Fixtures[[#This Row],[date]]), "N/A", IF(Fixtures[[#This Row],[userSide]]="H", Fixtures[[#This Row],[homeScore]], Fixtures[[#This Row],[awayScore]]))</f>
        <v>N/A</v>
      </c>
      <c r="AE847" s="58" t="str">
        <f>IF(ISBLANK(Fixtures[[#This Row],[date]]), "N/A", IF(Fixtures[[#This Row],[userScore]] = Fixtures[[#This Row],[homeScore]], Fixtures[[#This Row],[awayScore]], Fixtures[[#This Row],[homeScore]]))</f>
        <v>N/A</v>
      </c>
      <c r="AF847" s="58" t="b">
        <f>NOT(AND(ISBLANK(Fixtures[[#This Row],[homePens]]), ISBLANK(Fixtures[[#This Row],[awayPens]])))</f>
        <v>0</v>
      </c>
      <c r="AG847" s="58" t="str">
        <f>IF(Fixtures[[#This Row],[penalties]], IF(Fixtures[[#This Row],[userSide]]="H", Fixtures[[#This Row],[homePens]], Fixtures[[#This Row],[awayPens]]), "N/A")</f>
        <v>N/A</v>
      </c>
      <c r="AH847" s="58" t="str">
        <f>IF(Fixtures[[#This Row],[penalties]], IF(Fixtures[[#This Row],[userPens]]=Fixtures[[#This Row],[homePens]],Fixtures[[#This Row],[awayPens]],Fixtures[[#This Row],[homePens]]), "N/A")</f>
        <v>N/A</v>
      </c>
      <c r="AI847" s="58" t="b">
        <f>COUNTBLANK(Fixtures[[#This Row],[G]:[MOTM]]) = 0</f>
        <v>0</v>
      </c>
      <c r="AJ847" s="58" t="str">
        <f>IF(Fixtures[[#This Row],[APP]], Fixtures[[#This Row],[G]]+Fixtures[[#This Row],[A]], "N/A")</f>
        <v>N/A</v>
      </c>
      <c r="AK8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8" spans="1:39" ht="13">
      <c r="A848" s="55"/>
      <c r="B848" s="61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7"/>
      <c r="R848" s="56"/>
      <c r="S848" s="58" t="str" cm="1">
        <f t="array" ref="S848">_xlfn._xlws.FILTER(Competitions[compType], (Fixtures[[#This Row],[competition]] = Competitions[name]), "N/A")</f>
        <v>N/A</v>
      </c>
      <c r="T848" s="58" t="str" cm="1">
        <f t="array" ref="T848">_xlfn._xlws.FILTER(Competitions[exhibition], (Fixtures[[#This Row],[competition]] = Competitions[name]), "N/A")</f>
        <v>N/A</v>
      </c>
      <c r="U848" s="58" t="str" cm="1">
        <f t="array" ref="U848">_xlfn._xlws.FILTER(Competitions[compID], (Fixtures[[#This Row],[competition]] = Competitions[name]), "N/A")</f>
        <v>N/A</v>
      </c>
      <c r="V8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8" s="58" t="str" cm="1">
        <f t="array" ref="W8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8" s="58" t="str" cm="1">
        <f t="array" ref="X848">_xlfn._xlws.FILTER(Teams[name], (Fixtures[[#This Row],[userTeamID]] = Teams[teamID]), "N/A")</f>
        <v>N/A</v>
      </c>
      <c r="Y848" s="58" t="str" cm="1">
        <f t="array" ref="Y848">_xlfn._xlws.FILTER(Teams[teamType], (Fixtures[[#This Row],[userTeamID]] = Teams[teamID]), "N/A")</f>
        <v>N/A</v>
      </c>
      <c r="Z848" s="58" t="str" cm="1">
        <f t="array" ref="Z8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8" s="58" t="str">
        <f>IF(Fixtures[[#This Row],[userSide]] = "N/A", "N/A", IF(Fixtures[[#This Row],[userSide]] = "H", Fixtures[[#This Row],[awayTeam]], Fixtures[[#This Row],[homeTeam]]))</f>
        <v>N/A</v>
      </c>
      <c r="AB848" s="58" t="str" cm="1">
        <f t="array" ref="AB848">_xlfn._xlws.FILTER(Teams[teamID], Fixtures[[#This Row],[oppTeam]] = Teams[name], "N/A")</f>
        <v>N/A</v>
      </c>
      <c r="AC848" s="58" t="str" cm="1">
        <f t="array" ref="AC848">_xlfn._xlws.FILTER(Teams[teamType], Fixtures[[#This Row],[oppTeam]] = Teams[name], "N/A")</f>
        <v>N/A</v>
      </c>
      <c r="AD848" s="58" t="str">
        <f>IF(ISBLANK(Fixtures[[#This Row],[date]]), "N/A", IF(Fixtures[[#This Row],[userSide]]="H", Fixtures[[#This Row],[homeScore]], Fixtures[[#This Row],[awayScore]]))</f>
        <v>N/A</v>
      </c>
      <c r="AE848" s="58" t="str">
        <f>IF(ISBLANK(Fixtures[[#This Row],[date]]), "N/A", IF(Fixtures[[#This Row],[userScore]] = Fixtures[[#This Row],[homeScore]], Fixtures[[#This Row],[awayScore]], Fixtures[[#This Row],[homeScore]]))</f>
        <v>N/A</v>
      </c>
      <c r="AF848" s="58" t="b">
        <f>NOT(AND(ISBLANK(Fixtures[[#This Row],[homePens]]), ISBLANK(Fixtures[[#This Row],[awayPens]])))</f>
        <v>0</v>
      </c>
      <c r="AG848" s="58" t="str">
        <f>IF(Fixtures[[#This Row],[penalties]], IF(Fixtures[[#This Row],[userSide]]="H", Fixtures[[#This Row],[homePens]], Fixtures[[#This Row],[awayPens]]), "N/A")</f>
        <v>N/A</v>
      </c>
      <c r="AH848" s="58" t="str">
        <f>IF(Fixtures[[#This Row],[penalties]], IF(Fixtures[[#This Row],[userPens]]=Fixtures[[#This Row],[homePens]],Fixtures[[#This Row],[awayPens]],Fixtures[[#This Row],[homePens]]), "N/A")</f>
        <v>N/A</v>
      </c>
      <c r="AI848" s="58" t="b">
        <f>COUNTBLANK(Fixtures[[#This Row],[G]:[MOTM]]) = 0</f>
        <v>0</v>
      </c>
      <c r="AJ848" s="58" t="str">
        <f>IF(Fixtures[[#This Row],[APP]], Fixtures[[#This Row],[G]]+Fixtures[[#This Row],[A]], "N/A")</f>
        <v>N/A</v>
      </c>
      <c r="AK8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49" spans="1:39" ht="13">
      <c r="A849" s="55"/>
      <c r="B849" s="61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7"/>
      <c r="R849" s="56"/>
      <c r="S849" s="58" t="str" cm="1">
        <f t="array" ref="S849">_xlfn._xlws.FILTER(Competitions[compType], (Fixtures[[#This Row],[competition]] = Competitions[name]), "N/A")</f>
        <v>N/A</v>
      </c>
      <c r="T849" s="58" t="str" cm="1">
        <f t="array" ref="T849">_xlfn._xlws.FILTER(Competitions[exhibition], (Fixtures[[#This Row],[competition]] = Competitions[name]), "N/A")</f>
        <v>N/A</v>
      </c>
      <c r="U849" s="58" t="str" cm="1">
        <f t="array" ref="U849">_xlfn._xlws.FILTER(Competitions[compID], (Fixtures[[#This Row],[competition]] = Competitions[name]), "N/A")</f>
        <v>N/A</v>
      </c>
      <c r="V8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49" s="58" t="str" cm="1">
        <f t="array" ref="W8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49" s="58" t="str" cm="1">
        <f t="array" ref="X849">_xlfn._xlws.FILTER(Teams[name], (Fixtures[[#This Row],[userTeamID]] = Teams[teamID]), "N/A")</f>
        <v>N/A</v>
      </c>
      <c r="Y849" s="58" t="str" cm="1">
        <f t="array" ref="Y849">_xlfn._xlws.FILTER(Teams[teamType], (Fixtures[[#This Row],[userTeamID]] = Teams[teamID]), "N/A")</f>
        <v>N/A</v>
      </c>
      <c r="Z849" s="58" t="str" cm="1">
        <f t="array" ref="Z8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49" s="58" t="str">
        <f>IF(Fixtures[[#This Row],[userSide]] = "N/A", "N/A", IF(Fixtures[[#This Row],[userSide]] = "H", Fixtures[[#This Row],[awayTeam]], Fixtures[[#This Row],[homeTeam]]))</f>
        <v>N/A</v>
      </c>
      <c r="AB849" s="58" t="str" cm="1">
        <f t="array" ref="AB849">_xlfn._xlws.FILTER(Teams[teamID], Fixtures[[#This Row],[oppTeam]] = Teams[name], "N/A")</f>
        <v>N/A</v>
      </c>
      <c r="AC849" s="58" t="str" cm="1">
        <f t="array" ref="AC849">_xlfn._xlws.FILTER(Teams[teamType], Fixtures[[#This Row],[oppTeam]] = Teams[name], "N/A")</f>
        <v>N/A</v>
      </c>
      <c r="AD849" s="58" t="str">
        <f>IF(ISBLANK(Fixtures[[#This Row],[date]]), "N/A", IF(Fixtures[[#This Row],[userSide]]="H", Fixtures[[#This Row],[homeScore]], Fixtures[[#This Row],[awayScore]]))</f>
        <v>N/A</v>
      </c>
      <c r="AE849" s="58" t="str">
        <f>IF(ISBLANK(Fixtures[[#This Row],[date]]), "N/A", IF(Fixtures[[#This Row],[userScore]] = Fixtures[[#This Row],[homeScore]], Fixtures[[#This Row],[awayScore]], Fixtures[[#This Row],[homeScore]]))</f>
        <v>N/A</v>
      </c>
      <c r="AF849" s="58" t="b">
        <f>NOT(AND(ISBLANK(Fixtures[[#This Row],[homePens]]), ISBLANK(Fixtures[[#This Row],[awayPens]])))</f>
        <v>0</v>
      </c>
      <c r="AG849" s="58" t="str">
        <f>IF(Fixtures[[#This Row],[penalties]], IF(Fixtures[[#This Row],[userSide]]="H", Fixtures[[#This Row],[homePens]], Fixtures[[#This Row],[awayPens]]), "N/A")</f>
        <v>N/A</v>
      </c>
      <c r="AH849" s="58" t="str">
        <f>IF(Fixtures[[#This Row],[penalties]], IF(Fixtures[[#This Row],[userPens]]=Fixtures[[#This Row],[homePens]],Fixtures[[#This Row],[awayPens]],Fixtures[[#This Row],[homePens]]), "N/A")</f>
        <v>N/A</v>
      </c>
      <c r="AI849" s="58" t="b">
        <f>COUNTBLANK(Fixtures[[#This Row],[G]:[MOTM]]) = 0</f>
        <v>0</v>
      </c>
      <c r="AJ849" s="58" t="str">
        <f>IF(Fixtures[[#This Row],[APP]], Fixtures[[#This Row],[G]]+Fixtures[[#This Row],[A]], "N/A")</f>
        <v>N/A</v>
      </c>
      <c r="AK8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0" spans="1:39" ht="13">
      <c r="A850" s="55"/>
      <c r="B850" s="61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7"/>
      <c r="R850" s="56"/>
      <c r="S850" s="58" t="str" cm="1">
        <f t="array" ref="S850">_xlfn._xlws.FILTER(Competitions[compType], (Fixtures[[#This Row],[competition]] = Competitions[name]), "N/A")</f>
        <v>N/A</v>
      </c>
      <c r="T850" s="58" t="str" cm="1">
        <f t="array" ref="T850">_xlfn._xlws.FILTER(Competitions[exhibition], (Fixtures[[#This Row],[competition]] = Competitions[name]), "N/A")</f>
        <v>N/A</v>
      </c>
      <c r="U850" s="58" t="str" cm="1">
        <f t="array" ref="U850">_xlfn._xlws.FILTER(Competitions[compID], (Fixtures[[#This Row],[competition]] = Competitions[name]), "N/A")</f>
        <v>N/A</v>
      </c>
      <c r="V8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0" s="58" t="str" cm="1">
        <f t="array" ref="W8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0" s="58" t="str" cm="1">
        <f t="array" ref="X850">_xlfn._xlws.FILTER(Teams[name], (Fixtures[[#This Row],[userTeamID]] = Teams[teamID]), "N/A")</f>
        <v>N/A</v>
      </c>
      <c r="Y850" s="58" t="str" cm="1">
        <f t="array" ref="Y850">_xlfn._xlws.FILTER(Teams[teamType], (Fixtures[[#This Row],[userTeamID]] = Teams[teamID]), "N/A")</f>
        <v>N/A</v>
      </c>
      <c r="Z850" s="58" t="str" cm="1">
        <f t="array" ref="Z8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0" s="58" t="str">
        <f>IF(Fixtures[[#This Row],[userSide]] = "N/A", "N/A", IF(Fixtures[[#This Row],[userSide]] = "H", Fixtures[[#This Row],[awayTeam]], Fixtures[[#This Row],[homeTeam]]))</f>
        <v>N/A</v>
      </c>
      <c r="AB850" s="58" t="str" cm="1">
        <f t="array" ref="AB850">_xlfn._xlws.FILTER(Teams[teamID], Fixtures[[#This Row],[oppTeam]] = Teams[name], "N/A")</f>
        <v>N/A</v>
      </c>
      <c r="AC850" s="58" t="str" cm="1">
        <f t="array" ref="AC850">_xlfn._xlws.FILTER(Teams[teamType], Fixtures[[#This Row],[oppTeam]] = Teams[name], "N/A")</f>
        <v>N/A</v>
      </c>
      <c r="AD850" s="58" t="str">
        <f>IF(ISBLANK(Fixtures[[#This Row],[date]]), "N/A", IF(Fixtures[[#This Row],[userSide]]="H", Fixtures[[#This Row],[homeScore]], Fixtures[[#This Row],[awayScore]]))</f>
        <v>N/A</v>
      </c>
      <c r="AE850" s="58" t="str">
        <f>IF(ISBLANK(Fixtures[[#This Row],[date]]), "N/A", IF(Fixtures[[#This Row],[userScore]] = Fixtures[[#This Row],[homeScore]], Fixtures[[#This Row],[awayScore]], Fixtures[[#This Row],[homeScore]]))</f>
        <v>N/A</v>
      </c>
      <c r="AF850" s="58" t="b">
        <f>NOT(AND(ISBLANK(Fixtures[[#This Row],[homePens]]), ISBLANK(Fixtures[[#This Row],[awayPens]])))</f>
        <v>0</v>
      </c>
      <c r="AG850" s="58" t="str">
        <f>IF(Fixtures[[#This Row],[penalties]], IF(Fixtures[[#This Row],[userSide]]="H", Fixtures[[#This Row],[homePens]], Fixtures[[#This Row],[awayPens]]), "N/A")</f>
        <v>N/A</v>
      </c>
      <c r="AH850" s="58" t="str">
        <f>IF(Fixtures[[#This Row],[penalties]], IF(Fixtures[[#This Row],[userPens]]=Fixtures[[#This Row],[homePens]],Fixtures[[#This Row],[awayPens]],Fixtures[[#This Row],[homePens]]), "N/A")</f>
        <v>N/A</v>
      </c>
      <c r="AI850" s="58" t="b">
        <f>COUNTBLANK(Fixtures[[#This Row],[G]:[MOTM]]) = 0</f>
        <v>0</v>
      </c>
      <c r="AJ850" s="58" t="str">
        <f>IF(Fixtures[[#This Row],[APP]], Fixtures[[#This Row],[G]]+Fixtures[[#This Row],[A]], "N/A")</f>
        <v>N/A</v>
      </c>
      <c r="AK8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1" spans="1:39" ht="13">
      <c r="A851" s="55"/>
      <c r="B851" s="61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7"/>
      <c r="R851" s="56"/>
      <c r="S851" s="58" t="str" cm="1">
        <f t="array" ref="S851">_xlfn._xlws.FILTER(Competitions[compType], (Fixtures[[#This Row],[competition]] = Competitions[name]), "N/A")</f>
        <v>N/A</v>
      </c>
      <c r="T851" s="58" t="str" cm="1">
        <f t="array" ref="T851">_xlfn._xlws.FILTER(Competitions[exhibition], (Fixtures[[#This Row],[competition]] = Competitions[name]), "N/A")</f>
        <v>N/A</v>
      </c>
      <c r="U851" s="58" t="str" cm="1">
        <f t="array" ref="U851">_xlfn._xlws.FILTER(Competitions[compID], (Fixtures[[#This Row],[competition]] = Competitions[name]), "N/A")</f>
        <v>N/A</v>
      </c>
      <c r="V8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1" s="58" t="str" cm="1">
        <f t="array" ref="W8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1" s="58" t="str" cm="1">
        <f t="array" ref="X851">_xlfn._xlws.FILTER(Teams[name], (Fixtures[[#This Row],[userTeamID]] = Teams[teamID]), "N/A")</f>
        <v>N/A</v>
      </c>
      <c r="Y851" s="58" t="str" cm="1">
        <f t="array" ref="Y851">_xlfn._xlws.FILTER(Teams[teamType], (Fixtures[[#This Row],[userTeamID]] = Teams[teamID]), "N/A")</f>
        <v>N/A</v>
      </c>
      <c r="Z851" s="58" t="str" cm="1">
        <f t="array" ref="Z8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1" s="58" t="str">
        <f>IF(Fixtures[[#This Row],[userSide]] = "N/A", "N/A", IF(Fixtures[[#This Row],[userSide]] = "H", Fixtures[[#This Row],[awayTeam]], Fixtures[[#This Row],[homeTeam]]))</f>
        <v>N/A</v>
      </c>
      <c r="AB851" s="58" t="str" cm="1">
        <f t="array" ref="AB851">_xlfn._xlws.FILTER(Teams[teamID], Fixtures[[#This Row],[oppTeam]] = Teams[name], "N/A")</f>
        <v>N/A</v>
      </c>
      <c r="AC851" s="58" t="str" cm="1">
        <f t="array" ref="AC851">_xlfn._xlws.FILTER(Teams[teamType], Fixtures[[#This Row],[oppTeam]] = Teams[name], "N/A")</f>
        <v>N/A</v>
      </c>
      <c r="AD851" s="58" t="str">
        <f>IF(ISBLANK(Fixtures[[#This Row],[date]]), "N/A", IF(Fixtures[[#This Row],[userSide]]="H", Fixtures[[#This Row],[homeScore]], Fixtures[[#This Row],[awayScore]]))</f>
        <v>N/A</v>
      </c>
      <c r="AE851" s="58" t="str">
        <f>IF(ISBLANK(Fixtures[[#This Row],[date]]), "N/A", IF(Fixtures[[#This Row],[userScore]] = Fixtures[[#This Row],[homeScore]], Fixtures[[#This Row],[awayScore]], Fixtures[[#This Row],[homeScore]]))</f>
        <v>N/A</v>
      </c>
      <c r="AF851" s="58" t="b">
        <f>NOT(AND(ISBLANK(Fixtures[[#This Row],[homePens]]), ISBLANK(Fixtures[[#This Row],[awayPens]])))</f>
        <v>0</v>
      </c>
      <c r="AG851" s="58" t="str">
        <f>IF(Fixtures[[#This Row],[penalties]], IF(Fixtures[[#This Row],[userSide]]="H", Fixtures[[#This Row],[homePens]], Fixtures[[#This Row],[awayPens]]), "N/A")</f>
        <v>N/A</v>
      </c>
      <c r="AH851" s="58" t="str">
        <f>IF(Fixtures[[#This Row],[penalties]], IF(Fixtures[[#This Row],[userPens]]=Fixtures[[#This Row],[homePens]],Fixtures[[#This Row],[awayPens]],Fixtures[[#This Row],[homePens]]), "N/A")</f>
        <v>N/A</v>
      </c>
      <c r="AI851" s="58" t="b">
        <f>COUNTBLANK(Fixtures[[#This Row],[G]:[MOTM]]) = 0</f>
        <v>0</v>
      </c>
      <c r="AJ851" s="58" t="str">
        <f>IF(Fixtures[[#This Row],[APP]], Fixtures[[#This Row],[G]]+Fixtures[[#This Row],[A]], "N/A")</f>
        <v>N/A</v>
      </c>
      <c r="AK8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2" spans="1:39" ht="13">
      <c r="A852" s="55"/>
      <c r="B852" s="61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7"/>
      <c r="R852" s="56"/>
      <c r="S852" s="58" t="str" cm="1">
        <f t="array" ref="S852">_xlfn._xlws.FILTER(Competitions[compType], (Fixtures[[#This Row],[competition]] = Competitions[name]), "N/A")</f>
        <v>N/A</v>
      </c>
      <c r="T852" s="58" t="str" cm="1">
        <f t="array" ref="T852">_xlfn._xlws.FILTER(Competitions[exhibition], (Fixtures[[#This Row],[competition]] = Competitions[name]), "N/A")</f>
        <v>N/A</v>
      </c>
      <c r="U852" s="58" t="str" cm="1">
        <f t="array" ref="U852">_xlfn._xlws.FILTER(Competitions[compID], (Fixtures[[#This Row],[competition]] = Competitions[name]), "N/A")</f>
        <v>N/A</v>
      </c>
      <c r="V8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2" s="58" t="str" cm="1">
        <f t="array" ref="W8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2" s="58" t="str" cm="1">
        <f t="array" ref="X852">_xlfn._xlws.FILTER(Teams[name], (Fixtures[[#This Row],[userTeamID]] = Teams[teamID]), "N/A")</f>
        <v>N/A</v>
      </c>
      <c r="Y852" s="58" t="str" cm="1">
        <f t="array" ref="Y852">_xlfn._xlws.FILTER(Teams[teamType], (Fixtures[[#This Row],[userTeamID]] = Teams[teamID]), "N/A")</f>
        <v>N/A</v>
      </c>
      <c r="Z852" s="58" t="str" cm="1">
        <f t="array" ref="Z8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2" s="58" t="str">
        <f>IF(Fixtures[[#This Row],[userSide]] = "N/A", "N/A", IF(Fixtures[[#This Row],[userSide]] = "H", Fixtures[[#This Row],[awayTeam]], Fixtures[[#This Row],[homeTeam]]))</f>
        <v>N/A</v>
      </c>
      <c r="AB852" s="58" t="str" cm="1">
        <f t="array" ref="AB852">_xlfn._xlws.FILTER(Teams[teamID], Fixtures[[#This Row],[oppTeam]] = Teams[name], "N/A")</f>
        <v>N/A</v>
      </c>
      <c r="AC852" s="58" t="str" cm="1">
        <f t="array" ref="AC852">_xlfn._xlws.FILTER(Teams[teamType], Fixtures[[#This Row],[oppTeam]] = Teams[name], "N/A")</f>
        <v>N/A</v>
      </c>
      <c r="AD852" s="58" t="str">
        <f>IF(ISBLANK(Fixtures[[#This Row],[date]]), "N/A", IF(Fixtures[[#This Row],[userSide]]="H", Fixtures[[#This Row],[homeScore]], Fixtures[[#This Row],[awayScore]]))</f>
        <v>N/A</v>
      </c>
      <c r="AE852" s="58" t="str">
        <f>IF(ISBLANK(Fixtures[[#This Row],[date]]), "N/A", IF(Fixtures[[#This Row],[userScore]] = Fixtures[[#This Row],[homeScore]], Fixtures[[#This Row],[awayScore]], Fixtures[[#This Row],[homeScore]]))</f>
        <v>N/A</v>
      </c>
      <c r="AF852" s="58" t="b">
        <f>NOT(AND(ISBLANK(Fixtures[[#This Row],[homePens]]), ISBLANK(Fixtures[[#This Row],[awayPens]])))</f>
        <v>0</v>
      </c>
      <c r="AG852" s="58" t="str">
        <f>IF(Fixtures[[#This Row],[penalties]], IF(Fixtures[[#This Row],[userSide]]="H", Fixtures[[#This Row],[homePens]], Fixtures[[#This Row],[awayPens]]), "N/A")</f>
        <v>N/A</v>
      </c>
      <c r="AH852" s="58" t="str">
        <f>IF(Fixtures[[#This Row],[penalties]], IF(Fixtures[[#This Row],[userPens]]=Fixtures[[#This Row],[homePens]],Fixtures[[#This Row],[awayPens]],Fixtures[[#This Row],[homePens]]), "N/A")</f>
        <v>N/A</v>
      </c>
      <c r="AI852" s="58" t="b">
        <f>COUNTBLANK(Fixtures[[#This Row],[G]:[MOTM]]) = 0</f>
        <v>0</v>
      </c>
      <c r="AJ852" s="58" t="str">
        <f>IF(Fixtures[[#This Row],[APP]], Fixtures[[#This Row],[G]]+Fixtures[[#This Row],[A]], "N/A")</f>
        <v>N/A</v>
      </c>
      <c r="AK8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3" spans="1:39" ht="13">
      <c r="A853" s="55"/>
      <c r="B853" s="61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7"/>
      <c r="R853" s="56"/>
      <c r="S853" s="58" t="str" cm="1">
        <f t="array" ref="S853">_xlfn._xlws.FILTER(Competitions[compType], (Fixtures[[#This Row],[competition]] = Competitions[name]), "N/A")</f>
        <v>N/A</v>
      </c>
      <c r="T853" s="58" t="str" cm="1">
        <f t="array" ref="T853">_xlfn._xlws.FILTER(Competitions[exhibition], (Fixtures[[#This Row],[competition]] = Competitions[name]), "N/A")</f>
        <v>N/A</v>
      </c>
      <c r="U853" s="58" t="str" cm="1">
        <f t="array" ref="U853">_xlfn._xlws.FILTER(Competitions[compID], (Fixtures[[#This Row],[competition]] = Competitions[name]), "N/A")</f>
        <v>N/A</v>
      </c>
      <c r="V8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3" s="58" t="str" cm="1">
        <f t="array" ref="W8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3" s="58" t="str" cm="1">
        <f t="array" ref="X853">_xlfn._xlws.FILTER(Teams[name], (Fixtures[[#This Row],[userTeamID]] = Teams[teamID]), "N/A")</f>
        <v>N/A</v>
      </c>
      <c r="Y853" s="58" t="str" cm="1">
        <f t="array" ref="Y853">_xlfn._xlws.FILTER(Teams[teamType], (Fixtures[[#This Row],[userTeamID]] = Teams[teamID]), "N/A")</f>
        <v>N/A</v>
      </c>
      <c r="Z853" s="58" t="str" cm="1">
        <f t="array" ref="Z8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3" s="58" t="str">
        <f>IF(Fixtures[[#This Row],[userSide]] = "N/A", "N/A", IF(Fixtures[[#This Row],[userSide]] = "H", Fixtures[[#This Row],[awayTeam]], Fixtures[[#This Row],[homeTeam]]))</f>
        <v>N/A</v>
      </c>
      <c r="AB853" s="58" t="str" cm="1">
        <f t="array" ref="AB853">_xlfn._xlws.FILTER(Teams[teamID], Fixtures[[#This Row],[oppTeam]] = Teams[name], "N/A")</f>
        <v>N/A</v>
      </c>
      <c r="AC853" s="58" t="str" cm="1">
        <f t="array" ref="AC853">_xlfn._xlws.FILTER(Teams[teamType], Fixtures[[#This Row],[oppTeam]] = Teams[name], "N/A")</f>
        <v>N/A</v>
      </c>
      <c r="AD853" s="58" t="str">
        <f>IF(ISBLANK(Fixtures[[#This Row],[date]]), "N/A", IF(Fixtures[[#This Row],[userSide]]="H", Fixtures[[#This Row],[homeScore]], Fixtures[[#This Row],[awayScore]]))</f>
        <v>N/A</v>
      </c>
      <c r="AE853" s="58" t="str">
        <f>IF(ISBLANK(Fixtures[[#This Row],[date]]), "N/A", IF(Fixtures[[#This Row],[userScore]] = Fixtures[[#This Row],[homeScore]], Fixtures[[#This Row],[awayScore]], Fixtures[[#This Row],[homeScore]]))</f>
        <v>N/A</v>
      </c>
      <c r="AF853" s="58" t="b">
        <f>NOT(AND(ISBLANK(Fixtures[[#This Row],[homePens]]), ISBLANK(Fixtures[[#This Row],[awayPens]])))</f>
        <v>0</v>
      </c>
      <c r="AG853" s="58" t="str">
        <f>IF(Fixtures[[#This Row],[penalties]], IF(Fixtures[[#This Row],[userSide]]="H", Fixtures[[#This Row],[homePens]], Fixtures[[#This Row],[awayPens]]), "N/A")</f>
        <v>N/A</v>
      </c>
      <c r="AH853" s="58" t="str">
        <f>IF(Fixtures[[#This Row],[penalties]], IF(Fixtures[[#This Row],[userPens]]=Fixtures[[#This Row],[homePens]],Fixtures[[#This Row],[awayPens]],Fixtures[[#This Row],[homePens]]), "N/A")</f>
        <v>N/A</v>
      </c>
      <c r="AI853" s="58" t="b">
        <f>COUNTBLANK(Fixtures[[#This Row],[G]:[MOTM]]) = 0</f>
        <v>0</v>
      </c>
      <c r="AJ853" s="58" t="str">
        <f>IF(Fixtures[[#This Row],[APP]], Fixtures[[#This Row],[G]]+Fixtures[[#This Row],[A]], "N/A")</f>
        <v>N/A</v>
      </c>
      <c r="AK8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4" spans="1:39" ht="13">
      <c r="A854" s="55"/>
      <c r="B854" s="61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7"/>
      <c r="R854" s="56"/>
      <c r="S854" s="58" t="str" cm="1">
        <f t="array" ref="S854">_xlfn._xlws.FILTER(Competitions[compType], (Fixtures[[#This Row],[competition]] = Competitions[name]), "N/A")</f>
        <v>N/A</v>
      </c>
      <c r="T854" s="58" t="str" cm="1">
        <f t="array" ref="T854">_xlfn._xlws.FILTER(Competitions[exhibition], (Fixtures[[#This Row],[competition]] = Competitions[name]), "N/A")</f>
        <v>N/A</v>
      </c>
      <c r="U854" s="58" t="str" cm="1">
        <f t="array" ref="U854">_xlfn._xlws.FILTER(Competitions[compID], (Fixtures[[#This Row],[competition]] = Competitions[name]), "N/A")</f>
        <v>N/A</v>
      </c>
      <c r="V8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4" s="58" t="str" cm="1">
        <f t="array" ref="W8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4" s="58" t="str" cm="1">
        <f t="array" ref="X854">_xlfn._xlws.FILTER(Teams[name], (Fixtures[[#This Row],[userTeamID]] = Teams[teamID]), "N/A")</f>
        <v>N/A</v>
      </c>
      <c r="Y854" s="58" t="str" cm="1">
        <f t="array" ref="Y854">_xlfn._xlws.FILTER(Teams[teamType], (Fixtures[[#This Row],[userTeamID]] = Teams[teamID]), "N/A")</f>
        <v>N/A</v>
      </c>
      <c r="Z854" s="58" t="str" cm="1">
        <f t="array" ref="Z8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4" s="58" t="str">
        <f>IF(Fixtures[[#This Row],[userSide]] = "N/A", "N/A", IF(Fixtures[[#This Row],[userSide]] = "H", Fixtures[[#This Row],[awayTeam]], Fixtures[[#This Row],[homeTeam]]))</f>
        <v>N/A</v>
      </c>
      <c r="AB854" s="58" t="str" cm="1">
        <f t="array" ref="AB854">_xlfn._xlws.FILTER(Teams[teamID], Fixtures[[#This Row],[oppTeam]] = Teams[name], "N/A")</f>
        <v>N/A</v>
      </c>
      <c r="AC854" s="58" t="str" cm="1">
        <f t="array" ref="AC854">_xlfn._xlws.FILTER(Teams[teamType], Fixtures[[#This Row],[oppTeam]] = Teams[name], "N/A")</f>
        <v>N/A</v>
      </c>
      <c r="AD854" s="58" t="str">
        <f>IF(ISBLANK(Fixtures[[#This Row],[date]]), "N/A", IF(Fixtures[[#This Row],[userSide]]="H", Fixtures[[#This Row],[homeScore]], Fixtures[[#This Row],[awayScore]]))</f>
        <v>N/A</v>
      </c>
      <c r="AE854" s="58" t="str">
        <f>IF(ISBLANK(Fixtures[[#This Row],[date]]), "N/A", IF(Fixtures[[#This Row],[userScore]] = Fixtures[[#This Row],[homeScore]], Fixtures[[#This Row],[awayScore]], Fixtures[[#This Row],[homeScore]]))</f>
        <v>N/A</v>
      </c>
      <c r="AF854" s="58" t="b">
        <f>NOT(AND(ISBLANK(Fixtures[[#This Row],[homePens]]), ISBLANK(Fixtures[[#This Row],[awayPens]])))</f>
        <v>0</v>
      </c>
      <c r="AG854" s="58" t="str">
        <f>IF(Fixtures[[#This Row],[penalties]], IF(Fixtures[[#This Row],[userSide]]="H", Fixtures[[#This Row],[homePens]], Fixtures[[#This Row],[awayPens]]), "N/A")</f>
        <v>N/A</v>
      </c>
      <c r="AH854" s="58" t="str">
        <f>IF(Fixtures[[#This Row],[penalties]], IF(Fixtures[[#This Row],[userPens]]=Fixtures[[#This Row],[homePens]],Fixtures[[#This Row],[awayPens]],Fixtures[[#This Row],[homePens]]), "N/A")</f>
        <v>N/A</v>
      </c>
      <c r="AI854" s="58" t="b">
        <f>COUNTBLANK(Fixtures[[#This Row],[G]:[MOTM]]) = 0</f>
        <v>0</v>
      </c>
      <c r="AJ854" s="58" t="str">
        <f>IF(Fixtures[[#This Row],[APP]], Fixtures[[#This Row],[G]]+Fixtures[[#This Row],[A]], "N/A")</f>
        <v>N/A</v>
      </c>
      <c r="AK8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5" spans="1:39" ht="13">
      <c r="A855" s="55"/>
      <c r="B855" s="61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7"/>
      <c r="R855" s="56"/>
      <c r="S855" s="58" t="str" cm="1">
        <f t="array" ref="S855">_xlfn._xlws.FILTER(Competitions[compType], (Fixtures[[#This Row],[competition]] = Competitions[name]), "N/A")</f>
        <v>N/A</v>
      </c>
      <c r="T855" s="58" t="str" cm="1">
        <f t="array" ref="T855">_xlfn._xlws.FILTER(Competitions[exhibition], (Fixtures[[#This Row],[competition]] = Competitions[name]), "N/A")</f>
        <v>N/A</v>
      </c>
      <c r="U855" s="58" t="str" cm="1">
        <f t="array" ref="U855">_xlfn._xlws.FILTER(Competitions[compID], (Fixtures[[#This Row],[competition]] = Competitions[name]), "N/A")</f>
        <v>N/A</v>
      </c>
      <c r="V8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5" s="58" t="str" cm="1">
        <f t="array" ref="W8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5" s="58" t="str" cm="1">
        <f t="array" ref="X855">_xlfn._xlws.FILTER(Teams[name], (Fixtures[[#This Row],[userTeamID]] = Teams[teamID]), "N/A")</f>
        <v>N/A</v>
      </c>
      <c r="Y855" s="58" t="str" cm="1">
        <f t="array" ref="Y855">_xlfn._xlws.FILTER(Teams[teamType], (Fixtures[[#This Row],[userTeamID]] = Teams[teamID]), "N/A")</f>
        <v>N/A</v>
      </c>
      <c r="Z855" s="58" t="str" cm="1">
        <f t="array" ref="Z8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5" s="58" t="str">
        <f>IF(Fixtures[[#This Row],[userSide]] = "N/A", "N/A", IF(Fixtures[[#This Row],[userSide]] = "H", Fixtures[[#This Row],[awayTeam]], Fixtures[[#This Row],[homeTeam]]))</f>
        <v>N/A</v>
      </c>
      <c r="AB855" s="58" t="str" cm="1">
        <f t="array" ref="AB855">_xlfn._xlws.FILTER(Teams[teamID], Fixtures[[#This Row],[oppTeam]] = Teams[name], "N/A")</f>
        <v>N/A</v>
      </c>
      <c r="AC855" s="58" t="str" cm="1">
        <f t="array" ref="AC855">_xlfn._xlws.FILTER(Teams[teamType], Fixtures[[#This Row],[oppTeam]] = Teams[name], "N/A")</f>
        <v>N/A</v>
      </c>
      <c r="AD855" s="58" t="str">
        <f>IF(ISBLANK(Fixtures[[#This Row],[date]]), "N/A", IF(Fixtures[[#This Row],[userSide]]="H", Fixtures[[#This Row],[homeScore]], Fixtures[[#This Row],[awayScore]]))</f>
        <v>N/A</v>
      </c>
      <c r="AE855" s="58" t="str">
        <f>IF(ISBLANK(Fixtures[[#This Row],[date]]), "N/A", IF(Fixtures[[#This Row],[userScore]] = Fixtures[[#This Row],[homeScore]], Fixtures[[#This Row],[awayScore]], Fixtures[[#This Row],[homeScore]]))</f>
        <v>N/A</v>
      </c>
      <c r="AF855" s="58" t="b">
        <f>NOT(AND(ISBLANK(Fixtures[[#This Row],[homePens]]), ISBLANK(Fixtures[[#This Row],[awayPens]])))</f>
        <v>0</v>
      </c>
      <c r="AG855" s="58" t="str">
        <f>IF(Fixtures[[#This Row],[penalties]], IF(Fixtures[[#This Row],[userSide]]="H", Fixtures[[#This Row],[homePens]], Fixtures[[#This Row],[awayPens]]), "N/A")</f>
        <v>N/A</v>
      </c>
      <c r="AH855" s="58" t="str">
        <f>IF(Fixtures[[#This Row],[penalties]], IF(Fixtures[[#This Row],[userPens]]=Fixtures[[#This Row],[homePens]],Fixtures[[#This Row],[awayPens]],Fixtures[[#This Row],[homePens]]), "N/A")</f>
        <v>N/A</v>
      </c>
      <c r="AI855" s="58" t="b">
        <f>COUNTBLANK(Fixtures[[#This Row],[G]:[MOTM]]) = 0</f>
        <v>0</v>
      </c>
      <c r="AJ855" s="58" t="str">
        <f>IF(Fixtures[[#This Row],[APP]], Fixtures[[#This Row],[G]]+Fixtures[[#This Row],[A]], "N/A")</f>
        <v>N/A</v>
      </c>
      <c r="AK8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6" spans="1:39" ht="13">
      <c r="A856" s="55"/>
      <c r="B856" s="61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7"/>
      <c r="R856" s="56"/>
      <c r="S856" s="58" t="str" cm="1">
        <f t="array" ref="S856">_xlfn._xlws.FILTER(Competitions[compType], (Fixtures[[#This Row],[competition]] = Competitions[name]), "N/A")</f>
        <v>N/A</v>
      </c>
      <c r="T856" s="58" t="str" cm="1">
        <f t="array" ref="T856">_xlfn._xlws.FILTER(Competitions[exhibition], (Fixtures[[#This Row],[competition]] = Competitions[name]), "N/A")</f>
        <v>N/A</v>
      </c>
      <c r="U856" s="58" t="str" cm="1">
        <f t="array" ref="U856">_xlfn._xlws.FILTER(Competitions[compID], (Fixtures[[#This Row],[competition]] = Competitions[name]), "N/A")</f>
        <v>N/A</v>
      </c>
      <c r="V8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6" s="58" t="str" cm="1">
        <f t="array" ref="W8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6" s="58" t="str" cm="1">
        <f t="array" ref="X856">_xlfn._xlws.FILTER(Teams[name], (Fixtures[[#This Row],[userTeamID]] = Teams[teamID]), "N/A")</f>
        <v>N/A</v>
      </c>
      <c r="Y856" s="58" t="str" cm="1">
        <f t="array" ref="Y856">_xlfn._xlws.FILTER(Teams[teamType], (Fixtures[[#This Row],[userTeamID]] = Teams[teamID]), "N/A")</f>
        <v>N/A</v>
      </c>
      <c r="Z856" s="58" t="str" cm="1">
        <f t="array" ref="Z8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6" s="58" t="str">
        <f>IF(Fixtures[[#This Row],[userSide]] = "N/A", "N/A", IF(Fixtures[[#This Row],[userSide]] = "H", Fixtures[[#This Row],[awayTeam]], Fixtures[[#This Row],[homeTeam]]))</f>
        <v>N/A</v>
      </c>
      <c r="AB856" s="58" t="str" cm="1">
        <f t="array" ref="AB856">_xlfn._xlws.FILTER(Teams[teamID], Fixtures[[#This Row],[oppTeam]] = Teams[name], "N/A")</f>
        <v>N/A</v>
      </c>
      <c r="AC856" s="58" t="str" cm="1">
        <f t="array" ref="AC856">_xlfn._xlws.FILTER(Teams[teamType], Fixtures[[#This Row],[oppTeam]] = Teams[name], "N/A")</f>
        <v>N/A</v>
      </c>
      <c r="AD856" s="58" t="str">
        <f>IF(ISBLANK(Fixtures[[#This Row],[date]]), "N/A", IF(Fixtures[[#This Row],[userSide]]="H", Fixtures[[#This Row],[homeScore]], Fixtures[[#This Row],[awayScore]]))</f>
        <v>N/A</v>
      </c>
      <c r="AE856" s="58" t="str">
        <f>IF(ISBLANK(Fixtures[[#This Row],[date]]), "N/A", IF(Fixtures[[#This Row],[userScore]] = Fixtures[[#This Row],[homeScore]], Fixtures[[#This Row],[awayScore]], Fixtures[[#This Row],[homeScore]]))</f>
        <v>N/A</v>
      </c>
      <c r="AF856" s="58" t="b">
        <f>NOT(AND(ISBLANK(Fixtures[[#This Row],[homePens]]), ISBLANK(Fixtures[[#This Row],[awayPens]])))</f>
        <v>0</v>
      </c>
      <c r="AG856" s="58" t="str">
        <f>IF(Fixtures[[#This Row],[penalties]], IF(Fixtures[[#This Row],[userSide]]="H", Fixtures[[#This Row],[homePens]], Fixtures[[#This Row],[awayPens]]), "N/A")</f>
        <v>N/A</v>
      </c>
      <c r="AH856" s="58" t="str">
        <f>IF(Fixtures[[#This Row],[penalties]], IF(Fixtures[[#This Row],[userPens]]=Fixtures[[#This Row],[homePens]],Fixtures[[#This Row],[awayPens]],Fixtures[[#This Row],[homePens]]), "N/A")</f>
        <v>N/A</v>
      </c>
      <c r="AI856" s="58" t="b">
        <f>COUNTBLANK(Fixtures[[#This Row],[G]:[MOTM]]) = 0</f>
        <v>0</v>
      </c>
      <c r="AJ856" s="58" t="str">
        <f>IF(Fixtures[[#This Row],[APP]], Fixtures[[#This Row],[G]]+Fixtures[[#This Row],[A]], "N/A")</f>
        <v>N/A</v>
      </c>
      <c r="AK8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7" spans="1:39" ht="13">
      <c r="A857" s="55"/>
      <c r="B857" s="61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7"/>
      <c r="R857" s="56"/>
      <c r="S857" s="58" t="str" cm="1">
        <f t="array" ref="S857">_xlfn._xlws.FILTER(Competitions[compType], (Fixtures[[#This Row],[competition]] = Competitions[name]), "N/A")</f>
        <v>N/A</v>
      </c>
      <c r="T857" s="58" t="str" cm="1">
        <f t="array" ref="T857">_xlfn._xlws.FILTER(Competitions[exhibition], (Fixtures[[#This Row],[competition]] = Competitions[name]), "N/A")</f>
        <v>N/A</v>
      </c>
      <c r="U857" s="58" t="str" cm="1">
        <f t="array" ref="U857">_xlfn._xlws.FILTER(Competitions[compID], (Fixtures[[#This Row],[competition]] = Competitions[name]), "N/A")</f>
        <v>N/A</v>
      </c>
      <c r="V8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7" s="58" t="str" cm="1">
        <f t="array" ref="W8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7" s="58" t="str" cm="1">
        <f t="array" ref="X857">_xlfn._xlws.FILTER(Teams[name], (Fixtures[[#This Row],[userTeamID]] = Teams[teamID]), "N/A")</f>
        <v>N/A</v>
      </c>
      <c r="Y857" s="58" t="str" cm="1">
        <f t="array" ref="Y857">_xlfn._xlws.FILTER(Teams[teamType], (Fixtures[[#This Row],[userTeamID]] = Teams[teamID]), "N/A")</f>
        <v>N/A</v>
      </c>
      <c r="Z857" s="58" t="str" cm="1">
        <f t="array" ref="Z8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7" s="58" t="str">
        <f>IF(Fixtures[[#This Row],[userSide]] = "N/A", "N/A", IF(Fixtures[[#This Row],[userSide]] = "H", Fixtures[[#This Row],[awayTeam]], Fixtures[[#This Row],[homeTeam]]))</f>
        <v>N/A</v>
      </c>
      <c r="AB857" s="58" t="str" cm="1">
        <f t="array" ref="AB857">_xlfn._xlws.FILTER(Teams[teamID], Fixtures[[#This Row],[oppTeam]] = Teams[name], "N/A")</f>
        <v>N/A</v>
      </c>
      <c r="AC857" s="58" t="str" cm="1">
        <f t="array" ref="AC857">_xlfn._xlws.FILTER(Teams[teamType], Fixtures[[#This Row],[oppTeam]] = Teams[name], "N/A")</f>
        <v>N/A</v>
      </c>
      <c r="AD857" s="58" t="str">
        <f>IF(ISBLANK(Fixtures[[#This Row],[date]]), "N/A", IF(Fixtures[[#This Row],[userSide]]="H", Fixtures[[#This Row],[homeScore]], Fixtures[[#This Row],[awayScore]]))</f>
        <v>N/A</v>
      </c>
      <c r="AE857" s="58" t="str">
        <f>IF(ISBLANK(Fixtures[[#This Row],[date]]), "N/A", IF(Fixtures[[#This Row],[userScore]] = Fixtures[[#This Row],[homeScore]], Fixtures[[#This Row],[awayScore]], Fixtures[[#This Row],[homeScore]]))</f>
        <v>N/A</v>
      </c>
      <c r="AF857" s="58" t="b">
        <f>NOT(AND(ISBLANK(Fixtures[[#This Row],[homePens]]), ISBLANK(Fixtures[[#This Row],[awayPens]])))</f>
        <v>0</v>
      </c>
      <c r="AG857" s="58" t="str">
        <f>IF(Fixtures[[#This Row],[penalties]], IF(Fixtures[[#This Row],[userSide]]="H", Fixtures[[#This Row],[homePens]], Fixtures[[#This Row],[awayPens]]), "N/A")</f>
        <v>N/A</v>
      </c>
      <c r="AH857" s="58" t="str">
        <f>IF(Fixtures[[#This Row],[penalties]], IF(Fixtures[[#This Row],[userPens]]=Fixtures[[#This Row],[homePens]],Fixtures[[#This Row],[awayPens]],Fixtures[[#This Row],[homePens]]), "N/A")</f>
        <v>N/A</v>
      </c>
      <c r="AI857" s="58" t="b">
        <f>COUNTBLANK(Fixtures[[#This Row],[G]:[MOTM]]) = 0</f>
        <v>0</v>
      </c>
      <c r="AJ857" s="58" t="str">
        <f>IF(Fixtures[[#This Row],[APP]], Fixtures[[#This Row],[G]]+Fixtures[[#This Row],[A]], "N/A")</f>
        <v>N/A</v>
      </c>
      <c r="AK8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8" spans="1:39" ht="13">
      <c r="A858" s="55"/>
      <c r="B858" s="61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7"/>
      <c r="R858" s="56"/>
      <c r="S858" s="58" t="str" cm="1">
        <f t="array" ref="S858">_xlfn._xlws.FILTER(Competitions[compType], (Fixtures[[#This Row],[competition]] = Competitions[name]), "N/A")</f>
        <v>N/A</v>
      </c>
      <c r="T858" s="58" t="str" cm="1">
        <f t="array" ref="T858">_xlfn._xlws.FILTER(Competitions[exhibition], (Fixtures[[#This Row],[competition]] = Competitions[name]), "N/A")</f>
        <v>N/A</v>
      </c>
      <c r="U858" s="58" t="str" cm="1">
        <f t="array" ref="U858">_xlfn._xlws.FILTER(Competitions[compID], (Fixtures[[#This Row],[competition]] = Competitions[name]), "N/A")</f>
        <v>N/A</v>
      </c>
      <c r="V8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8" s="58" t="str" cm="1">
        <f t="array" ref="W8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8" s="58" t="str" cm="1">
        <f t="array" ref="X858">_xlfn._xlws.FILTER(Teams[name], (Fixtures[[#This Row],[userTeamID]] = Teams[teamID]), "N/A")</f>
        <v>N/A</v>
      </c>
      <c r="Y858" s="58" t="str" cm="1">
        <f t="array" ref="Y858">_xlfn._xlws.FILTER(Teams[teamType], (Fixtures[[#This Row],[userTeamID]] = Teams[teamID]), "N/A")</f>
        <v>N/A</v>
      </c>
      <c r="Z858" s="58" t="str" cm="1">
        <f t="array" ref="Z8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8" s="58" t="str">
        <f>IF(Fixtures[[#This Row],[userSide]] = "N/A", "N/A", IF(Fixtures[[#This Row],[userSide]] = "H", Fixtures[[#This Row],[awayTeam]], Fixtures[[#This Row],[homeTeam]]))</f>
        <v>N/A</v>
      </c>
      <c r="AB858" s="58" t="str" cm="1">
        <f t="array" ref="AB858">_xlfn._xlws.FILTER(Teams[teamID], Fixtures[[#This Row],[oppTeam]] = Teams[name], "N/A")</f>
        <v>N/A</v>
      </c>
      <c r="AC858" s="58" t="str" cm="1">
        <f t="array" ref="AC858">_xlfn._xlws.FILTER(Teams[teamType], Fixtures[[#This Row],[oppTeam]] = Teams[name], "N/A")</f>
        <v>N/A</v>
      </c>
      <c r="AD858" s="58" t="str">
        <f>IF(ISBLANK(Fixtures[[#This Row],[date]]), "N/A", IF(Fixtures[[#This Row],[userSide]]="H", Fixtures[[#This Row],[homeScore]], Fixtures[[#This Row],[awayScore]]))</f>
        <v>N/A</v>
      </c>
      <c r="AE858" s="58" t="str">
        <f>IF(ISBLANK(Fixtures[[#This Row],[date]]), "N/A", IF(Fixtures[[#This Row],[userScore]] = Fixtures[[#This Row],[homeScore]], Fixtures[[#This Row],[awayScore]], Fixtures[[#This Row],[homeScore]]))</f>
        <v>N/A</v>
      </c>
      <c r="AF858" s="58" t="b">
        <f>NOT(AND(ISBLANK(Fixtures[[#This Row],[homePens]]), ISBLANK(Fixtures[[#This Row],[awayPens]])))</f>
        <v>0</v>
      </c>
      <c r="AG858" s="58" t="str">
        <f>IF(Fixtures[[#This Row],[penalties]], IF(Fixtures[[#This Row],[userSide]]="H", Fixtures[[#This Row],[homePens]], Fixtures[[#This Row],[awayPens]]), "N/A")</f>
        <v>N/A</v>
      </c>
      <c r="AH858" s="58" t="str">
        <f>IF(Fixtures[[#This Row],[penalties]], IF(Fixtures[[#This Row],[userPens]]=Fixtures[[#This Row],[homePens]],Fixtures[[#This Row],[awayPens]],Fixtures[[#This Row],[homePens]]), "N/A")</f>
        <v>N/A</v>
      </c>
      <c r="AI858" s="58" t="b">
        <f>COUNTBLANK(Fixtures[[#This Row],[G]:[MOTM]]) = 0</f>
        <v>0</v>
      </c>
      <c r="AJ858" s="58" t="str">
        <f>IF(Fixtures[[#This Row],[APP]], Fixtures[[#This Row],[G]]+Fixtures[[#This Row],[A]], "N/A")</f>
        <v>N/A</v>
      </c>
      <c r="AK8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59" spans="1:39" ht="13">
      <c r="A859" s="55"/>
      <c r="B859" s="61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7"/>
      <c r="R859" s="56"/>
      <c r="S859" s="58" t="str" cm="1">
        <f t="array" ref="S859">_xlfn._xlws.FILTER(Competitions[compType], (Fixtures[[#This Row],[competition]] = Competitions[name]), "N/A")</f>
        <v>N/A</v>
      </c>
      <c r="T859" s="58" t="str" cm="1">
        <f t="array" ref="T859">_xlfn._xlws.FILTER(Competitions[exhibition], (Fixtures[[#This Row],[competition]] = Competitions[name]), "N/A")</f>
        <v>N/A</v>
      </c>
      <c r="U859" s="58" t="str" cm="1">
        <f t="array" ref="U859">_xlfn._xlws.FILTER(Competitions[compID], (Fixtures[[#This Row],[competition]] = Competitions[name]), "N/A")</f>
        <v>N/A</v>
      </c>
      <c r="V8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59" s="58" t="str" cm="1">
        <f t="array" ref="W8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59" s="58" t="str" cm="1">
        <f t="array" ref="X859">_xlfn._xlws.FILTER(Teams[name], (Fixtures[[#This Row],[userTeamID]] = Teams[teamID]), "N/A")</f>
        <v>N/A</v>
      </c>
      <c r="Y859" s="58" t="str" cm="1">
        <f t="array" ref="Y859">_xlfn._xlws.FILTER(Teams[teamType], (Fixtures[[#This Row],[userTeamID]] = Teams[teamID]), "N/A")</f>
        <v>N/A</v>
      </c>
      <c r="Z859" s="58" t="str" cm="1">
        <f t="array" ref="Z8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59" s="58" t="str">
        <f>IF(Fixtures[[#This Row],[userSide]] = "N/A", "N/A", IF(Fixtures[[#This Row],[userSide]] = "H", Fixtures[[#This Row],[awayTeam]], Fixtures[[#This Row],[homeTeam]]))</f>
        <v>N/A</v>
      </c>
      <c r="AB859" s="58" t="str" cm="1">
        <f t="array" ref="AB859">_xlfn._xlws.FILTER(Teams[teamID], Fixtures[[#This Row],[oppTeam]] = Teams[name], "N/A")</f>
        <v>N/A</v>
      </c>
      <c r="AC859" s="58" t="str" cm="1">
        <f t="array" ref="AC859">_xlfn._xlws.FILTER(Teams[teamType], Fixtures[[#This Row],[oppTeam]] = Teams[name], "N/A")</f>
        <v>N/A</v>
      </c>
      <c r="AD859" s="58" t="str">
        <f>IF(ISBLANK(Fixtures[[#This Row],[date]]), "N/A", IF(Fixtures[[#This Row],[userSide]]="H", Fixtures[[#This Row],[homeScore]], Fixtures[[#This Row],[awayScore]]))</f>
        <v>N/A</v>
      </c>
      <c r="AE859" s="58" t="str">
        <f>IF(ISBLANK(Fixtures[[#This Row],[date]]), "N/A", IF(Fixtures[[#This Row],[userScore]] = Fixtures[[#This Row],[homeScore]], Fixtures[[#This Row],[awayScore]], Fixtures[[#This Row],[homeScore]]))</f>
        <v>N/A</v>
      </c>
      <c r="AF859" s="58" t="b">
        <f>NOT(AND(ISBLANK(Fixtures[[#This Row],[homePens]]), ISBLANK(Fixtures[[#This Row],[awayPens]])))</f>
        <v>0</v>
      </c>
      <c r="AG859" s="58" t="str">
        <f>IF(Fixtures[[#This Row],[penalties]], IF(Fixtures[[#This Row],[userSide]]="H", Fixtures[[#This Row],[homePens]], Fixtures[[#This Row],[awayPens]]), "N/A")</f>
        <v>N/A</v>
      </c>
      <c r="AH859" s="58" t="str">
        <f>IF(Fixtures[[#This Row],[penalties]], IF(Fixtures[[#This Row],[userPens]]=Fixtures[[#This Row],[homePens]],Fixtures[[#This Row],[awayPens]],Fixtures[[#This Row],[homePens]]), "N/A")</f>
        <v>N/A</v>
      </c>
      <c r="AI859" s="58" t="b">
        <f>COUNTBLANK(Fixtures[[#This Row],[G]:[MOTM]]) = 0</f>
        <v>0</v>
      </c>
      <c r="AJ859" s="58" t="str">
        <f>IF(Fixtures[[#This Row],[APP]], Fixtures[[#This Row],[G]]+Fixtures[[#This Row],[A]], "N/A")</f>
        <v>N/A</v>
      </c>
      <c r="AK8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0" spans="1:39" ht="13">
      <c r="A860" s="55"/>
      <c r="B860" s="61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7"/>
      <c r="R860" s="56"/>
      <c r="S860" s="58" t="str" cm="1">
        <f t="array" ref="S860">_xlfn._xlws.FILTER(Competitions[compType], (Fixtures[[#This Row],[competition]] = Competitions[name]), "N/A")</f>
        <v>N/A</v>
      </c>
      <c r="T860" s="58" t="str" cm="1">
        <f t="array" ref="T860">_xlfn._xlws.FILTER(Competitions[exhibition], (Fixtures[[#This Row],[competition]] = Competitions[name]), "N/A")</f>
        <v>N/A</v>
      </c>
      <c r="U860" s="58" t="str" cm="1">
        <f t="array" ref="U860">_xlfn._xlws.FILTER(Competitions[compID], (Fixtures[[#This Row],[competition]] = Competitions[name]), "N/A")</f>
        <v>N/A</v>
      </c>
      <c r="V8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0" s="58" t="str" cm="1">
        <f t="array" ref="W8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0" s="58" t="str" cm="1">
        <f t="array" ref="X860">_xlfn._xlws.FILTER(Teams[name], (Fixtures[[#This Row],[userTeamID]] = Teams[teamID]), "N/A")</f>
        <v>N/A</v>
      </c>
      <c r="Y860" s="58" t="str" cm="1">
        <f t="array" ref="Y860">_xlfn._xlws.FILTER(Teams[teamType], (Fixtures[[#This Row],[userTeamID]] = Teams[teamID]), "N/A")</f>
        <v>N/A</v>
      </c>
      <c r="Z860" s="58" t="str" cm="1">
        <f t="array" ref="Z8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0" s="58" t="str">
        <f>IF(Fixtures[[#This Row],[userSide]] = "N/A", "N/A", IF(Fixtures[[#This Row],[userSide]] = "H", Fixtures[[#This Row],[awayTeam]], Fixtures[[#This Row],[homeTeam]]))</f>
        <v>N/A</v>
      </c>
      <c r="AB860" s="58" t="str" cm="1">
        <f t="array" ref="AB860">_xlfn._xlws.FILTER(Teams[teamID], Fixtures[[#This Row],[oppTeam]] = Teams[name], "N/A")</f>
        <v>N/A</v>
      </c>
      <c r="AC860" s="58" t="str" cm="1">
        <f t="array" ref="AC860">_xlfn._xlws.FILTER(Teams[teamType], Fixtures[[#This Row],[oppTeam]] = Teams[name], "N/A")</f>
        <v>N/A</v>
      </c>
      <c r="AD860" s="58" t="str">
        <f>IF(ISBLANK(Fixtures[[#This Row],[date]]), "N/A", IF(Fixtures[[#This Row],[userSide]]="H", Fixtures[[#This Row],[homeScore]], Fixtures[[#This Row],[awayScore]]))</f>
        <v>N/A</v>
      </c>
      <c r="AE860" s="58" t="str">
        <f>IF(ISBLANK(Fixtures[[#This Row],[date]]), "N/A", IF(Fixtures[[#This Row],[userScore]] = Fixtures[[#This Row],[homeScore]], Fixtures[[#This Row],[awayScore]], Fixtures[[#This Row],[homeScore]]))</f>
        <v>N/A</v>
      </c>
      <c r="AF860" s="58" t="b">
        <f>NOT(AND(ISBLANK(Fixtures[[#This Row],[homePens]]), ISBLANK(Fixtures[[#This Row],[awayPens]])))</f>
        <v>0</v>
      </c>
      <c r="AG860" s="58" t="str">
        <f>IF(Fixtures[[#This Row],[penalties]], IF(Fixtures[[#This Row],[userSide]]="H", Fixtures[[#This Row],[homePens]], Fixtures[[#This Row],[awayPens]]), "N/A")</f>
        <v>N/A</v>
      </c>
      <c r="AH860" s="58" t="str">
        <f>IF(Fixtures[[#This Row],[penalties]], IF(Fixtures[[#This Row],[userPens]]=Fixtures[[#This Row],[homePens]],Fixtures[[#This Row],[awayPens]],Fixtures[[#This Row],[homePens]]), "N/A")</f>
        <v>N/A</v>
      </c>
      <c r="AI860" s="58" t="b">
        <f>COUNTBLANK(Fixtures[[#This Row],[G]:[MOTM]]) = 0</f>
        <v>0</v>
      </c>
      <c r="AJ860" s="58" t="str">
        <f>IF(Fixtures[[#This Row],[APP]], Fixtures[[#This Row],[G]]+Fixtures[[#This Row],[A]], "N/A")</f>
        <v>N/A</v>
      </c>
      <c r="AK8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1" spans="1:39" ht="13">
      <c r="A861" s="55"/>
      <c r="B861" s="61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7"/>
      <c r="R861" s="56"/>
      <c r="S861" s="58" t="str" cm="1">
        <f t="array" ref="S861">_xlfn._xlws.FILTER(Competitions[compType], (Fixtures[[#This Row],[competition]] = Competitions[name]), "N/A")</f>
        <v>N/A</v>
      </c>
      <c r="T861" s="58" t="str" cm="1">
        <f t="array" ref="T861">_xlfn._xlws.FILTER(Competitions[exhibition], (Fixtures[[#This Row],[competition]] = Competitions[name]), "N/A")</f>
        <v>N/A</v>
      </c>
      <c r="U861" s="58" t="str" cm="1">
        <f t="array" ref="U861">_xlfn._xlws.FILTER(Competitions[compID], (Fixtures[[#This Row],[competition]] = Competitions[name]), "N/A")</f>
        <v>N/A</v>
      </c>
      <c r="V8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1" s="58" t="str" cm="1">
        <f t="array" ref="W8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1" s="58" t="str" cm="1">
        <f t="array" ref="X861">_xlfn._xlws.FILTER(Teams[name], (Fixtures[[#This Row],[userTeamID]] = Teams[teamID]), "N/A")</f>
        <v>N/A</v>
      </c>
      <c r="Y861" s="58" t="str" cm="1">
        <f t="array" ref="Y861">_xlfn._xlws.FILTER(Teams[teamType], (Fixtures[[#This Row],[userTeamID]] = Teams[teamID]), "N/A")</f>
        <v>N/A</v>
      </c>
      <c r="Z861" s="58" t="str" cm="1">
        <f t="array" ref="Z8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1" s="58" t="str">
        <f>IF(Fixtures[[#This Row],[userSide]] = "N/A", "N/A", IF(Fixtures[[#This Row],[userSide]] = "H", Fixtures[[#This Row],[awayTeam]], Fixtures[[#This Row],[homeTeam]]))</f>
        <v>N/A</v>
      </c>
      <c r="AB861" s="58" t="str" cm="1">
        <f t="array" ref="AB861">_xlfn._xlws.FILTER(Teams[teamID], Fixtures[[#This Row],[oppTeam]] = Teams[name], "N/A")</f>
        <v>N/A</v>
      </c>
      <c r="AC861" s="58" t="str" cm="1">
        <f t="array" ref="AC861">_xlfn._xlws.FILTER(Teams[teamType], Fixtures[[#This Row],[oppTeam]] = Teams[name], "N/A")</f>
        <v>N/A</v>
      </c>
      <c r="AD861" s="58" t="str">
        <f>IF(ISBLANK(Fixtures[[#This Row],[date]]), "N/A", IF(Fixtures[[#This Row],[userSide]]="H", Fixtures[[#This Row],[homeScore]], Fixtures[[#This Row],[awayScore]]))</f>
        <v>N/A</v>
      </c>
      <c r="AE861" s="58" t="str">
        <f>IF(ISBLANK(Fixtures[[#This Row],[date]]), "N/A", IF(Fixtures[[#This Row],[userScore]] = Fixtures[[#This Row],[homeScore]], Fixtures[[#This Row],[awayScore]], Fixtures[[#This Row],[homeScore]]))</f>
        <v>N/A</v>
      </c>
      <c r="AF861" s="58" t="b">
        <f>NOT(AND(ISBLANK(Fixtures[[#This Row],[homePens]]), ISBLANK(Fixtures[[#This Row],[awayPens]])))</f>
        <v>0</v>
      </c>
      <c r="AG861" s="58" t="str">
        <f>IF(Fixtures[[#This Row],[penalties]], IF(Fixtures[[#This Row],[userSide]]="H", Fixtures[[#This Row],[homePens]], Fixtures[[#This Row],[awayPens]]), "N/A")</f>
        <v>N/A</v>
      </c>
      <c r="AH861" s="58" t="str">
        <f>IF(Fixtures[[#This Row],[penalties]], IF(Fixtures[[#This Row],[userPens]]=Fixtures[[#This Row],[homePens]],Fixtures[[#This Row],[awayPens]],Fixtures[[#This Row],[homePens]]), "N/A")</f>
        <v>N/A</v>
      </c>
      <c r="AI861" s="58" t="b">
        <f>COUNTBLANK(Fixtures[[#This Row],[G]:[MOTM]]) = 0</f>
        <v>0</v>
      </c>
      <c r="AJ861" s="58" t="str">
        <f>IF(Fixtures[[#This Row],[APP]], Fixtures[[#This Row],[G]]+Fixtures[[#This Row],[A]], "N/A")</f>
        <v>N/A</v>
      </c>
      <c r="AK8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2" spans="1:39" ht="13">
      <c r="A862" s="55"/>
      <c r="B862" s="61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7"/>
      <c r="R862" s="56"/>
      <c r="S862" s="58" t="str" cm="1">
        <f t="array" ref="S862">_xlfn._xlws.FILTER(Competitions[compType], (Fixtures[[#This Row],[competition]] = Competitions[name]), "N/A")</f>
        <v>N/A</v>
      </c>
      <c r="T862" s="58" t="str" cm="1">
        <f t="array" ref="T862">_xlfn._xlws.FILTER(Competitions[exhibition], (Fixtures[[#This Row],[competition]] = Competitions[name]), "N/A")</f>
        <v>N/A</v>
      </c>
      <c r="U862" s="58" t="str" cm="1">
        <f t="array" ref="U862">_xlfn._xlws.FILTER(Competitions[compID], (Fixtures[[#This Row],[competition]] = Competitions[name]), "N/A")</f>
        <v>N/A</v>
      </c>
      <c r="V8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2" s="58" t="str" cm="1">
        <f t="array" ref="W8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2" s="58" t="str" cm="1">
        <f t="array" ref="X862">_xlfn._xlws.FILTER(Teams[name], (Fixtures[[#This Row],[userTeamID]] = Teams[teamID]), "N/A")</f>
        <v>N/A</v>
      </c>
      <c r="Y862" s="58" t="str" cm="1">
        <f t="array" ref="Y862">_xlfn._xlws.FILTER(Teams[teamType], (Fixtures[[#This Row],[userTeamID]] = Teams[teamID]), "N/A")</f>
        <v>N/A</v>
      </c>
      <c r="Z862" s="58" t="str" cm="1">
        <f t="array" ref="Z8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2" s="58" t="str">
        <f>IF(Fixtures[[#This Row],[userSide]] = "N/A", "N/A", IF(Fixtures[[#This Row],[userSide]] = "H", Fixtures[[#This Row],[awayTeam]], Fixtures[[#This Row],[homeTeam]]))</f>
        <v>N/A</v>
      </c>
      <c r="AB862" s="58" t="str" cm="1">
        <f t="array" ref="AB862">_xlfn._xlws.FILTER(Teams[teamID], Fixtures[[#This Row],[oppTeam]] = Teams[name], "N/A")</f>
        <v>N/A</v>
      </c>
      <c r="AC862" s="58" t="str" cm="1">
        <f t="array" ref="AC862">_xlfn._xlws.FILTER(Teams[teamType], Fixtures[[#This Row],[oppTeam]] = Teams[name], "N/A")</f>
        <v>N/A</v>
      </c>
      <c r="AD862" s="58" t="str">
        <f>IF(ISBLANK(Fixtures[[#This Row],[date]]), "N/A", IF(Fixtures[[#This Row],[userSide]]="H", Fixtures[[#This Row],[homeScore]], Fixtures[[#This Row],[awayScore]]))</f>
        <v>N/A</v>
      </c>
      <c r="AE862" s="58" t="str">
        <f>IF(ISBLANK(Fixtures[[#This Row],[date]]), "N/A", IF(Fixtures[[#This Row],[userScore]] = Fixtures[[#This Row],[homeScore]], Fixtures[[#This Row],[awayScore]], Fixtures[[#This Row],[homeScore]]))</f>
        <v>N/A</v>
      </c>
      <c r="AF862" s="58" t="b">
        <f>NOT(AND(ISBLANK(Fixtures[[#This Row],[homePens]]), ISBLANK(Fixtures[[#This Row],[awayPens]])))</f>
        <v>0</v>
      </c>
      <c r="AG862" s="58" t="str">
        <f>IF(Fixtures[[#This Row],[penalties]], IF(Fixtures[[#This Row],[userSide]]="H", Fixtures[[#This Row],[homePens]], Fixtures[[#This Row],[awayPens]]), "N/A")</f>
        <v>N/A</v>
      </c>
      <c r="AH862" s="58" t="str">
        <f>IF(Fixtures[[#This Row],[penalties]], IF(Fixtures[[#This Row],[userPens]]=Fixtures[[#This Row],[homePens]],Fixtures[[#This Row],[awayPens]],Fixtures[[#This Row],[homePens]]), "N/A")</f>
        <v>N/A</v>
      </c>
      <c r="AI862" s="58" t="b">
        <f>COUNTBLANK(Fixtures[[#This Row],[G]:[MOTM]]) = 0</f>
        <v>0</v>
      </c>
      <c r="AJ862" s="58" t="str">
        <f>IF(Fixtures[[#This Row],[APP]], Fixtures[[#This Row],[G]]+Fixtures[[#This Row],[A]], "N/A")</f>
        <v>N/A</v>
      </c>
      <c r="AK8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3" spans="1:39" ht="13">
      <c r="A863" s="55"/>
      <c r="B863" s="61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7"/>
      <c r="R863" s="56"/>
      <c r="S863" s="58" t="str" cm="1">
        <f t="array" ref="S863">_xlfn._xlws.FILTER(Competitions[compType], (Fixtures[[#This Row],[competition]] = Competitions[name]), "N/A")</f>
        <v>N/A</v>
      </c>
      <c r="T863" s="58" t="str" cm="1">
        <f t="array" ref="T863">_xlfn._xlws.FILTER(Competitions[exhibition], (Fixtures[[#This Row],[competition]] = Competitions[name]), "N/A")</f>
        <v>N/A</v>
      </c>
      <c r="U863" s="58" t="str" cm="1">
        <f t="array" ref="U863">_xlfn._xlws.FILTER(Competitions[compID], (Fixtures[[#This Row],[competition]] = Competitions[name]), "N/A")</f>
        <v>N/A</v>
      </c>
      <c r="V8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3" s="58" t="str" cm="1">
        <f t="array" ref="W8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3" s="58" t="str" cm="1">
        <f t="array" ref="X863">_xlfn._xlws.FILTER(Teams[name], (Fixtures[[#This Row],[userTeamID]] = Teams[teamID]), "N/A")</f>
        <v>N/A</v>
      </c>
      <c r="Y863" s="58" t="str" cm="1">
        <f t="array" ref="Y863">_xlfn._xlws.FILTER(Teams[teamType], (Fixtures[[#This Row],[userTeamID]] = Teams[teamID]), "N/A")</f>
        <v>N/A</v>
      </c>
      <c r="Z863" s="58" t="str" cm="1">
        <f t="array" ref="Z8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3" s="58" t="str">
        <f>IF(Fixtures[[#This Row],[userSide]] = "N/A", "N/A", IF(Fixtures[[#This Row],[userSide]] = "H", Fixtures[[#This Row],[awayTeam]], Fixtures[[#This Row],[homeTeam]]))</f>
        <v>N/A</v>
      </c>
      <c r="AB863" s="58" t="str" cm="1">
        <f t="array" ref="AB863">_xlfn._xlws.FILTER(Teams[teamID], Fixtures[[#This Row],[oppTeam]] = Teams[name], "N/A")</f>
        <v>N/A</v>
      </c>
      <c r="AC863" s="58" t="str" cm="1">
        <f t="array" ref="AC863">_xlfn._xlws.FILTER(Teams[teamType], Fixtures[[#This Row],[oppTeam]] = Teams[name], "N/A")</f>
        <v>N/A</v>
      </c>
      <c r="AD863" s="58" t="str">
        <f>IF(ISBLANK(Fixtures[[#This Row],[date]]), "N/A", IF(Fixtures[[#This Row],[userSide]]="H", Fixtures[[#This Row],[homeScore]], Fixtures[[#This Row],[awayScore]]))</f>
        <v>N/A</v>
      </c>
      <c r="AE863" s="58" t="str">
        <f>IF(ISBLANK(Fixtures[[#This Row],[date]]), "N/A", IF(Fixtures[[#This Row],[userScore]] = Fixtures[[#This Row],[homeScore]], Fixtures[[#This Row],[awayScore]], Fixtures[[#This Row],[homeScore]]))</f>
        <v>N/A</v>
      </c>
      <c r="AF863" s="58" t="b">
        <f>NOT(AND(ISBLANK(Fixtures[[#This Row],[homePens]]), ISBLANK(Fixtures[[#This Row],[awayPens]])))</f>
        <v>0</v>
      </c>
      <c r="AG863" s="58" t="str">
        <f>IF(Fixtures[[#This Row],[penalties]], IF(Fixtures[[#This Row],[userSide]]="H", Fixtures[[#This Row],[homePens]], Fixtures[[#This Row],[awayPens]]), "N/A")</f>
        <v>N/A</v>
      </c>
      <c r="AH863" s="58" t="str">
        <f>IF(Fixtures[[#This Row],[penalties]], IF(Fixtures[[#This Row],[userPens]]=Fixtures[[#This Row],[homePens]],Fixtures[[#This Row],[awayPens]],Fixtures[[#This Row],[homePens]]), "N/A")</f>
        <v>N/A</v>
      </c>
      <c r="AI863" s="58" t="b">
        <f>COUNTBLANK(Fixtures[[#This Row],[G]:[MOTM]]) = 0</f>
        <v>0</v>
      </c>
      <c r="AJ863" s="58" t="str">
        <f>IF(Fixtures[[#This Row],[APP]], Fixtures[[#This Row],[G]]+Fixtures[[#This Row],[A]], "N/A")</f>
        <v>N/A</v>
      </c>
      <c r="AK8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4" spans="1:39" ht="13">
      <c r="A864" s="55"/>
      <c r="B864" s="61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7"/>
      <c r="R864" s="56"/>
      <c r="S864" s="58" t="str" cm="1">
        <f t="array" ref="S864">_xlfn._xlws.FILTER(Competitions[compType], (Fixtures[[#This Row],[competition]] = Competitions[name]), "N/A")</f>
        <v>N/A</v>
      </c>
      <c r="T864" s="58" t="str" cm="1">
        <f t="array" ref="T864">_xlfn._xlws.FILTER(Competitions[exhibition], (Fixtures[[#This Row],[competition]] = Competitions[name]), "N/A")</f>
        <v>N/A</v>
      </c>
      <c r="U864" s="58" t="str" cm="1">
        <f t="array" ref="U864">_xlfn._xlws.FILTER(Competitions[compID], (Fixtures[[#This Row],[competition]] = Competitions[name]), "N/A")</f>
        <v>N/A</v>
      </c>
      <c r="V8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4" s="58" t="str" cm="1">
        <f t="array" ref="W8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4" s="58" t="str" cm="1">
        <f t="array" ref="X864">_xlfn._xlws.FILTER(Teams[name], (Fixtures[[#This Row],[userTeamID]] = Teams[teamID]), "N/A")</f>
        <v>N/A</v>
      </c>
      <c r="Y864" s="58" t="str" cm="1">
        <f t="array" ref="Y864">_xlfn._xlws.FILTER(Teams[teamType], (Fixtures[[#This Row],[userTeamID]] = Teams[teamID]), "N/A")</f>
        <v>N/A</v>
      </c>
      <c r="Z864" s="58" t="str" cm="1">
        <f t="array" ref="Z8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4" s="58" t="str">
        <f>IF(Fixtures[[#This Row],[userSide]] = "N/A", "N/A", IF(Fixtures[[#This Row],[userSide]] = "H", Fixtures[[#This Row],[awayTeam]], Fixtures[[#This Row],[homeTeam]]))</f>
        <v>N/A</v>
      </c>
      <c r="AB864" s="58" t="str" cm="1">
        <f t="array" ref="AB864">_xlfn._xlws.FILTER(Teams[teamID], Fixtures[[#This Row],[oppTeam]] = Teams[name], "N/A")</f>
        <v>N/A</v>
      </c>
      <c r="AC864" s="58" t="str" cm="1">
        <f t="array" ref="AC864">_xlfn._xlws.FILTER(Teams[teamType], Fixtures[[#This Row],[oppTeam]] = Teams[name], "N/A")</f>
        <v>N/A</v>
      </c>
      <c r="AD864" s="58" t="str">
        <f>IF(ISBLANK(Fixtures[[#This Row],[date]]), "N/A", IF(Fixtures[[#This Row],[userSide]]="H", Fixtures[[#This Row],[homeScore]], Fixtures[[#This Row],[awayScore]]))</f>
        <v>N/A</v>
      </c>
      <c r="AE864" s="58" t="str">
        <f>IF(ISBLANK(Fixtures[[#This Row],[date]]), "N/A", IF(Fixtures[[#This Row],[userScore]] = Fixtures[[#This Row],[homeScore]], Fixtures[[#This Row],[awayScore]], Fixtures[[#This Row],[homeScore]]))</f>
        <v>N/A</v>
      </c>
      <c r="AF864" s="58" t="b">
        <f>NOT(AND(ISBLANK(Fixtures[[#This Row],[homePens]]), ISBLANK(Fixtures[[#This Row],[awayPens]])))</f>
        <v>0</v>
      </c>
      <c r="AG864" s="58" t="str">
        <f>IF(Fixtures[[#This Row],[penalties]], IF(Fixtures[[#This Row],[userSide]]="H", Fixtures[[#This Row],[homePens]], Fixtures[[#This Row],[awayPens]]), "N/A")</f>
        <v>N/A</v>
      </c>
      <c r="AH864" s="58" t="str">
        <f>IF(Fixtures[[#This Row],[penalties]], IF(Fixtures[[#This Row],[userPens]]=Fixtures[[#This Row],[homePens]],Fixtures[[#This Row],[awayPens]],Fixtures[[#This Row],[homePens]]), "N/A")</f>
        <v>N/A</v>
      </c>
      <c r="AI864" s="58" t="b">
        <f>COUNTBLANK(Fixtures[[#This Row],[G]:[MOTM]]) = 0</f>
        <v>0</v>
      </c>
      <c r="AJ864" s="58" t="str">
        <f>IF(Fixtures[[#This Row],[APP]], Fixtures[[#This Row],[G]]+Fixtures[[#This Row],[A]], "N/A")</f>
        <v>N/A</v>
      </c>
      <c r="AK8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5" spans="1:39" ht="13">
      <c r="A865" s="55"/>
      <c r="B865" s="61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7"/>
      <c r="R865" s="56"/>
      <c r="S865" s="58" t="str" cm="1">
        <f t="array" ref="S865">_xlfn._xlws.FILTER(Competitions[compType], (Fixtures[[#This Row],[competition]] = Competitions[name]), "N/A")</f>
        <v>N/A</v>
      </c>
      <c r="T865" s="58" t="str" cm="1">
        <f t="array" ref="T865">_xlfn._xlws.FILTER(Competitions[exhibition], (Fixtures[[#This Row],[competition]] = Competitions[name]), "N/A")</f>
        <v>N/A</v>
      </c>
      <c r="U865" s="58" t="str" cm="1">
        <f t="array" ref="U865">_xlfn._xlws.FILTER(Competitions[compID], (Fixtures[[#This Row],[competition]] = Competitions[name]), "N/A")</f>
        <v>N/A</v>
      </c>
      <c r="V8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5" s="58" t="str" cm="1">
        <f t="array" ref="W8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5" s="58" t="str" cm="1">
        <f t="array" ref="X865">_xlfn._xlws.FILTER(Teams[name], (Fixtures[[#This Row],[userTeamID]] = Teams[teamID]), "N/A")</f>
        <v>N/A</v>
      </c>
      <c r="Y865" s="58" t="str" cm="1">
        <f t="array" ref="Y865">_xlfn._xlws.FILTER(Teams[teamType], (Fixtures[[#This Row],[userTeamID]] = Teams[teamID]), "N/A")</f>
        <v>N/A</v>
      </c>
      <c r="Z865" s="58" t="str" cm="1">
        <f t="array" ref="Z8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5" s="58" t="str">
        <f>IF(Fixtures[[#This Row],[userSide]] = "N/A", "N/A", IF(Fixtures[[#This Row],[userSide]] = "H", Fixtures[[#This Row],[awayTeam]], Fixtures[[#This Row],[homeTeam]]))</f>
        <v>N/A</v>
      </c>
      <c r="AB865" s="58" t="str" cm="1">
        <f t="array" ref="AB865">_xlfn._xlws.FILTER(Teams[teamID], Fixtures[[#This Row],[oppTeam]] = Teams[name], "N/A")</f>
        <v>N/A</v>
      </c>
      <c r="AC865" s="58" t="str" cm="1">
        <f t="array" ref="AC865">_xlfn._xlws.FILTER(Teams[teamType], Fixtures[[#This Row],[oppTeam]] = Teams[name], "N/A")</f>
        <v>N/A</v>
      </c>
      <c r="AD865" s="58" t="str">
        <f>IF(ISBLANK(Fixtures[[#This Row],[date]]), "N/A", IF(Fixtures[[#This Row],[userSide]]="H", Fixtures[[#This Row],[homeScore]], Fixtures[[#This Row],[awayScore]]))</f>
        <v>N/A</v>
      </c>
      <c r="AE865" s="58" t="str">
        <f>IF(ISBLANK(Fixtures[[#This Row],[date]]), "N/A", IF(Fixtures[[#This Row],[userScore]] = Fixtures[[#This Row],[homeScore]], Fixtures[[#This Row],[awayScore]], Fixtures[[#This Row],[homeScore]]))</f>
        <v>N/A</v>
      </c>
      <c r="AF865" s="58" t="b">
        <f>NOT(AND(ISBLANK(Fixtures[[#This Row],[homePens]]), ISBLANK(Fixtures[[#This Row],[awayPens]])))</f>
        <v>0</v>
      </c>
      <c r="AG865" s="58" t="str">
        <f>IF(Fixtures[[#This Row],[penalties]], IF(Fixtures[[#This Row],[userSide]]="H", Fixtures[[#This Row],[homePens]], Fixtures[[#This Row],[awayPens]]), "N/A")</f>
        <v>N/A</v>
      </c>
      <c r="AH865" s="58" t="str">
        <f>IF(Fixtures[[#This Row],[penalties]], IF(Fixtures[[#This Row],[userPens]]=Fixtures[[#This Row],[homePens]],Fixtures[[#This Row],[awayPens]],Fixtures[[#This Row],[homePens]]), "N/A")</f>
        <v>N/A</v>
      </c>
      <c r="AI865" s="58" t="b">
        <f>COUNTBLANK(Fixtures[[#This Row],[G]:[MOTM]]) = 0</f>
        <v>0</v>
      </c>
      <c r="AJ865" s="58" t="str">
        <f>IF(Fixtures[[#This Row],[APP]], Fixtures[[#This Row],[G]]+Fixtures[[#This Row],[A]], "N/A")</f>
        <v>N/A</v>
      </c>
      <c r="AK8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6" spans="1:39" ht="13">
      <c r="A866" s="55"/>
      <c r="B866" s="61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7"/>
      <c r="R866" s="56"/>
      <c r="S866" s="58" t="str" cm="1">
        <f t="array" ref="S866">_xlfn._xlws.FILTER(Competitions[compType], (Fixtures[[#This Row],[competition]] = Competitions[name]), "N/A")</f>
        <v>N/A</v>
      </c>
      <c r="T866" s="58" t="str" cm="1">
        <f t="array" ref="T866">_xlfn._xlws.FILTER(Competitions[exhibition], (Fixtures[[#This Row],[competition]] = Competitions[name]), "N/A")</f>
        <v>N/A</v>
      </c>
      <c r="U866" s="58" t="str" cm="1">
        <f t="array" ref="U866">_xlfn._xlws.FILTER(Competitions[compID], (Fixtures[[#This Row],[competition]] = Competitions[name]), "N/A")</f>
        <v>N/A</v>
      </c>
      <c r="V8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6" s="58" t="str" cm="1">
        <f t="array" ref="W8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6" s="58" t="str" cm="1">
        <f t="array" ref="X866">_xlfn._xlws.FILTER(Teams[name], (Fixtures[[#This Row],[userTeamID]] = Teams[teamID]), "N/A")</f>
        <v>N/A</v>
      </c>
      <c r="Y866" s="58" t="str" cm="1">
        <f t="array" ref="Y866">_xlfn._xlws.FILTER(Teams[teamType], (Fixtures[[#This Row],[userTeamID]] = Teams[teamID]), "N/A")</f>
        <v>N/A</v>
      </c>
      <c r="Z866" s="58" t="str" cm="1">
        <f t="array" ref="Z8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6" s="58" t="str">
        <f>IF(Fixtures[[#This Row],[userSide]] = "N/A", "N/A", IF(Fixtures[[#This Row],[userSide]] = "H", Fixtures[[#This Row],[awayTeam]], Fixtures[[#This Row],[homeTeam]]))</f>
        <v>N/A</v>
      </c>
      <c r="AB866" s="58" t="str" cm="1">
        <f t="array" ref="AB866">_xlfn._xlws.FILTER(Teams[teamID], Fixtures[[#This Row],[oppTeam]] = Teams[name], "N/A")</f>
        <v>N/A</v>
      </c>
      <c r="AC866" s="58" t="str" cm="1">
        <f t="array" ref="AC866">_xlfn._xlws.FILTER(Teams[teamType], Fixtures[[#This Row],[oppTeam]] = Teams[name], "N/A")</f>
        <v>N/A</v>
      </c>
      <c r="AD866" s="58" t="str">
        <f>IF(ISBLANK(Fixtures[[#This Row],[date]]), "N/A", IF(Fixtures[[#This Row],[userSide]]="H", Fixtures[[#This Row],[homeScore]], Fixtures[[#This Row],[awayScore]]))</f>
        <v>N/A</v>
      </c>
      <c r="AE866" s="58" t="str">
        <f>IF(ISBLANK(Fixtures[[#This Row],[date]]), "N/A", IF(Fixtures[[#This Row],[userScore]] = Fixtures[[#This Row],[homeScore]], Fixtures[[#This Row],[awayScore]], Fixtures[[#This Row],[homeScore]]))</f>
        <v>N/A</v>
      </c>
      <c r="AF866" s="58" t="b">
        <f>NOT(AND(ISBLANK(Fixtures[[#This Row],[homePens]]), ISBLANK(Fixtures[[#This Row],[awayPens]])))</f>
        <v>0</v>
      </c>
      <c r="AG866" s="58" t="str">
        <f>IF(Fixtures[[#This Row],[penalties]], IF(Fixtures[[#This Row],[userSide]]="H", Fixtures[[#This Row],[homePens]], Fixtures[[#This Row],[awayPens]]), "N/A")</f>
        <v>N/A</v>
      </c>
      <c r="AH866" s="58" t="str">
        <f>IF(Fixtures[[#This Row],[penalties]], IF(Fixtures[[#This Row],[userPens]]=Fixtures[[#This Row],[homePens]],Fixtures[[#This Row],[awayPens]],Fixtures[[#This Row],[homePens]]), "N/A")</f>
        <v>N/A</v>
      </c>
      <c r="AI866" s="58" t="b">
        <f>COUNTBLANK(Fixtures[[#This Row],[G]:[MOTM]]) = 0</f>
        <v>0</v>
      </c>
      <c r="AJ866" s="58" t="str">
        <f>IF(Fixtures[[#This Row],[APP]], Fixtures[[#This Row],[G]]+Fixtures[[#This Row],[A]], "N/A")</f>
        <v>N/A</v>
      </c>
      <c r="AK8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7" spans="1:39" ht="13">
      <c r="A867" s="55"/>
      <c r="B867" s="61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7"/>
      <c r="R867" s="56"/>
      <c r="S867" s="58" t="str" cm="1">
        <f t="array" ref="S867">_xlfn._xlws.FILTER(Competitions[compType], (Fixtures[[#This Row],[competition]] = Competitions[name]), "N/A")</f>
        <v>N/A</v>
      </c>
      <c r="T867" s="58" t="str" cm="1">
        <f t="array" ref="T867">_xlfn._xlws.FILTER(Competitions[exhibition], (Fixtures[[#This Row],[competition]] = Competitions[name]), "N/A")</f>
        <v>N/A</v>
      </c>
      <c r="U867" s="58" t="str" cm="1">
        <f t="array" ref="U867">_xlfn._xlws.FILTER(Competitions[compID], (Fixtures[[#This Row],[competition]] = Competitions[name]), "N/A")</f>
        <v>N/A</v>
      </c>
      <c r="V8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7" s="58" t="str" cm="1">
        <f t="array" ref="W8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7" s="58" t="str" cm="1">
        <f t="array" ref="X867">_xlfn._xlws.FILTER(Teams[name], (Fixtures[[#This Row],[userTeamID]] = Teams[teamID]), "N/A")</f>
        <v>N/A</v>
      </c>
      <c r="Y867" s="58" t="str" cm="1">
        <f t="array" ref="Y867">_xlfn._xlws.FILTER(Teams[teamType], (Fixtures[[#This Row],[userTeamID]] = Teams[teamID]), "N/A")</f>
        <v>N/A</v>
      </c>
      <c r="Z867" s="58" t="str" cm="1">
        <f t="array" ref="Z8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7" s="58" t="str">
        <f>IF(Fixtures[[#This Row],[userSide]] = "N/A", "N/A", IF(Fixtures[[#This Row],[userSide]] = "H", Fixtures[[#This Row],[awayTeam]], Fixtures[[#This Row],[homeTeam]]))</f>
        <v>N/A</v>
      </c>
      <c r="AB867" s="58" t="str" cm="1">
        <f t="array" ref="AB867">_xlfn._xlws.FILTER(Teams[teamID], Fixtures[[#This Row],[oppTeam]] = Teams[name], "N/A")</f>
        <v>N/A</v>
      </c>
      <c r="AC867" s="58" t="str" cm="1">
        <f t="array" ref="AC867">_xlfn._xlws.FILTER(Teams[teamType], Fixtures[[#This Row],[oppTeam]] = Teams[name], "N/A")</f>
        <v>N/A</v>
      </c>
      <c r="AD867" s="58" t="str">
        <f>IF(ISBLANK(Fixtures[[#This Row],[date]]), "N/A", IF(Fixtures[[#This Row],[userSide]]="H", Fixtures[[#This Row],[homeScore]], Fixtures[[#This Row],[awayScore]]))</f>
        <v>N/A</v>
      </c>
      <c r="AE867" s="58" t="str">
        <f>IF(ISBLANK(Fixtures[[#This Row],[date]]), "N/A", IF(Fixtures[[#This Row],[userScore]] = Fixtures[[#This Row],[homeScore]], Fixtures[[#This Row],[awayScore]], Fixtures[[#This Row],[homeScore]]))</f>
        <v>N/A</v>
      </c>
      <c r="AF867" s="58" t="b">
        <f>NOT(AND(ISBLANK(Fixtures[[#This Row],[homePens]]), ISBLANK(Fixtures[[#This Row],[awayPens]])))</f>
        <v>0</v>
      </c>
      <c r="AG867" s="58" t="str">
        <f>IF(Fixtures[[#This Row],[penalties]], IF(Fixtures[[#This Row],[userSide]]="H", Fixtures[[#This Row],[homePens]], Fixtures[[#This Row],[awayPens]]), "N/A")</f>
        <v>N/A</v>
      </c>
      <c r="AH867" s="58" t="str">
        <f>IF(Fixtures[[#This Row],[penalties]], IF(Fixtures[[#This Row],[userPens]]=Fixtures[[#This Row],[homePens]],Fixtures[[#This Row],[awayPens]],Fixtures[[#This Row],[homePens]]), "N/A")</f>
        <v>N/A</v>
      </c>
      <c r="AI867" s="58" t="b">
        <f>COUNTBLANK(Fixtures[[#This Row],[G]:[MOTM]]) = 0</f>
        <v>0</v>
      </c>
      <c r="AJ867" s="58" t="str">
        <f>IF(Fixtures[[#This Row],[APP]], Fixtures[[#This Row],[G]]+Fixtures[[#This Row],[A]], "N/A")</f>
        <v>N/A</v>
      </c>
      <c r="AK8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8" spans="1:39" ht="13">
      <c r="A868" s="55"/>
      <c r="B868" s="61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7"/>
      <c r="R868" s="56"/>
      <c r="S868" s="58" t="str" cm="1">
        <f t="array" ref="S868">_xlfn._xlws.FILTER(Competitions[compType], (Fixtures[[#This Row],[competition]] = Competitions[name]), "N/A")</f>
        <v>N/A</v>
      </c>
      <c r="T868" s="58" t="str" cm="1">
        <f t="array" ref="T868">_xlfn._xlws.FILTER(Competitions[exhibition], (Fixtures[[#This Row],[competition]] = Competitions[name]), "N/A")</f>
        <v>N/A</v>
      </c>
      <c r="U868" s="58" t="str" cm="1">
        <f t="array" ref="U868">_xlfn._xlws.FILTER(Competitions[compID], (Fixtures[[#This Row],[competition]] = Competitions[name]), "N/A")</f>
        <v>N/A</v>
      </c>
      <c r="V8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8" s="58" t="str" cm="1">
        <f t="array" ref="W8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8" s="58" t="str" cm="1">
        <f t="array" ref="X868">_xlfn._xlws.FILTER(Teams[name], (Fixtures[[#This Row],[userTeamID]] = Teams[teamID]), "N/A")</f>
        <v>N/A</v>
      </c>
      <c r="Y868" s="58" t="str" cm="1">
        <f t="array" ref="Y868">_xlfn._xlws.FILTER(Teams[teamType], (Fixtures[[#This Row],[userTeamID]] = Teams[teamID]), "N/A")</f>
        <v>N/A</v>
      </c>
      <c r="Z868" s="58" t="str" cm="1">
        <f t="array" ref="Z8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8" s="58" t="str">
        <f>IF(Fixtures[[#This Row],[userSide]] = "N/A", "N/A", IF(Fixtures[[#This Row],[userSide]] = "H", Fixtures[[#This Row],[awayTeam]], Fixtures[[#This Row],[homeTeam]]))</f>
        <v>N/A</v>
      </c>
      <c r="AB868" s="58" t="str" cm="1">
        <f t="array" ref="AB868">_xlfn._xlws.FILTER(Teams[teamID], Fixtures[[#This Row],[oppTeam]] = Teams[name], "N/A")</f>
        <v>N/A</v>
      </c>
      <c r="AC868" s="58" t="str" cm="1">
        <f t="array" ref="AC868">_xlfn._xlws.FILTER(Teams[teamType], Fixtures[[#This Row],[oppTeam]] = Teams[name], "N/A")</f>
        <v>N/A</v>
      </c>
      <c r="AD868" s="58" t="str">
        <f>IF(ISBLANK(Fixtures[[#This Row],[date]]), "N/A", IF(Fixtures[[#This Row],[userSide]]="H", Fixtures[[#This Row],[homeScore]], Fixtures[[#This Row],[awayScore]]))</f>
        <v>N/A</v>
      </c>
      <c r="AE868" s="58" t="str">
        <f>IF(ISBLANK(Fixtures[[#This Row],[date]]), "N/A", IF(Fixtures[[#This Row],[userScore]] = Fixtures[[#This Row],[homeScore]], Fixtures[[#This Row],[awayScore]], Fixtures[[#This Row],[homeScore]]))</f>
        <v>N/A</v>
      </c>
      <c r="AF868" s="58" t="b">
        <f>NOT(AND(ISBLANK(Fixtures[[#This Row],[homePens]]), ISBLANK(Fixtures[[#This Row],[awayPens]])))</f>
        <v>0</v>
      </c>
      <c r="AG868" s="58" t="str">
        <f>IF(Fixtures[[#This Row],[penalties]], IF(Fixtures[[#This Row],[userSide]]="H", Fixtures[[#This Row],[homePens]], Fixtures[[#This Row],[awayPens]]), "N/A")</f>
        <v>N/A</v>
      </c>
      <c r="AH868" s="58" t="str">
        <f>IF(Fixtures[[#This Row],[penalties]], IF(Fixtures[[#This Row],[userPens]]=Fixtures[[#This Row],[homePens]],Fixtures[[#This Row],[awayPens]],Fixtures[[#This Row],[homePens]]), "N/A")</f>
        <v>N/A</v>
      </c>
      <c r="AI868" s="58" t="b">
        <f>COUNTBLANK(Fixtures[[#This Row],[G]:[MOTM]]) = 0</f>
        <v>0</v>
      </c>
      <c r="AJ868" s="58" t="str">
        <f>IF(Fixtures[[#This Row],[APP]], Fixtures[[#This Row],[G]]+Fixtures[[#This Row],[A]], "N/A")</f>
        <v>N/A</v>
      </c>
      <c r="AK8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69" spans="1:39" ht="13">
      <c r="A869" s="55"/>
      <c r="B869" s="61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7"/>
      <c r="R869" s="56"/>
      <c r="S869" s="58" t="str" cm="1">
        <f t="array" ref="S869">_xlfn._xlws.FILTER(Competitions[compType], (Fixtures[[#This Row],[competition]] = Competitions[name]), "N/A")</f>
        <v>N/A</v>
      </c>
      <c r="T869" s="58" t="str" cm="1">
        <f t="array" ref="T869">_xlfn._xlws.FILTER(Competitions[exhibition], (Fixtures[[#This Row],[competition]] = Competitions[name]), "N/A")</f>
        <v>N/A</v>
      </c>
      <c r="U869" s="58" t="str" cm="1">
        <f t="array" ref="U869">_xlfn._xlws.FILTER(Competitions[compID], (Fixtures[[#This Row],[competition]] = Competitions[name]), "N/A")</f>
        <v>N/A</v>
      </c>
      <c r="V8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69" s="58" t="str" cm="1">
        <f t="array" ref="W8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69" s="58" t="str" cm="1">
        <f t="array" ref="X869">_xlfn._xlws.FILTER(Teams[name], (Fixtures[[#This Row],[userTeamID]] = Teams[teamID]), "N/A")</f>
        <v>N/A</v>
      </c>
      <c r="Y869" s="58" t="str" cm="1">
        <f t="array" ref="Y869">_xlfn._xlws.FILTER(Teams[teamType], (Fixtures[[#This Row],[userTeamID]] = Teams[teamID]), "N/A")</f>
        <v>N/A</v>
      </c>
      <c r="Z869" s="58" t="str" cm="1">
        <f t="array" ref="Z8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69" s="58" t="str">
        <f>IF(Fixtures[[#This Row],[userSide]] = "N/A", "N/A", IF(Fixtures[[#This Row],[userSide]] = "H", Fixtures[[#This Row],[awayTeam]], Fixtures[[#This Row],[homeTeam]]))</f>
        <v>N/A</v>
      </c>
      <c r="AB869" s="58" t="str" cm="1">
        <f t="array" ref="AB869">_xlfn._xlws.FILTER(Teams[teamID], Fixtures[[#This Row],[oppTeam]] = Teams[name], "N/A")</f>
        <v>N/A</v>
      </c>
      <c r="AC869" s="58" t="str" cm="1">
        <f t="array" ref="AC869">_xlfn._xlws.FILTER(Teams[teamType], Fixtures[[#This Row],[oppTeam]] = Teams[name], "N/A")</f>
        <v>N/A</v>
      </c>
      <c r="AD869" s="58" t="str">
        <f>IF(ISBLANK(Fixtures[[#This Row],[date]]), "N/A", IF(Fixtures[[#This Row],[userSide]]="H", Fixtures[[#This Row],[homeScore]], Fixtures[[#This Row],[awayScore]]))</f>
        <v>N/A</v>
      </c>
      <c r="AE869" s="58" t="str">
        <f>IF(ISBLANK(Fixtures[[#This Row],[date]]), "N/A", IF(Fixtures[[#This Row],[userScore]] = Fixtures[[#This Row],[homeScore]], Fixtures[[#This Row],[awayScore]], Fixtures[[#This Row],[homeScore]]))</f>
        <v>N/A</v>
      </c>
      <c r="AF869" s="58" t="b">
        <f>NOT(AND(ISBLANK(Fixtures[[#This Row],[homePens]]), ISBLANK(Fixtures[[#This Row],[awayPens]])))</f>
        <v>0</v>
      </c>
      <c r="AG869" s="58" t="str">
        <f>IF(Fixtures[[#This Row],[penalties]], IF(Fixtures[[#This Row],[userSide]]="H", Fixtures[[#This Row],[homePens]], Fixtures[[#This Row],[awayPens]]), "N/A")</f>
        <v>N/A</v>
      </c>
      <c r="AH869" s="58" t="str">
        <f>IF(Fixtures[[#This Row],[penalties]], IF(Fixtures[[#This Row],[userPens]]=Fixtures[[#This Row],[homePens]],Fixtures[[#This Row],[awayPens]],Fixtures[[#This Row],[homePens]]), "N/A")</f>
        <v>N/A</v>
      </c>
      <c r="AI869" s="58" t="b">
        <f>COUNTBLANK(Fixtures[[#This Row],[G]:[MOTM]]) = 0</f>
        <v>0</v>
      </c>
      <c r="AJ869" s="58" t="str">
        <f>IF(Fixtures[[#This Row],[APP]], Fixtures[[#This Row],[G]]+Fixtures[[#This Row],[A]], "N/A")</f>
        <v>N/A</v>
      </c>
      <c r="AK8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0" spans="1:39" ht="13">
      <c r="A870" s="55"/>
      <c r="B870" s="61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7"/>
      <c r="R870" s="56"/>
      <c r="S870" s="58" t="str" cm="1">
        <f t="array" ref="S870">_xlfn._xlws.FILTER(Competitions[compType], (Fixtures[[#This Row],[competition]] = Competitions[name]), "N/A")</f>
        <v>N/A</v>
      </c>
      <c r="T870" s="58" t="str" cm="1">
        <f t="array" ref="T870">_xlfn._xlws.FILTER(Competitions[exhibition], (Fixtures[[#This Row],[competition]] = Competitions[name]), "N/A")</f>
        <v>N/A</v>
      </c>
      <c r="U870" s="58" t="str" cm="1">
        <f t="array" ref="U870">_xlfn._xlws.FILTER(Competitions[compID], (Fixtures[[#This Row],[competition]] = Competitions[name]), "N/A")</f>
        <v>N/A</v>
      </c>
      <c r="V8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0" s="58" t="str" cm="1">
        <f t="array" ref="W8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0" s="58" t="str" cm="1">
        <f t="array" ref="X870">_xlfn._xlws.FILTER(Teams[name], (Fixtures[[#This Row],[userTeamID]] = Teams[teamID]), "N/A")</f>
        <v>N/A</v>
      </c>
      <c r="Y870" s="58" t="str" cm="1">
        <f t="array" ref="Y870">_xlfn._xlws.FILTER(Teams[teamType], (Fixtures[[#This Row],[userTeamID]] = Teams[teamID]), "N/A")</f>
        <v>N/A</v>
      </c>
      <c r="Z870" s="58" t="str" cm="1">
        <f t="array" ref="Z8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0" s="58" t="str">
        <f>IF(Fixtures[[#This Row],[userSide]] = "N/A", "N/A", IF(Fixtures[[#This Row],[userSide]] = "H", Fixtures[[#This Row],[awayTeam]], Fixtures[[#This Row],[homeTeam]]))</f>
        <v>N/A</v>
      </c>
      <c r="AB870" s="58" t="str" cm="1">
        <f t="array" ref="AB870">_xlfn._xlws.FILTER(Teams[teamID], Fixtures[[#This Row],[oppTeam]] = Teams[name], "N/A")</f>
        <v>N/A</v>
      </c>
      <c r="AC870" s="58" t="str" cm="1">
        <f t="array" ref="AC870">_xlfn._xlws.FILTER(Teams[teamType], Fixtures[[#This Row],[oppTeam]] = Teams[name], "N/A")</f>
        <v>N/A</v>
      </c>
      <c r="AD870" s="58" t="str">
        <f>IF(ISBLANK(Fixtures[[#This Row],[date]]), "N/A", IF(Fixtures[[#This Row],[userSide]]="H", Fixtures[[#This Row],[homeScore]], Fixtures[[#This Row],[awayScore]]))</f>
        <v>N/A</v>
      </c>
      <c r="AE870" s="58" t="str">
        <f>IF(ISBLANK(Fixtures[[#This Row],[date]]), "N/A", IF(Fixtures[[#This Row],[userScore]] = Fixtures[[#This Row],[homeScore]], Fixtures[[#This Row],[awayScore]], Fixtures[[#This Row],[homeScore]]))</f>
        <v>N/A</v>
      </c>
      <c r="AF870" s="58" t="b">
        <f>NOT(AND(ISBLANK(Fixtures[[#This Row],[homePens]]), ISBLANK(Fixtures[[#This Row],[awayPens]])))</f>
        <v>0</v>
      </c>
      <c r="AG870" s="58" t="str">
        <f>IF(Fixtures[[#This Row],[penalties]], IF(Fixtures[[#This Row],[userSide]]="H", Fixtures[[#This Row],[homePens]], Fixtures[[#This Row],[awayPens]]), "N/A")</f>
        <v>N/A</v>
      </c>
      <c r="AH870" s="58" t="str">
        <f>IF(Fixtures[[#This Row],[penalties]], IF(Fixtures[[#This Row],[userPens]]=Fixtures[[#This Row],[homePens]],Fixtures[[#This Row],[awayPens]],Fixtures[[#This Row],[homePens]]), "N/A")</f>
        <v>N/A</v>
      </c>
      <c r="AI870" s="58" t="b">
        <f>COUNTBLANK(Fixtures[[#This Row],[G]:[MOTM]]) = 0</f>
        <v>0</v>
      </c>
      <c r="AJ870" s="58" t="str">
        <f>IF(Fixtures[[#This Row],[APP]], Fixtures[[#This Row],[G]]+Fixtures[[#This Row],[A]], "N/A")</f>
        <v>N/A</v>
      </c>
      <c r="AK8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1" spans="1:39" ht="13">
      <c r="A871" s="55"/>
      <c r="B871" s="61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7"/>
      <c r="R871" s="56"/>
      <c r="S871" s="58" t="str" cm="1">
        <f t="array" ref="S871">_xlfn._xlws.FILTER(Competitions[compType], (Fixtures[[#This Row],[competition]] = Competitions[name]), "N/A")</f>
        <v>N/A</v>
      </c>
      <c r="T871" s="58" t="str" cm="1">
        <f t="array" ref="T871">_xlfn._xlws.FILTER(Competitions[exhibition], (Fixtures[[#This Row],[competition]] = Competitions[name]), "N/A")</f>
        <v>N/A</v>
      </c>
      <c r="U871" s="58" t="str" cm="1">
        <f t="array" ref="U871">_xlfn._xlws.FILTER(Competitions[compID], (Fixtures[[#This Row],[competition]] = Competitions[name]), "N/A")</f>
        <v>N/A</v>
      </c>
      <c r="V8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1" s="58" t="str" cm="1">
        <f t="array" ref="W8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1" s="58" t="str" cm="1">
        <f t="array" ref="X871">_xlfn._xlws.FILTER(Teams[name], (Fixtures[[#This Row],[userTeamID]] = Teams[teamID]), "N/A")</f>
        <v>N/A</v>
      </c>
      <c r="Y871" s="58" t="str" cm="1">
        <f t="array" ref="Y871">_xlfn._xlws.FILTER(Teams[teamType], (Fixtures[[#This Row],[userTeamID]] = Teams[teamID]), "N/A")</f>
        <v>N/A</v>
      </c>
      <c r="Z871" s="58" t="str" cm="1">
        <f t="array" ref="Z8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1" s="58" t="str">
        <f>IF(Fixtures[[#This Row],[userSide]] = "N/A", "N/A", IF(Fixtures[[#This Row],[userSide]] = "H", Fixtures[[#This Row],[awayTeam]], Fixtures[[#This Row],[homeTeam]]))</f>
        <v>N/A</v>
      </c>
      <c r="AB871" s="58" t="str" cm="1">
        <f t="array" ref="AB871">_xlfn._xlws.FILTER(Teams[teamID], Fixtures[[#This Row],[oppTeam]] = Teams[name], "N/A")</f>
        <v>N/A</v>
      </c>
      <c r="AC871" s="58" t="str" cm="1">
        <f t="array" ref="AC871">_xlfn._xlws.FILTER(Teams[teamType], Fixtures[[#This Row],[oppTeam]] = Teams[name], "N/A")</f>
        <v>N/A</v>
      </c>
      <c r="AD871" s="58" t="str">
        <f>IF(ISBLANK(Fixtures[[#This Row],[date]]), "N/A", IF(Fixtures[[#This Row],[userSide]]="H", Fixtures[[#This Row],[homeScore]], Fixtures[[#This Row],[awayScore]]))</f>
        <v>N/A</v>
      </c>
      <c r="AE871" s="58" t="str">
        <f>IF(ISBLANK(Fixtures[[#This Row],[date]]), "N/A", IF(Fixtures[[#This Row],[userScore]] = Fixtures[[#This Row],[homeScore]], Fixtures[[#This Row],[awayScore]], Fixtures[[#This Row],[homeScore]]))</f>
        <v>N/A</v>
      </c>
      <c r="AF871" s="58" t="b">
        <f>NOT(AND(ISBLANK(Fixtures[[#This Row],[homePens]]), ISBLANK(Fixtures[[#This Row],[awayPens]])))</f>
        <v>0</v>
      </c>
      <c r="AG871" s="58" t="str">
        <f>IF(Fixtures[[#This Row],[penalties]], IF(Fixtures[[#This Row],[userSide]]="H", Fixtures[[#This Row],[homePens]], Fixtures[[#This Row],[awayPens]]), "N/A")</f>
        <v>N/A</v>
      </c>
      <c r="AH871" s="58" t="str">
        <f>IF(Fixtures[[#This Row],[penalties]], IF(Fixtures[[#This Row],[userPens]]=Fixtures[[#This Row],[homePens]],Fixtures[[#This Row],[awayPens]],Fixtures[[#This Row],[homePens]]), "N/A")</f>
        <v>N/A</v>
      </c>
      <c r="AI871" s="58" t="b">
        <f>COUNTBLANK(Fixtures[[#This Row],[G]:[MOTM]]) = 0</f>
        <v>0</v>
      </c>
      <c r="AJ871" s="58" t="str">
        <f>IF(Fixtures[[#This Row],[APP]], Fixtures[[#This Row],[G]]+Fixtures[[#This Row],[A]], "N/A")</f>
        <v>N/A</v>
      </c>
      <c r="AK8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2" spans="1:39" ht="13">
      <c r="A872" s="55"/>
      <c r="B872" s="61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7"/>
      <c r="R872" s="56"/>
      <c r="S872" s="58" t="str" cm="1">
        <f t="array" ref="S872">_xlfn._xlws.FILTER(Competitions[compType], (Fixtures[[#This Row],[competition]] = Competitions[name]), "N/A")</f>
        <v>N/A</v>
      </c>
      <c r="T872" s="58" t="str" cm="1">
        <f t="array" ref="T872">_xlfn._xlws.FILTER(Competitions[exhibition], (Fixtures[[#This Row],[competition]] = Competitions[name]), "N/A")</f>
        <v>N/A</v>
      </c>
      <c r="U872" s="58" t="str" cm="1">
        <f t="array" ref="U872">_xlfn._xlws.FILTER(Competitions[compID], (Fixtures[[#This Row],[competition]] = Competitions[name]), "N/A")</f>
        <v>N/A</v>
      </c>
      <c r="V8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2" s="58" t="str" cm="1">
        <f t="array" ref="W8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2" s="58" t="str" cm="1">
        <f t="array" ref="X872">_xlfn._xlws.FILTER(Teams[name], (Fixtures[[#This Row],[userTeamID]] = Teams[teamID]), "N/A")</f>
        <v>N/A</v>
      </c>
      <c r="Y872" s="58" t="str" cm="1">
        <f t="array" ref="Y872">_xlfn._xlws.FILTER(Teams[teamType], (Fixtures[[#This Row],[userTeamID]] = Teams[teamID]), "N/A")</f>
        <v>N/A</v>
      </c>
      <c r="Z872" s="58" t="str" cm="1">
        <f t="array" ref="Z8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2" s="58" t="str">
        <f>IF(Fixtures[[#This Row],[userSide]] = "N/A", "N/A", IF(Fixtures[[#This Row],[userSide]] = "H", Fixtures[[#This Row],[awayTeam]], Fixtures[[#This Row],[homeTeam]]))</f>
        <v>N/A</v>
      </c>
      <c r="AB872" s="58" t="str" cm="1">
        <f t="array" ref="AB872">_xlfn._xlws.FILTER(Teams[teamID], Fixtures[[#This Row],[oppTeam]] = Teams[name], "N/A")</f>
        <v>N/A</v>
      </c>
      <c r="AC872" s="58" t="str" cm="1">
        <f t="array" ref="AC872">_xlfn._xlws.FILTER(Teams[teamType], Fixtures[[#This Row],[oppTeam]] = Teams[name], "N/A")</f>
        <v>N/A</v>
      </c>
      <c r="AD872" s="58" t="str">
        <f>IF(ISBLANK(Fixtures[[#This Row],[date]]), "N/A", IF(Fixtures[[#This Row],[userSide]]="H", Fixtures[[#This Row],[homeScore]], Fixtures[[#This Row],[awayScore]]))</f>
        <v>N/A</v>
      </c>
      <c r="AE872" s="58" t="str">
        <f>IF(ISBLANK(Fixtures[[#This Row],[date]]), "N/A", IF(Fixtures[[#This Row],[userScore]] = Fixtures[[#This Row],[homeScore]], Fixtures[[#This Row],[awayScore]], Fixtures[[#This Row],[homeScore]]))</f>
        <v>N/A</v>
      </c>
      <c r="AF872" s="58" t="b">
        <f>NOT(AND(ISBLANK(Fixtures[[#This Row],[homePens]]), ISBLANK(Fixtures[[#This Row],[awayPens]])))</f>
        <v>0</v>
      </c>
      <c r="AG872" s="58" t="str">
        <f>IF(Fixtures[[#This Row],[penalties]], IF(Fixtures[[#This Row],[userSide]]="H", Fixtures[[#This Row],[homePens]], Fixtures[[#This Row],[awayPens]]), "N/A")</f>
        <v>N/A</v>
      </c>
      <c r="AH872" s="58" t="str">
        <f>IF(Fixtures[[#This Row],[penalties]], IF(Fixtures[[#This Row],[userPens]]=Fixtures[[#This Row],[homePens]],Fixtures[[#This Row],[awayPens]],Fixtures[[#This Row],[homePens]]), "N/A")</f>
        <v>N/A</v>
      </c>
      <c r="AI872" s="58" t="b">
        <f>COUNTBLANK(Fixtures[[#This Row],[G]:[MOTM]]) = 0</f>
        <v>0</v>
      </c>
      <c r="AJ872" s="58" t="str">
        <f>IF(Fixtures[[#This Row],[APP]], Fixtures[[#This Row],[G]]+Fixtures[[#This Row],[A]], "N/A")</f>
        <v>N/A</v>
      </c>
      <c r="AK8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3" spans="1:39" ht="13">
      <c r="A873" s="55"/>
      <c r="B873" s="61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7"/>
      <c r="R873" s="56"/>
      <c r="S873" s="58" t="str" cm="1">
        <f t="array" ref="S873">_xlfn._xlws.FILTER(Competitions[compType], (Fixtures[[#This Row],[competition]] = Competitions[name]), "N/A")</f>
        <v>N/A</v>
      </c>
      <c r="T873" s="58" t="str" cm="1">
        <f t="array" ref="T873">_xlfn._xlws.FILTER(Competitions[exhibition], (Fixtures[[#This Row],[competition]] = Competitions[name]), "N/A")</f>
        <v>N/A</v>
      </c>
      <c r="U873" s="58" t="str" cm="1">
        <f t="array" ref="U873">_xlfn._xlws.FILTER(Competitions[compID], (Fixtures[[#This Row],[competition]] = Competitions[name]), "N/A")</f>
        <v>N/A</v>
      </c>
      <c r="V8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3" s="58" t="str" cm="1">
        <f t="array" ref="W8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3" s="58" t="str" cm="1">
        <f t="array" ref="X873">_xlfn._xlws.FILTER(Teams[name], (Fixtures[[#This Row],[userTeamID]] = Teams[teamID]), "N/A")</f>
        <v>N/A</v>
      </c>
      <c r="Y873" s="58" t="str" cm="1">
        <f t="array" ref="Y873">_xlfn._xlws.FILTER(Teams[teamType], (Fixtures[[#This Row],[userTeamID]] = Teams[teamID]), "N/A")</f>
        <v>N/A</v>
      </c>
      <c r="Z873" s="58" t="str" cm="1">
        <f t="array" ref="Z8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3" s="58" t="str">
        <f>IF(Fixtures[[#This Row],[userSide]] = "N/A", "N/A", IF(Fixtures[[#This Row],[userSide]] = "H", Fixtures[[#This Row],[awayTeam]], Fixtures[[#This Row],[homeTeam]]))</f>
        <v>N/A</v>
      </c>
      <c r="AB873" s="58" t="str" cm="1">
        <f t="array" ref="AB873">_xlfn._xlws.FILTER(Teams[teamID], Fixtures[[#This Row],[oppTeam]] = Teams[name], "N/A")</f>
        <v>N/A</v>
      </c>
      <c r="AC873" s="58" t="str" cm="1">
        <f t="array" ref="AC873">_xlfn._xlws.FILTER(Teams[teamType], Fixtures[[#This Row],[oppTeam]] = Teams[name], "N/A")</f>
        <v>N/A</v>
      </c>
      <c r="AD873" s="58" t="str">
        <f>IF(ISBLANK(Fixtures[[#This Row],[date]]), "N/A", IF(Fixtures[[#This Row],[userSide]]="H", Fixtures[[#This Row],[homeScore]], Fixtures[[#This Row],[awayScore]]))</f>
        <v>N/A</v>
      </c>
      <c r="AE873" s="58" t="str">
        <f>IF(ISBLANK(Fixtures[[#This Row],[date]]), "N/A", IF(Fixtures[[#This Row],[userScore]] = Fixtures[[#This Row],[homeScore]], Fixtures[[#This Row],[awayScore]], Fixtures[[#This Row],[homeScore]]))</f>
        <v>N/A</v>
      </c>
      <c r="AF873" s="58" t="b">
        <f>NOT(AND(ISBLANK(Fixtures[[#This Row],[homePens]]), ISBLANK(Fixtures[[#This Row],[awayPens]])))</f>
        <v>0</v>
      </c>
      <c r="AG873" s="58" t="str">
        <f>IF(Fixtures[[#This Row],[penalties]], IF(Fixtures[[#This Row],[userSide]]="H", Fixtures[[#This Row],[homePens]], Fixtures[[#This Row],[awayPens]]), "N/A")</f>
        <v>N/A</v>
      </c>
      <c r="AH873" s="58" t="str">
        <f>IF(Fixtures[[#This Row],[penalties]], IF(Fixtures[[#This Row],[userPens]]=Fixtures[[#This Row],[homePens]],Fixtures[[#This Row],[awayPens]],Fixtures[[#This Row],[homePens]]), "N/A")</f>
        <v>N/A</v>
      </c>
      <c r="AI873" s="58" t="b">
        <f>COUNTBLANK(Fixtures[[#This Row],[G]:[MOTM]]) = 0</f>
        <v>0</v>
      </c>
      <c r="AJ873" s="58" t="str">
        <f>IF(Fixtures[[#This Row],[APP]], Fixtures[[#This Row],[G]]+Fixtures[[#This Row],[A]], "N/A")</f>
        <v>N/A</v>
      </c>
      <c r="AK8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4" spans="1:39" ht="13">
      <c r="A874" s="55"/>
      <c r="B874" s="61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7"/>
      <c r="R874" s="56"/>
      <c r="S874" s="58" t="str" cm="1">
        <f t="array" ref="S874">_xlfn._xlws.FILTER(Competitions[compType], (Fixtures[[#This Row],[competition]] = Competitions[name]), "N/A")</f>
        <v>N/A</v>
      </c>
      <c r="T874" s="58" t="str" cm="1">
        <f t="array" ref="T874">_xlfn._xlws.FILTER(Competitions[exhibition], (Fixtures[[#This Row],[competition]] = Competitions[name]), "N/A")</f>
        <v>N/A</v>
      </c>
      <c r="U874" s="58" t="str" cm="1">
        <f t="array" ref="U874">_xlfn._xlws.FILTER(Competitions[compID], (Fixtures[[#This Row],[competition]] = Competitions[name]), "N/A")</f>
        <v>N/A</v>
      </c>
      <c r="V8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4" s="58" t="str" cm="1">
        <f t="array" ref="W8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4" s="58" t="str" cm="1">
        <f t="array" ref="X874">_xlfn._xlws.FILTER(Teams[name], (Fixtures[[#This Row],[userTeamID]] = Teams[teamID]), "N/A")</f>
        <v>N/A</v>
      </c>
      <c r="Y874" s="58" t="str" cm="1">
        <f t="array" ref="Y874">_xlfn._xlws.FILTER(Teams[teamType], (Fixtures[[#This Row],[userTeamID]] = Teams[teamID]), "N/A")</f>
        <v>N/A</v>
      </c>
      <c r="Z874" s="58" t="str" cm="1">
        <f t="array" ref="Z8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4" s="58" t="str">
        <f>IF(Fixtures[[#This Row],[userSide]] = "N/A", "N/A", IF(Fixtures[[#This Row],[userSide]] = "H", Fixtures[[#This Row],[awayTeam]], Fixtures[[#This Row],[homeTeam]]))</f>
        <v>N/A</v>
      </c>
      <c r="AB874" s="58" t="str" cm="1">
        <f t="array" ref="AB874">_xlfn._xlws.FILTER(Teams[teamID], Fixtures[[#This Row],[oppTeam]] = Teams[name], "N/A")</f>
        <v>N/A</v>
      </c>
      <c r="AC874" s="58" t="str" cm="1">
        <f t="array" ref="AC874">_xlfn._xlws.FILTER(Teams[teamType], Fixtures[[#This Row],[oppTeam]] = Teams[name], "N/A")</f>
        <v>N/A</v>
      </c>
      <c r="AD874" s="58" t="str">
        <f>IF(ISBLANK(Fixtures[[#This Row],[date]]), "N/A", IF(Fixtures[[#This Row],[userSide]]="H", Fixtures[[#This Row],[homeScore]], Fixtures[[#This Row],[awayScore]]))</f>
        <v>N/A</v>
      </c>
      <c r="AE874" s="58" t="str">
        <f>IF(ISBLANK(Fixtures[[#This Row],[date]]), "N/A", IF(Fixtures[[#This Row],[userScore]] = Fixtures[[#This Row],[homeScore]], Fixtures[[#This Row],[awayScore]], Fixtures[[#This Row],[homeScore]]))</f>
        <v>N/A</v>
      </c>
      <c r="AF874" s="58" t="b">
        <f>NOT(AND(ISBLANK(Fixtures[[#This Row],[homePens]]), ISBLANK(Fixtures[[#This Row],[awayPens]])))</f>
        <v>0</v>
      </c>
      <c r="AG874" s="58" t="str">
        <f>IF(Fixtures[[#This Row],[penalties]], IF(Fixtures[[#This Row],[userSide]]="H", Fixtures[[#This Row],[homePens]], Fixtures[[#This Row],[awayPens]]), "N/A")</f>
        <v>N/A</v>
      </c>
      <c r="AH874" s="58" t="str">
        <f>IF(Fixtures[[#This Row],[penalties]], IF(Fixtures[[#This Row],[userPens]]=Fixtures[[#This Row],[homePens]],Fixtures[[#This Row],[awayPens]],Fixtures[[#This Row],[homePens]]), "N/A")</f>
        <v>N/A</v>
      </c>
      <c r="AI874" s="58" t="b">
        <f>COUNTBLANK(Fixtures[[#This Row],[G]:[MOTM]]) = 0</f>
        <v>0</v>
      </c>
      <c r="AJ874" s="58" t="str">
        <f>IF(Fixtures[[#This Row],[APP]], Fixtures[[#This Row],[G]]+Fixtures[[#This Row],[A]], "N/A")</f>
        <v>N/A</v>
      </c>
      <c r="AK8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5" spans="1:39" ht="13">
      <c r="A875" s="55"/>
      <c r="B875" s="61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7"/>
      <c r="R875" s="56"/>
      <c r="S875" s="58" t="str" cm="1">
        <f t="array" ref="S875">_xlfn._xlws.FILTER(Competitions[compType], (Fixtures[[#This Row],[competition]] = Competitions[name]), "N/A")</f>
        <v>N/A</v>
      </c>
      <c r="T875" s="58" t="str" cm="1">
        <f t="array" ref="T875">_xlfn._xlws.FILTER(Competitions[exhibition], (Fixtures[[#This Row],[competition]] = Competitions[name]), "N/A")</f>
        <v>N/A</v>
      </c>
      <c r="U875" s="58" t="str" cm="1">
        <f t="array" ref="U875">_xlfn._xlws.FILTER(Competitions[compID], (Fixtures[[#This Row],[competition]] = Competitions[name]), "N/A")</f>
        <v>N/A</v>
      </c>
      <c r="V8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5" s="58" t="str" cm="1">
        <f t="array" ref="W8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5" s="58" t="str" cm="1">
        <f t="array" ref="X875">_xlfn._xlws.FILTER(Teams[name], (Fixtures[[#This Row],[userTeamID]] = Teams[teamID]), "N/A")</f>
        <v>N/A</v>
      </c>
      <c r="Y875" s="58" t="str" cm="1">
        <f t="array" ref="Y875">_xlfn._xlws.FILTER(Teams[teamType], (Fixtures[[#This Row],[userTeamID]] = Teams[teamID]), "N/A")</f>
        <v>N/A</v>
      </c>
      <c r="Z875" s="58" t="str" cm="1">
        <f t="array" ref="Z8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5" s="58" t="str">
        <f>IF(Fixtures[[#This Row],[userSide]] = "N/A", "N/A", IF(Fixtures[[#This Row],[userSide]] = "H", Fixtures[[#This Row],[awayTeam]], Fixtures[[#This Row],[homeTeam]]))</f>
        <v>N/A</v>
      </c>
      <c r="AB875" s="58" t="str" cm="1">
        <f t="array" ref="AB875">_xlfn._xlws.FILTER(Teams[teamID], Fixtures[[#This Row],[oppTeam]] = Teams[name], "N/A")</f>
        <v>N/A</v>
      </c>
      <c r="AC875" s="58" t="str" cm="1">
        <f t="array" ref="AC875">_xlfn._xlws.FILTER(Teams[teamType], Fixtures[[#This Row],[oppTeam]] = Teams[name], "N/A")</f>
        <v>N/A</v>
      </c>
      <c r="AD875" s="58" t="str">
        <f>IF(ISBLANK(Fixtures[[#This Row],[date]]), "N/A", IF(Fixtures[[#This Row],[userSide]]="H", Fixtures[[#This Row],[homeScore]], Fixtures[[#This Row],[awayScore]]))</f>
        <v>N/A</v>
      </c>
      <c r="AE875" s="58" t="str">
        <f>IF(ISBLANK(Fixtures[[#This Row],[date]]), "N/A", IF(Fixtures[[#This Row],[userScore]] = Fixtures[[#This Row],[homeScore]], Fixtures[[#This Row],[awayScore]], Fixtures[[#This Row],[homeScore]]))</f>
        <v>N/A</v>
      </c>
      <c r="AF875" s="58" t="b">
        <f>NOT(AND(ISBLANK(Fixtures[[#This Row],[homePens]]), ISBLANK(Fixtures[[#This Row],[awayPens]])))</f>
        <v>0</v>
      </c>
      <c r="AG875" s="58" t="str">
        <f>IF(Fixtures[[#This Row],[penalties]], IF(Fixtures[[#This Row],[userSide]]="H", Fixtures[[#This Row],[homePens]], Fixtures[[#This Row],[awayPens]]), "N/A")</f>
        <v>N/A</v>
      </c>
      <c r="AH875" s="58" t="str">
        <f>IF(Fixtures[[#This Row],[penalties]], IF(Fixtures[[#This Row],[userPens]]=Fixtures[[#This Row],[homePens]],Fixtures[[#This Row],[awayPens]],Fixtures[[#This Row],[homePens]]), "N/A")</f>
        <v>N/A</v>
      </c>
      <c r="AI875" s="58" t="b">
        <f>COUNTBLANK(Fixtures[[#This Row],[G]:[MOTM]]) = 0</f>
        <v>0</v>
      </c>
      <c r="AJ875" s="58" t="str">
        <f>IF(Fixtures[[#This Row],[APP]], Fixtures[[#This Row],[G]]+Fixtures[[#This Row],[A]], "N/A")</f>
        <v>N/A</v>
      </c>
      <c r="AK8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6" spans="1:39" ht="13">
      <c r="A876" s="55"/>
      <c r="B876" s="61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7"/>
      <c r="R876" s="56"/>
      <c r="S876" s="58" t="str" cm="1">
        <f t="array" ref="S876">_xlfn._xlws.FILTER(Competitions[compType], (Fixtures[[#This Row],[competition]] = Competitions[name]), "N/A")</f>
        <v>N/A</v>
      </c>
      <c r="T876" s="58" t="str" cm="1">
        <f t="array" ref="T876">_xlfn._xlws.FILTER(Competitions[exhibition], (Fixtures[[#This Row],[competition]] = Competitions[name]), "N/A")</f>
        <v>N/A</v>
      </c>
      <c r="U876" s="58" t="str" cm="1">
        <f t="array" ref="U876">_xlfn._xlws.FILTER(Competitions[compID], (Fixtures[[#This Row],[competition]] = Competitions[name]), "N/A")</f>
        <v>N/A</v>
      </c>
      <c r="V8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6" s="58" t="str" cm="1">
        <f t="array" ref="W8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6" s="58" t="str" cm="1">
        <f t="array" ref="X876">_xlfn._xlws.FILTER(Teams[name], (Fixtures[[#This Row],[userTeamID]] = Teams[teamID]), "N/A")</f>
        <v>N/A</v>
      </c>
      <c r="Y876" s="58" t="str" cm="1">
        <f t="array" ref="Y876">_xlfn._xlws.FILTER(Teams[teamType], (Fixtures[[#This Row],[userTeamID]] = Teams[teamID]), "N/A")</f>
        <v>N/A</v>
      </c>
      <c r="Z876" s="58" t="str" cm="1">
        <f t="array" ref="Z8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6" s="58" t="str">
        <f>IF(Fixtures[[#This Row],[userSide]] = "N/A", "N/A", IF(Fixtures[[#This Row],[userSide]] = "H", Fixtures[[#This Row],[awayTeam]], Fixtures[[#This Row],[homeTeam]]))</f>
        <v>N/A</v>
      </c>
      <c r="AB876" s="58" t="str" cm="1">
        <f t="array" ref="AB876">_xlfn._xlws.FILTER(Teams[teamID], Fixtures[[#This Row],[oppTeam]] = Teams[name], "N/A")</f>
        <v>N/A</v>
      </c>
      <c r="AC876" s="58" t="str" cm="1">
        <f t="array" ref="AC876">_xlfn._xlws.FILTER(Teams[teamType], Fixtures[[#This Row],[oppTeam]] = Teams[name], "N/A")</f>
        <v>N/A</v>
      </c>
      <c r="AD876" s="58" t="str">
        <f>IF(ISBLANK(Fixtures[[#This Row],[date]]), "N/A", IF(Fixtures[[#This Row],[userSide]]="H", Fixtures[[#This Row],[homeScore]], Fixtures[[#This Row],[awayScore]]))</f>
        <v>N/A</v>
      </c>
      <c r="AE876" s="58" t="str">
        <f>IF(ISBLANK(Fixtures[[#This Row],[date]]), "N/A", IF(Fixtures[[#This Row],[userScore]] = Fixtures[[#This Row],[homeScore]], Fixtures[[#This Row],[awayScore]], Fixtures[[#This Row],[homeScore]]))</f>
        <v>N/A</v>
      </c>
      <c r="AF876" s="58" t="b">
        <f>NOT(AND(ISBLANK(Fixtures[[#This Row],[homePens]]), ISBLANK(Fixtures[[#This Row],[awayPens]])))</f>
        <v>0</v>
      </c>
      <c r="AG876" s="58" t="str">
        <f>IF(Fixtures[[#This Row],[penalties]], IF(Fixtures[[#This Row],[userSide]]="H", Fixtures[[#This Row],[homePens]], Fixtures[[#This Row],[awayPens]]), "N/A")</f>
        <v>N/A</v>
      </c>
      <c r="AH876" s="58" t="str">
        <f>IF(Fixtures[[#This Row],[penalties]], IF(Fixtures[[#This Row],[userPens]]=Fixtures[[#This Row],[homePens]],Fixtures[[#This Row],[awayPens]],Fixtures[[#This Row],[homePens]]), "N/A")</f>
        <v>N/A</v>
      </c>
      <c r="AI876" s="58" t="b">
        <f>COUNTBLANK(Fixtures[[#This Row],[G]:[MOTM]]) = 0</f>
        <v>0</v>
      </c>
      <c r="AJ876" s="58" t="str">
        <f>IF(Fixtures[[#This Row],[APP]], Fixtures[[#This Row],[G]]+Fixtures[[#This Row],[A]], "N/A")</f>
        <v>N/A</v>
      </c>
      <c r="AK8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7" spans="1:39" ht="13">
      <c r="A877" s="55"/>
      <c r="B877" s="61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7"/>
      <c r="R877" s="56"/>
      <c r="S877" s="58" t="str" cm="1">
        <f t="array" ref="S877">_xlfn._xlws.FILTER(Competitions[compType], (Fixtures[[#This Row],[competition]] = Competitions[name]), "N/A")</f>
        <v>N/A</v>
      </c>
      <c r="T877" s="58" t="str" cm="1">
        <f t="array" ref="T877">_xlfn._xlws.FILTER(Competitions[exhibition], (Fixtures[[#This Row],[competition]] = Competitions[name]), "N/A")</f>
        <v>N/A</v>
      </c>
      <c r="U877" s="58" t="str" cm="1">
        <f t="array" ref="U877">_xlfn._xlws.FILTER(Competitions[compID], (Fixtures[[#This Row],[competition]] = Competitions[name]), "N/A")</f>
        <v>N/A</v>
      </c>
      <c r="V8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7" s="58" t="str" cm="1">
        <f t="array" ref="W8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7" s="58" t="str" cm="1">
        <f t="array" ref="X877">_xlfn._xlws.FILTER(Teams[name], (Fixtures[[#This Row],[userTeamID]] = Teams[teamID]), "N/A")</f>
        <v>N/A</v>
      </c>
      <c r="Y877" s="58" t="str" cm="1">
        <f t="array" ref="Y877">_xlfn._xlws.FILTER(Teams[teamType], (Fixtures[[#This Row],[userTeamID]] = Teams[teamID]), "N/A")</f>
        <v>N/A</v>
      </c>
      <c r="Z877" s="58" t="str" cm="1">
        <f t="array" ref="Z8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7" s="58" t="str">
        <f>IF(Fixtures[[#This Row],[userSide]] = "N/A", "N/A", IF(Fixtures[[#This Row],[userSide]] = "H", Fixtures[[#This Row],[awayTeam]], Fixtures[[#This Row],[homeTeam]]))</f>
        <v>N/A</v>
      </c>
      <c r="AB877" s="58" t="str" cm="1">
        <f t="array" ref="AB877">_xlfn._xlws.FILTER(Teams[teamID], Fixtures[[#This Row],[oppTeam]] = Teams[name], "N/A")</f>
        <v>N/A</v>
      </c>
      <c r="AC877" s="58" t="str" cm="1">
        <f t="array" ref="AC877">_xlfn._xlws.FILTER(Teams[teamType], Fixtures[[#This Row],[oppTeam]] = Teams[name], "N/A")</f>
        <v>N/A</v>
      </c>
      <c r="AD877" s="58" t="str">
        <f>IF(ISBLANK(Fixtures[[#This Row],[date]]), "N/A", IF(Fixtures[[#This Row],[userSide]]="H", Fixtures[[#This Row],[homeScore]], Fixtures[[#This Row],[awayScore]]))</f>
        <v>N/A</v>
      </c>
      <c r="AE877" s="58" t="str">
        <f>IF(ISBLANK(Fixtures[[#This Row],[date]]), "N/A", IF(Fixtures[[#This Row],[userScore]] = Fixtures[[#This Row],[homeScore]], Fixtures[[#This Row],[awayScore]], Fixtures[[#This Row],[homeScore]]))</f>
        <v>N/A</v>
      </c>
      <c r="AF877" s="58" t="b">
        <f>NOT(AND(ISBLANK(Fixtures[[#This Row],[homePens]]), ISBLANK(Fixtures[[#This Row],[awayPens]])))</f>
        <v>0</v>
      </c>
      <c r="AG877" s="58" t="str">
        <f>IF(Fixtures[[#This Row],[penalties]], IF(Fixtures[[#This Row],[userSide]]="H", Fixtures[[#This Row],[homePens]], Fixtures[[#This Row],[awayPens]]), "N/A")</f>
        <v>N/A</v>
      </c>
      <c r="AH877" s="58" t="str">
        <f>IF(Fixtures[[#This Row],[penalties]], IF(Fixtures[[#This Row],[userPens]]=Fixtures[[#This Row],[homePens]],Fixtures[[#This Row],[awayPens]],Fixtures[[#This Row],[homePens]]), "N/A")</f>
        <v>N/A</v>
      </c>
      <c r="AI877" s="58" t="b">
        <f>COUNTBLANK(Fixtures[[#This Row],[G]:[MOTM]]) = 0</f>
        <v>0</v>
      </c>
      <c r="AJ877" s="58" t="str">
        <f>IF(Fixtures[[#This Row],[APP]], Fixtures[[#This Row],[G]]+Fixtures[[#This Row],[A]], "N/A")</f>
        <v>N/A</v>
      </c>
      <c r="AK8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8" spans="1:39" ht="13">
      <c r="A878" s="55"/>
      <c r="B878" s="61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7"/>
      <c r="R878" s="56"/>
      <c r="S878" s="58" t="str" cm="1">
        <f t="array" ref="S878">_xlfn._xlws.FILTER(Competitions[compType], (Fixtures[[#This Row],[competition]] = Competitions[name]), "N/A")</f>
        <v>N/A</v>
      </c>
      <c r="T878" s="58" t="str" cm="1">
        <f t="array" ref="T878">_xlfn._xlws.FILTER(Competitions[exhibition], (Fixtures[[#This Row],[competition]] = Competitions[name]), "N/A")</f>
        <v>N/A</v>
      </c>
      <c r="U878" s="58" t="str" cm="1">
        <f t="array" ref="U878">_xlfn._xlws.FILTER(Competitions[compID], (Fixtures[[#This Row],[competition]] = Competitions[name]), "N/A")</f>
        <v>N/A</v>
      </c>
      <c r="V8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8" s="58" t="str" cm="1">
        <f t="array" ref="W8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8" s="58" t="str" cm="1">
        <f t="array" ref="X878">_xlfn._xlws.FILTER(Teams[name], (Fixtures[[#This Row],[userTeamID]] = Teams[teamID]), "N/A")</f>
        <v>N/A</v>
      </c>
      <c r="Y878" s="58" t="str" cm="1">
        <f t="array" ref="Y878">_xlfn._xlws.FILTER(Teams[teamType], (Fixtures[[#This Row],[userTeamID]] = Teams[teamID]), "N/A")</f>
        <v>N/A</v>
      </c>
      <c r="Z878" s="58" t="str" cm="1">
        <f t="array" ref="Z8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8" s="58" t="str">
        <f>IF(Fixtures[[#This Row],[userSide]] = "N/A", "N/A", IF(Fixtures[[#This Row],[userSide]] = "H", Fixtures[[#This Row],[awayTeam]], Fixtures[[#This Row],[homeTeam]]))</f>
        <v>N/A</v>
      </c>
      <c r="AB878" s="58" t="str" cm="1">
        <f t="array" ref="AB878">_xlfn._xlws.FILTER(Teams[teamID], Fixtures[[#This Row],[oppTeam]] = Teams[name], "N/A")</f>
        <v>N/A</v>
      </c>
      <c r="AC878" s="58" t="str" cm="1">
        <f t="array" ref="AC878">_xlfn._xlws.FILTER(Teams[teamType], Fixtures[[#This Row],[oppTeam]] = Teams[name], "N/A")</f>
        <v>N/A</v>
      </c>
      <c r="AD878" s="58" t="str">
        <f>IF(ISBLANK(Fixtures[[#This Row],[date]]), "N/A", IF(Fixtures[[#This Row],[userSide]]="H", Fixtures[[#This Row],[homeScore]], Fixtures[[#This Row],[awayScore]]))</f>
        <v>N/A</v>
      </c>
      <c r="AE878" s="58" t="str">
        <f>IF(ISBLANK(Fixtures[[#This Row],[date]]), "N/A", IF(Fixtures[[#This Row],[userScore]] = Fixtures[[#This Row],[homeScore]], Fixtures[[#This Row],[awayScore]], Fixtures[[#This Row],[homeScore]]))</f>
        <v>N/A</v>
      </c>
      <c r="AF878" s="58" t="b">
        <f>NOT(AND(ISBLANK(Fixtures[[#This Row],[homePens]]), ISBLANK(Fixtures[[#This Row],[awayPens]])))</f>
        <v>0</v>
      </c>
      <c r="AG878" s="58" t="str">
        <f>IF(Fixtures[[#This Row],[penalties]], IF(Fixtures[[#This Row],[userSide]]="H", Fixtures[[#This Row],[homePens]], Fixtures[[#This Row],[awayPens]]), "N/A")</f>
        <v>N/A</v>
      </c>
      <c r="AH878" s="58" t="str">
        <f>IF(Fixtures[[#This Row],[penalties]], IF(Fixtures[[#This Row],[userPens]]=Fixtures[[#This Row],[homePens]],Fixtures[[#This Row],[awayPens]],Fixtures[[#This Row],[homePens]]), "N/A")</f>
        <v>N/A</v>
      </c>
      <c r="AI878" s="58" t="b">
        <f>COUNTBLANK(Fixtures[[#This Row],[G]:[MOTM]]) = 0</f>
        <v>0</v>
      </c>
      <c r="AJ878" s="58" t="str">
        <f>IF(Fixtures[[#This Row],[APP]], Fixtures[[#This Row],[G]]+Fixtures[[#This Row],[A]], "N/A")</f>
        <v>N/A</v>
      </c>
      <c r="AK8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79" spans="1:39" ht="13">
      <c r="A879" s="55"/>
      <c r="B879" s="61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7"/>
      <c r="R879" s="56"/>
      <c r="S879" s="58" t="str" cm="1">
        <f t="array" ref="S879">_xlfn._xlws.FILTER(Competitions[compType], (Fixtures[[#This Row],[competition]] = Competitions[name]), "N/A")</f>
        <v>N/A</v>
      </c>
      <c r="T879" s="58" t="str" cm="1">
        <f t="array" ref="T879">_xlfn._xlws.FILTER(Competitions[exhibition], (Fixtures[[#This Row],[competition]] = Competitions[name]), "N/A")</f>
        <v>N/A</v>
      </c>
      <c r="U879" s="58" t="str" cm="1">
        <f t="array" ref="U879">_xlfn._xlws.FILTER(Competitions[compID], (Fixtures[[#This Row],[competition]] = Competitions[name]), "N/A")</f>
        <v>N/A</v>
      </c>
      <c r="V8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79" s="58" t="str" cm="1">
        <f t="array" ref="W8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79" s="58" t="str" cm="1">
        <f t="array" ref="X879">_xlfn._xlws.FILTER(Teams[name], (Fixtures[[#This Row],[userTeamID]] = Teams[teamID]), "N/A")</f>
        <v>N/A</v>
      </c>
      <c r="Y879" s="58" t="str" cm="1">
        <f t="array" ref="Y879">_xlfn._xlws.FILTER(Teams[teamType], (Fixtures[[#This Row],[userTeamID]] = Teams[teamID]), "N/A")</f>
        <v>N/A</v>
      </c>
      <c r="Z879" s="58" t="str" cm="1">
        <f t="array" ref="Z8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79" s="58" t="str">
        <f>IF(Fixtures[[#This Row],[userSide]] = "N/A", "N/A", IF(Fixtures[[#This Row],[userSide]] = "H", Fixtures[[#This Row],[awayTeam]], Fixtures[[#This Row],[homeTeam]]))</f>
        <v>N/A</v>
      </c>
      <c r="AB879" s="58" t="str" cm="1">
        <f t="array" ref="AB879">_xlfn._xlws.FILTER(Teams[teamID], Fixtures[[#This Row],[oppTeam]] = Teams[name], "N/A")</f>
        <v>N/A</v>
      </c>
      <c r="AC879" s="58" t="str" cm="1">
        <f t="array" ref="AC879">_xlfn._xlws.FILTER(Teams[teamType], Fixtures[[#This Row],[oppTeam]] = Teams[name], "N/A")</f>
        <v>N/A</v>
      </c>
      <c r="AD879" s="58" t="str">
        <f>IF(ISBLANK(Fixtures[[#This Row],[date]]), "N/A", IF(Fixtures[[#This Row],[userSide]]="H", Fixtures[[#This Row],[homeScore]], Fixtures[[#This Row],[awayScore]]))</f>
        <v>N/A</v>
      </c>
      <c r="AE879" s="58" t="str">
        <f>IF(ISBLANK(Fixtures[[#This Row],[date]]), "N/A", IF(Fixtures[[#This Row],[userScore]] = Fixtures[[#This Row],[homeScore]], Fixtures[[#This Row],[awayScore]], Fixtures[[#This Row],[homeScore]]))</f>
        <v>N/A</v>
      </c>
      <c r="AF879" s="58" t="b">
        <f>NOT(AND(ISBLANK(Fixtures[[#This Row],[homePens]]), ISBLANK(Fixtures[[#This Row],[awayPens]])))</f>
        <v>0</v>
      </c>
      <c r="AG879" s="58" t="str">
        <f>IF(Fixtures[[#This Row],[penalties]], IF(Fixtures[[#This Row],[userSide]]="H", Fixtures[[#This Row],[homePens]], Fixtures[[#This Row],[awayPens]]), "N/A")</f>
        <v>N/A</v>
      </c>
      <c r="AH879" s="58" t="str">
        <f>IF(Fixtures[[#This Row],[penalties]], IF(Fixtures[[#This Row],[userPens]]=Fixtures[[#This Row],[homePens]],Fixtures[[#This Row],[awayPens]],Fixtures[[#This Row],[homePens]]), "N/A")</f>
        <v>N/A</v>
      </c>
      <c r="AI879" s="58" t="b">
        <f>COUNTBLANK(Fixtures[[#This Row],[G]:[MOTM]]) = 0</f>
        <v>0</v>
      </c>
      <c r="AJ879" s="58" t="str">
        <f>IF(Fixtures[[#This Row],[APP]], Fixtures[[#This Row],[G]]+Fixtures[[#This Row],[A]], "N/A")</f>
        <v>N/A</v>
      </c>
      <c r="AK8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0" spans="1:39" ht="13">
      <c r="A880" s="55"/>
      <c r="B880" s="61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7"/>
      <c r="R880" s="56"/>
      <c r="S880" s="58" t="str" cm="1">
        <f t="array" ref="S880">_xlfn._xlws.FILTER(Competitions[compType], (Fixtures[[#This Row],[competition]] = Competitions[name]), "N/A")</f>
        <v>N/A</v>
      </c>
      <c r="T880" s="58" t="str" cm="1">
        <f t="array" ref="T880">_xlfn._xlws.FILTER(Competitions[exhibition], (Fixtures[[#This Row],[competition]] = Competitions[name]), "N/A")</f>
        <v>N/A</v>
      </c>
      <c r="U880" s="58" t="str" cm="1">
        <f t="array" ref="U880">_xlfn._xlws.FILTER(Competitions[compID], (Fixtures[[#This Row],[competition]] = Competitions[name]), "N/A")</f>
        <v>N/A</v>
      </c>
      <c r="V8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0" s="58" t="str" cm="1">
        <f t="array" ref="W8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0" s="58" t="str" cm="1">
        <f t="array" ref="X880">_xlfn._xlws.FILTER(Teams[name], (Fixtures[[#This Row],[userTeamID]] = Teams[teamID]), "N/A")</f>
        <v>N/A</v>
      </c>
      <c r="Y880" s="58" t="str" cm="1">
        <f t="array" ref="Y880">_xlfn._xlws.FILTER(Teams[teamType], (Fixtures[[#This Row],[userTeamID]] = Teams[teamID]), "N/A")</f>
        <v>N/A</v>
      </c>
      <c r="Z880" s="58" t="str" cm="1">
        <f t="array" ref="Z8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0" s="58" t="str">
        <f>IF(Fixtures[[#This Row],[userSide]] = "N/A", "N/A", IF(Fixtures[[#This Row],[userSide]] = "H", Fixtures[[#This Row],[awayTeam]], Fixtures[[#This Row],[homeTeam]]))</f>
        <v>N/A</v>
      </c>
      <c r="AB880" s="58" t="str" cm="1">
        <f t="array" ref="AB880">_xlfn._xlws.FILTER(Teams[teamID], Fixtures[[#This Row],[oppTeam]] = Teams[name], "N/A")</f>
        <v>N/A</v>
      </c>
      <c r="AC880" s="58" t="str" cm="1">
        <f t="array" ref="AC880">_xlfn._xlws.FILTER(Teams[teamType], Fixtures[[#This Row],[oppTeam]] = Teams[name], "N/A")</f>
        <v>N/A</v>
      </c>
      <c r="AD880" s="58" t="str">
        <f>IF(ISBLANK(Fixtures[[#This Row],[date]]), "N/A", IF(Fixtures[[#This Row],[userSide]]="H", Fixtures[[#This Row],[homeScore]], Fixtures[[#This Row],[awayScore]]))</f>
        <v>N/A</v>
      </c>
      <c r="AE880" s="58" t="str">
        <f>IF(ISBLANK(Fixtures[[#This Row],[date]]), "N/A", IF(Fixtures[[#This Row],[userScore]] = Fixtures[[#This Row],[homeScore]], Fixtures[[#This Row],[awayScore]], Fixtures[[#This Row],[homeScore]]))</f>
        <v>N/A</v>
      </c>
      <c r="AF880" s="58" t="b">
        <f>NOT(AND(ISBLANK(Fixtures[[#This Row],[homePens]]), ISBLANK(Fixtures[[#This Row],[awayPens]])))</f>
        <v>0</v>
      </c>
      <c r="AG880" s="58" t="str">
        <f>IF(Fixtures[[#This Row],[penalties]], IF(Fixtures[[#This Row],[userSide]]="H", Fixtures[[#This Row],[homePens]], Fixtures[[#This Row],[awayPens]]), "N/A")</f>
        <v>N/A</v>
      </c>
      <c r="AH880" s="58" t="str">
        <f>IF(Fixtures[[#This Row],[penalties]], IF(Fixtures[[#This Row],[userPens]]=Fixtures[[#This Row],[homePens]],Fixtures[[#This Row],[awayPens]],Fixtures[[#This Row],[homePens]]), "N/A")</f>
        <v>N/A</v>
      </c>
      <c r="AI880" s="58" t="b">
        <f>COUNTBLANK(Fixtures[[#This Row],[G]:[MOTM]]) = 0</f>
        <v>0</v>
      </c>
      <c r="AJ880" s="58" t="str">
        <f>IF(Fixtures[[#This Row],[APP]], Fixtures[[#This Row],[G]]+Fixtures[[#This Row],[A]], "N/A")</f>
        <v>N/A</v>
      </c>
      <c r="AK8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1" spans="1:39" ht="13">
      <c r="A881" s="55"/>
      <c r="B881" s="61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7"/>
      <c r="R881" s="56"/>
      <c r="S881" s="58" t="str" cm="1">
        <f t="array" ref="S881">_xlfn._xlws.FILTER(Competitions[compType], (Fixtures[[#This Row],[competition]] = Competitions[name]), "N/A")</f>
        <v>N/A</v>
      </c>
      <c r="T881" s="58" t="str" cm="1">
        <f t="array" ref="T881">_xlfn._xlws.FILTER(Competitions[exhibition], (Fixtures[[#This Row],[competition]] = Competitions[name]), "N/A")</f>
        <v>N/A</v>
      </c>
      <c r="U881" s="58" t="str" cm="1">
        <f t="array" ref="U881">_xlfn._xlws.FILTER(Competitions[compID], (Fixtures[[#This Row],[competition]] = Competitions[name]), "N/A")</f>
        <v>N/A</v>
      </c>
      <c r="V8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1" s="58" t="str" cm="1">
        <f t="array" ref="W8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1" s="58" t="str" cm="1">
        <f t="array" ref="X881">_xlfn._xlws.FILTER(Teams[name], (Fixtures[[#This Row],[userTeamID]] = Teams[teamID]), "N/A")</f>
        <v>N/A</v>
      </c>
      <c r="Y881" s="58" t="str" cm="1">
        <f t="array" ref="Y881">_xlfn._xlws.FILTER(Teams[teamType], (Fixtures[[#This Row],[userTeamID]] = Teams[teamID]), "N/A")</f>
        <v>N/A</v>
      </c>
      <c r="Z881" s="58" t="str" cm="1">
        <f t="array" ref="Z8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1" s="58" t="str">
        <f>IF(Fixtures[[#This Row],[userSide]] = "N/A", "N/A", IF(Fixtures[[#This Row],[userSide]] = "H", Fixtures[[#This Row],[awayTeam]], Fixtures[[#This Row],[homeTeam]]))</f>
        <v>N/A</v>
      </c>
      <c r="AB881" s="58" t="str" cm="1">
        <f t="array" ref="AB881">_xlfn._xlws.FILTER(Teams[teamID], Fixtures[[#This Row],[oppTeam]] = Teams[name], "N/A")</f>
        <v>N/A</v>
      </c>
      <c r="AC881" s="58" t="str" cm="1">
        <f t="array" ref="AC881">_xlfn._xlws.FILTER(Teams[teamType], Fixtures[[#This Row],[oppTeam]] = Teams[name], "N/A")</f>
        <v>N/A</v>
      </c>
      <c r="AD881" s="58" t="str">
        <f>IF(ISBLANK(Fixtures[[#This Row],[date]]), "N/A", IF(Fixtures[[#This Row],[userSide]]="H", Fixtures[[#This Row],[homeScore]], Fixtures[[#This Row],[awayScore]]))</f>
        <v>N/A</v>
      </c>
      <c r="AE881" s="58" t="str">
        <f>IF(ISBLANK(Fixtures[[#This Row],[date]]), "N/A", IF(Fixtures[[#This Row],[userScore]] = Fixtures[[#This Row],[homeScore]], Fixtures[[#This Row],[awayScore]], Fixtures[[#This Row],[homeScore]]))</f>
        <v>N/A</v>
      </c>
      <c r="AF881" s="58" t="b">
        <f>NOT(AND(ISBLANK(Fixtures[[#This Row],[homePens]]), ISBLANK(Fixtures[[#This Row],[awayPens]])))</f>
        <v>0</v>
      </c>
      <c r="AG881" s="58" t="str">
        <f>IF(Fixtures[[#This Row],[penalties]], IF(Fixtures[[#This Row],[userSide]]="H", Fixtures[[#This Row],[homePens]], Fixtures[[#This Row],[awayPens]]), "N/A")</f>
        <v>N/A</v>
      </c>
      <c r="AH881" s="58" t="str">
        <f>IF(Fixtures[[#This Row],[penalties]], IF(Fixtures[[#This Row],[userPens]]=Fixtures[[#This Row],[homePens]],Fixtures[[#This Row],[awayPens]],Fixtures[[#This Row],[homePens]]), "N/A")</f>
        <v>N/A</v>
      </c>
      <c r="AI881" s="58" t="b">
        <f>COUNTBLANK(Fixtures[[#This Row],[G]:[MOTM]]) = 0</f>
        <v>0</v>
      </c>
      <c r="AJ881" s="58" t="str">
        <f>IF(Fixtures[[#This Row],[APP]], Fixtures[[#This Row],[G]]+Fixtures[[#This Row],[A]], "N/A")</f>
        <v>N/A</v>
      </c>
      <c r="AK8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2" spans="1:39" ht="13">
      <c r="A882" s="55"/>
      <c r="B882" s="61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7"/>
      <c r="R882" s="56"/>
      <c r="S882" s="58" t="str" cm="1">
        <f t="array" ref="S882">_xlfn._xlws.FILTER(Competitions[compType], (Fixtures[[#This Row],[competition]] = Competitions[name]), "N/A")</f>
        <v>N/A</v>
      </c>
      <c r="T882" s="58" t="str" cm="1">
        <f t="array" ref="T882">_xlfn._xlws.FILTER(Competitions[exhibition], (Fixtures[[#This Row],[competition]] = Competitions[name]), "N/A")</f>
        <v>N/A</v>
      </c>
      <c r="U882" s="58" t="str" cm="1">
        <f t="array" ref="U882">_xlfn._xlws.FILTER(Competitions[compID], (Fixtures[[#This Row],[competition]] = Competitions[name]), "N/A")</f>
        <v>N/A</v>
      </c>
      <c r="V8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2" s="58" t="str" cm="1">
        <f t="array" ref="W8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2" s="58" t="str" cm="1">
        <f t="array" ref="X882">_xlfn._xlws.FILTER(Teams[name], (Fixtures[[#This Row],[userTeamID]] = Teams[teamID]), "N/A")</f>
        <v>N/A</v>
      </c>
      <c r="Y882" s="58" t="str" cm="1">
        <f t="array" ref="Y882">_xlfn._xlws.FILTER(Teams[teamType], (Fixtures[[#This Row],[userTeamID]] = Teams[teamID]), "N/A")</f>
        <v>N/A</v>
      </c>
      <c r="Z882" s="58" t="str" cm="1">
        <f t="array" ref="Z8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2" s="58" t="str">
        <f>IF(Fixtures[[#This Row],[userSide]] = "N/A", "N/A", IF(Fixtures[[#This Row],[userSide]] = "H", Fixtures[[#This Row],[awayTeam]], Fixtures[[#This Row],[homeTeam]]))</f>
        <v>N/A</v>
      </c>
      <c r="AB882" s="58" t="str" cm="1">
        <f t="array" ref="AB882">_xlfn._xlws.FILTER(Teams[teamID], Fixtures[[#This Row],[oppTeam]] = Teams[name], "N/A")</f>
        <v>N/A</v>
      </c>
      <c r="AC882" s="58" t="str" cm="1">
        <f t="array" ref="AC882">_xlfn._xlws.FILTER(Teams[teamType], Fixtures[[#This Row],[oppTeam]] = Teams[name], "N/A")</f>
        <v>N/A</v>
      </c>
      <c r="AD882" s="58" t="str">
        <f>IF(ISBLANK(Fixtures[[#This Row],[date]]), "N/A", IF(Fixtures[[#This Row],[userSide]]="H", Fixtures[[#This Row],[homeScore]], Fixtures[[#This Row],[awayScore]]))</f>
        <v>N/A</v>
      </c>
      <c r="AE882" s="58" t="str">
        <f>IF(ISBLANK(Fixtures[[#This Row],[date]]), "N/A", IF(Fixtures[[#This Row],[userScore]] = Fixtures[[#This Row],[homeScore]], Fixtures[[#This Row],[awayScore]], Fixtures[[#This Row],[homeScore]]))</f>
        <v>N/A</v>
      </c>
      <c r="AF882" s="58" t="b">
        <f>NOT(AND(ISBLANK(Fixtures[[#This Row],[homePens]]), ISBLANK(Fixtures[[#This Row],[awayPens]])))</f>
        <v>0</v>
      </c>
      <c r="AG882" s="58" t="str">
        <f>IF(Fixtures[[#This Row],[penalties]], IF(Fixtures[[#This Row],[userSide]]="H", Fixtures[[#This Row],[homePens]], Fixtures[[#This Row],[awayPens]]), "N/A")</f>
        <v>N/A</v>
      </c>
      <c r="AH882" s="58" t="str">
        <f>IF(Fixtures[[#This Row],[penalties]], IF(Fixtures[[#This Row],[userPens]]=Fixtures[[#This Row],[homePens]],Fixtures[[#This Row],[awayPens]],Fixtures[[#This Row],[homePens]]), "N/A")</f>
        <v>N/A</v>
      </c>
      <c r="AI882" s="58" t="b">
        <f>COUNTBLANK(Fixtures[[#This Row],[G]:[MOTM]]) = 0</f>
        <v>0</v>
      </c>
      <c r="AJ882" s="58" t="str">
        <f>IF(Fixtures[[#This Row],[APP]], Fixtures[[#This Row],[G]]+Fixtures[[#This Row],[A]], "N/A")</f>
        <v>N/A</v>
      </c>
      <c r="AK8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3" spans="1:39" ht="13">
      <c r="A883" s="55"/>
      <c r="B883" s="61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7"/>
      <c r="R883" s="56"/>
      <c r="S883" s="58" t="str" cm="1">
        <f t="array" ref="S883">_xlfn._xlws.FILTER(Competitions[compType], (Fixtures[[#This Row],[competition]] = Competitions[name]), "N/A")</f>
        <v>N/A</v>
      </c>
      <c r="T883" s="58" t="str" cm="1">
        <f t="array" ref="T883">_xlfn._xlws.FILTER(Competitions[exhibition], (Fixtures[[#This Row],[competition]] = Competitions[name]), "N/A")</f>
        <v>N/A</v>
      </c>
      <c r="U883" s="58" t="str" cm="1">
        <f t="array" ref="U883">_xlfn._xlws.FILTER(Competitions[compID], (Fixtures[[#This Row],[competition]] = Competitions[name]), "N/A")</f>
        <v>N/A</v>
      </c>
      <c r="V8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3" s="58" t="str" cm="1">
        <f t="array" ref="W8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3" s="58" t="str" cm="1">
        <f t="array" ref="X883">_xlfn._xlws.FILTER(Teams[name], (Fixtures[[#This Row],[userTeamID]] = Teams[teamID]), "N/A")</f>
        <v>N/A</v>
      </c>
      <c r="Y883" s="58" t="str" cm="1">
        <f t="array" ref="Y883">_xlfn._xlws.FILTER(Teams[teamType], (Fixtures[[#This Row],[userTeamID]] = Teams[teamID]), "N/A")</f>
        <v>N/A</v>
      </c>
      <c r="Z883" s="58" t="str" cm="1">
        <f t="array" ref="Z8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3" s="58" t="str">
        <f>IF(Fixtures[[#This Row],[userSide]] = "N/A", "N/A", IF(Fixtures[[#This Row],[userSide]] = "H", Fixtures[[#This Row],[awayTeam]], Fixtures[[#This Row],[homeTeam]]))</f>
        <v>N/A</v>
      </c>
      <c r="AB883" s="58" t="str" cm="1">
        <f t="array" ref="AB883">_xlfn._xlws.FILTER(Teams[teamID], Fixtures[[#This Row],[oppTeam]] = Teams[name], "N/A")</f>
        <v>N/A</v>
      </c>
      <c r="AC883" s="58" t="str" cm="1">
        <f t="array" ref="AC883">_xlfn._xlws.FILTER(Teams[teamType], Fixtures[[#This Row],[oppTeam]] = Teams[name], "N/A")</f>
        <v>N/A</v>
      </c>
      <c r="AD883" s="58" t="str">
        <f>IF(ISBLANK(Fixtures[[#This Row],[date]]), "N/A", IF(Fixtures[[#This Row],[userSide]]="H", Fixtures[[#This Row],[homeScore]], Fixtures[[#This Row],[awayScore]]))</f>
        <v>N/A</v>
      </c>
      <c r="AE883" s="58" t="str">
        <f>IF(ISBLANK(Fixtures[[#This Row],[date]]), "N/A", IF(Fixtures[[#This Row],[userScore]] = Fixtures[[#This Row],[homeScore]], Fixtures[[#This Row],[awayScore]], Fixtures[[#This Row],[homeScore]]))</f>
        <v>N/A</v>
      </c>
      <c r="AF883" s="58" t="b">
        <f>NOT(AND(ISBLANK(Fixtures[[#This Row],[homePens]]), ISBLANK(Fixtures[[#This Row],[awayPens]])))</f>
        <v>0</v>
      </c>
      <c r="AG883" s="58" t="str">
        <f>IF(Fixtures[[#This Row],[penalties]], IF(Fixtures[[#This Row],[userSide]]="H", Fixtures[[#This Row],[homePens]], Fixtures[[#This Row],[awayPens]]), "N/A")</f>
        <v>N/A</v>
      </c>
      <c r="AH883" s="58" t="str">
        <f>IF(Fixtures[[#This Row],[penalties]], IF(Fixtures[[#This Row],[userPens]]=Fixtures[[#This Row],[homePens]],Fixtures[[#This Row],[awayPens]],Fixtures[[#This Row],[homePens]]), "N/A")</f>
        <v>N/A</v>
      </c>
      <c r="AI883" s="58" t="b">
        <f>COUNTBLANK(Fixtures[[#This Row],[G]:[MOTM]]) = 0</f>
        <v>0</v>
      </c>
      <c r="AJ883" s="58" t="str">
        <f>IF(Fixtures[[#This Row],[APP]], Fixtures[[#This Row],[G]]+Fixtures[[#This Row],[A]], "N/A")</f>
        <v>N/A</v>
      </c>
      <c r="AK8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4" spans="1:39" ht="13">
      <c r="A884" s="55"/>
      <c r="B884" s="61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7"/>
      <c r="R884" s="56"/>
      <c r="S884" s="58" t="str" cm="1">
        <f t="array" ref="S884">_xlfn._xlws.FILTER(Competitions[compType], (Fixtures[[#This Row],[competition]] = Competitions[name]), "N/A")</f>
        <v>N/A</v>
      </c>
      <c r="T884" s="58" t="str" cm="1">
        <f t="array" ref="T884">_xlfn._xlws.FILTER(Competitions[exhibition], (Fixtures[[#This Row],[competition]] = Competitions[name]), "N/A")</f>
        <v>N/A</v>
      </c>
      <c r="U884" s="58" t="str" cm="1">
        <f t="array" ref="U884">_xlfn._xlws.FILTER(Competitions[compID], (Fixtures[[#This Row],[competition]] = Competitions[name]), "N/A")</f>
        <v>N/A</v>
      </c>
      <c r="V8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4" s="58" t="str" cm="1">
        <f t="array" ref="W8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4" s="58" t="str" cm="1">
        <f t="array" ref="X884">_xlfn._xlws.FILTER(Teams[name], (Fixtures[[#This Row],[userTeamID]] = Teams[teamID]), "N/A")</f>
        <v>N/A</v>
      </c>
      <c r="Y884" s="58" t="str" cm="1">
        <f t="array" ref="Y884">_xlfn._xlws.FILTER(Teams[teamType], (Fixtures[[#This Row],[userTeamID]] = Teams[teamID]), "N/A")</f>
        <v>N/A</v>
      </c>
      <c r="Z884" s="58" t="str" cm="1">
        <f t="array" ref="Z8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4" s="58" t="str">
        <f>IF(Fixtures[[#This Row],[userSide]] = "N/A", "N/A", IF(Fixtures[[#This Row],[userSide]] = "H", Fixtures[[#This Row],[awayTeam]], Fixtures[[#This Row],[homeTeam]]))</f>
        <v>N/A</v>
      </c>
      <c r="AB884" s="58" t="str" cm="1">
        <f t="array" ref="AB884">_xlfn._xlws.FILTER(Teams[teamID], Fixtures[[#This Row],[oppTeam]] = Teams[name], "N/A")</f>
        <v>N/A</v>
      </c>
      <c r="AC884" s="58" t="str" cm="1">
        <f t="array" ref="AC884">_xlfn._xlws.FILTER(Teams[teamType], Fixtures[[#This Row],[oppTeam]] = Teams[name], "N/A")</f>
        <v>N/A</v>
      </c>
      <c r="AD884" s="58" t="str">
        <f>IF(ISBLANK(Fixtures[[#This Row],[date]]), "N/A", IF(Fixtures[[#This Row],[userSide]]="H", Fixtures[[#This Row],[homeScore]], Fixtures[[#This Row],[awayScore]]))</f>
        <v>N/A</v>
      </c>
      <c r="AE884" s="58" t="str">
        <f>IF(ISBLANK(Fixtures[[#This Row],[date]]), "N/A", IF(Fixtures[[#This Row],[userScore]] = Fixtures[[#This Row],[homeScore]], Fixtures[[#This Row],[awayScore]], Fixtures[[#This Row],[homeScore]]))</f>
        <v>N/A</v>
      </c>
      <c r="AF884" s="58" t="b">
        <f>NOT(AND(ISBLANK(Fixtures[[#This Row],[homePens]]), ISBLANK(Fixtures[[#This Row],[awayPens]])))</f>
        <v>0</v>
      </c>
      <c r="AG884" s="58" t="str">
        <f>IF(Fixtures[[#This Row],[penalties]], IF(Fixtures[[#This Row],[userSide]]="H", Fixtures[[#This Row],[homePens]], Fixtures[[#This Row],[awayPens]]), "N/A")</f>
        <v>N/A</v>
      </c>
      <c r="AH884" s="58" t="str">
        <f>IF(Fixtures[[#This Row],[penalties]], IF(Fixtures[[#This Row],[userPens]]=Fixtures[[#This Row],[homePens]],Fixtures[[#This Row],[awayPens]],Fixtures[[#This Row],[homePens]]), "N/A")</f>
        <v>N/A</v>
      </c>
      <c r="AI884" s="58" t="b">
        <f>COUNTBLANK(Fixtures[[#This Row],[G]:[MOTM]]) = 0</f>
        <v>0</v>
      </c>
      <c r="AJ884" s="58" t="str">
        <f>IF(Fixtures[[#This Row],[APP]], Fixtures[[#This Row],[G]]+Fixtures[[#This Row],[A]], "N/A")</f>
        <v>N/A</v>
      </c>
      <c r="AK8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5" spans="1:39" ht="13">
      <c r="A885" s="55"/>
      <c r="B885" s="61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7"/>
      <c r="R885" s="56"/>
      <c r="S885" s="58" t="str" cm="1">
        <f t="array" ref="S885">_xlfn._xlws.FILTER(Competitions[compType], (Fixtures[[#This Row],[competition]] = Competitions[name]), "N/A")</f>
        <v>N/A</v>
      </c>
      <c r="T885" s="58" t="str" cm="1">
        <f t="array" ref="T885">_xlfn._xlws.FILTER(Competitions[exhibition], (Fixtures[[#This Row],[competition]] = Competitions[name]), "N/A")</f>
        <v>N/A</v>
      </c>
      <c r="U885" s="58" t="str" cm="1">
        <f t="array" ref="U885">_xlfn._xlws.FILTER(Competitions[compID], (Fixtures[[#This Row],[competition]] = Competitions[name]), "N/A")</f>
        <v>N/A</v>
      </c>
      <c r="V8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5" s="58" t="str" cm="1">
        <f t="array" ref="W8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5" s="58" t="str" cm="1">
        <f t="array" ref="X885">_xlfn._xlws.FILTER(Teams[name], (Fixtures[[#This Row],[userTeamID]] = Teams[teamID]), "N/A")</f>
        <v>N/A</v>
      </c>
      <c r="Y885" s="58" t="str" cm="1">
        <f t="array" ref="Y885">_xlfn._xlws.FILTER(Teams[teamType], (Fixtures[[#This Row],[userTeamID]] = Teams[teamID]), "N/A")</f>
        <v>N/A</v>
      </c>
      <c r="Z885" s="58" t="str" cm="1">
        <f t="array" ref="Z8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5" s="58" t="str">
        <f>IF(Fixtures[[#This Row],[userSide]] = "N/A", "N/A", IF(Fixtures[[#This Row],[userSide]] = "H", Fixtures[[#This Row],[awayTeam]], Fixtures[[#This Row],[homeTeam]]))</f>
        <v>N/A</v>
      </c>
      <c r="AB885" s="58" t="str" cm="1">
        <f t="array" ref="AB885">_xlfn._xlws.FILTER(Teams[teamID], Fixtures[[#This Row],[oppTeam]] = Teams[name], "N/A")</f>
        <v>N/A</v>
      </c>
      <c r="AC885" s="58" t="str" cm="1">
        <f t="array" ref="AC885">_xlfn._xlws.FILTER(Teams[teamType], Fixtures[[#This Row],[oppTeam]] = Teams[name], "N/A")</f>
        <v>N/A</v>
      </c>
      <c r="AD885" s="58" t="str">
        <f>IF(ISBLANK(Fixtures[[#This Row],[date]]), "N/A", IF(Fixtures[[#This Row],[userSide]]="H", Fixtures[[#This Row],[homeScore]], Fixtures[[#This Row],[awayScore]]))</f>
        <v>N/A</v>
      </c>
      <c r="AE885" s="58" t="str">
        <f>IF(ISBLANK(Fixtures[[#This Row],[date]]), "N/A", IF(Fixtures[[#This Row],[userScore]] = Fixtures[[#This Row],[homeScore]], Fixtures[[#This Row],[awayScore]], Fixtures[[#This Row],[homeScore]]))</f>
        <v>N/A</v>
      </c>
      <c r="AF885" s="58" t="b">
        <f>NOT(AND(ISBLANK(Fixtures[[#This Row],[homePens]]), ISBLANK(Fixtures[[#This Row],[awayPens]])))</f>
        <v>0</v>
      </c>
      <c r="AG885" s="58" t="str">
        <f>IF(Fixtures[[#This Row],[penalties]], IF(Fixtures[[#This Row],[userSide]]="H", Fixtures[[#This Row],[homePens]], Fixtures[[#This Row],[awayPens]]), "N/A")</f>
        <v>N/A</v>
      </c>
      <c r="AH885" s="58" t="str">
        <f>IF(Fixtures[[#This Row],[penalties]], IF(Fixtures[[#This Row],[userPens]]=Fixtures[[#This Row],[homePens]],Fixtures[[#This Row],[awayPens]],Fixtures[[#This Row],[homePens]]), "N/A")</f>
        <v>N/A</v>
      </c>
      <c r="AI885" s="58" t="b">
        <f>COUNTBLANK(Fixtures[[#This Row],[G]:[MOTM]]) = 0</f>
        <v>0</v>
      </c>
      <c r="AJ885" s="58" t="str">
        <f>IF(Fixtures[[#This Row],[APP]], Fixtures[[#This Row],[G]]+Fixtures[[#This Row],[A]], "N/A")</f>
        <v>N/A</v>
      </c>
      <c r="AK8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6" spans="1:39" ht="13">
      <c r="A886" s="55"/>
      <c r="B886" s="61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7"/>
      <c r="R886" s="56"/>
      <c r="S886" s="58" t="str" cm="1">
        <f t="array" ref="S886">_xlfn._xlws.FILTER(Competitions[compType], (Fixtures[[#This Row],[competition]] = Competitions[name]), "N/A")</f>
        <v>N/A</v>
      </c>
      <c r="T886" s="58" t="str" cm="1">
        <f t="array" ref="T886">_xlfn._xlws.FILTER(Competitions[exhibition], (Fixtures[[#This Row],[competition]] = Competitions[name]), "N/A")</f>
        <v>N/A</v>
      </c>
      <c r="U886" s="58" t="str" cm="1">
        <f t="array" ref="U886">_xlfn._xlws.FILTER(Competitions[compID], (Fixtures[[#This Row],[competition]] = Competitions[name]), "N/A")</f>
        <v>N/A</v>
      </c>
      <c r="V8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6" s="58" t="str" cm="1">
        <f t="array" ref="W8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6" s="58" t="str" cm="1">
        <f t="array" ref="X886">_xlfn._xlws.FILTER(Teams[name], (Fixtures[[#This Row],[userTeamID]] = Teams[teamID]), "N/A")</f>
        <v>N/A</v>
      </c>
      <c r="Y886" s="58" t="str" cm="1">
        <f t="array" ref="Y886">_xlfn._xlws.FILTER(Teams[teamType], (Fixtures[[#This Row],[userTeamID]] = Teams[teamID]), "N/A")</f>
        <v>N/A</v>
      </c>
      <c r="Z886" s="58" t="str" cm="1">
        <f t="array" ref="Z8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6" s="58" t="str">
        <f>IF(Fixtures[[#This Row],[userSide]] = "N/A", "N/A", IF(Fixtures[[#This Row],[userSide]] = "H", Fixtures[[#This Row],[awayTeam]], Fixtures[[#This Row],[homeTeam]]))</f>
        <v>N/A</v>
      </c>
      <c r="AB886" s="58" t="str" cm="1">
        <f t="array" ref="AB886">_xlfn._xlws.FILTER(Teams[teamID], Fixtures[[#This Row],[oppTeam]] = Teams[name], "N/A")</f>
        <v>N/A</v>
      </c>
      <c r="AC886" s="58" t="str" cm="1">
        <f t="array" ref="AC886">_xlfn._xlws.FILTER(Teams[teamType], Fixtures[[#This Row],[oppTeam]] = Teams[name], "N/A")</f>
        <v>N/A</v>
      </c>
      <c r="AD886" s="58" t="str">
        <f>IF(ISBLANK(Fixtures[[#This Row],[date]]), "N/A", IF(Fixtures[[#This Row],[userSide]]="H", Fixtures[[#This Row],[homeScore]], Fixtures[[#This Row],[awayScore]]))</f>
        <v>N/A</v>
      </c>
      <c r="AE886" s="58" t="str">
        <f>IF(ISBLANK(Fixtures[[#This Row],[date]]), "N/A", IF(Fixtures[[#This Row],[userScore]] = Fixtures[[#This Row],[homeScore]], Fixtures[[#This Row],[awayScore]], Fixtures[[#This Row],[homeScore]]))</f>
        <v>N/A</v>
      </c>
      <c r="AF886" s="58" t="b">
        <f>NOT(AND(ISBLANK(Fixtures[[#This Row],[homePens]]), ISBLANK(Fixtures[[#This Row],[awayPens]])))</f>
        <v>0</v>
      </c>
      <c r="AG886" s="58" t="str">
        <f>IF(Fixtures[[#This Row],[penalties]], IF(Fixtures[[#This Row],[userSide]]="H", Fixtures[[#This Row],[homePens]], Fixtures[[#This Row],[awayPens]]), "N/A")</f>
        <v>N/A</v>
      </c>
      <c r="AH886" s="58" t="str">
        <f>IF(Fixtures[[#This Row],[penalties]], IF(Fixtures[[#This Row],[userPens]]=Fixtures[[#This Row],[homePens]],Fixtures[[#This Row],[awayPens]],Fixtures[[#This Row],[homePens]]), "N/A")</f>
        <v>N/A</v>
      </c>
      <c r="AI886" s="58" t="b">
        <f>COUNTBLANK(Fixtures[[#This Row],[G]:[MOTM]]) = 0</f>
        <v>0</v>
      </c>
      <c r="AJ886" s="58" t="str">
        <f>IF(Fixtures[[#This Row],[APP]], Fixtures[[#This Row],[G]]+Fixtures[[#This Row],[A]], "N/A")</f>
        <v>N/A</v>
      </c>
      <c r="AK8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7" spans="1:39" ht="13">
      <c r="A887" s="55"/>
      <c r="B887" s="61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7"/>
      <c r="R887" s="56"/>
      <c r="S887" s="58" t="str" cm="1">
        <f t="array" ref="S887">_xlfn._xlws.FILTER(Competitions[compType], (Fixtures[[#This Row],[competition]] = Competitions[name]), "N/A")</f>
        <v>N/A</v>
      </c>
      <c r="T887" s="58" t="str" cm="1">
        <f t="array" ref="T887">_xlfn._xlws.FILTER(Competitions[exhibition], (Fixtures[[#This Row],[competition]] = Competitions[name]), "N/A")</f>
        <v>N/A</v>
      </c>
      <c r="U887" s="58" t="str" cm="1">
        <f t="array" ref="U887">_xlfn._xlws.FILTER(Competitions[compID], (Fixtures[[#This Row],[competition]] = Competitions[name]), "N/A")</f>
        <v>N/A</v>
      </c>
      <c r="V8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7" s="58" t="str" cm="1">
        <f t="array" ref="W8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7" s="58" t="str" cm="1">
        <f t="array" ref="X887">_xlfn._xlws.FILTER(Teams[name], (Fixtures[[#This Row],[userTeamID]] = Teams[teamID]), "N/A")</f>
        <v>N/A</v>
      </c>
      <c r="Y887" s="58" t="str" cm="1">
        <f t="array" ref="Y887">_xlfn._xlws.FILTER(Teams[teamType], (Fixtures[[#This Row],[userTeamID]] = Teams[teamID]), "N/A")</f>
        <v>N/A</v>
      </c>
      <c r="Z887" s="58" t="str" cm="1">
        <f t="array" ref="Z8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7" s="58" t="str">
        <f>IF(Fixtures[[#This Row],[userSide]] = "N/A", "N/A", IF(Fixtures[[#This Row],[userSide]] = "H", Fixtures[[#This Row],[awayTeam]], Fixtures[[#This Row],[homeTeam]]))</f>
        <v>N/A</v>
      </c>
      <c r="AB887" s="58" t="str" cm="1">
        <f t="array" ref="AB887">_xlfn._xlws.FILTER(Teams[teamID], Fixtures[[#This Row],[oppTeam]] = Teams[name], "N/A")</f>
        <v>N/A</v>
      </c>
      <c r="AC887" s="58" t="str" cm="1">
        <f t="array" ref="AC887">_xlfn._xlws.FILTER(Teams[teamType], Fixtures[[#This Row],[oppTeam]] = Teams[name], "N/A")</f>
        <v>N/A</v>
      </c>
      <c r="AD887" s="58" t="str">
        <f>IF(ISBLANK(Fixtures[[#This Row],[date]]), "N/A", IF(Fixtures[[#This Row],[userSide]]="H", Fixtures[[#This Row],[homeScore]], Fixtures[[#This Row],[awayScore]]))</f>
        <v>N/A</v>
      </c>
      <c r="AE887" s="58" t="str">
        <f>IF(ISBLANK(Fixtures[[#This Row],[date]]), "N/A", IF(Fixtures[[#This Row],[userScore]] = Fixtures[[#This Row],[homeScore]], Fixtures[[#This Row],[awayScore]], Fixtures[[#This Row],[homeScore]]))</f>
        <v>N/A</v>
      </c>
      <c r="AF887" s="58" t="b">
        <f>NOT(AND(ISBLANK(Fixtures[[#This Row],[homePens]]), ISBLANK(Fixtures[[#This Row],[awayPens]])))</f>
        <v>0</v>
      </c>
      <c r="AG887" s="58" t="str">
        <f>IF(Fixtures[[#This Row],[penalties]], IF(Fixtures[[#This Row],[userSide]]="H", Fixtures[[#This Row],[homePens]], Fixtures[[#This Row],[awayPens]]), "N/A")</f>
        <v>N/A</v>
      </c>
      <c r="AH887" s="58" t="str">
        <f>IF(Fixtures[[#This Row],[penalties]], IF(Fixtures[[#This Row],[userPens]]=Fixtures[[#This Row],[homePens]],Fixtures[[#This Row],[awayPens]],Fixtures[[#This Row],[homePens]]), "N/A")</f>
        <v>N/A</v>
      </c>
      <c r="AI887" s="58" t="b">
        <f>COUNTBLANK(Fixtures[[#This Row],[G]:[MOTM]]) = 0</f>
        <v>0</v>
      </c>
      <c r="AJ887" s="58" t="str">
        <f>IF(Fixtures[[#This Row],[APP]], Fixtures[[#This Row],[G]]+Fixtures[[#This Row],[A]], "N/A")</f>
        <v>N/A</v>
      </c>
      <c r="AK8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8" spans="1:39" ht="13">
      <c r="A888" s="55"/>
      <c r="B888" s="61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7"/>
      <c r="R888" s="56"/>
      <c r="S888" s="58" t="str" cm="1">
        <f t="array" ref="S888">_xlfn._xlws.FILTER(Competitions[compType], (Fixtures[[#This Row],[competition]] = Competitions[name]), "N/A")</f>
        <v>N/A</v>
      </c>
      <c r="T888" s="58" t="str" cm="1">
        <f t="array" ref="T888">_xlfn._xlws.FILTER(Competitions[exhibition], (Fixtures[[#This Row],[competition]] = Competitions[name]), "N/A")</f>
        <v>N/A</v>
      </c>
      <c r="U888" s="58" t="str" cm="1">
        <f t="array" ref="U888">_xlfn._xlws.FILTER(Competitions[compID], (Fixtures[[#This Row],[competition]] = Competitions[name]), "N/A")</f>
        <v>N/A</v>
      </c>
      <c r="V8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8" s="58" t="str" cm="1">
        <f t="array" ref="W8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8" s="58" t="str" cm="1">
        <f t="array" ref="X888">_xlfn._xlws.FILTER(Teams[name], (Fixtures[[#This Row],[userTeamID]] = Teams[teamID]), "N/A")</f>
        <v>N/A</v>
      </c>
      <c r="Y888" s="58" t="str" cm="1">
        <f t="array" ref="Y888">_xlfn._xlws.FILTER(Teams[teamType], (Fixtures[[#This Row],[userTeamID]] = Teams[teamID]), "N/A")</f>
        <v>N/A</v>
      </c>
      <c r="Z888" s="58" t="str" cm="1">
        <f t="array" ref="Z8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8" s="58" t="str">
        <f>IF(Fixtures[[#This Row],[userSide]] = "N/A", "N/A", IF(Fixtures[[#This Row],[userSide]] = "H", Fixtures[[#This Row],[awayTeam]], Fixtures[[#This Row],[homeTeam]]))</f>
        <v>N/A</v>
      </c>
      <c r="AB888" s="58" t="str" cm="1">
        <f t="array" ref="AB888">_xlfn._xlws.FILTER(Teams[teamID], Fixtures[[#This Row],[oppTeam]] = Teams[name], "N/A")</f>
        <v>N/A</v>
      </c>
      <c r="AC888" s="58" t="str" cm="1">
        <f t="array" ref="AC888">_xlfn._xlws.FILTER(Teams[teamType], Fixtures[[#This Row],[oppTeam]] = Teams[name], "N/A")</f>
        <v>N/A</v>
      </c>
      <c r="AD888" s="58" t="str">
        <f>IF(ISBLANK(Fixtures[[#This Row],[date]]), "N/A", IF(Fixtures[[#This Row],[userSide]]="H", Fixtures[[#This Row],[homeScore]], Fixtures[[#This Row],[awayScore]]))</f>
        <v>N/A</v>
      </c>
      <c r="AE888" s="58" t="str">
        <f>IF(ISBLANK(Fixtures[[#This Row],[date]]), "N/A", IF(Fixtures[[#This Row],[userScore]] = Fixtures[[#This Row],[homeScore]], Fixtures[[#This Row],[awayScore]], Fixtures[[#This Row],[homeScore]]))</f>
        <v>N/A</v>
      </c>
      <c r="AF888" s="58" t="b">
        <f>NOT(AND(ISBLANK(Fixtures[[#This Row],[homePens]]), ISBLANK(Fixtures[[#This Row],[awayPens]])))</f>
        <v>0</v>
      </c>
      <c r="AG888" s="58" t="str">
        <f>IF(Fixtures[[#This Row],[penalties]], IF(Fixtures[[#This Row],[userSide]]="H", Fixtures[[#This Row],[homePens]], Fixtures[[#This Row],[awayPens]]), "N/A")</f>
        <v>N/A</v>
      </c>
      <c r="AH888" s="58" t="str">
        <f>IF(Fixtures[[#This Row],[penalties]], IF(Fixtures[[#This Row],[userPens]]=Fixtures[[#This Row],[homePens]],Fixtures[[#This Row],[awayPens]],Fixtures[[#This Row],[homePens]]), "N/A")</f>
        <v>N/A</v>
      </c>
      <c r="AI888" s="58" t="b">
        <f>COUNTBLANK(Fixtures[[#This Row],[G]:[MOTM]]) = 0</f>
        <v>0</v>
      </c>
      <c r="AJ888" s="58" t="str">
        <f>IF(Fixtures[[#This Row],[APP]], Fixtures[[#This Row],[G]]+Fixtures[[#This Row],[A]], "N/A")</f>
        <v>N/A</v>
      </c>
      <c r="AK8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89" spans="1:39" ht="13">
      <c r="A889" s="55"/>
      <c r="B889" s="61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7"/>
      <c r="R889" s="56"/>
      <c r="S889" s="58" t="str" cm="1">
        <f t="array" ref="S889">_xlfn._xlws.FILTER(Competitions[compType], (Fixtures[[#This Row],[competition]] = Competitions[name]), "N/A")</f>
        <v>N/A</v>
      </c>
      <c r="T889" s="58" t="str" cm="1">
        <f t="array" ref="T889">_xlfn._xlws.FILTER(Competitions[exhibition], (Fixtures[[#This Row],[competition]] = Competitions[name]), "N/A")</f>
        <v>N/A</v>
      </c>
      <c r="U889" s="58" t="str" cm="1">
        <f t="array" ref="U889">_xlfn._xlws.FILTER(Competitions[compID], (Fixtures[[#This Row],[competition]] = Competitions[name]), "N/A")</f>
        <v>N/A</v>
      </c>
      <c r="V8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89" s="58" t="str" cm="1">
        <f t="array" ref="W8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89" s="58" t="str" cm="1">
        <f t="array" ref="X889">_xlfn._xlws.FILTER(Teams[name], (Fixtures[[#This Row],[userTeamID]] = Teams[teamID]), "N/A")</f>
        <v>N/A</v>
      </c>
      <c r="Y889" s="58" t="str" cm="1">
        <f t="array" ref="Y889">_xlfn._xlws.FILTER(Teams[teamType], (Fixtures[[#This Row],[userTeamID]] = Teams[teamID]), "N/A")</f>
        <v>N/A</v>
      </c>
      <c r="Z889" s="58" t="str" cm="1">
        <f t="array" ref="Z8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89" s="58" t="str">
        <f>IF(Fixtures[[#This Row],[userSide]] = "N/A", "N/A", IF(Fixtures[[#This Row],[userSide]] = "H", Fixtures[[#This Row],[awayTeam]], Fixtures[[#This Row],[homeTeam]]))</f>
        <v>N/A</v>
      </c>
      <c r="AB889" s="58" t="str" cm="1">
        <f t="array" ref="AB889">_xlfn._xlws.FILTER(Teams[teamID], Fixtures[[#This Row],[oppTeam]] = Teams[name], "N/A")</f>
        <v>N/A</v>
      </c>
      <c r="AC889" s="58" t="str" cm="1">
        <f t="array" ref="AC889">_xlfn._xlws.FILTER(Teams[teamType], Fixtures[[#This Row],[oppTeam]] = Teams[name], "N/A")</f>
        <v>N/A</v>
      </c>
      <c r="AD889" s="58" t="str">
        <f>IF(ISBLANK(Fixtures[[#This Row],[date]]), "N/A", IF(Fixtures[[#This Row],[userSide]]="H", Fixtures[[#This Row],[homeScore]], Fixtures[[#This Row],[awayScore]]))</f>
        <v>N/A</v>
      </c>
      <c r="AE889" s="58" t="str">
        <f>IF(ISBLANK(Fixtures[[#This Row],[date]]), "N/A", IF(Fixtures[[#This Row],[userScore]] = Fixtures[[#This Row],[homeScore]], Fixtures[[#This Row],[awayScore]], Fixtures[[#This Row],[homeScore]]))</f>
        <v>N/A</v>
      </c>
      <c r="AF889" s="58" t="b">
        <f>NOT(AND(ISBLANK(Fixtures[[#This Row],[homePens]]), ISBLANK(Fixtures[[#This Row],[awayPens]])))</f>
        <v>0</v>
      </c>
      <c r="AG889" s="58" t="str">
        <f>IF(Fixtures[[#This Row],[penalties]], IF(Fixtures[[#This Row],[userSide]]="H", Fixtures[[#This Row],[homePens]], Fixtures[[#This Row],[awayPens]]), "N/A")</f>
        <v>N/A</v>
      </c>
      <c r="AH889" s="58" t="str">
        <f>IF(Fixtures[[#This Row],[penalties]], IF(Fixtures[[#This Row],[userPens]]=Fixtures[[#This Row],[homePens]],Fixtures[[#This Row],[awayPens]],Fixtures[[#This Row],[homePens]]), "N/A")</f>
        <v>N/A</v>
      </c>
      <c r="AI889" s="58" t="b">
        <f>COUNTBLANK(Fixtures[[#This Row],[G]:[MOTM]]) = 0</f>
        <v>0</v>
      </c>
      <c r="AJ889" s="58" t="str">
        <f>IF(Fixtures[[#This Row],[APP]], Fixtures[[#This Row],[G]]+Fixtures[[#This Row],[A]], "N/A")</f>
        <v>N/A</v>
      </c>
      <c r="AK8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0" spans="1:39" ht="13">
      <c r="A890" s="55"/>
      <c r="B890" s="61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7"/>
      <c r="R890" s="56"/>
      <c r="S890" s="58" t="str" cm="1">
        <f t="array" ref="S890">_xlfn._xlws.FILTER(Competitions[compType], (Fixtures[[#This Row],[competition]] = Competitions[name]), "N/A")</f>
        <v>N/A</v>
      </c>
      <c r="T890" s="58" t="str" cm="1">
        <f t="array" ref="T890">_xlfn._xlws.FILTER(Competitions[exhibition], (Fixtures[[#This Row],[competition]] = Competitions[name]), "N/A")</f>
        <v>N/A</v>
      </c>
      <c r="U890" s="58" t="str" cm="1">
        <f t="array" ref="U890">_xlfn._xlws.FILTER(Competitions[compID], (Fixtures[[#This Row],[competition]] = Competitions[name]), "N/A")</f>
        <v>N/A</v>
      </c>
      <c r="V8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0" s="58" t="str" cm="1">
        <f t="array" ref="W8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0" s="58" t="str" cm="1">
        <f t="array" ref="X890">_xlfn._xlws.FILTER(Teams[name], (Fixtures[[#This Row],[userTeamID]] = Teams[teamID]), "N/A")</f>
        <v>N/A</v>
      </c>
      <c r="Y890" s="58" t="str" cm="1">
        <f t="array" ref="Y890">_xlfn._xlws.FILTER(Teams[teamType], (Fixtures[[#This Row],[userTeamID]] = Teams[teamID]), "N/A")</f>
        <v>N/A</v>
      </c>
      <c r="Z890" s="58" t="str" cm="1">
        <f t="array" ref="Z8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0" s="58" t="str">
        <f>IF(Fixtures[[#This Row],[userSide]] = "N/A", "N/A", IF(Fixtures[[#This Row],[userSide]] = "H", Fixtures[[#This Row],[awayTeam]], Fixtures[[#This Row],[homeTeam]]))</f>
        <v>N/A</v>
      </c>
      <c r="AB890" s="58" t="str" cm="1">
        <f t="array" ref="AB890">_xlfn._xlws.FILTER(Teams[teamID], Fixtures[[#This Row],[oppTeam]] = Teams[name], "N/A")</f>
        <v>N/A</v>
      </c>
      <c r="AC890" s="58" t="str" cm="1">
        <f t="array" ref="AC890">_xlfn._xlws.FILTER(Teams[teamType], Fixtures[[#This Row],[oppTeam]] = Teams[name], "N/A")</f>
        <v>N/A</v>
      </c>
      <c r="AD890" s="58" t="str">
        <f>IF(ISBLANK(Fixtures[[#This Row],[date]]), "N/A", IF(Fixtures[[#This Row],[userSide]]="H", Fixtures[[#This Row],[homeScore]], Fixtures[[#This Row],[awayScore]]))</f>
        <v>N/A</v>
      </c>
      <c r="AE890" s="58" t="str">
        <f>IF(ISBLANK(Fixtures[[#This Row],[date]]), "N/A", IF(Fixtures[[#This Row],[userScore]] = Fixtures[[#This Row],[homeScore]], Fixtures[[#This Row],[awayScore]], Fixtures[[#This Row],[homeScore]]))</f>
        <v>N/A</v>
      </c>
      <c r="AF890" s="58" t="b">
        <f>NOT(AND(ISBLANK(Fixtures[[#This Row],[homePens]]), ISBLANK(Fixtures[[#This Row],[awayPens]])))</f>
        <v>0</v>
      </c>
      <c r="AG890" s="58" t="str">
        <f>IF(Fixtures[[#This Row],[penalties]], IF(Fixtures[[#This Row],[userSide]]="H", Fixtures[[#This Row],[homePens]], Fixtures[[#This Row],[awayPens]]), "N/A")</f>
        <v>N/A</v>
      </c>
      <c r="AH890" s="58" t="str">
        <f>IF(Fixtures[[#This Row],[penalties]], IF(Fixtures[[#This Row],[userPens]]=Fixtures[[#This Row],[homePens]],Fixtures[[#This Row],[awayPens]],Fixtures[[#This Row],[homePens]]), "N/A")</f>
        <v>N/A</v>
      </c>
      <c r="AI890" s="58" t="b">
        <f>COUNTBLANK(Fixtures[[#This Row],[G]:[MOTM]]) = 0</f>
        <v>0</v>
      </c>
      <c r="AJ890" s="58" t="str">
        <f>IF(Fixtures[[#This Row],[APP]], Fixtures[[#This Row],[G]]+Fixtures[[#This Row],[A]], "N/A")</f>
        <v>N/A</v>
      </c>
      <c r="AK8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1" spans="1:39" ht="13">
      <c r="A891" s="55"/>
      <c r="B891" s="61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7"/>
      <c r="R891" s="56"/>
      <c r="S891" s="58" t="str" cm="1">
        <f t="array" ref="S891">_xlfn._xlws.FILTER(Competitions[compType], (Fixtures[[#This Row],[competition]] = Competitions[name]), "N/A")</f>
        <v>N/A</v>
      </c>
      <c r="T891" s="58" t="str" cm="1">
        <f t="array" ref="T891">_xlfn._xlws.FILTER(Competitions[exhibition], (Fixtures[[#This Row],[competition]] = Competitions[name]), "N/A")</f>
        <v>N/A</v>
      </c>
      <c r="U891" s="58" t="str" cm="1">
        <f t="array" ref="U891">_xlfn._xlws.FILTER(Competitions[compID], (Fixtures[[#This Row],[competition]] = Competitions[name]), "N/A")</f>
        <v>N/A</v>
      </c>
      <c r="V8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1" s="58" t="str" cm="1">
        <f t="array" ref="W8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1" s="58" t="str" cm="1">
        <f t="array" ref="X891">_xlfn._xlws.FILTER(Teams[name], (Fixtures[[#This Row],[userTeamID]] = Teams[teamID]), "N/A")</f>
        <v>N/A</v>
      </c>
      <c r="Y891" s="58" t="str" cm="1">
        <f t="array" ref="Y891">_xlfn._xlws.FILTER(Teams[teamType], (Fixtures[[#This Row],[userTeamID]] = Teams[teamID]), "N/A")</f>
        <v>N/A</v>
      </c>
      <c r="Z891" s="58" t="str" cm="1">
        <f t="array" ref="Z8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1" s="58" t="str">
        <f>IF(Fixtures[[#This Row],[userSide]] = "N/A", "N/A", IF(Fixtures[[#This Row],[userSide]] = "H", Fixtures[[#This Row],[awayTeam]], Fixtures[[#This Row],[homeTeam]]))</f>
        <v>N/A</v>
      </c>
      <c r="AB891" s="58" t="str" cm="1">
        <f t="array" ref="AB891">_xlfn._xlws.FILTER(Teams[teamID], Fixtures[[#This Row],[oppTeam]] = Teams[name], "N/A")</f>
        <v>N/A</v>
      </c>
      <c r="AC891" s="58" t="str" cm="1">
        <f t="array" ref="AC891">_xlfn._xlws.FILTER(Teams[teamType], Fixtures[[#This Row],[oppTeam]] = Teams[name], "N/A")</f>
        <v>N/A</v>
      </c>
      <c r="AD891" s="58" t="str">
        <f>IF(ISBLANK(Fixtures[[#This Row],[date]]), "N/A", IF(Fixtures[[#This Row],[userSide]]="H", Fixtures[[#This Row],[homeScore]], Fixtures[[#This Row],[awayScore]]))</f>
        <v>N/A</v>
      </c>
      <c r="AE891" s="58" t="str">
        <f>IF(ISBLANK(Fixtures[[#This Row],[date]]), "N/A", IF(Fixtures[[#This Row],[userScore]] = Fixtures[[#This Row],[homeScore]], Fixtures[[#This Row],[awayScore]], Fixtures[[#This Row],[homeScore]]))</f>
        <v>N/A</v>
      </c>
      <c r="AF891" s="58" t="b">
        <f>NOT(AND(ISBLANK(Fixtures[[#This Row],[homePens]]), ISBLANK(Fixtures[[#This Row],[awayPens]])))</f>
        <v>0</v>
      </c>
      <c r="AG891" s="58" t="str">
        <f>IF(Fixtures[[#This Row],[penalties]], IF(Fixtures[[#This Row],[userSide]]="H", Fixtures[[#This Row],[homePens]], Fixtures[[#This Row],[awayPens]]), "N/A")</f>
        <v>N/A</v>
      </c>
      <c r="AH891" s="58" t="str">
        <f>IF(Fixtures[[#This Row],[penalties]], IF(Fixtures[[#This Row],[userPens]]=Fixtures[[#This Row],[homePens]],Fixtures[[#This Row],[awayPens]],Fixtures[[#This Row],[homePens]]), "N/A")</f>
        <v>N/A</v>
      </c>
      <c r="AI891" s="58" t="b">
        <f>COUNTBLANK(Fixtures[[#This Row],[G]:[MOTM]]) = 0</f>
        <v>0</v>
      </c>
      <c r="AJ891" s="58" t="str">
        <f>IF(Fixtures[[#This Row],[APP]], Fixtures[[#This Row],[G]]+Fixtures[[#This Row],[A]], "N/A")</f>
        <v>N/A</v>
      </c>
      <c r="AK8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2" spans="1:39" ht="13">
      <c r="A892" s="55"/>
      <c r="B892" s="61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7"/>
      <c r="R892" s="56"/>
      <c r="S892" s="58" t="str" cm="1">
        <f t="array" ref="S892">_xlfn._xlws.FILTER(Competitions[compType], (Fixtures[[#This Row],[competition]] = Competitions[name]), "N/A")</f>
        <v>N/A</v>
      </c>
      <c r="T892" s="58" t="str" cm="1">
        <f t="array" ref="T892">_xlfn._xlws.FILTER(Competitions[exhibition], (Fixtures[[#This Row],[competition]] = Competitions[name]), "N/A")</f>
        <v>N/A</v>
      </c>
      <c r="U892" s="58" t="str" cm="1">
        <f t="array" ref="U892">_xlfn._xlws.FILTER(Competitions[compID], (Fixtures[[#This Row],[competition]] = Competitions[name]), "N/A")</f>
        <v>N/A</v>
      </c>
      <c r="V8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2" s="58" t="str" cm="1">
        <f t="array" ref="W8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2" s="58" t="str" cm="1">
        <f t="array" ref="X892">_xlfn._xlws.FILTER(Teams[name], (Fixtures[[#This Row],[userTeamID]] = Teams[teamID]), "N/A")</f>
        <v>N/A</v>
      </c>
      <c r="Y892" s="58" t="str" cm="1">
        <f t="array" ref="Y892">_xlfn._xlws.FILTER(Teams[teamType], (Fixtures[[#This Row],[userTeamID]] = Teams[teamID]), "N/A")</f>
        <v>N/A</v>
      </c>
      <c r="Z892" s="58" t="str" cm="1">
        <f t="array" ref="Z8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2" s="58" t="str">
        <f>IF(Fixtures[[#This Row],[userSide]] = "N/A", "N/A", IF(Fixtures[[#This Row],[userSide]] = "H", Fixtures[[#This Row],[awayTeam]], Fixtures[[#This Row],[homeTeam]]))</f>
        <v>N/A</v>
      </c>
      <c r="AB892" s="58" t="str" cm="1">
        <f t="array" ref="AB892">_xlfn._xlws.FILTER(Teams[teamID], Fixtures[[#This Row],[oppTeam]] = Teams[name], "N/A")</f>
        <v>N/A</v>
      </c>
      <c r="AC892" s="58" t="str" cm="1">
        <f t="array" ref="AC892">_xlfn._xlws.FILTER(Teams[teamType], Fixtures[[#This Row],[oppTeam]] = Teams[name], "N/A")</f>
        <v>N/A</v>
      </c>
      <c r="AD892" s="58" t="str">
        <f>IF(ISBLANK(Fixtures[[#This Row],[date]]), "N/A", IF(Fixtures[[#This Row],[userSide]]="H", Fixtures[[#This Row],[homeScore]], Fixtures[[#This Row],[awayScore]]))</f>
        <v>N/A</v>
      </c>
      <c r="AE892" s="58" t="str">
        <f>IF(ISBLANK(Fixtures[[#This Row],[date]]), "N/A", IF(Fixtures[[#This Row],[userScore]] = Fixtures[[#This Row],[homeScore]], Fixtures[[#This Row],[awayScore]], Fixtures[[#This Row],[homeScore]]))</f>
        <v>N/A</v>
      </c>
      <c r="AF892" s="58" t="b">
        <f>NOT(AND(ISBLANK(Fixtures[[#This Row],[homePens]]), ISBLANK(Fixtures[[#This Row],[awayPens]])))</f>
        <v>0</v>
      </c>
      <c r="AG892" s="58" t="str">
        <f>IF(Fixtures[[#This Row],[penalties]], IF(Fixtures[[#This Row],[userSide]]="H", Fixtures[[#This Row],[homePens]], Fixtures[[#This Row],[awayPens]]), "N/A")</f>
        <v>N/A</v>
      </c>
      <c r="AH892" s="58" t="str">
        <f>IF(Fixtures[[#This Row],[penalties]], IF(Fixtures[[#This Row],[userPens]]=Fixtures[[#This Row],[homePens]],Fixtures[[#This Row],[awayPens]],Fixtures[[#This Row],[homePens]]), "N/A")</f>
        <v>N/A</v>
      </c>
      <c r="AI892" s="58" t="b">
        <f>COUNTBLANK(Fixtures[[#This Row],[G]:[MOTM]]) = 0</f>
        <v>0</v>
      </c>
      <c r="AJ892" s="58" t="str">
        <f>IF(Fixtures[[#This Row],[APP]], Fixtures[[#This Row],[G]]+Fixtures[[#This Row],[A]], "N/A")</f>
        <v>N/A</v>
      </c>
      <c r="AK8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3" spans="1:39" ht="13">
      <c r="A893" s="55"/>
      <c r="B893" s="61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7"/>
      <c r="R893" s="56"/>
      <c r="S893" s="58" t="str" cm="1">
        <f t="array" ref="S893">_xlfn._xlws.FILTER(Competitions[compType], (Fixtures[[#This Row],[competition]] = Competitions[name]), "N/A")</f>
        <v>N/A</v>
      </c>
      <c r="T893" s="58" t="str" cm="1">
        <f t="array" ref="T893">_xlfn._xlws.FILTER(Competitions[exhibition], (Fixtures[[#This Row],[competition]] = Competitions[name]), "N/A")</f>
        <v>N/A</v>
      </c>
      <c r="U893" s="58" t="str" cm="1">
        <f t="array" ref="U893">_xlfn._xlws.FILTER(Competitions[compID], (Fixtures[[#This Row],[competition]] = Competitions[name]), "N/A")</f>
        <v>N/A</v>
      </c>
      <c r="V8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3" s="58" t="str" cm="1">
        <f t="array" ref="W8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3" s="58" t="str" cm="1">
        <f t="array" ref="X893">_xlfn._xlws.FILTER(Teams[name], (Fixtures[[#This Row],[userTeamID]] = Teams[teamID]), "N/A")</f>
        <v>N/A</v>
      </c>
      <c r="Y893" s="58" t="str" cm="1">
        <f t="array" ref="Y893">_xlfn._xlws.FILTER(Teams[teamType], (Fixtures[[#This Row],[userTeamID]] = Teams[teamID]), "N/A")</f>
        <v>N/A</v>
      </c>
      <c r="Z893" s="58" t="str" cm="1">
        <f t="array" ref="Z8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3" s="58" t="str">
        <f>IF(Fixtures[[#This Row],[userSide]] = "N/A", "N/A", IF(Fixtures[[#This Row],[userSide]] = "H", Fixtures[[#This Row],[awayTeam]], Fixtures[[#This Row],[homeTeam]]))</f>
        <v>N/A</v>
      </c>
      <c r="AB893" s="58" t="str" cm="1">
        <f t="array" ref="AB893">_xlfn._xlws.FILTER(Teams[teamID], Fixtures[[#This Row],[oppTeam]] = Teams[name], "N/A")</f>
        <v>N/A</v>
      </c>
      <c r="AC893" s="58" t="str" cm="1">
        <f t="array" ref="AC893">_xlfn._xlws.FILTER(Teams[teamType], Fixtures[[#This Row],[oppTeam]] = Teams[name], "N/A")</f>
        <v>N/A</v>
      </c>
      <c r="AD893" s="58" t="str">
        <f>IF(ISBLANK(Fixtures[[#This Row],[date]]), "N/A", IF(Fixtures[[#This Row],[userSide]]="H", Fixtures[[#This Row],[homeScore]], Fixtures[[#This Row],[awayScore]]))</f>
        <v>N/A</v>
      </c>
      <c r="AE893" s="58" t="str">
        <f>IF(ISBLANK(Fixtures[[#This Row],[date]]), "N/A", IF(Fixtures[[#This Row],[userScore]] = Fixtures[[#This Row],[homeScore]], Fixtures[[#This Row],[awayScore]], Fixtures[[#This Row],[homeScore]]))</f>
        <v>N/A</v>
      </c>
      <c r="AF893" s="58" t="b">
        <f>NOT(AND(ISBLANK(Fixtures[[#This Row],[homePens]]), ISBLANK(Fixtures[[#This Row],[awayPens]])))</f>
        <v>0</v>
      </c>
      <c r="AG893" s="58" t="str">
        <f>IF(Fixtures[[#This Row],[penalties]], IF(Fixtures[[#This Row],[userSide]]="H", Fixtures[[#This Row],[homePens]], Fixtures[[#This Row],[awayPens]]), "N/A")</f>
        <v>N/A</v>
      </c>
      <c r="AH893" s="58" t="str">
        <f>IF(Fixtures[[#This Row],[penalties]], IF(Fixtures[[#This Row],[userPens]]=Fixtures[[#This Row],[homePens]],Fixtures[[#This Row],[awayPens]],Fixtures[[#This Row],[homePens]]), "N/A")</f>
        <v>N/A</v>
      </c>
      <c r="AI893" s="58" t="b">
        <f>COUNTBLANK(Fixtures[[#This Row],[G]:[MOTM]]) = 0</f>
        <v>0</v>
      </c>
      <c r="AJ893" s="58" t="str">
        <f>IF(Fixtures[[#This Row],[APP]], Fixtures[[#This Row],[G]]+Fixtures[[#This Row],[A]], "N/A")</f>
        <v>N/A</v>
      </c>
      <c r="AK8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4" spans="1:39" ht="13">
      <c r="A894" s="55"/>
      <c r="B894" s="61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7"/>
      <c r="R894" s="56"/>
      <c r="S894" s="58" t="str" cm="1">
        <f t="array" ref="S894">_xlfn._xlws.FILTER(Competitions[compType], (Fixtures[[#This Row],[competition]] = Competitions[name]), "N/A")</f>
        <v>N/A</v>
      </c>
      <c r="T894" s="58" t="str" cm="1">
        <f t="array" ref="T894">_xlfn._xlws.FILTER(Competitions[exhibition], (Fixtures[[#This Row],[competition]] = Competitions[name]), "N/A")</f>
        <v>N/A</v>
      </c>
      <c r="U894" s="58" t="str" cm="1">
        <f t="array" ref="U894">_xlfn._xlws.FILTER(Competitions[compID], (Fixtures[[#This Row],[competition]] = Competitions[name]), "N/A")</f>
        <v>N/A</v>
      </c>
      <c r="V8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4" s="58" t="str" cm="1">
        <f t="array" ref="W8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4" s="58" t="str" cm="1">
        <f t="array" ref="X894">_xlfn._xlws.FILTER(Teams[name], (Fixtures[[#This Row],[userTeamID]] = Teams[teamID]), "N/A")</f>
        <v>N/A</v>
      </c>
      <c r="Y894" s="58" t="str" cm="1">
        <f t="array" ref="Y894">_xlfn._xlws.FILTER(Teams[teamType], (Fixtures[[#This Row],[userTeamID]] = Teams[teamID]), "N/A")</f>
        <v>N/A</v>
      </c>
      <c r="Z894" s="58" t="str" cm="1">
        <f t="array" ref="Z8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4" s="58" t="str">
        <f>IF(Fixtures[[#This Row],[userSide]] = "N/A", "N/A", IF(Fixtures[[#This Row],[userSide]] = "H", Fixtures[[#This Row],[awayTeam]], Fixtures[[#This Row],[homeTeam]]))</f>
        <v>N/A</v>
      </c>
      <c r="AB894" s="58" t="str" cm="1">
        <f t="array" ref="AB894">_xlfn._xlws.FILTER(Teams[teamID], Fixtures[[#This Row],[oppTeam]] = Teams[name], "N/A")</f>
        <v>N/A</v>
      </c>
      <c r="AC894" s="58" t="str" cm="1">
        <f t="array" ref="AC894">_xlfn._xlws.FILTER(Teams[teamType], Fixtures[[#This Row],[oppTeam]] = Teams[name], "N/A")</f>
        <v>N/A</v>
      </c>
      <c r="AD894" s="58" t="str">
        <f>IF(ISBLANK(Fixtures[[#This Row],[date]]), "N/A", IF(Fixtures[[#This Row],[userSide]]="H", Fixtures[[#This Row],[homeScore]], Fixtures[[#This Row],[awayScore]]))</f>
        <v>N/A</v>
      </c>
      <c r="AE894" s="58" t="str">
        <f>IF(ISBLANK(Fixtures[[#This Row],[date]]), "N/A", IF(Fixtures[[#This Row],[userScore]] = Fixtures[[#This Row],[homeScore]], Fixtures[[#This Row],[awayScore]], Fixtures[[#This Row],[homeScore]]))</f>
        <v>N/A</v>
      </c>
      <c r="AF894" s="58" t="b">
        <f>NOT(AND(ISBLANK(Fixtures[[#This Row],[homePens]]), ISBLANK(Fixtures[[#This Row],[awayPens]])))</f>
        <v>0</v>
      </c>
      <c r="AG894" s="58" t="str">
        <f>IF(Fixtures[[#This Row],[penalties]], IF(Fixtures[[#This Row],[userSide]]="H", Fixtures[[#This Row],[homePens]], Fixtures[[#This Row],[awayPens]]), "N/A")</f>
        <v>N/A</v>
      </c>
      <c r="AH894" s="58" t="str">
        <f>IF(Fixtures[[#This Row],[penalties]], IF(Fixtures[[#This Row],[userPens]]=Fixtures[[#This Row],[homePens]],Fixtures[[#This Row],[awayPens]],Fixtures[[#This Row],[homePens]]), "N/A")</f>
        <v>N/A</v>
      </c>
      <c r="AI894" s="58" t="b">
        <f>COUNTBLANK(Fixtures[[#This Row],[G]:[MOTM]]) = 0</f>
        <v>0</v>
      </c>
      <c r="AJ894" s="58" t="str">
        <f>IF(Fixtures[[#This Row],[APP]], Fixtures[[#This Row],[G]]+Fixtures[[#This Row],[A]], "N/A")</f>
        <v>N/A</v>
      </c>
      <c r="AK8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5" spans="1:39" ht="13">
      <c r="A895" s="55"/>
      <c r="B895" s="61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7"/>
      <c r="R895" s="56"/>
      <c r="S895" s="58" t="str" cm="1">
        <f t="array" ref="S895">_xlfn._xlws.FILTER(Competitions[compType], (Fixtures[[#This Row],[competition]] = Competitions[name]), "N/A")</f>
        <v>N/A</v>
      </c>
      <c r="T895" s="58" t="str" cm="1">
        <f t="array" ref="T895">_xlfn._xlws.FILTER(Competitions[exhibition], (Fixtures[[#This Row],[competition]] = Competitions[name]), "N/A")</f>
        <v>N/A</v>
      </c>
      <c r="U895" s="58" t="str" cm="1">
        <f t="array" ref="U895">_xlfn._xlws.FILTER(Competitions[compID], (Fixtures[[#This Row],[competition]] = Competitions[name]), "N/A")</f>
        <v>N/A</v>
      </c>
      <c r="V8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5" s="58" t="str" cm="1">
        <f t="array" ref="W8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5" s="58" t="str" cm="1">
        <f t="array" ref="X895">_xlfn._xlws.FILTER(Teams[name], (Fixtures[[#This Row],[userTeamID]] = Teams[teamID]), "N/A")</f>
        <v>N/A</v>
      </c>
      <c r="Y895" s="58" t="str" cm="1">
        <f t="array" ref="Y895">_xlfn._xlws.FILTER(Teams[teamType], (Fixtures[[#This Row],[userTeamID]] = Teams[teamID]), "N/A")</f>
        <v>N/A</v>
      </c>
      <c r="Z895" s="58" t="str" cm="1">
        <f t="array" ref="Z8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5" s="58" t="str">
        <f>IF(Fixtures[[#This Row],[userSide]] = "N/A", "N/A", IF(Fixtures[[#This Row],[userSide]] = "H", Fixtures[[#This Row],[awayTeam]], Fixtures[[#This Row],[homeTeam]]))</f>
        <v>N/A</v>
      </c>
      <c r="AB895" s="58" t="str" cm="1">
        <f t="array" ref="AB895">_xlfn._xlws.FILTER(Teams[teamID], Fixtures[[#This Row],[oppTeam]] = Teams[name], "N/A")</f>
        <v>N/A</v>
      </c>
      <c r="AC895" s="58" t="str" cm="1">
        <f t="array" ref="AC895">_xlfn._xlws.FILTER(Teams[teamType], Fixtures[[#This Row],[oppTeam]] = Teams[name], "N/A")</f>
        <v>N/A</v>
      </c>
      <c r="AD895" s="58" t="str">
        <f>IF(ISBLANK(Fixtures[[#This Row],[date]]), "N/A", IF(Fixtures[[#This Row],[userSide]]="H", Fixtures[[#This Row],[homeScore]], Fixtures[[#This Row],[awayScore]]))</f>
        <v>N/A</v>
      </c>
      <c r="AE895" s="58" t="str">
        <f>IF(ISBLANK(Fixtures[[#This Row],[date]]), "N/A", IF(Fixtures[[#This Row],[userScore]] = Fixtures[[#This Row],[homeScore]], Fixtures[[#This Row],[awayScore]], Fixtures[[#This Row],[homeScore]]))</f>
        <v>N/A</v>
      </c>
      <c r="AF895" s="58" t="b">
        <f>NOT(AND(ISBLANK(Fixtures[[#This Row],[homePens]]), ISBLANK(Fixtures[[#This Row],[awayPens]])))</f>
        <v>0</v>
      </c>
      <c r="AG895" s="58" t="str">
        <f>IF(Fixtures[[#This Row],[penalties]], IF(Fixtures[[#This Row],[userSide]]="H", Fixtures[[#This Row],[homePens]], Fixtures[[#This Row],[awayPens]]), "N/A")</f>
        <v>N/A</v>
      </c>
      <c r="AH895" s="58" t="str">
        <f>IF(Fixtures[[#This Row],[penalties]], IF(Fixtures[[#This Row],[userPens]]=Fixtures[[#This Row],[homePens]],Fixtures[[#This Row],[awayPens]],Fixtures[[#This Row],[homePens]]), "N/A")</f>
        <v>N/A</v>
      </c>
      <c r="AI895" s="58" t="b">
        <f>COUNTBLANK(Fixtures[[#This Row],[G]:[MOTM]]) = 0</f>
        <v>0</v>
      </c>
      <c r="AJ895" s="58" t="str">
        <f>IF(Fixtures[[#This Row],[APP]], Fixtures[[#This Row],[G]]+Fixtures[[#This Row],[A]], "N/A")</f>
        <v>N/A</v>
      </c>
      <c r="AK8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6" spans="1:39" ht="13">
      <c r="A896" s="55"/>
      <c r="B896" s="61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7"/>
      <c r="R896" s="56"/>
      <c r="S896" s="58" t="str" cm="1">
        <f t="array" ref="S896">_xlfn._xlws.FILTER(Competitions[compType], (Fixtures[[#This Row],[competition]] = Competitions[name]), "N/A")</f>
        <v>N/A</v>
      </c>
      <c r="T896" s="58" t="str" cm="1">
        <f t="array" ref="T896">_xlfn._xlws.FILTER(Competitions[exhibition], (Fixtures[[#This Row],[competition]] = Competitions[name]), "N/A")</f>
        <v>N/A</v>
      </c>
      <c r="U896" s="58" t="str" cm="1">
        <f t="array" ref="U896">_xlfn._xlws.FILTER(Competitions[compID], (Fixtures[[#This Row],[competition]] = Competitions[name]), "N/A")</f>
        <v>N/A</v>
      </c>
      <c r="V8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6" s="58" t="str" cm="1">
        <f t="array" ref="W8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6" s="58" t="str" cm="1">
        <f t="array" ref="X896">_xlfn._xlws.FILTER(Teams[name], (Fixtures[[#This Row],[userTeamID]] = Teams[teamID]), "N/A")</f>
        <v>N/A</v>
      </c>
      <c r="Y896" s="58" t="str" cm="1">
        <f t="array" ref="Y896">_xlfn._xlws.FILTER(Teams[teamType], (Fixtures[[#This Row],[userTeamID]] = Teams[teamID]), "N/A")</f>
        <v>N/A</v>
      </c>
      <c r="Z896" s="58" t="str" cm="1">
        <f t="array" ref="Z8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6" s="58" t="str">
        <f>IF(Fixtures[[#This Row],[userSide]] = "N/A", "N/A", IF(Fixtures[[#This Row],[userSide]] = "H", Fixtures[[#This Row],[awayTeam]], Fixtures[[#This Row],[homeTeam]]))</f>
        <v>N/A</v>
      </c>
      <c r="AB896" s="58" t="str" cm="1">
        <f t="array" ref="AB896">_xlfn._xlws.FILTER(Teams[teamID], Fixtures[[#This Row],[oppTeam]] = Teams[name], "N/A")</f>
        <v>N/A</v>
      </c>
      <c r="AC896" s="58" t="str" cm="1">
        <f t="array" ref="AC896">_xlfn._xlws.FILTER(Teams[teamType], Fixtures[[#This Row],[oppTeam]] = Teams[name], "N/A")</f>
        <v>N/A</v>
      </c>
      <c r="AD896" s="58" t="str">
        <f>IF(ISBLANK(Fixtures[[#This Row],[date]]), "N/A", IF(Fixtures[[#This Row],[userSide]]="H", Fixtures[[#This Row],[homeScore]], Fixtures[[#This Row],[awayScore]]))</f>
        <v>N/A</v>
      </c>
      <c r="AE896" s="58" t="str">
        <f>IF(ISBLANK(Fixtures[[#This Row],[date]]), "N/A", IF(Fixtures[[#This Row],[userScore]] = Fixtures[[#This Row],[homeScore]], Fixtures[[#This Row],[awayScore]], Fixtures[[#This Row],[homeScore]]))</f>
        <v>N/A</v>
      </c>
      <c r="AF896" s="58" t="b">
        <f>NOT(AND(ISBLANK(Fixtures[[#This Row],[homePens]]), ISBLANK(Fixtures[[#This Row],[awayPens]])))</f>
        <v>0</v>
      </c>
      <c r="AG896" s="58" t="str">
        <f>IF(Fixtures[[#This Row],[penalties]], IF(Fixtures[[#This Row],[userSide]]="H", Fixtures[[#This Row],[homePens]], Fixtures[[#This Row],[awayPens]]), "N/A")</f>
        <v>N/A</v>
      </c>
      <c r="AH896" s="58" t="str">
        <f>IF(Fixtures[[#This Row],[penalties]], IF(Fixtures[[#This Row],[userPens]]=Fixtures[[#This Row],[homePens]],Fixtures[[#This Row],[awayPens]],Fixtures[[#This Row],[homePens]]), "N/A")</f>
        <v>N/A</v>
      </c>
      <c r="AI896" s="58" t="b">
        <f>COUNTBLANK(Fixtures[[#This Row],[G]:[MOTM]]) = 0</f>
        <v>0</v>
      </c>
      <c r="AJ896" s="58" t="str">
        <f>IF(Fixtures[[#This Row],[APP]], Fixtures[[#This Row],[G]]+Fixtures[[#This Row],[A]], "N/A")</f>
        <v>N/A</v>
      </c>
      <c r="AK8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7" spans="1:39" ht="13">
      <c r="A897" s="55"/>
      <c r="B897" s="61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7"/>
      <c r="R897" s="56"/>
      <c r="S897" s="58" t="str" cm="1">
        <f t="array" ref="S897">_xlfn._xlws.FILTER(Competitions[compType], (Fixtures[[#This Row],[competition]] = Competitions[name]), "N/A")</f>
        <v>N/A</v>
      </c>
      <c r="T897" s="58" t="str" cm="1">
        <f t="array" ref="T897">_xlfn._xlws.FILTER(Competitions[exhibition], (Fixtures[[#This Row],[competition]] = Competitions[name]), "N/A")</f>
        <v>N/A</v>
      </c>
      <c r="U897" s="58" t="str" cm="1">
        <f t="array" ref="U897">_xlfn._xlws.FILTER(Competitions[compID], (Fixtures[[#This Row],[competition]] = Competitions[name]), "N/A")</f>
        <v>N/A</v>
      </c>
      <c r="V8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7" s="58" t="str" cm="1">
        <f t="array" ref="W8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7" s="58" t="str" cm="1">
        <f t="array" ref="X897">_xlfn._xlws.FILTER(Teams[name], (Fixtures[[#This Row],[userTeamID]] = Teams[teamID]), "N/A")</f>
        <v>N/A</v>
      </c>
      <c r="Y897" s="58" t="str" cm="1">
        <f t="array" ref="Y897">_xlfn._xlws.FILTER(Teams[teamType], (Fixtures[[#This Row],[userTeamID]] = Teams[teamID]), "N/A")</f>
        <v>N/A</v>
      </c>
      <c r="Z897" s="58" t="str" cm="1">
        <f t="array" ref="Z8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7" s="58" t="str">
        <f>IF(Fixtures[[#This Row],[userSide]] = "N/A", "N/A", IF(Fixtures[[#This Row],[userSide]] = "H", Fixtures[[#This Row],[awayTeam]], Fixtures[[#This Row],[homeTeam]]))</f>
        <v>N/A</v>
      </c>
      <c r="AB897" s="58" t="str" cm="1">
        <f t="array" ref="AB897">_xlfn._xlws.FILTER(Teams[teamID], Fixtures[[#This Row],[oppTeam]] = Teams[name], "N/A")</f>
        <v>N/A</v>
      </c>
      <c r="AC897" s="58" t="str" cm="1">
        <f t="array" ref="AC897">_xlfn._xlws.FILTER(Teams[teamType], Fixtures[[#This Row],[oppTeam]] = Teams[name], "N/A")</f>
        <v>N/A</v>
      </c>
      <c r="AD897" s="58" t="str">
        <f>IF(ISBLANK(Fixtures[[#This Row],[date]]), "N/A", IF(Fixtures[[#This Row],[userSide]]="H", Fixtures[[#This Row],[homeScore]], Fixtures[[#This Row],[awayScore]]))</f>
        <v>N/A</v>
      </c>
      <c r="AE897" s="58" t="str">
        <f>IF(ISBLANK(Fixtures[[#This Row],[date]]), "N/A", IF(Fixtures[[#This Row],[userScore]] = Fixtures[[#This Row],[homeScore]], Fixtures[[#This Row],[awayScore]], Fixtures[[#This Row],[homeScore]]))</f>
        <v>N/A</v>
      </c>
      <c r="AF897" s="58" t="b">
        <f>NOT(AND(ISBLANK(Fixtures[[#This Row],[homePens]]), ISBLANK(Fixtures[[#This Row],[awayPens]])))</f>
        <v>0</v>
      </c>
      <c r="AG897" s="58" t="str">
        <f>IF(Fixtures[[#This Row],[penalties]], IF(Fixtures[[#This Row],[userSide]]="H", Fixtures[[#This Row],[homePens]], Fixtures[[#This Row],[awayPens]]), "N/A")</f>
        <v>N/A</v>
      </c>
      <c r="AH897" s="58" t="str">
        <f>IF(Fixtures[[#This Row],[penalties]], IF(Fixtures[[#This Row],[userPens]]=Fixtures[[#This Row],[homePens]],Fixtures[[#This Row],[awayPens]],Fixtures[[#This Row],[homePens]]), "N/A")</f>
        <v>N/A</v>
      </c>
      <c r="AI897" s="58" t="b">
        <f>COUNTBLANK(Fixtures[[#This Row],[G]:[MOTM]]) = 0</f>
        <v>0</v>
      </c>
      <c r="AJ897" s="58" t="str">
        <f>IF(Fixtures[[#This Row],[APP]], Fixtures[[#This Row],[G]]+Fixtures[[#This Row],[A]], "N/A")</f>
        <v>N/A</v>
      </c>
      <c r="AK8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8" spans="1:39" ht="13">
      <c r="A898" s="55"/>
      <c r="B898" s="61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7"/>
      <c r="R898" s="56"/>
      <c r="S898" s="58" t="str" cm="1">
        <f t="array" ref="S898">_xlfn._xlws.FILTER(Competitions[compType], (Fixtures[[#This Row],[competition]] = Competitions[name]), "N/A")</f>
        <v>N/A</v>
      </c>
      <c r="T898" s="58" t="str" cm="1">
        <f t="array" ref="T898">_xlfn._xlws.FILTER(Competitions[exhibition], (Fixtures[[#This Row],[competition]] = Competitions[name]), "N/A")</f>
        <v>N/A</v>
      </c>
      <c r="U898" s="58" t="str" cm="1">
        <f t="array" ref="U898">_xlfn._xlws.FILTER(Competitions[compID], (Fixtures[[#This Row],[competition]] = Competitions[name]), "N/A")</f>
        <v>N/A</v>
      </c>
      <c r="V8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8" s="58" t="str" cm="1">
        <f t="array" ref="W8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8" s="58" t="str" cm="1">
        <f t="array" ref="X898">_xlfn._xlws.FILTER(Teams[name], (Fixtures[[#This Row],[userTeamID]] = Teams[teamID]), "N/A")</f>
        <v>N/A</v>
      </c>
      <c r="Y898" s="58" t="str" cm="1">
        <f t="array" ref="Y898">_xlfn._xlws.FILTER(Teams[teamType], (Fixtures[[#This Row],[userTeamID]] = Teams[teamID]), "N/A")</f>
        <v>N/A</v>
      </c>
      <c r="Z898" s="58" t="str" cm="1">
        <f t="array" ref="Z8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8" s="58" t="str">
        <f>IF(Fixtures[[#This Row],[userSide]] = "N/A", "N/A", IF(Fixtures[[#This Row],[userSide]] = "H", Fixtures[[#This Row],[awayTeam]], Fixtures[[#This Row],[homeTeam]]))</f>
        <v>N/A</v>
      </c>
      <c r="AB898" s="58" t="str" cm="1">
        <f t="array" ref="AB898">_xlfn._xlws.FILTER(Teams[teamID], Fixtures[[#This Row],[oppTeam]] = Teams[name], "N/A")</f>
        <v>N/A</v>
      </c>
      <c r="AC898" s="58" t="str" cm="1">
        <f t="array" ref="AC898">_xlfn._xlws.FILTER(Teams[teamType], Fixtures[[#This Row],[oppTeam]] = Teams[name], "N/A")</f>
        <v>N/A</v>
      </c>
      <c r="AD898" s="58" t="str">
        <f>IF(ISBLANK(Fixtures[[#This Row],[date]]), "N/A", IF(Fixtures[[#This Row],[userSide]]="H", Fixtures[[#This Row],[homeScore]], Fixtures[[#This Row],[awayScore]]))</f>
        <v>N/A</v>
      </c>
      <c r="AE898" s="58" t="str">
        <f>IF(ISBLANK(Fixtures[[#This Row],[date]]), "N/A", IF(Fixtures[[#This Row],[userScore]] = Fixtures[[#This Row],[homeScore]], Fixtures[[#This Row],[awayScore]], Fixtures[[#This Row],[homeScore]]))</f>
        <v>N/A</v>
      </c>
      <c r="AF898" s="58" t="b">
        <f>NOT(AND(ISBLANK(Fixtures[[#This Row],[homePens]]), ISBLANK(Fixtures[[#This Row],[awayPens]])))</f>
        <v>0</v>
      </c>
      <c r="AG898" s="58" t="str">
        <f>IF(Fixtures[[#This Row],[penalties]], IF(Fixtures[[#This Row],[userSide]]="H", Fixtures[[#This Row],[homePens]], Fixtures[[#This Row],[awayPens]]), "N/A")</f>
        <v>N/A</v>
      </c>
      <c r="AH898" s="58" t="str">
        <f>IF(Fixtures[[#This Row],[penalties]], IF(Fixtures[[#This Row],[userPens]]=Fixtures[[#This Row],[homePens]],Fixtures[[#This Row],[awayPens]],Fixtures[[#This Row],[homePens]]), "N/A")</f>
        <v>N/A</v>
      </c>
      <c r="AI898" s="58" t="b">
        <f>COUNTBLANK(Fixtures[[#This Row],[G]:[MOTM]]) = 0</f>
        <v>0</v>
      </c>
      <c r="AJ898" s="58" t="str">
        <f>IF(Fixtures[[#This Row],[APP]], Fixtures[[#This Row],[G]]+Fixtures[[#This Row],[A]], "N/A")</f>
        <v>N/A</v>
      </c>
      <c r="AK8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899" spans="1:39" ht="13">
      <c r="A899" s="55"/>
      <c r="B899" s="61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7"/>
      <c r="R899" s="56"/>
      <c r="S899" s="58" t="str" cm="1">
        <f t="array" ref="S899">_xlfn._xlws.FILTER(Competitions[compType], (Fixtures[[#This Row],[competition]] = Competitions[name]), "N/A")</f>
        <v>N/A</v>
      </c>
      <c r="T899" s="58" t="str" cm="1">
        <f t="array" ref="T899">_xlfn._xlws.FILTER(Competitions[exhibition], (Fixtures[[#This Row],[competition]] = Competitions[name]), "N/A")</f>
        <v>N/A</v>
      </c>
      <c r="U899" s="58" t="str" cm="1">
        <f t="array" ref="U899">_xlfn._xlws.FILTER(Competitions[compID], (Fixtures[[#This Row],[competition]] = Competitions[name]), "N/A")</f>
        <v>N/A</v>
      </c>
      <c r="V8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899" s="58" t="str" cm="1">
        <f t="array" ref="W8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899" s="58" t="str" cm="1">
        <f t="array" ref="X899">_xlfn._xlws.FILTER(Teams[name], (Fixtures[[#This Row],[userTeamID]] = Teams[teamID]), "N/A")</f>
        <v>N/A</v>
      </c>
      <c r="Y899" s="58" t="str" cm="1">
        <f t="array" ref="Y899">_xlfn._xlws.FILTER(Teams[teamType], (Fixtures[[#This Row],[userTeamID]] = Teams[teamID]), "N/A")</f>
        <v>N/A</v>
      </c>
      <c r="Z899" s="58" t="str" cm="1">
        <f t="array" ref="Z8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899" s="58" t="str">
        <f>IF(Fixtures[[#This Row],[userSide]] = "N/A", "N/A", IF(Fixtures[[#This Row],[userSide]] = "H", Fixtures[[#This Row],[awayTeam]], Fixtures[[#This Row],[homeTeam]]))</f>
        <v>N/A</v>
      </c>
      <c r="AB899" s="58" t="str" cm="1">
        <f t="array" ref="AB899">_xlfn._xlws.FILTER(Teams[teamID], Fixtures[[#This Row],[oppTeam]] = Teams[name], "N/A")</f>
        <v>N/A</v>
      </c>
      <c r="AC899" s="58" t="str" cm="1">
        <f t="array" ref="AC899">_xlfn._xlws.FILTER(Teams[teamType], Fixtures[[#This Row],[oppTeam]] = Teams[name], "N/A")</f>
        <v>N/A</v>
      </c>
      <c r="AD899" s="58" t="str">
        <f>IF(ISBLANK(Fixtures[[#This Row],[date]]), "N/A", IF(Fixtures[[#This Row],[userSide]]="H", Fixtures[[#This Row],[homeScore]], Fixtures[[#This Row],[awayScore]]))</f>
        <v>N/A</v>
      </c>
      <c r="AE899" s="58" t="str">
        <f>IF(ISBLANK(Fixtures[[#This Row],[date]]), "N/A", IF(Fixtures[[#This Row],[userScore]] = Fixtures[[#This Row],[homeScore]], Fixtures[[#This Row],[awayScore]], Fixtures[[#This Row],[homeScore]]))</f>
        <v>N/A</v>
      </c>
      <c r="AF899" s="58" t="b">
        <f>NOT(AND(ISBLANK(Fixtures[[#This Row],[homePens]]), ISBLANK(Fixtures[[#This Row],[awayPens]])))</f>
        <v>0</v>
      </c>
      <c r="AG899" s="58" t="str">
        <f>IF(Fixtures[[#This Row],[penalties]], IF(Fixtures[[#This Row],[userSide]]="H", Fixtures[[#This Row],[homePens]], Fixtures[[#This Row],[awayPens]]), "N/A")</f>
        <v>N/A</v>
      </c>
      <c r="AH899" s="58" t="str">
        <f>IF(Fixtures[[#This Row],[penalties]], IF(Fixtures[[#This Row],[userPens]]=Fixtures[[#This Row],[homePens]],Fixtures[[#This Row],[awayPens]],Fixtures[[#This Row],[homePens]]), "N/A")</f>
        <v>N/A</v>
      </c>
      <c r="AI899" s="58" t="b">
        <f>COUNTBLANK(Fixtures[[#This Row],[G]:[MOTM]]) = 0</f>
        <v>0</v>
      </c>
      <c r="AJ899" s="58" t="str">
        <f>IF(Fixtures[[#This Row],[APP]], Fixtures[[#This Row],[G]]+Fixtures[[#This Row],[A]], "N/A")</f>
        <v>N/A</v>
      </c>
      <c r="AK8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8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8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0" spans="1:39" ht="13">
      <c r="A900" s="55"/>
      <c r="B900" s="61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7"/>
      <c r="R900" s="56"/>
      <c r="S900" s="58" t="str" cm="1">
        <f t="array" ref="S900">_xlfn._xlws.FILTER(Competitions[compType], (Fixtures[[#This Row],[competition]] = Competitions[name]), "N/A")</f>
        <v>N/A</v>
      </c>
      <c r="T900" s="58" t="str" cm="1">
        <f t="array" ref="T900">_xlfn._xlws.FILTER(Competitions[exhibition], (Fixtures[[#This Row],[competition]] = Competitions[name]), "N/A")</f>
        <v>N/A</v>
      </c>
      <c r="U900" s="58" t="str" cm="1">
        <f t="array" ref="U900">_xlfn._xlws.FILTER(Competitions[compID], (Fixtures[[#This Row],[competition]] = Competitions[name]), "N/A")</f>
        <v>N/A</v>
      </c>
      <c r="V9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0" s="58" t="str" cm="1">
        <f t="array" ref="W9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0" s="58" t="str" cm="1">
        <f t="array" ref="X900">_xlfn._xlws.FILTER(Teams[name], (Fixtures[[#This Row],[userTeamID]] = Teams[teamID]), "N/A")</f>
        <v>N/A</v>
      </c>
      <c r="Y900" s="58" t="str" cm="1">
        <f t="array" ref="Y900">_xlfn._xlws.FILTER(Teams[teamType], (Fixtures[[#This Row],[userTeamID]] = Teams[teamID]), "N/A")</f>
        <v>N/A</v>
      </c>
      <c r="Z900" s="58" t="str" cm="1">
        <f t="array" ref="Z9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0" s="58" t="str">
        <f>IF(Fixtures[[#This Row],[userSide]] = "N/A", "N/A", IF(Fixtures[[#This Row],[userSide]] = "H", Fixtures[[#This Row],[awayTeam]], Fixtures[[#This Row],[homeTeam]]))</f>
        <v>N/A</v>
      </c>
      <c r="AB900" s="58" t="str" cm="1">
        <f t="array" ref="AB900">_xlfn._xlws.FILTER(Teams[teamID], Fixtures[[#This Row],[oppTeam]] = Teams[name], "N/A")</f>
        <v>N/A</v>
      </c>
      <c r="AC900" s="58" t="str" cm="1">
        <f t="array" ref="AC900">_xlfn._xlws.FILTER(Teams[teamType], Fixtures[[#This Row],[oppTeam]] = Teams[name], "N/A")</f>
        <v>N/A</v>
      </c>
      <c r="AD900" s="58" t="str">
        <f>IF(ISBLANK(Fixtures[[#This Row],[date]]), "N/A", IF(Fixtures[[#This Row],[userSide]]="H", Fixtures[[#This Row],[homeScore]], Fixtures[[#This Row],[awayScore]]))</f>
        <v>N/A</v>
      </c>
      <c r="AE900" s="58" t="str">
        <f>IF(ISBLANK(Fixtures[[#This Row],[date]]), "N/A", IF(Fixtures[[#This Row],[userScore]] = Fixtures[[#This Row],[homeScore]], Fixtures[[#This Row],[awayScore]], Fixtures[[#This Row],[homeScore]]))</f>
        <v>N/A</v>
      </c>
      <c r="AF900" s="58" t="b">
        <f>NOT(AND(ISBLANK(Fixtures[[#This Row],[homePens]]), ISBLANK(Fixtures[[#This Row],[awayPens]])))</f>
        <v>0</v>
      </c>
      <c r="AG900" s="58" t="str">
        <f>IF(Fixtures[[#This Row],[penalties]], IF(Fixtures[[#This Row],[userSide]]="H", Fixtures[[#This Row],[homePens]], Fixtures[[#This Row],[awayPens]]), "N/A")</f>
        <v>N/A</v>
      </c>
      <c r="AH900" s="58" t="str">
        <f>IF(Fixtures[[#This Row],[penalties]], IF(Fixtures[[#This Row],[userPens]]=Fixtures[[#This Row],[homePens]],Fixtures[[#This Row],[awayPens]],Fixtures[[#This Row],[homePens]]), "N/A")</f>
        <v>N/A</v>
      </c>
      <c r="AI900" s="58" t="b">
        <f>COUNTBLANK(Fixtures[[#This Row],[G]:[MOTM]]) = 0</f>
        <v>0</v>
      </c>
      <c r="AJ900" s="58" t="str">
        <f>IF(Fixtures[[#This Row],[APP]], Fixtures[[#This Row],[G]]+Fixtures[[#This Row],[A]], "N/A")</f>
        <v>N/A</v>
      </c>
      <c r="AK9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1" spans="1:39" ht="13">
      <c r="A901" s="55"/>
      <c r="B901" s="61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7"/>
      <c r="R901" s="56"/>
      <c r="S901" s="58" t="str" cm="1">
        <f t="array" ref="S901">_xlfn._xlws.FILTER(Competitions[compType], (Fixtures[[#This Row],[competition]] = Competitions[name]), "N/A")</f>
        <v>N/A</v>
      </c>
      <c r="T901" s="58" t="str" cm="1">
        <f t="array" ref="T901">_xlfn._xlws.FILTER(Competitions[exhibition], (Fixtures[[#This Row],[competition]] = Competitions[name]), "N/A")</f>
        <v>N/A</v>
      </c>
      <c r="U901" s="58" t="str" cm="1">
        <f t="array" ref="U901">_xlfn._xlws.FILTER(Competitions[compID], (Fixtures[[#This Row],[competition]] = Competitions[name]), "N/A")</f>
        <v>N/A</v>
      </c>
      <c r="V9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1" s="58" t="str" cm="1">
        <f t="array" ref="W9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1" s="58" t="str" cm="1">
        <f t="array" ref="X901">_xlfn._xlws.FILTER(Teams[name], (Fixtures[[#This Row],[userTeamID]] = Teams[teamID]), "N/A")</f>
        <v>N/A</v>
      </c>
      <c r="Y901" s="58" t="str" cm="1">
        <f t="array" ref="Y901">_xlfn._xlws.FILTER(Teams[teamType], (Fixtures[[#This Row],[userTeamID]] = Teams[teamID]), "N/A")</f>
        <v>N/A</v>
      </c>
      <c r="Z901" s="58" t="str" cm="1">
        <f t="array" ref="Z9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1" s="58" t="str">
        <f>IF(Fixtures[[#This Row],[userSide]] = "N/A", "N/A", IF(Fixtures[[#This Row],[userSide]] = "H", Fixtures[[#This Row],[awayTeam]], Fixtures[[#This Row],[homeTeam]]))</f>
        <v>N/A</v>
      </c>
      <c r="AB901" s="58" t="str" cm="1">
        <f t="array" ref="AB901">_xlfn._xlws.FILTER(Teams[teamID], Fixtures[[#This Row],[oppTeam]] = Teams[name], "N/A")</f>
        <v>N/A</v>
      </c>
      <c r="AC901" s="58" t="str" cm="1">
        <f t="array" ref="AC901">_xlfn._xlws.FILTER(Teams[teamType], Fixtures[[#This Row],[oppTeam]] = Teams[name], "N/A")</f>
        <v>N/A</v>
      </c>
      <c r="AD901" s="58" t="str">
        <f>IF(ISBLANK(Fixtures[[#This Row],[date]]), "N/A", IF(Fixtures[[#This Row],[userSide]]="H", Fixtures[[#This Row],[homeScore]], Fixtures[[#This Row],[awayScore]]))</f>
        <v>N/A</v>
      </c>
      <c r="AE901" s="58" t="str">
        <f>IF(ISBLANK(Fixtures[[#This Row],[date]]), "N/A", IF(Fixtures[[#This Row],[userScore]] = Fixtures[[#This Row],[homeScore]], Fixtures[[#This Row],[awayScore]], Fixtures[[#This Row],[homeScore]]))</f>
        <v>N/A</v>
      </c>
      <c r="AF901" s="58" t="b">
        <f>NOT(AND(ISBLANK(Fixtures[[#This Row],[homePens]]), ISBLANK(Fixtures[[#This Row],[awayPens]])))</f>
        <v>0</v>
      </c>
      <c r="AG901" s="58" t="str">
        <f>IF(Fixtures[[#This Row],[penalties]], IF(Fixtures[[#This Row],[userSide]]="H", Fixtures[[#This Row],[homePens]], Fixtures[[#This Row],[awayPens]]), "N/A")</f>
        <v>N/A</v>
      </c>
      <c r="AH901" s="58" t="str">
        <f>IF(Fixtures[[#This Row],[penalties]], IF(Fixtures[[#This Row],[userPens]]=Fixtures[[#This Row],[homePens]],Fixtures[[#This Row],[awayPens]],Fixtures[[#This Row],[homePens]]), "N/A")</f>
        <v>N/A</v>
      </c>
      <c r="AI901" s="58" t="b">
        <f>COUNTBLANK(Fixtures[[#This Row],[G]:[MOTM]]) = 0</f>
        <v>0</v>
      </c>
      <c r="AJ901" s="58" t="str">
        <f>IF(Fixtures[[#This Row],[APP]], Fixtures[[#This Row],[G]]+Fixtures[[#This Row],[A]], "N/A")</f>
        <v>N/A</v>
      </c>
      <c r="AK9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2" spans="1:39" ht="13">
      <c r="A902" s="55"/>
      <c r="B902" s="61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7"/>
      <c r="R902" s="56"/>
      <c r="S902" s="58" t="str" cm="1">
        <f t="array" ref="S902">_xlfn._xlws.FILTER(Competitions[compType], (Fixtures[[#This Row],[competition]] = Competitions[name]), "N/A")</f>
        <v>N/A</v>
      </c>
      <c r="T902" s="58" t="str" cm="1">
        <f t="array" ref="T902">_xlfn._xlws.FILTER(Competitions[exhibition], (Fixtures[[#This Row],[competition]] = Competitions[name]), "N/A")</f>
        <v>N/A</v>
      </c>
      <c r="U902" s="58" t="str" cm="1">
        <f t="array" ref="U902">_xlfn._xlws.FILTER(Competitions[compID], (Fixtures[[#This Row],[competition]] = Competitions[name]), "N/A")</f>
        <v>N/A</v>
      </c>
      <c r="V9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2" s="58" t="str" cm="1">
        <f t="array" ref="W9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2" s="58" t="str" cm="1">
        <f t="array" ref="X902">_xlfn._xlws.FILTER(Teams[name], (Fixtures[[#This Row],[userTeamID]] = Teams[teamID]), "N/A")</f>
        <v>N/A</v>
      </c>
      <c r="Y902" s="58" t="str" cm="1">
        <f t="array" ref="Y902">_xlfn._xlws.FILTER(Teams[teamType], (Fixtures[[#This Row],[userTeamID]] = Teams[teamID]), "N/A")</f>
        <v>N/A</v>
      </c>
      <c r="Z902" s="58" t="str" cm="1">
        <f t="array" ref="Z9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2" s="58" t="str">
        <f>IF(Fixtures[[#This Row],[userSide]] = "N/A", "N/A", IF(Fixtures[[#This Row],[userSide]] = "H", Fixtures[[#This Row],[awayTeam]], Fixtures[[#This Row],[homeTeam]]))</f>
        <v>N/A</v>
      </c>
      <c r="AB902" s="58" t="str" cm="1">
        <f t="array" ref="AB902">_xlfn._xlws.FILTER(Teams[teamID], Fixtures[[#This Row],[oppTeam]] = Teams[name], "N/A")</f>
        <v>N/A</v>
      </c>
      <c r="AC902" s="58" t="str" cm="1">
        <f t="array" ref="AC902">_xlfn._xlws.FILTER(Teams[teamType], Fixtures[[#This Row],[oppTeam]] = Teams[name], "N/A")</f>
        <v>N/A</v>
      </c>
      <c r="AD902" s="58" t="str">
        <f>IF(ISBLANK(Fixtures[[#This Row],[date]]), "N/A", IF(Fixtures[[#This Row],[userSide]]="H", Fixtures[[#This Row],[homeScore]], Fixtures[[#This Row],[awayScore]]))</f>
        <v>N/A</v>
      </c>
      <c r="AE902" s="58" t="str">
        <f>IF(ISBLANK(Fixtures[[#This Row],[date]]), "N/A", IF(Fixtures[[#This Row],[userScore]] = Fixtures[[#This Row],[homeScore]], Fixtures[[#This Row],[awayScore]], Fixtures[[#This Row],[homeScore]]))</f>
        <v>N/A</v>
      </c>
      <c r="AF902" s="58" t="b">
        <f>NOT(AND(ISBLANK(Fixtures[[#This Row],[homePens]]), ISBLANK(Fixtures[[#This Row],[awayPens]])))</f>
        <v>0</v>
      </c>
      <c r="AG902" s="58" t="str">
        <f>IF(Fixtures[[#This Row],[penalties]], IF(Fixtures[[#This Row],[userSide]]="H", Fixtures[[#This Row],[homePens]], Fixtures[[#This Row],[awayPens]]), "N/A")</f>
        <v>N/A</v>
      </c>
      <c r="AH902" s="58" t="str">
        <f>IF(Fixtures[[#This Row],[penalties]], IF(Fixtures[[#This Row],[userPens]]=Fixtures[[#This Row],[homePens]],Fixtures[[#This Row],[awayPens]],Fixtures[[#This Row],[homePens]]), "N/A")</f>
        <v>N/A</v>
      </c>
      <c r="AI902" s="58" t="b">
        <f>COUNTBLANK(Fixtures[[#This Row],[G]:[MOTM]]) = 0</f>
        <v>0</v>
      </c>
      <c r="AJ902" s="58" t="str">
        <f>IF(Fixtures[[#This Row],[APP]], Fixtures[[#This Row],[G]]+Fixtures[[#This Row],[A]], "N/A")</f>
        <v>N/A</v>
      </c>
      <c r="AK9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3" spans="1:39" ht="13">
      <c r="A903" s="55"/>
      <c r="B903" s="61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7"/>
      <c r="R903" s="56"/>
      <c r="S903" s="58" t="str" cm="1">
        <f t="array" ref="S903">_xlfn._xlws.FILTER(Competitions[compType], (Fixtures[[#This Row],[competition]] = Competitions[name]), "N/A")</f>
        <v>N/A</v>
      </c>
      <c r="T903" s="58" t="str" cm="1">
        <f t="array" ref="T903">_xlfn._xlws.FILTER(Competitions[exhibition], (Fixtures[[#This Row],[competition]] = Competitions[name]), "N/A")</f>
        <v>N/A</v>
      </c>
      <c r="U903" s="58" t="str" cm="1">
        <f t="array" ref="U903">_xlfn._xlws.FILTER(Competitions[compID], (Fixtures[[#This Row],[competition]] = Competitions[name]), "N/A")</f>
        <v>N/A</v>
      </c>
      <c r="V9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3" s="58" t="str" cm="1">
        <f t="array" ref="W9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3" s="58" t="str" cm="1">
        <f t="array" ref="X903">_xlfn._xlws.FILTER(Teams[name], (Fixtures[[#This Row],[userTeamID]] = Teams[teamID]), "N/A")</f>
        <v>N/A</v>
      </c>
      <c r="Y903" s="58" t="str" cm="1">
        <f t="array" ref="Y903">_xlfn._xlws.FILTER(Teams[teamType], (Fixtures[[#This Row],[userTeamID]] = Teams[teamID]), "N/A")</f>
        <v>N/A</v>
      </c>
      <c r="Z903" s="58" t="str" cm="1">
        <f t="array" ref="Z9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3" s="58" t="str">
        <f>IF(Fixtures[[#This Row],[userSide]] = "N/A", "N/A", IF(Fixtures[[#This Row],[userSide]] = "H", Fixtures[[#This Row],[awayTeam]], Fixtures[[#This Row],[homeTeam]]))</f>
        <v>N/A</v>
      </c>
      <c r="AB903" s="58" t="str" cm="1">
        <f t="array" ref="AB903">_xlfn._xlws.FILTER(Teams[teamID], Fixtures[[#This Row],[oppTeam]] = Teams[name], "N/A")</f>
        <v>N/A</v>
      </c>
      <c r="AC903" s="58" t="str" cm="1">
        <f t="array" ref="AC903">_xlfn._xlws.FILTER(Teams[teamType], Fixtures[[#This Row],[oppTeam]] = Teams[name], "N/A")</f>
        <v>N/A</v>
      </c>
      <c r="AD903" s="58" t="str">
        <f>IF(ISBLANK(Fixtures[[#This Row],[date]]), "N/A", IF(Fixtures[[#This Row],[userSide]]="H", Fixtures[[#This Row],[homeScore]], Fixtures[[#This Row],[awayScore]]))</f>
        <v>N/A</v>
      </c>
      <c r="AE903" s="58" t="str">
        <f>IF(ISBLANK(Fixtures[[#This Row],[date]]), "N/A", IF(Fixtures[[#This Row],[userScore]] = Fixtures[[#This Row],[homeScore]], Fixtures[[#This Row],[awayScore]], Fixtures[[#This Row],[homeScore]]))</f>
        <v>N/A</v>
      </c>
      <c r="AF903" s="58" t="b">
        <f>NOT(AND(ISBLANK(Fixtures[[#This Row],[homePens]]), ISBLANK(Fixtures[[#This Row],[awayPens]])))</f>
        <v>0</v>
      </c>
      <c r="AG903" s="58" t="str">
        <f>IF(Fixtures[[#This Row],[penalties]], IF(Fixtures[[#This Row],[userSide]]="H", Fixtures[[#This Row],[homePens]], Fixtures[[#This Row],[awayPens]]), "N/A")</f>
        <v>N/A</v>
      </c>
      <c r="AH903" s="58" t="str">
        <f>IF(Fixtures[[#This Row],[penalties]], IF(Fixtures[[#This Row],[userPens]]=Fixtures[[#This Row],[homePens]],Fixtures[[#This Row],[awayPens]],Fixtures[[#This Row],[homePens]]), "N/A")</f>
        <v>N/A</v>
      </c>
      <c r="AI903" s="58" t="b">
        <f>COUNTBLANK(Fixtures[[#This Row],[G]:[MOTM]]) = 0</f>
        <v>0</v>
      </c>
      <c r="AJ903" s="58" t="str">
        <f>IF(Fixtures[[#This Row],[APP]], Fixtures[[#This Row],[G]]+Fixtures[[#This Row],[A]], "N/A")</f>
        <v>N/A</v>
      </c>
      <c r="AK9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4" spans="1:39" ht="13">
      <c r="A904" s="55"/>
      <c r="B904" s="61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7"/>
      <c r="R904" s="56"/>
      <c r="S904" s="58" t="str" cm="1">
        <f t="array" ref="S904">_xlfn._xlws.FILTER(Competitions[compType], (Fixtures[[#This Row],[competition]] = Competitions[name]), "N/A")</f>
        <v>N/A</v>
      </c>
      <c r="T904" s="58" t="str" cm="1">
        <f t="array" ref="T904">_xlfn._xlws.FILTER(Competitions[exhibition], (Fixtures[[#This Row],[competition]] = Competitions[name]), "N/A")</f>
        <v>N/A</v>
      </c>
      <c r="U904" s="58" t="str" cm="1">
        <f t="array" ref="U904">_xlfn._xlws.FILTER(Competitions[compID], (Fixtures[[#This Row],[competition]] = Competitions[name]), "N/A")</f>
        <v>N/A</v>
      </c>
      <c r="V9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4" s="58" t="str" cm="1">
        <f t="array" ref="W9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4" s="58" t="str" cm="1">
        <f t="array" ref="X904">_xlfn._xlws.FILTER(Teams[name], (Fixtures[[#This Row],[userTeamID]] = Teams[teamID]), "N/A")</f>
        <v>N/A</v>
      </c>
      <c r="Y904" s="58" t="str" cm="1">
        <f t="array" ref="Y904">_xlfn._xlws.FILTER(Teams[teamType], (Fixtures[[#This Row],[userTeamID]] = Teams[teamID]), "N/A")</f>
        <v>N/A</v>
      </c>
      <c r="Z904" s="58" t="str" cm="1">
        <f t="array" ref="Z9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4" s="58" t="str">
        <f>IF(Fixtures[[#This Row],[userSide]] = "N/A", "N/A", IF(Fixtures[[#This Row],[userSide]] = "H", Fixtures[[#This Row],[awayTeam]], Fixtures[[#This Row],[homeTeam]]))</f>
        <v>N/A</v>
      </c>
      <c r="AB904" s="58" t="str" cm="1">
        <f t="array" ref="AB904">_xlfn._xlws.FILTER(Teams[teamID], Fixtures[[#This Row],[oppTeam]] = Teams[name], "N/A")</f>
        <v>N/A</v>
      </c>
      <c r="AC904" s="58" t="str" cm="1">
        <f t="array" ref="AC904">_xlfn._xlws.FILTER(Teams[teamType], Fixtures[[#This Row],[oppTeam]] = Teams[name], "N/A")</f>
        <v>N/A</v>
      </c>
      <c r="AD904" s="58" t="str">
        <f>IF(ISBLANK(Fixtures[[#This Row],[date]]), "N/A", IF(Fixtures[[#This Row],[userSide]]="H", Fixtures[[#This Row],[homeScore]], Fixtures[[#This Row],[awayScore]]))</f>
        <v>N/A</v>
      </c>
      <c r="AE904" s="58" t="str">
        <f>IF(ISBLANK(Fixtures[[#This Row],[date]]), "N/A", IF(Fixtures[[#This Row],[userScore]] = Fixtures[[#This Row],[homeScore]], Fixtures[[#This Row],[awayScore]], Fixtures[[#This Row],[homeScore]]))</f>
        <v>N/A</v>
      </c>
      <c r="AF904" s="58" t="b">
        <f>NOT(AND(ISBLANK(Fixtures[[#This Row],[homePens]]), ISBLANK(Fixtures[[#This Row],[awayPens]])))</f>
        <v>0</v>
      </c>
      <c r="AG904" s="58" t="str">
        <f>IF(Fixtures[[#This Row],[penalties]], IF(Fixtures[[#This Row],[userSide]]="H", Fixtures[[#This Row],[homePens]], Fixtures[[#This Row],[awayPens]]), "N/A")</f>
        <v>N/A</v>
      </c>
      <c r="AH904" s="58" t="str">
        <f>IF(Fixtures[[#This Row],[penalties]], IF(Fixtures[[#This Row],[userPens]]=Fixtures[[#This Row],[homePens]],Fixtures[[#This Row],[awayPens]],Fixtures[[#This Row],[homePens]]), "N/A")</f>
        <v>N/A</v>
      </c>
      <c r="AI904" s="58" t="b">
        <f>COUNTBLANK(Fixtures[[#This Row],[G]:[MOTM]]) = 0</f>
        <v>0</v>
      </c>
      <c r="AJ904" s="58" t="str">
        <f>IF(Fixtures[[#This Row],[APP]], Fixtures[[#This Row],[G]]+Fixtures[[#This Row],[A]], "N/A")</f>
        <v>N/A</v>
      </c>
      <c r="AK9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5" spans="1:39" ht="13">
      <c r="A905" s="55"/>
      <c r="B905" s="61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7"/>
      <c r="R905" s="56"/>
      <c r="S905" s="58" t="str" cm="1">
        <f t="array" ref="S905">_xlfn._xlws.FILTER(Competitions[compType], (Fixtures[[#This Row],[competition]] = Competitions[name]), "N/A")</f>
        <v>N/A</v>
      </c>
      <c r="T905" s="58" t="str" cm="1">
        <f t="array" ref="T905">_xlfn._xlws.FILTER(Competitions[exhibition], (Fixtures[[#This Row],[competition]] = Competitions[name]), "N/A")</f>
        <v>N/A</v>
      </c>
      <c r="U905" s="58" t="str" cm="1">
        <f t="array" ref="U905">_xlfn._xlws.FILTER(Competitions[compID], (Fixtures[[#This Row],[competition]] = Competitions[name]), "N/A")</f>
        <v>N/A</v>
      </c>
      <c r="V9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5" s="58" t="str" cm="1">
        <f t="array" ref="W9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5" s="58" t="str" cm="1">
        <f t="array" ref="X905">_xlfn._xlws.FILTER(Teams[name], (Fixtures[[#This Row],[userTeamID]] = Teams[teamID]), "N/A")</f>
        <v>N/A</v>
      </c>
      <c r="Y905" s="58" t="str" cm="1">
        <f t="array" ref="Y905">_xlfn._xlws.FILTER(Teams[teamType], (Fixtures[[#This Row],[userTeamID]] = Teams[teamID]), "N/A")</f>
        <v>N/A</v>
      </c>
      <c r="Z905" s="58" t="str" cm="1">
        <f t="array" ref="Z9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5" s="58" t="str">
        <f>IF(Fixtures[[#This Row],[userSide]] = "N/A", "N/A", IF(Fixtures[[#This Row],[userSide]] = "H", Fixtures[[#This Row],[awayTeam]], Fixtures[[#This Row],[homeTeam]]))</f>
        <v>N/A</v>
      </c>
      <c r="AB905" s="58" t="str" cm="1">
        <f t="array" ref="AB905">_xlfn._xlws.FILTER(Teams[teamID], Fixtures[[#This Row],[oppTeam]] = Teams[name], "N/A")</f>
        <v>N/A</v>
      </c>
      <c r="AC905" s="58" t="str" cm="1">
        <f t="array" ref="AC905">_xlfn._xlws.FILTER(Teams[teamType], Fixtures[[#This Row],[oppTeam]] = Teams[name], "N/A")</f>
        <v>N/A</v>
      </c>
      <c r="AD905" s="58" t="str">
        <f>IF(ISBLANK(Fixtures[[#This Row],[date]]), "N/A", IF(Fixtures[[#This Row],[userSide]]="H", Fixtures[[#This Row],[homeScore]], Fixtures[[#This Row],[awayScore]]))</f>
        <v>N/A</v>
      </c>
      <c r="AE905" s="58" t="str">
        <f>IF(ISBLANK(Fixtures[[#This Row],[date]]), "N/A", IF(Fixtures[[#This Row],[userScore]] = Fixtures[[#This Row],[homeScore]], Fixtures[[#This Row],[awayScore]], Fixtures[[#This Row],[homeScore]]))</f>
        <v>N/A</v>
      </c>
      <c r="AF905" s="58" t="b">
        <f>NOT(AND(ISBLANK(Fixtures[[#This Row],[homePens]]), ISBLANK(Fixtures[[#This Row],[awayPens]])))</f>
        <v>0</v>
      </c>
      <c r="AG905" s="58" t="str">
        <f>IF(Fixtures[[#This Row],[penalties]], IF(Fixtures[[#This Row],[userSide]]="H", Fixtures[[#This Row],[homePens]], Fixtures[[#This Row],[awayPens]]), "N/A")</f>
        <v>N/A</v>
      </c>
      <c r="AH905" s="58" t="str">
        <f>IF(Fixtures[[#This Row],[penalties]], IF(Fixtures[[#This Row],[userPens]]=Fixtures[[#This Row],[homePens]],Fixtures[[#This Row],[awayPens]],Fixtures[[#This Row],[homePens]]), "N/A")</f>
        <v>N/A</v>
      </c>
      <c r="AI905" s="58" t="b">
        <f>COUNTBLANK(Fixtures[[#This Row],[G]:[MOTM]]) = 0</f>
        <v>0</v>
      </c>
      <c r="AJ905" s="58" t="str">
        <f>IF(Fixtures[[#This Row],[APP]], Fixtures[[#This Row],[G]]+Fixtures[[#This Row],[A]], "N/A")</f>
        <v>N/A</v>
      </c>
      <c r="AK9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6" spans="1:39" ht="13">
      <c r="A906" s="55"/>
      <c r="B906" s="61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7"/>
      <c r="R906" s="56"/>
      <c r="S906" s="58" t="str" cm="1">
        <f t="array" ref="S906">_xlfn._xlws.FILTER(Competitions[compType], (Fixtures[[#This Row],[competition]] = Competitions[name]), "N/A")</f>
        <v>N/A</v>
      </c>
      <c r="T906" s="58" t="str" cm="1">
        <f t="array" ref="T906">_xlfn._xlws.FILTER(Competitions[exhibition], (Fixtures[[#This Row],[competition]] = Competitions[name]), "N/A")</f>
        <v>N/A</v>
      </c>
      <c r="U906" s="58" t="str" cm="1">
        <f t="array" ref="U906">_xlfn._xlws.FILTER(Competitions[compID], (Fixtures[[#This Row],[competition]] = Competitions[name]), "N/A")</f>
        <v>N/A</v>
      </c>
      <c r="V9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6" s="58" t="str" cm="1">
        <f t="array" ref="W9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6" s="58" t="str" cm="1">
        <f t="array" ref="X906">_xlfn._xlws.FILTER(Teams[name], (Fixtures[[#This Row],[userTeamID]] = Teams[teamID]), "N/A")</f>
        <v>N/A</v>
      </c>
      <c r="Y906" s="58" t="str" cm="1">
        <f t="array" ref="Y906">_xlfn._xlws.FILTER(Teams[teamType], (Fixtures[[#This Row],[userTeamID]] = Teams[teamID]), "N/A")</f>
        <v>N/A</v>
      </c>
      <c r="Z906" s="58" t="str" cm="1">
        <f t="array" ref="Z9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6" s="58" t="str">
        <f>IF(Fixtures[[#This Row],[userSide]] = "N/A", "N/A", IF(Fixtures[[#This Row],[userSide]] = "H", Fixtures[[#This Row],[awayTeam]], Fixtures[[#This Row],[homeTeam]]))</f>
        <v>N/A</v>
      </c>
      <c r="AB906" s="58" t="str" cm="1">
        <f t="array" ref="AB906">_xlfn._xlws.FILTER(Teams[teamID], Fixtures[[#This Row],[oppTeam]] = Teams[name], "N/A")</f>
        <v>N/A</v>
      </c>
      <c r="AC906" s="58" t="str" cm="1">
        <f t="array" ref="AC906">_xlfn._xlws.FILTER(Teams[teamType], Fixtures[[#This Row],[oppTeam]] = Teams[name], "N/A")</f>
        <v>N/A</v>
      </c>
      <c r="AD906" s="58" t="str">
        <f>IF(ISBLANK(Fixtures[[#This Row],[date]]), "N/A", IF(Fixtures[[#This Row],[userSide]]="H", Fixtures[[#This Row],[homeScore]], Fixtures[[#This Row],[awayScore]]))</f>
        <v>N/A</v>
      </c>
      <c r="AE906" s="58" t="str">
        <f>IF(ISBLANK(Fixtures[[#This Row],[date]]), "N/A", IF(Fixtures[[#This Row],[userScore]] = Fixtures[[#This Row],[homeScore]], Fixtures[[#This Row],[awayScore]], Fixtures[[#This Row],[homeScore]]))</f>
        <v>N/A</v>
      </c>
      <c r="AF906" s="58" t="b">
        <f>NOT(AND(ISBLANK(Fixtures[[#This Row],[homePens]]), ISBLANK(Fixtures[[#This Row],[awayPens]])))</f>
        <v>0</v>
      </c>
      <c r="AG906" s="58" t="str">
        <f>IF(Fixtures[[#This Row],[penalties]], IF(Fixtures[[#This Row],[userSide]]="H", Fixtures[[#This Row],[homePens]], Fixtures[[#This Row],[awayPens]]), "N/A")</f>
        <v>N/A</v>
      </c>
      <c r="AH906" s="58" t="str">
        <f>IF(Fixtures[[#This Row],[penalties]], IF(Fixtures[[#This Row],[userPens]]=Fixtures[[#This Row],[homePens]],Fixtures[[#This Row],[awayPens]],Fixtures[[#This Row],[homePens]]), "N/A")</f>
        <v>N/A</v>
      </c>
      <c r="AI906" s="58" t="b">
        <f>COUNTBLANK(Fixtures[[#This Row],[G]:[MOTM]]) = 0</f>
        <v>0</v>
      </c>
      <c r="AJ906" s="58" t="str">
        <f>IF(Fixtures[[#This Row],[APP]], Fixtures[[#This Row],[G]]+Fixtures[[#This Row],[A]], "N/A")</f>
        <v>N/A</v>
      </c>
      <c r="AK9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7" spans="1:39" ht="13">
      <c r="A907" s="55"/>
      <c r="B907" s="61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7"/>
      <c r="R907" s="56"/>
      <c r="S907" s="58" t="str" cm="1">
        <f t="array" ref="S907">_xlfn._xlws.FILTER(Competitions[compType], (Fixtures[[#This Row],[competition]] = Competitions[name]), "N/A")</f>
        <v>N/A</v>
      </c>
      <c r="T907" s="58" t="str" cm="1">
        <f t="array" ref="T907">_xlfn._xlws.FILTER(Competitions[exhibition], (Fixtures[[#This Row],[competition]] = Competitions[name]), "N/A")</f>
        <v>N/A</v>
      </c>
      <c r="U907" s="58" t="str" cm="1">
        <f t="array" ref="U907">_xlfn._xlws.FILTER(Competitions[compID], (Fixtures[[#This Row],[competition]] = Competitions[name]), "N/A")</f>
        <v>N/A</v>
      </c>
      <c r="V9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7" s="58" t="str" cm="1">
        <f t="array" ref="W9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7" s="58" t="str" cm="1">
        <f t="array" ref="X907">_xlfn._xlws.FILTER(Teams[name], (Fixtures[[#This Row],[userTeamID]] = Teams[teamID]), "N/A")</f>
        <v>N/A</v>
      </c>
      <c r="Y907" s="58" t="str" cm="1">
        <f t="array" ref="Y907">_xlfn._xlws.FILTER(Teams[teamType], (Fixtures[[#This Row],[userTeamID]] = Teams[teamID]), "N/A")</f>
        <v>N/A</v>
      </c>
      <c r="Z907" s="58" t="str" cm="1">
        <f t="array" ref="Z9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7" s="58" t="str">
        <f>IF(Fixtures[[#This Row],[userSide]] = "N/A", "N/A", IF(Fixtures[[#This Row],[userSide]] = "H", Fixtures[[#This Row],[awayTeam]], Fixtures[[#This Row],[homeTeam]]))</f>
        <v>N/A</v>
      </c>
      <c r="AB907" s="58" t="str" cm="1">
        <f t="array" ref="AB907">_xlfn._xlws.FILTER(Teams[teamID], Fixtures[[#This Row],[oppTeam]] = Teams[name], "N/A")</f>
        <v>N/A</v>
      </c>
      <c r="AC907" s="58" t="str" cm="1">
        <f t="array" ref="AC907">_xlfn._xlws.FILTER(Teams[teamType], Fixtures[[#This Row],[oppTeam]] = Teams[name], "N/A")</f>
        <v>N/A</v>
      </c>
      <c r="AD907" s="58" t="str">
        <f>IF(ISBLANK(Fixtures[[#This Row],[date]]), "N/A", IF(Fixtures[[#This Row],[userSide]]="H", Fixtures[[#This Row],[homeScore]], Fixtures[[#This Row],[awayScore]]))</f>
        <v>N/A</v>
      </c>
      <c r="AE907" s="58" t="str">
        <f>IF(ISBLANK(Fixtures[[#This Row],[date]]), "N/A", IF(Fixtures[[#This Row],[userScore]] = Fixtures[[#This Row],[homeScore]], Fixtures[[#This Row],[awayScore]], Fixtures[[#This Row],[homeScore]]))</f>
        <v>N/A</v>
      </c>
      <c r="AF907" s="58" t="b">
        <f>NOT(AND(ISBLANK(Fixtures[[#This Row],[homePens]]), ISBLANK(Fixtures[[#This Row],[awayPens]])))</f>
        <v>0</v>
      </c>
      <c r="AG907" s="58" t="str">
        <f>IF(Fixtures[[#This Row],[penalties]], IF(Fixtures[[#This Row],[userSide]]="H", Fixtures[[#This Row],[homePens]], Fixtures[[#This Row],[awayPens]]), "N/A")</f>
        <v>N/A</v>
      </c>
      <c r="AH907" s="58" t="str">
        <f>IF(Fixtures[[#This Row],[penalties]], IF(Fixtures[[#This Row],[userPens]]=Fixtures[[#This Row],[homePens]],Fixtures[[#This Row],[awayPens]],Fixtures[[#This Row],[homePens]]), "N/A")</f>
        <v>N/A</v>
      </c>
      <c r="AI907" s="58" t="b">
        <f>COUNTBLANK(Fixtures[[#This Row],[G]:[MOTM]]) = 0</f>
        <v>0</v>
      </c>
      <c r="AJ907" s="58" t="str">
        <f>IF(Fixtures[[#This Row],[APP]], Fixtures[[#This Row],[G]]+Fixtures[[#This Row],[A]], "N/A")</f>
        <v>N/A</v>
      </c>
      <c r="AK9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8" spans="1:39" ht="13">
      <c r="A908" s="55"/>
      <c r="B908" s="61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7"/>
      <c r="R908" s="56"/>
      <c r="S908" s="58" t="str" cm="1">
        <f t="array" ref="S908">_xlfn._xlws.FILTER(Competitions[compType], (Fixtures[[#This Row],[competition]] = Competitions[name]), "N/A")</f>
        <v>N/A</v>
      </c>
      <c r="T908" s="58" t="str" cm="1">
        <f t="array" ref="T908">_xlfn._xlws.FILTER(Competitions[exhibition], (Fixtures[[#This Row],[competition]] = Competitions[name]), "N/A")</f>
        <v>N/A</v>
      </c>
      <c r="U908" s="58" t="str" cm="1">
        <f t="array" ref="U908">_xlfn._xlws.FILTER(Competitions[compID], (Fixtures[[#This Row],[competition]] = Competitions[name]), "N/A")</f>
        <v>N/A</v>
      </c>
      <c r="V9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8" s="58" t="str" cm="1">
        <f t="array" ref="W9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8" s="58" t="str" cm="1">
        <f t="array" ref="X908">_xlfn._xlws.FILTER(Teams[name], (Fixtures[[#This Row],[userTeamID]] = Teams[teamID]), "N/A")</f>
        <v>N/A</v>
      </c>
      <c r="Y908" s="58" t="str" cm="1">
        <f t="array" ref="Y908">_xlfn._xlws.FILTER(Teams[teamType], (Fixtures[[#This Row],[userTeamID]] = Teams[teamID]), "N/A")</f>
        <v>N/A</v>
      </c>
      <c r="Z908" s="58" t="str" cm="1">
        <f t="array" ref="Z9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8" s="58" t="str">
        <f>IF(Fixtures[[#This Row],[userSide]] = "N/A", "N/A", IF(Fixtures[[#This Row],[userSide]] = "H", Fixtures[[#This Row],[awayTeam]], Fixtures[[#This Row],[homeTeam]]))</f>
        <v>N/A</v>
      </c>
      <c r="AB908" s="58" t="str" cm="1">
        <f t="array" ref="AB908">_xlfn._xlws.FILTER(Teams[teamID], Fixtures[[#This Row],[oppTeam]] = Teams[name], "N/A")</f>
        <v>N/A</v>
      </c>
      <c r="AC908" s="58" t="str" cm="1">
        <f t="array" ref="AC908">_xlfn._xlws.FILTER(Teams[teamType], Fixtures[[#This Row],[oppTeam]] = Teams[name], "N/A")</f>
        <v>N/A</v>
      </c>
      <c r="AD908" s="58" t="str">
        <f>IF(ISBLANK(Fixtures[[#This Row],[date]]), "N/A", IF(Fixtures[[#This Row],[userSide]]="H", Fixtures[[#This Row],[homeScore]], Fixtures[[#This Row],[awayScore]]))</f>
        <v>N/A</v>
      </c>
      <c r="AE908" s="58" t="str">
        <f>IF(ISBLANK(Fixtures[[#This Row],[date]]), "N/A", IF(Fixtures[[#This Row],[userScore]] = Fixtures[[#This Row],[homeScore]], Fixtures[[#This Row],[awayScore]], Fixtures[[#This Row],[homeScore]]))</f>
        <v>N/A</v>
      </c>
      <c r="AF908" s="58" t="b">
        <f>NOT(AND(ISBLANK(Fixtures[[#This Row],[homePens]]), ISBLANK(Fixtures[[#This Row],[awayPens]])))</f>
        <v>0</v>
      </c>
      <c r="AG908" s="58" t="str">
        <f>IF(Fixtures[[#This Row],[penalties]], IF(Fixtures[[#This Row],[userSide]]="H", Fixtures[[#This Row],[homePens]], Fixtures[[#This Row],[awayPens]]), "N/A")</f>
        <v>N/A</v>
      </c>
      <c r="AH908" s="58" t="str">
        <f>IF(Fixtures[[#This Row],[penalties]], IF(Fixtures[[#This Row],[userPens]]=Fixtures[[#This Row],[homePens]],Fixtures[[#This Row],[awayPens]],Fixtures[[#This Row],[homePens]]), "N/A")</f>
        <v>N/A</v>
      </c>
      <c r="AI908" s="58" t="b">
        <f>COUNTBLANK(Fixtures[[#This Row],[G]:[MOTM]]) = 0</f>
        <v>0</v>
      </c>
      <c r="AJ908" s="58" t="str">
        <f>IF(Fixtures[[#This Row],[APP]], Fixtures[[#This Row],[G]]+Fixtures[[#This Row],[A]], "N/A")</f>
        <v>N/A</v>
      </c>
      <c r="AK9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09" spans="1:39" ht="13">
      <c r="A909" s="55"/>
      <c r="B909" s="61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7"/>
      <c r="R909" s="56"/>
      <c r="S909" s="58" t="str" cm="1">
        <f t="array" ref="S909">_xlfn._xlws.FILTER(Competitions[compType], (Fixtures[[#This Row],[competition]] = Competitions[name]), "N/A")</f>
        <v>N/A</v>
      </c>
      <c r="T909" s="58" t="str" cm="1">
        <f t="array" ref="T909">_xlfn._xlws.FILTER(Competitions[exhibition], (Fixtures[[#This Row],[competition]] = Competitions[name]), "N/A")</f>
        <v>N/A</v>
      </c>
      <c r="U909" s="58" t="str" cm="1">
        <f t="array" ref="U909">_xlfn._xlws.FILTER(Competitions[compID], (Fixtures[[#This Row],[competition]] = Competitions[name]), "N/A")</f>
        <v>N/A</v>
      </c>
      <c r="V9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09" s="58" t="str" cm="1">
        <f t="array" ref="W9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09" s="58" t="str" cm="1">
        <f t="array" ref="X909">_xlfn._xlws.FILTER(Teams[name], (Fixtures[[#This Row],[userTeamID]] = Teams[teamID]), "N/A")</f>
        <v>N/A</v>
      </c>
      <c r="Y909" s="58" t="str" cm="1">
        <f t="array" ref="Y909">_xlfn._xlws.FILTER(Teams[teamType], (Fixtures[[#This Row],[userTeamID]] = Teams[teamID]), "N/A")</f>
        <v>N/A</v>
      </c>
      <c r="Z909" s="58" t="str" cm="1">
        <f t="array" ref="Z9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09" s="58" t="str">
        <f>IF(Fixtures[[#This Row],[userSide]] = "N/A", "N/A", IF(Fixtures[[#This Row],[userSide]] = "H", Fixtures[[#This Row],[awayTeam]], Fixtures[[#This Row],[homeTeam]]))</f>
        <v>N/A</v>
      </c>
      <c r="AB909" s="58" t="str" cm="1">
        <f t="array" ref="AB909">_xlfn._xlws.FILTER(Teams[teamID], Fixtures[[#This Row],[oppTeam]] = Teams[name], "N/A")</f>
        <v>N/A</v>
      </c>
      <c r="AC909" s="58" t="str" cm="1">
        <f t="array" ref="AC909">_xlfn._xlws.FILTER(Teams[teamType], Fixtures[[#This Row],[oppTeam]] = Teams[name], "N/A")</f>
        <v>N/A</v>
      </c>
      <c r="AD909" s="58" t="str">
        <f>IF(ISBLANK(Fixtures[[#This Row],[date]]), "N/A", IF(Fixtures[[#This Row],[userSide]]="H", Fixtures[[#This Row],[homeScore]], Fixtures[[#This Row],[awayScore]]))</f>
        <v>N/A</v>
      </c>
      <c r="AE909" s="58" t="str">
        <f>IF(ISBLANK(Fixtures[[#This Row],[date]]), "N/A", IF(Fixtures[[#This Row],[userScore]] = Fixtures[[#This Row],[homeScore]], Fixtures[[#This Row],[awayScore]], Fixtures[[#This Row],[homeScore]]))</f>
        <v>N/A</v>
      </c>
      <c r="AF909" s="58" t="b">
        <f>NOT(AND(ISBLANK(Fixtures[[#This Row],[homePens]]), ISBLANK(Fixtures[[#This Row],[awayPens]])))</f>
        <v>0</v>
      </c>
      <c r="AG909" s="58" t="str">
        <f>IF(Fixtures[[#This Row],[penalties]], IF(Fixtures[[#This Row],[userSide]]="H", Fixtures[[#This Row],[homePens]], Fixtures[[#This Row],[awayPens]]), "N/A")</f>
        <v>N/A</v>
      </c>
      <c r="AH909" s="58" t="str">
        <f>IF(Fixtures[[#This Row],[penalties]], IF(Fixtures[[#This Row],[userPens]]=Fixtures[[#This Row],[homePens]],Fixtures[[#This Row],[awayPens]],Fixtures[[#This Row],[homePens]]), "N/A")</f>
        <v>N/A</v>
      </c>
      <c r="AI909" s="58" t="b">
        <f>COUNTBLANK(Fixtures[[#This Row],[G]:[MOTM]]) = 0</f>
        <v>0</v>
      </c>
      <c r="AJ909" s="58" t="str">
        <f>IF(Fixtures[[#This Row],[APP]], Fixtures[[#This Row],[G]]+Fixtures[[#This Row],[A]], "N/A")</f>
        <v>N/A</v>
      </c>
      <c r="AK9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0" spans="1:39" ht="13">
      <c r="A910" s="55"/>
      <c r="B910" s="61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7"/>
      <c r="R910" s="56"/>
      <c r="S910" s="58" t="str" cm="1">
        <f t="array" ref="S910">_xlfn._xlws.FILTER(Competitions[compType], (Fixtures[[#This Row],[competition]] = Competitions[name]), "N/A")</f>
        <v>N/A</v>
      </c>
      <c r="T910" s="58" t="str" cm="1">
        <f t="array" ref="T910">_xlfn._xlws.FILTER(Competitions[exhibition], (Fixtures[[#This Row],[competition]] = Competitions[name]), "N/A")</f>
        <v>N/A</v>
      </c>
      <c r="U910" s="58" t="str" cm="1">
        <f t="array" ref="U910">_xlfn._xlws.FILTER(Competitions[compID], (Fixtures[[#This Row],[competition]] = Competitions[name]), "N/A")</f>
        <v>N/A</v>
      </c>
      <c r="V9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0" s="58" t="str" cm="1">
        <f t="array" ref="W9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0" s="58" t="str" cm="1">
        <f t="array" ref="X910">_xlfn._xlws.FILTER(Teams[name], (Fixtures[[#This Row],[userTeamID]] = Teams[teamID]), "N/A")</f>
        <v>N/A</v>
      </c>
      <c r="Y910" s="58" t="str" cm="1">
        <f t="array" ref="Y910">_xlfn._xlws.FILTER(Teams[teamType], (Fixtures[[#This Row],[userTeamID]] = Teams[teamID]), "N/A")</f>
        <v>N/A</v>
      </c>
      <c r="Z910" s="58" t="str" cm="1">
        <f t="array" ref="Z9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0" s="58" t="str">
        <f>IF(Fixtures[[#This Row],[userSide]] = "N/A", "N/A", IF(Fixtures[[#This Row],[userSide]] = "H", Fixtures[[#This Row],[awayTeam]], Fixtures[[#This Row],[homeTeam]]))</f>
        <v>N/A</v>
      </c>
      <c r="AB910" s="58" t="str" cm="1">
        <f t="array" ref="AB910">_xlfn._xlws.FILTER(Teams[teamID], Fixtures[[#This Row],[oppTeam]] = Teams[name], "N/A")</f>
        <v>N/A</v>
      </c>
      <c r="AC910" s="58" t="str" cm="1">
        <f t="array" ref="AC910">_xlfn._xlws.FILTER(Teams[teamType], Fixtures[[#This Row],[oppTeam]] = Teams[name], "N/A")</f>
        <v>N/A</v>
      </c>
      <c r="AD910" s="58" t="str">
        <f>IF(ISBLANK(Fixtures[[#This Row],[date]]), "N/A", IF(Fixtures[[#This Row],[userSide]]="H", Fixtures[[#This Row],[homeScore]], Fixtures[[#This Row],[awayScore]]))</f>
        <v>N/A</v>
      </c>
      <c r="AE910" s="58" t="str">
        <f>IF(ISBLANK(Fixtures[[#This Row],[date]]), "N/A", IF(Fixtures[[#This Row],[userScore]] = Fixtures[[#This Row],[homeScore]], Fixtures[[#This Row],[awayScore]], Fixtures[[#This Row],[homeScore]]))</f>
        <v>N/A</v>
      </c>
      <c r="AF910" s="58" t="b">
        <f>NOT(AND(ISBLANK(Fixtures[[#This Row],[homePens]]), ISBLANK(Fixtures[[#This Row],[awayPens]])))</f>
        <v>0</v>
      </c>
      <c r="AG910" s="58" t="str">
        <f>IF(Fixtures[[#This Row],[penalties]], IF(Fixtures[[#This Row],[userSide]]="H", Fixtures[[#This Row],[homePens]], Fixtures[[#This Row],[awayPens]]), "N/A")</f>
        <v>N/A</v>
      </c>
      <c r="AH910" s="58" t="str">
        <f>IF(Fixtures[[#This Row],[penalties]], IF(Fixtures[[#This Row],[userPens]]=Fixtures[[#This Row],[homePens]],Fixtures[[#This Row],[awayPens]],Fixtures[[#This Row],[homePens]]), "N/A")</f>
        <v>N/A</v>
      </c>
      <c r="AI910" s="58" t="b">
        <f>COUNTBLANK(Fixtures[[#This Row],[G]:[MOTM]]) = 0</f>
        <v>0</v>
      </c>
      <c r="AJ910" s="58" t="str">
        <f>IF(Fixtures[[#This Row],[APP]], Fixtures[[#This Row],[G]]+Fixtures[[#This Row],[A]], "N/A")</f>
        <v>N/A</v>
      </c>
      <c r="AK9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1" spans="1:39" ht="13">
      <c r="A911" s="55"/>
      <c r="B911" s="61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7"/>
      <c r="R911" s="56"/>
      <c r="S911" s="58" t="str" cm="1">
        <f t="array" ref="S911">_xlfn._xlws.FILTER(Competitions[compType], (Fixtures[[#This Row],[competition]] = Competitions[name]), "N/A")</f>
        <v>N/A</v>
      </c>
      <c r="T911" s="58" t="str" cm="1">
        <f t="array" ref="T911">_xlfn._xlws.FILTER(Competitions[exhibition], (Fixtures[[#This Row],[competition]] = Competitions[name]), "N/A")</f>
        <v>N/A</v>
      </c>
      <c r="U911" s="58" t="str" cm="1">
        <f t="array" ref="U911">_xlfn._xlws.FILTER(Competitions[compID], (Fixtures[[#This Row],[competition]] = Competitions[name]), "N/A")</f>
        <v>N/A</v>
      </c>
      <c r="V9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1" s="58" t="str" cm="1">
        <f t="array" ref="W9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1" s="58" t="str" cm="1">
        <f t="array" ref="X911">_xlfn._xlws.FILTER(Teams[name], (Fixtures[[#This Row],[userTeamID]] = Teams[teamID]), "N/A")</f>
        <v>N/A</v>
      </c>
      <c r="Y911" s="58" t="str" cm="1">
        <f t="array" ref="Y911">_xlfn._xlws.FILTER(Teams[teamType], (Fixtures[[#This Row],[userTeamID]] = Teams[teamID]), "N/A")</f>
        <v>N/A</v>
      </c>
      <c r="Z911" s="58" t="str" cm="1">
        <f t="array" ref="Z9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1" s="58" t="str">
        <f>IF(Fixtures[[#This Row],[userSide]] = "N/A", "N/A", IF(Fixtures[[#This Row],[userSide]] = "H", Fixtures[[#This Row],[awayTeam]], Fixtures[[#This Row],[homeTeam]]))</f>
        <v>N/A</v>
      </c>
      <c r="AB911" s="58" t="str" cm="1">
        <f t="array" ref="AB911">_xlfn._xlws.FILTER(Teams[teamID], Fixtures[[#This Row],[oppTeam]] = Teams[name], "N/A")</f>
        <v>N/A</v>
      </c>
      <c r="AC911" s="58" t="str" cm="1">
        <f t="array" ref="AC911">_xlfn._xlws.FILTER(Teams[teamType], Fixtures[[#This Row],[oppTeam]] = Teams[name], "N/A")</f>
        <v>N/A</v>
      </c>
      <c r="AD911" s="58" t="str">
        <f>IF(ISBLANK(Fixtures[[#This Row],[date]]), "N/A", IF(Fixtures[[#This Row],[userSide]]="H", Fixtures[[#This Row],[homeScore]], Fixtures[[#This Row],[awayScore]]))</f>
        <v>N/A</v>
      </c>
      <c r="AE911" s="58" t="str">
        <f>IF(ISBLANK(Fixtures[[#This Row],[date]]), "N/A", IF(Fixtures[[#This Row],[userScore]] = Fixtures[[#This Row],[homeScore]], Fixtures[[#This Row],[awayScore]], Fixtures[[#This Row],[homeScore]]))</f>
        <v>N/A</v>
      </c>
      <c r="AF911" s="58" t="b">
        <f>NOT(AND(ISBLANK(Fixtures[[#This Row],[homePens]]), ISBLANK(Fixtures[[#This Row],[awayPens]])))</f>
        <v>0</v>
      </c>
      <c r="AG911" s="58" t="str">
        <f>IF(Fixtures[[#This Row],[penalties]], IF(Fixtures[[#This Row],[userSide]]="H", Fixtures[[#This Row],[homePens]], Fixtures[[#This Row],[awayPens]]), "N/A")</f>
        <v>N/A</v>
      </c>
      <c r="AH911" s="58" t="str">
        <f>IF(Fixtures[[#This Row],[penalties]], IF(Fixtures[[#This Row],[userPens]]=Fixtures[[#This Row],[homePens]],Fixtures[[#This Row],[awayPens]],Fixtures[[#This Row],[homePens]]), "N/A")</f>
        <v>N/A</v>
      </c>
      <c r="AI911" s="58" t="b">
        <f>COUNTBLANK(Fixtures[[#This Row],[G]:[MOTM]]) = 0</f>
        <v>0</v>
      </c>
      <c r="AJ911" s="58" t="str">
        <f>IF(Fixtures[[#This Row],[APP]], Fixtures[[#This Row],[G]]+Fixtures[[#This Row],[A]], "N/A")</f>
        <v>N/A</v>
      </c>
      <c r="AK9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2" spans="1:39" ht="13">
      <c r="A912" s="55"/>
      <c r="B912" s="61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7"/>
      <c r="R912" s="56"/>
      <c r="S912" s="58" t="str" cm="1">
        <f t="array" ref="S912">_xlfn._xlws.FILTER(Competitions[compType], (Fixtures[[#This Row],[competition]] = Competitions[name]), "N/A")</f>
        <v>N/A</v>
      </c>
      <c r="T912" s="58" t="str" cm="1">
        <f t="array" ref="T912">_xlfn._xlws.FILTER(Competitions[exhibition], (Fixtures[[#This Row],[competition]] = Competitions[name]), "N/A")</f>
        <v>N/A</v>
      </c>
      <c r="U912" s="58" t="str" cm="1">
        <f t="array" ref="U912">_xlfn._xlws.FILTER(Competitions[compID], (Fixtures[[#This Row],[competition]] = Competitions[name]), "N/A")</f>
        <v>N/A</v>
      </c>
      <c r="V9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2" s="58" t="str" cm="1">
        <f t="array" ref="W9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2" s="58" t="str" cm="1">
        <f t="array" ref="X912">_xlfn._xlws.FILTER(Teams[name], (Fixtures[[#This Row],[userTeamID]] = Teams[teamID]), "N/A")</f>
        <v>N/A</v>
      </c>
      <c r="Y912" s="58" t="str" cm="1">
        <f t="array" ref="Y912">_xlfn._xlws.FILTER(Teams[teamType], (Fixtures[[#This Row],[userTeamID]] = Teams[teamID]), "N/A")</f>
        <v>N/A</v>
      </c>
      <c r="Z912" s="58" t="str" cm="1">
        <f t="array" ref="Z9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2" s="58" t="str">
        <f>IF(Fixtures[[#This Row],[userSide]] = "N/A", "N/A", IF(Fixtures[[#This Row],[userSide]] = "H", Fixtures[[#This Row],[awayTeam]], Fixtures[[#This Row],[homeTeam]]))</f>
        <v>N/A</v>
      </c>
      <c r="AB912" s="58" t="str" cm="1">
        <f t="array" ref="AB912">_xlfn._xlws.FILTER(Teams[teamID], Fixtures[[#This Row],[oppTeam]] = Teams[name], "N/A")</f>
        <v>N/A</v>
      </c>
      <c r="AC912" s="58" t="str" cm="1">
        <f t="array" ref="AC912">_xlfn._xlws.FILTER(Teams[teamType], Fixtures[[#This Row],[oppTeam]] = Teams[name], "N/A")</f>
        <v>N/A</v>
      </c>
      <c r="AD912" s="58" t="str">
        <f>IF(ISBLANK(Fixtures[[#This Row],[date]]), "N/A", IF(Fixtures[[#This Row],[userSide]]="H", Fixtures[[#This Row],[homeScore]], Fixtures[[#This Row],[awayScore]]))</f>
        <v>N/A</v>
      </c>
      <c r="AE912" s="58" t="str">
        <f>IF(ISBLANK(Fixtures[[#This Row],[date]]), "N/A", IF(Fixtures[[#This Row],[userScore]] = Fixtures[[#This Row],[homeScore]], Fixtures[[#This Row],[awayScore]], Fixtures[[#This Row],[homeScore]]))</f>
        <v>N/A</v>
      </c>
      <c r="AF912" s="58" t="b">
        <f>NOT(AND(ISBLANK(Fixtures[[#This Row],[homePens]]), ISBLANK(Fixtures[[#This Row],[awayPens]])))</f>
        <v>0</v>
      </c>
      <c r="AG912" s="58" t="str">
        <f>IF(Fixtures[[#This Row],[penalties]], IF(Fixtures[[#This Row],[userSide]]="H", Fixtures[[#This Row],[homePens]], Fixtures[[#This Row],[awayPens]]), "N/A")</f>
        <v>N/A</v>
      </c>
      <c r="AH912" s="58" t="str">
        <f>IF(Fixtures[[#This Row],[penalties]], IF(Fixtures[[#This Row],[userPens]]=Fixtures[[#This Row],[homePens]],Fixtures[[#This Row],[awayPens]],Fixtures[[#This Row],[homePens]]), "N/A")</f>
        <v>N/A</v>
      </c>
      <c r="AI912" s="58" t="b">
        <f>COUNTBLANK(Fixtures[[#This Row],[G]:[MOTM]]) = 0</f>
        <v>0</v>
      </c>
      <c r="AJ912" s="58" t="str">
        <f>IF(Fixtures[[#This Row],[APP]], Fixtures[[#This Row],[G]]+Fixtures[[#This Row],[A]], "N/A")</f>
        <v>N/A</v>
      </c>
      <c r="AK9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3" spans="1:39" ht="13">
      <c r="A913" s="55"/>
      <c r="B913" s="61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7"/>
      <c r="R913" s="56"/>
      <c r="S913" s="58" t="str" cm="1">
        <f t="array" ref="S913">_xlfn._xlws.FILTER(Competitions[compType], (Fixtures[[#This Row],[competition]] = Competitions[name]), "N/A")</f>
        <v>N/A</v>
      </c>
      <c r="T913" s="58" t="str" cm="1">
        <f t="array" ref="T913">_xlfn._xlws.FILTER(Competitions[exhibition], (Fixtures[[#This Row],[competition]] = Competitions[name]), "N/A")</f>
        <v>N/A</v>
      </c>
      <c r="U913" s="58" t="str" cm="1">
        <f t="array" ref="U913">_xlfn._xlws.FILTER(Competitions[compID], (Fixtures[[#This Row],[competition]] = Competitions[name]), "N/A")</f>
        <v>N/A</v>
      </c>
      <c r="V9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3" s="58" t="str" cm="1">
        <f t="array" ref="W9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3" s="58" t="str" cm="1">
        <f t="array" ref="X913">_xlfn._xlws.FILTER(Teams[name], (Fixtures[[#This Row],[userTeamID]] = Teams[teamID]), "N/A")</f>
        <v>N/A</v>
      </c>
      <c r="Y913" s="58" t="str" cm="1">
        <f t="array" ref="Y913">_xlfn._xlws.FILTER(Teams[teamType], (Fixtures[[#This Row],[userTeamID]] = Teams[teamID]), "N/A")</f>
        <v>N/A</v>
      </c>
      <c r="Z913" s="58" t="str" cm="1">
        <f t="array" ref="Z9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3" s="58" t="str">
        <f>IF(Fixtures[[#This Row],[userSide]] = "N/A", "N/A", IF(Fixtures[[#This Row],[userSide]] = "H", Fixtures[[#This Row],[awayTeam]], Fixtures[[#This Row],[homeTeam]]))</f>
        <v>N/A</v>
      </c>
      <c r="AB913" s="58" t="str" cm="1">
        <f t="array" ref="AB913">_xlfn._xlws.FILTER(Teams[teamID], Fixtures[[#This Row],[oppTeam]] = Teams[name], "N/A")</f>
        <v>N/A</v>
      </c>
      <c r="AC913" s="58" t="str" cm="1">
        <f t="array" ref="AC913">_xlfn._xlws.FILTER(Teams[teamType], Fixtures[[#This Row],[oppTeam]] = Teams[name], "N/A")</f>
        <v>N/A</v>
      </c>
      <c r="AD913" s="58" t="str">
        <f>IF(ISBLANK(Fixtures[[#This Row],[date]]), "N/A", IF(Fixtures[[#This Row],[userSide]]="H", Fixtures[[#This Row],[homeScore]], Fixtures[[#This Row],[awayScore]]))</f>
        <v>N/A</v>
      </c>
      <c r="AE913" s="58" t="str">
        <f>IF(ISBLANK(Fixtures[[#This Row],[date]]), "N/A", IF(Fixtures[[#This Row],[userScore]] = Fixtures[[#This Row],[homeScore]], Fixtures[[#This Row],[awayScore]], Fixtures[[#This Row],[homeScore]]))</f>
        <v>N/A</v>
      </c>
      <c r="AF913" s="58" t="b">
        <f>NOT(AND(ISBLANK(Fixtures[[#This Row],[homePens]]), ISBLANK(Fixtures[[#This Row],[awayPens]])))</f>
        <v>0</v>
      </c>
      <c r="AG913" s="58" t="str">
        <f>IF(Fixtures[[#This Row],[penalties]], IF(Fixtures[[#This Row],[userSide]]="H", Fixtures[[#This Row],[homePens]], Fixtures[[#This Row],[awayPens]]), "N/A")</f>
        <v>N/A</v>
      </c>
      <c r="AH913" s="58" t="str">
        <f>IF(Fixtures[[#This Row],[penalties]], IF(Fixtures[[#This Row],[userPens]]=Fixtures[[#This Row],[homePens]],Fixtures[[#This Row],[awayPens]],Fixtures[[#This Row],[homePens]]), "N/A")</f>
        <v>N/A</v>
      </c>
      <c r="AI913" s="58" t="b">
        <f>COUNTBLANK(Fixtures[[#This Row],[G]:[MOTM]]) = 0</f>
        <v>0</v>
      </c>
      <c r="AJ913" s="58" t="str">
        <f>IF(Fixtures[[#This Row],[APP]], Fixtures[[#This Row],[G]]+Fixtures[[#This Row],[A]], "N/A")</f>
        <v>N/A</v>
      </c>
      <c r="AK9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4" spans="1:39" ht="13">
      <c r="A914" s="55"/>
      <c r="B914" s="61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7"/>
      <c r="R914" s="56"/>
      <c r="S914" s="58" t="str" cm="1">
        <f t="array" ref="S914">_xlfn._xlws.FILTER(Competitions[compType], (Fixtures[[#This Row],[competition]] = Competitions[name]), "N/A")</f>
        <v>N/A</v>
      </c>
      <c r="T914" s="58" t="str" cm="1">
        <f t="array" ref="T914">_xlfn._xlws.FILTER(Competitions[exhibition], (Fixtures[[#This Row],[competition]] = Competitions[name]), "N/A")</f>
        <v>N/A</v>
      </c>
      <c r="U914" s="58" t="str" cm="1">
        <f t="array" ref="U914">_xlfn._xlws.FILTER(Competitions[compID], (Fixtures[[#This Row],[competition]] = Competitions[name]), "N/A")</f>
        <v>N/A</v>
      </c>
      <c r="V9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4" s="58" t="str" cm="1">
        <f t="array" ref="W9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4" s="58" t="str" cm="1">
        <f t="array" ref="X914">_xlfn._xlws.FILTER(Teams[name], (Fixtures[[#This Row],[userTeamID]] = Teams[teamID]), "N/A")</f>
        <v>N/A</v>
      </c>
      <c r="Y914" s="58" t="str" cm="1">
        <f t="array" ref="Y914">_xlfn._xlws.FILTER(Teams[teamType], (Fixtures[[#This Row],[userTeamID]] = Teams[teamID]), "N/A")</f>
        <v>N/A</v>
      </c>
      <c r="Z914" s="58" t="str" cm="1">
        <f t="array" ref="Z9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4" s="58" t="str">
        <f>IF(Fixtures[[#This Row],[userSide]] = "N/A", "N/A", IF(Fixtures[[#This Row],[userSide]] = "H", Fixtures[[#This Row],[awayTeam]], Fixtures[[#This Row],[homeTeam]]))</f>
        <v>N/A</v>
      </c>
      <c r="AB914" s="58" t="str" cm="1">
        <f t="array" ref="AB914">_xlfn._xlws.FILTER(Teams[teamID], Fixtures[[#This Row],[oppTeam]] = Teams[name], "N/A")</f>
        <v>N/A</v>
      </c>
      <c r="AC914" s="58" t="str" cm="1">
        <f t="array" ref="AC914">_xlfn._xlws.FILTER(Teams[teamType], Fixtures[[#This Row],[oppTeam]] = Teams[name], "N/A")</f>
        <v>N/A</v>
      </c>
      <c r="AD914" s="58" t="str">
        <f>IF(ISBLANK(Fixtures[[#This Row],[date]]), "N/A", IF(Fixtures[[#This Row],[userSide]]="H", Fixtures[[#This Row],[homeScore]], Fixtures[[#This Row],[awayScore]]))</f>
        <v>N/A</v>
      </c>
      <c r="AE914" s="58" t="str">
        <f>IF(ISBLANK(Fixtures[[#This Row],[date]]), "N/A", IF(Fixtures[[#This Row],[userScore]] = Fixtures[[#This Row],[homeScore]], Fixtures[[#This Row],[awayScore]], Fixtures[[#This Row],[homeScore]]))</f>
        <v>N/A</v>
      </c>
      <c r="AF914" s="58" t="b">
        <f>NOT(AND(ISBLANK(Fixtures[[#This Row],[homePens]]), ISBLANK(Fixtures[[#This Row],[awayPens]])))</f>
        <v>0</v>
      </c>
      <c r="AG914" s="58" t="str">
        <f>IF(Fixtures[[#This Row],[penalties]], IF(Fixtures[[#This Row],[userSide]]="H", Fixtures[[#This Row],[homePens]], Fixtures[[#This Row],[awayPens]]), "N/A")</f>
        <v>N/A</v>
      </c>
      <c r="AH914" s="58" t="str">
        <f>IF(Fixtures[[#This Row],[penalties]], IF(Fixtures[[#This Row],[userPens]]=Fixtures[[#This Row],[homePens]],Fixtures[[#This Row],[awayPens]],Fixtures[[#This Row],[homePens]]), "N/A")</f>
        <v>N/A</v>
      </c>
      <c r="AI914" s="58" t="b">
        <f>COUNTBLANK(Fixtures[[#This Row],[G]:[MOTM]]) = 0</f>
        <v>0</v>
      </c>
      <c r="AJ914" s="58" t="str">
        <f>IF(Fixtures[[#This Row],[APP]], Fixtures[[#This Row],[G]]+Fixtures[[#This Row],[A]], "N/A")</f>
        <v>N/A</v>
      </c>
      <c r="AK9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5" spans="1:39" ht="13">
      <c r="A915" s="55"/>
      <c r="B915" s="61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7"/>
      <c r="R915" s="56"/>
      <c r="S915" s="58" t="str" cm="1">
        <f t="array" ref="S915">_xlfn._xlws.FILTER(Competitions[compType], (Fixtures[[#This Row],[competition]] = Competitions[name]), "N/A")</f>
        <v>N/A</v>
      </c>
      <c r="T915" s="58" t="str" cm="1">
        <f t="array" ref="T915">_xlfn._xlws.FILTER(Competitions[exhibition], (Fixtures[[#This Row],[competition]] = Competitions[name]), "N/A")</f>
        <v>N/A</v>
      </c>
      <c r="U915" s="58" t="str" cm="1">
        <f t="array" ref="U915">_xlfn._xlws.FILTER(Competitions[compID], (Fixtures[[#This Row],[competition]] = Competitions[name]), "N/A")</f>
        <v>N/A</v>
      </c>
      <c r="V9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5" s="58" t="str" cm="1">
        <f t="array" ref="W9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5" s="58" t="str" cm="1">
        <f t="array" ref="X915">_xlfn._xlws.FILTER(Teams[name], (Fixtures[[#This Row],[userTeamID]] = Teams[teamID]), "N/A")</f>
        <v>N/A</v>
      </c>
      <c r="Y915" s="58" t="str" cm="1">
        <f t="array" ref="Y915">_xlfn._xlws.FILTER(Teams[teamType], (Fixtures[[#This Row],[userTeamID]] = Teams[teamID]), "N/A")</f>
        <v>N/A</v>
      </c>
      <c r="Z915" s="58" t="str" cm="1">
        <f t="array" ref="Z9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5" s="58" t="str">
        <f>IF(Fixtures[[#This Row],[userSide]] = "N/A", "N/A", IF(Fixtures[[#This Row],[userSide]] = "H", Fixtures[[#This Row],[awayTeam]], Fixtures[[#This Row],[homeTeam]]))</f>
        <v>N/A</v>
      </c>
      <c r="AB915" s="58" t="str" cm="1">
        <f t="array" ref="AB915">_xlfn._xlws.FILTER(Teams[teamID], Fixtures[[#This Row],[oppTeam]] = Teams[name], "N/A")</f>
        <v>N/A</v>
      </c>
      <c r="AC915" s="58" t="str" cm="1">
        <f t="array" ref="AC915">_xlfn._xlws.FILTER(Teams[teamType], Fixtures[[#This Row],[oppTeam]] = Teams[name], "N/A")</f>
        <v>N/A</v>
      </c>
      <c r="AD915" s="58" t="str">
        <f>IF(ISBLANK(Fixtures[[#This Row],[date]]), "N/A", IF(Fixtures[[#This Row],[userSide]]="H", Fixtures[[#This Row],[homeScore]], Fixtures[[#This Row],[awayScore]]))</f>
        <v>N/A</v>
      </c>
      <c r="AE915" s="58" t="str">
        <f>IF(ISBLANK(Fixtures[[#This Row],[date]]), "N/A", IF(Fixtures[[#This Row],[userScore]] = Fixtures[[#This Row],[homeScore]], Fixtures[[#This Row],[awayScore]], Fixtures[[#This Row],[homeScore]]))</f>
        <v>N/A</v>
      </c>
      <c r="AF915" s="58" t="b">
        <f>NOT(AND(ISBLANK(Fixtures[[#This Row],[homePens]]), ISBLANK(Fixtures[[#This Row],[awayPens]])))</f>
        <v>0</v>
      </c>
      <c r="AG915" s="58" t="str">
        <f>IF(Fixtures[[#This Row],[penalties]], IF(Fixtures[[#This Row],[userSide]]="H", Fixtures[[#This Row],[homePens]], Fixtures[[#This Row],[awayPens]]), "N/A")</f>
        <v>N/A</v>
      </c>
      <c r="AH915" s="58" t="str">
        <f>IF(Fixtures[[#This Row],[penalties]], IF(Fixtures[[#This Row],[userPens]]=Fixtures[[#This Row],[homePens]],Fixtures[[#This Row],[awayPens]],Fixtures[[#This Row],[homePens]]), "N/A")</f>
        <v>N/A</v>
      </c>
      <c r="AI915" s="58" t="b">
        <f>COUNTBLANK(Fixtures[[#This Row],[G]:[MOTM]]) = 0</f>
        <v>0</v>
      </c>
      <c r="AJ915" s="58" t="str">
        <f>IF(Fixtures[[#This Row],[APP]], Fixtures[[#This Row],[G]]+Fixtures[[#This Row],[A]], "N/A")</f>
        <v>N/A</v>
      </c>
      <c r="AK9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6" spans="1:39" ht="13">
      <c r="A916" s="55"/>
      <c r="B916" s="61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7"/>
      <c r="R916" s="56"/>
      <c r="S916" s="58" t="str" cm="1">
        <f t="array" ref="S916">_xlfn._xlws.FILTER(Competitions[compType], (Fixtures[[#This Row],[competition]] = Competitions[name]), "N/A")</f>
        <v>N/A</v>
      </c>
      <c r="T916" s="58" t="str" cm="1">
        <f t="array" ref="T916">_xlfn._xlws.FILTER(Competitions[exhibition], (Fixtures[[#This Row],[competition]] = Competitions[name]), "N/A")</f>
        <v>N/A</v>
      </c>
      <c r="U916" s="58" t="str" cm="1">
        <f t="array" ref="U916">_xlfn._xlws.FILTER(Competitions[compID], (Fixtures[[#This Row],[competition]] = Competitions[name]), "N/A")</f>
        <v>N/A</v>
      </c>
      <c r="V9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6" s="58" t="str" cm="1">
        <f t="array" ref="W9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6" s="58" t="str" cm="1">
        <f t="array" ref="X916">_xlfn._xlws.FILTER(Teams[name], (Fixtures[[#This Row],[userTeamID]] = Teams[teamID]), "N/A")</f>
        <v>N/A</v>
      </c>
      <c r="Y916" s="58" t="str" cm="1">
        <f t="array" ref="Y916">_xlfn._xlws.FILTER(Teams[teamType], (Fixtures[[#This Row],[userTeamID]] = Teams[teamID]), "N/A")</f>
        <v>N/A</v>
      </c>
      <c r="Z916" s="58" t="str" cm="1">
        <f t="array" ref="Z9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6" s="58" t="str">
        <f>IF(Fixtures[[#This Row],[userSide]] = "N/A", "N/A", IF(Fixtures[[#This Row],[userSide]] = "H", Fixtures[[#This Row],[awayTeam]], Fixtures[[#This Row],[homeTeam]]))</f>
        <v>N/A</v>
      </c>
      <c r="AB916" s="58" t="str" cm="1">
        <f t="array" ref="AB916">_xlfn._xlws.FILTER(Teams[teamID], Fixtures[[#This Row],[oppTeam]] = Teams[name], "N/A")</f>
        <v>N/A</v>
      </c>
      <c r="AC916" s="58" t="str" cm="1">
        <f t="array" ref="AC916">_xlfn._xlws.FILTER(Teams[teamType], Fixtures[[#This Row],[oppTeam]] = Teams[name], "N/A")</f>
        <v>N/A</v>
      </c>
      <c r="AD916" s="58" t="str">
        <f>IF(ISBLANK(Fixtures[[#This Row],[date]]), "N/A", IF(Fixtures[[#This Row],[userSide]]="H", Fixtures[[#This Row],[homeScore]], Fixtures[[#This Row],[awayScore]]))</f>
        <v>N/A</v>
      </c>
      <c r="AE916" s="58" t="str">
        <f>IF(ISBLANK(Fixtures[[#This Row],[date]]), "N/A", IF(Fixtures[[#This Row],[userScore]] = Fixtures[[#This Row],[homeScore]], Fixtures[[#This Row],[awayScore]], Fixtures[[#This Row],[homeScore]]))</f>
        <v>N/A</v>
      </c>
      <c r="AF916" s="58" t="b">
        <f>NOT(AND(ISBLANK(Fixtures[[#This Row],[homePens]]), ISBLANK(Fixtures[[#This Row],[awayPens]])))</f>
        <v>0</v>
      </c>
      <c r="AG916" s="58" t="str">
        <f>IF(Fixtures[[#This Row],[penalties]], IF(Fixtures[[#This Row],[userSide]]="H", Fixtures[[#This Row],[homePens]], Fixtures[[#This Row],[awayPens]]), "N/A")</f>
        <v>N/A</v>
      </c>
      <c r="AH916" s="58" t="str">
        <f>IF(Fixtures[[#This Row],[penalties]], IF(Fixtures[[#This Row],[userPens]]=Fixtures[[#This Row],[homePens]],Fixtures[[#This Row],[awayPens]],Fixtures[[#This Row],[homePens]]), "N/A")</f>
        <v>N/A</v>
      </c>
      <c r="AI916" s="58" t="b">
        <f>COUNTBLANK(Fixtures[[#This Row],[G]:[MOTM]]) = 0</f>
        <v>0</v>
      </c>
      <c r="AJ916" s="58" t="str">
        <f>IF(Fixtures[[#This Row],[APP]], Fixtures[[#This Row],[G]]+Fixtures[[#This Row],[A]], "N/A")</f>
        <v>N/A</v>
      </c>
      <c r="AK9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7" spans="1:39" ht="13">
      <c r="A917" s="55"/>
      <c r="B917" s="61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7"/>
      <c r="R917" s="56"/>
      <c r="S917" s="58" t="str" cm="1">
        <f t="array" ref="S917">_xlfn._xlws.FILTER(Competitions[compType], (Fixtures[[#This Row],[competition]] = Competitions[name]), "N/A")</f>
        <v>N/A</v>
      </c>
      <c r="T917" s="58" t="str" cm="1">
        <f t="array" ref="T917">_xlfn._xlws.FILTER(Competitions[exhibition], (Fixtures[[#This Row],[competition]] = Competitions[name]), "N/A")</f>
        <v>N/A</v>
      </c>
      <c r="U917" s="58" t="str" cm="1">
        <f t="array" ref="U917">_xlfn._xlws.FILTER(Competitions[compID], (Fixtures[[#This Row],[competition]] = Competitions[name]), "N/A")</f>
        <v>N/A</v>
      </c>
      <c r="V9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7" s="58" t="str" cm="1">
        <f t="array" ref="W9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7" s="58" t="str" cm="1">
        <f t="array" ref="X917">_xlfn._xlws.FILTER(Teams[name], (Fixtures[[#This Row],[userTeamID]] = Teams[teamID]), "N/A")</f>
        <v>N/A</v>
      </c>
      <c r="Y917" s="58" t="str" cm="1">
        <f t="array" ref="Y917">_xlfn._xlws.FILTER(Teams[teamType], (Fixtures[[#This Row],[userTeamID]] = Teams[teamID]), "N/A")</f>
        <v>N/A</v>
      </c>
      <c r="Z917" s="58" t="str" cm="1">
        <f t="array" ref="Z9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7" s="58" t="str">
        <f>IF(Fixtures[[#This Row],[userSide]] = "N/A", "N/A", IF(Fixtures[[#This Row],[userSide]] = "H", Fixtures[[#This Row],[awayTeam]], Fixtures[[#This Row],[homeTeam]]))</f>
        <v>N/A</v>
      </c>
      <c r="AB917" s="58" t="str" cm="1">
        <f t="array" ref="AB917">_xlfn._xlws.FILTER(Teams[teamID], Fixtures[[#This Row],[oppTeam]] = Teams[name], "N/A")</f>
        <v>N/A</v>
      </c>
      <c r="AC917" s="58" t="str" cm="1">
        <f t="array" ref="AC917">_xlfn._xlws.FILTER(Teams[teamType], Fixtures[[#This Row],[oppTeam]] = Teams[name], "N/A")</f>
        <v>N/A</v>
      </c>
      <c r="AD917" s="58" t="str">
        <f>IF(ISBLANK(Fixtures[[#This Row],[date]]), "N/A", IF(Fixtures[[#This Row],[userSide]]="H", Fixtures[[#This Row],[homeScore]], Fixtures[[#This Row],[awayScore]]))</f>
        <v>N/A</v>
      </c>
      <c r="AE917" s="58" t="str">
        <f>IF(ISBLANK(Fixtures[[#This Row],[date]]), "N/A", IF(Fixtures[[#This Row],[userScore]] = Fixtures[[#This Row],[homeScore]], Fixtures[[#This Row],[awayScore]], Fixtures[[#This Row],[homeScore]]))</f>
        <v>N/A</v>
      </c>
      <c r="AF917" s="58" t="b">
        <f>NOT(AND(ISBLANK(Fixtures[[#This Row],[homePens]]), ISBLANK(Fixtures[[#This Row],[awayPens]])))</f>
        <v>0</v>
      </c>
      <c r="AG917" s="58" t="str">
        <f>IF(Fixtures[[#This Row],[penalties]], IF(Fixtures[[#This Row],[userSide]]="H", Fixtures[[#This Row],[homePens]], Fixtures[[#This Row],[awayPens]]), "N/A")</f>
        <v>N/A</v>
      </c>
      <c r="AH917" s="58" t="str">
        <f>IF(Fixtures[[#This Row],[penalties]], IF(Fixtures[[#This Row],[userPens]]=Fixtures[[#This Row],[homePens]],Fixtures[[#This Row],[awayPens]],Fixtures[[#This Row],[homePens]]), "N/A")</f>
        <v>N/A</v>
      </c>
      <c r="AI917" s="58" t="b">
        <f>COUNTBLANK(Fixtures[[#This Row],[G]:[MOTM]]) = 0</f>
        <v>0</v>
      </c>
      <c r="AJ917" s="58" t="str">
        <f>IF(Fixtures[[#This Row],[APP]], Fixtures[[#This Row],[G]]+Fixtures[[#This Row],[A]], "N/A")</f>
        <v>N/A</v>
      </c>
      <c r="AK9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8" spans="1:39" ht="13">
      <c r="A918" s="55"/>
      <c r="B918" s="61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7"/>
      <c r="R918" s="56"/>
      <c r="S918" s="58" t="str" cm="1">
        <f t="array" ref="S918">_xlfn._xlws.FILTER(Competitions[compType], (Fixtures[[#This Row],[competition]] = Competitions[name]), "N/A")</f>
        <v>N/A</v>
      </c>
      <c r="T918" s="58" t="str" cm="1">
        <f t="array" ref="T918">_xlfn._xlws.FILTER(Competitions[exhibition], (Fixtures[[#This Row],[competition]] = Competitions[name]), "N/A")</f>
        <v>N/A</v>
      </c>
      <c r="U918" s="58" t="str" cm="1">
        <f t="array" ref="U918">_xlfn._xlws.FILTER(Competitions[compID], (Fixtures[[#This Row],[competition]] = Competitions[name]), "N/A")</f>
        <v>N/A</v>
      </c>
      <c r="V9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8" s="58" t="str" cm="1">
        <f t="array" ref="W9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8" s="58" t="str" cm="1">
        <f t="array" ref="X918">_xlfn._xlws.FILTER(Teams[name], (Fixtures[[#This Row],[userTeamID]] = Teams[teamID]), "N/A")</f>
        <v>N/A</v>
      </c>
      <c r="Y918" s="58" t="str" cm="1">
        <f t="array" ref="Y918">_xlfn._xlws.FILTER(Teams[teamType], (Fixtures[[#This Row],[userTeamID]] = Teams[teamID]), "N/A")</f>
        <v>N/A</v>
      </c>
      <c r="Z918" s="58" t="str" cm="1">
        <f t="array" ref="Z9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8" s="58" t="str">
        <f>IF(Fixtures[[#This Row],[userSide]] = "N/A", "N/A", IF(Fixtures[[#This Row],[userSide]] = "H", Fixtures[[#This Row],[awayTeam]], Fixtures[[#This Row],[homeTeam]]))</f>
        <v>N/A</v>
      </c>
      <c r="AB918" s="58" t="str" cm="1">
        <f t="array" ref="AB918">_xlfn._xlws.FILTER(Teams[teamID], Fixtures[[#This Row],[oppTeam]] = Teams[name], "N/A")</f>
        <v>N/A</v>
      </c>
      <c r="AC918" s="58" t="str" cm="1">
        <f t="array" ref="AC918">_xlfn._xlws.FILTER(Teams[teamType], Fixtures[[#This Row],[oppTeam]] = Teams[name], "N/A")</f>
        <v>N/A</v>
      </c>
      <c r="AD918" s="58" t="str">
        <f>IF(ISBLANK(Fixtures[[#This Row],[date]]), "N/A", IF(Fixtures[[#This Row],[userSide]]="H", Fixtures[[#This Row],[homeScore]], Fixtures[[#This Row],[awayScore]]))</f>
        <v>N/A</v>
      </c>
      <c r="AE918" s="58" t="str">
        <f>IF(ISBLANK(Fixtures[[#This Row],[date]]), "N/A", IF(Fixtures[[#This Row],[userScore]] = Fixtures[[#This Row],[homeScore]], Fixtures[[#This Row],[awayScore]], Fixtures[[#This Row],[homeScore]]))</f>
        <v>N/A</v>
      </c>
      <c r="AF918" s="58" t="b">
        <f>NOT(AND(ISBLANK(Fixtures[[#This Row],[homePens]]), ISBLANK(Fixtures[[#This Row],[awayPens]])))</f>
        <v>0</v>
      </c>
      <c r="AG918" s="58" t="str">
        <f>IF(Fixtures[[#This Row],[penalties]], IF(Fixtures[[#This Row],[userSide]]="H", Fixtures[[#This Row],[homePens]], Fixtures[[#This Row],[awayPens]]), "N/A")</f>
        <v>N/A</v>
      </c>
      <c r="AH918" s="58" t="str">
        <f>IF(Fixtures[[#This Row],[penalties]], IF(Fixtures[[#This Row],[userPens]]=Fixtures[[#This Row],[homePens]],Fixtures[[#This Row],[awayPens]],Fixtures[[#This Row],[homePens]]), "N/A")</f>
        <v>N/A</v>
      </c>
      <c r="AI918" s="58" t="b">
        <f>COUNTBLANK(Fixtures[[#This Row],[G]:[MOTM]]) = 0</f>
        <v>0</v>
      </c>
      <c r="AJ918" s="58" t="str">
        <f>IF(Fixtures[[#This Row],[APP]], Fixtures[[#This Row],[G]]+Fixtures[[#This Row],[A]], "N/A")</f>
        <v>N/A</v>
      </c>
      <c r="AK9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19" spans="1:39" ht="13">
      <c r="A919" s="55"/>
      <c r="B919" s="61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7"/>
      <c r="R919" s="56"/>
      <c r="S919" s="58" t="str" cm="1">
        <f t="array" ref="S919">_xlfn._xlws.FILTER(Competitions[compType], (Fixtures[[#This Row],[competition]] = Competitions[name]), "N/A")</f>
        <v>N/A</v>
      </c>
      <c r="T919" s="58" t="str" cm="1">
        <f t="array" ref="T919">_xlfn._xlws.FILTER(Competitions[exhibition], (Fixtures[[#This Row],[competition]] = Competitions[name]), "N/A")</f>
        <v>N/A</v>
      </c>
      <c r="U919" s="58" t="str" cm="1">
        <f t="array" ref="U919">_xlfn._xlws.FILTER(Competitions[compID], (Fixtures[[#This Row],[competition]] = Competitions[name]), "N/A")</f>
        <v>N/A</v>
      </c>
      <c r="V9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19" s="58" t="str" cm="1">
        <f t="array" ref="W9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19" s="58" t="str" cm="1">
        <f t="array" ref="X919">_xlfn._xlws.FILTER(Teams[name], (Fixtures[[#This Row],[userTeamID]] = Teams[teamID]), "N/A")</f>
        <v>N/A</v>
      </c>
      <c r="Y919" s="58" t="str" cm="1">
        <f t="array" ref="Y919">_xlfn._xlws.FILTER(Teams[teamType], (Fixtures[[#This Row],[userTeamID]] = Teams[teamID]), "N/A")</f>
        <v>N/A</v>
      </c>
      <c r="Z919" s="58" t="str" cm="1">
        <f t="array" ref="Z9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19" s="58" t="str">
        <f>IF(Fixtures[[#This Row],[userSide]] = "N/A", "N/A", IF(Fixtures[[#This Row],[userSide]] = "H", Fixtures[[#This Row],[awayTeam]], Fixtures[[#This Row],[homeTeam]]))</f>
        <v>N/A</v>
      </c>
      <c r="AB919" s="58" t="str" cm="1">
        <f t="array" ref="AB919">_xlfn._xlws.FILTER(Teams[teamID], Fixtures[[#This Row],[oppTeam]] = Teams[name], "N/A")</f>
        <v>N/A</v>
      </c>
      <c r="AC919" s="58" t="str" cm="1">
        <f t="array" ref="AC919">_xlfn._xlws.FILTER(Teams[teamType], Fixtures[[#This Row],[oppTeam]] = Teams[name], "N/A")</f>
        <v>N/A</v>
      </c>
      <c r="AD919" s="58" t="str">
        <f>IF(ISBLANK(Fixtures[[#This Row],[date]]), "N/A", IF(Fixtures[[#This Row],[userSide]]="H", Fixtures[[#This Row],[homeScore]], Fixtures[[#This Row],[awayScore]]))</f>
        <v>N/A</v>
      </c>
      <c r="AE919" s="58" t="str">
        <f>IF(ISBLANK(Fixtures[[#This Row],[date]]), "N/A", IF(Fixtures[[#This Row],[userScore]] = Fixtures[[#This Row],[homeScore]], Fixtures[[#This Row],[awayScore]], Fixtures[[#This Row],[homeScore]]))</f>
        <v>N/A</v>
      </c>
      <c r="AF919" s="58" t="b">
        <f>NOT(AND(ISBLANK(Fixtures[[#This Row],[homePens]]), ISBLANK(Fixtures[[#This Row],[awayPens]])))</f>
        <v>0</v>
      </c>
      <c r="AG919" s="58" t="str">
        <f>IF(Fixtures[[#This Row],[penalties]], IF(Fixtures[[#This Row],[userSide]]="H", Fixtures[[#This Row],[homePens]], Fixtures[[#This Row],[awayPens]]), "N/A")</f>
        <v>N/A</v>
      </c>
      <c r="AH919" s="58" t="str">
        <f>IF(Fixtures[[#This Row],[penalties]], IF(Fixtures[[#This Row],[userPens]]=Fixtures[[#This Row],[homePens]],Fixtures[[#This Row],[awayPens]],Fixtures[[#This Row],[homePens]]), "N/A")</f>
        <v>N/A</v>
      </c>
      <c r="AI919" s="58" t="b">
        <f>COUNTBLANK(Fixtures[[#This Row],[G]:[MOTM]]) = 0</f>
        <v>0</v>
      </c>
      <c r="AJ919" s="58" t="str">
        <f>IF(Fixtures[[#This Row],[APP]], Fixtures[[#This Row],[G]]+Fixtures[[#This Row],[A]], "N/A")</f>
        <v>N/A</v>
      </c>
      <c r="AK9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0" spans="1:39" ht="13">
      <c r="A920" s="55"/>
      <c r="B920" s="61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7"/>
      <c r="R920" s="56"/>
      <c r="S920" s="58" t="str" cm="1">
        <f t="array" ref="S920">_xlfn._xlws.FILTER(Competitions[compType], (Fixtures[[#This Row],[competition]] = Competitions[name]), "N/A")</f>
        <v>N/A</v>
      </c>
      <c r="T920" s="58" t="str" cm="1">
        <f t="array" ref="T920">_xlfn._xlws.FILTER(Competitions[exhibition], (Fixtures[[#This Row],[competition]] = Competitions[name]), "N/A")</f>
        <v>N/A</v>
      </c>
      <c r="U920" s="58" t="str" cm="1">
        <f t="array" ref="U920">_xlfn._xlws.FILTER(Competitions[compID], (Fixtures[[#This Row],[competition]] = Competitions[name]), "N/A")</f>
        <v>N/A</v>
      </c>
      <c r="V9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0" s="58" t="str" cm="1">
        <f t="array" ref="W9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0" s="58" t="str" cm="1">
        <f t="array" ref="X920">_xlfn._xlws.FILTER(Teams[name], (Fixtures[[#This Row],[userTeamID]] = Teams[teamID]), "N/A")</f>
        <v>N/A</v>
      </c>
      <c r="Y920" s="58" t="str" cm="1">
        <f t="array" ref="Y920">_xlfn._xlws.FILTER(Teams[teamType], (Fixtures[[#This Row],[userTeamID]] = Teams[teamID]), "N/A")</f>
        <v>N/A</v>
      </c>
      <c r="Z920" s="58" t="str" cm="1">
        <f t="array" ref="Z9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0" s="58" t="str">
        <f>IF(Fixtures[[#This Row],[userSide]] = "N/A", "N/A", IF(Fixtures[[#This Row],[userSide]] = "H", Fixtures[[#This Row],[awayTeam]], Fixtures[[#This Row],[homeTeam]]))</f>
        <v>N/A</v>
      </c>
      <c r="AB920" s="58" t="str" cm="1">
        <f t="array" ref="AB920">_xlfn._xlws.FILTER(Teams[teamID], Fixtures[[#This Row],[oppTeam]] = Teams[name], "N/A")</f>
        <v>N/A</v>
      </c>
      <c r="AC920" s="58" t="str" cm="1">
        <f t="array" ref="AC920">_xlfn._xlws.FILTER(Teams[teamType], Fixtures[[#This Row],[oppTeam]] = Teams[name], "N/A")</f>
        <v>N/A</v>
      </c>
      <c r="AD920" s="58" t="str">
        <f>IF(ISBLANK(Fixtures[[#This Row],[date]]), "N/A", IF(Fixtures[[#This Row],[userSide]]="H", Fixtures[[#This Row],[homeScore]], Fixtures[[#This Row],[awayScore]]))</f>
        <v>N/A</v>
      </c>
      <c r="AE920" s="58" t="str">
        <f>IF(ISBLANK(Fixtures[[#This Row],[date]]), "N/A", IF(Fixtures[[#This Row],[userScore]] = Fixtures[[#This Row],[homeScore]], Fixtures[[#This Row],[awayScore]], Fixtures[[#This Row],[homeScore]]))</f>
        <v>N/A</v>
      </c>
      <c r="AF920" s="58" t="b">
        <f>NOT(AND(ISBLANK(Fixtures[[#This Row],[homePens]]), ISBLANK(Fixtures[[#This Row],[awayPens]])))</f>
        <v>0</v>
      </c>
      <c r="AG920" s="58" t="str">
        <f>IF(Fixtures[[#This Row],[penalties]], IF(Fixtures[[#This Row],[userSide]]="H", Fixtures[[#This Row],[homePens]], Fixtures[[#This Row],[awayPens]]), "N/A")</f>
        <v>N/A</v>
      </c>
      <c r="AH920" s="58" t="str">
        <f>IF(Fixtures[[#This Row],[penalties]], IF(Fixtures[[#This Row],[userPens]]=Fixtures[[#This Row],[homePens]],Fixtures[[#This Row],[awayPens]],Fixtures[[#This Row],[homePens]]), "N/A")</f>
        <v>N/A</v>
      </c>
      <c r="AI920" s="58" t="b">
        <f>COUNTBLANK(Fixtures[[#This Row],[G]:[MOTM]]) = 0</f>
        <v>0</v>
      </c>
      <c r="AJ920" s="58" t="str">
        <f>IF(Fixtures[[#This Row],[APP]], Fixtures[[#This Row],[G]]+Fixtures[[#This Row],[A]], "N/A")</f>
        <v>N/A</v>
      </c>
      <c r="AK9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1" spans="1:39" ht="13">
      <c r="A921" s="55"/>
      <c r="B921" s="61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7"/>
      <c r="R921" s="56"/>
      <c r="S921" s="58" t="str" cm="1">
        <f t="array" ref="S921">_xlfn._xlws.FILTER(Competitions[compType], (Fixtures[[#This Row],[competition]] = Competitions[name]), "N/A")</f>
        <v>N/A</v>
      </c>
      <c r="T921" s="58" t="str" cm="1">
        <f t="array" ref="T921">_xlfn._xlws.FILTER(Competitions[exhibition], (Fixtures[[#This Row],[competition]] = Competitions[name]), "N/A")</f>
        <v>N/A</v>
      </c>
      <c r="U921" s="58" t="str" cm="1">
        <f t="array" ref="U921">_xlfn._xlws.FILTER(Competitions[compID], (Fixtures[[#This Row],[competition]] = Competitions[name]), "N/A")</f>
        <v>N/A</v>
      </c>
      <c r="V9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1" s="58" t="str" cm="1">
        <f t="array" ref="W9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1" s="58" t="str" cm="1">
        <f t="array" ref="X921">_xlfn._xlws.FILTER(Teams[name], (Fixtures[[#This Row],[userTeamID]] = Teams[teamID]), "N/A")</f>
        <v>N/A</v>
      </c>
      <c r="Y921" s="58" t="str" cm="1">
        <f t="array" ref="Y921">_xlfn._xlws.FILTER(Teams[teamType], (Fixtures[[#This Row],[userTeamID]] = Teams[teamID]), "N/A")</f>
        <v>N/A</v>
      </c>
      <c r="Z921" s="58" t="str" cm="1">
        <f t="array" ref="Z9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1" s="58" t="str">
        <f>IF(Fixtures[[#This Row],[userSide]] = "N/A", "N/A", IF(Fixtures[[#This Row],[userSide]] = "H", Fixtures[[#This Row],[awayTeam]], Fixtures[[#This Row],[homeTeam]]))</f>
        <v>N/A</v>
      </c>
      <c r="AB921" s="58" t="str" cm="1">
        <f t="array" ref="AB921">_xlfn._xlws.FILTER(Teams[teamID], Fixtures[[#This Row],[oppTeam]] = Teams[name], "N/A")</f>
        <v>N/A</v>
      </c>
      <c r="AC921" s="58" t="str" cm="1">
        <f t="array" ref="AC921">_xlfn._xlws.FILTER(Teams[teamType], Fixtures[[#This Row],[oppTeam]] = Teams[name], "N/A")</f>
        <v>N/A</v>
      </c>
      <c r="AD921" s="58" t="str">
        <f>IF(ISBLANK(Fixtures[[#This Row],[date]]), "N/A", IF(Fixtures[[#This Row],[userSide]]="H", Fixtures[[#This Row],[homeScore]], Fixtures[[#This Row],[awayScore]]))</f>
        <v>N/A</v>
      </c>
      <c r="AE921" s="58" t="str">
        <f>IF(ISBLANK(Fixtures[[#This Row],[date]]), "N/A", IF(Fixtures[[#This Row],[userScore]] = Fixtures[[#This Row],[homeScore]], Fixtures[[#This Row],[awayScore]], Fixtures[[#This Row],[homeScore]]))</f>
        <v>N/A</v>
      </c>
      <c r="AF921" s="58" t="b">
        <f>NOT(AND(ISBLANK(Fixtures[[#This Row],[homePens]]), ISBLANK(Fixtures[[#This Row],[awayPens]])))</f>
        <v>0</v>
      </c>
      <c r="AG921" s="58" t="str">
        <f>IF(Fixtures[[#This Row],[penalties]], IF(Fixtures[[#This Row],[userSide]]="H", Fixtures[[#This Row],[homePens]], Fixtures[[#This Row],[awayPens]]), "N/A")</f>
        <v>N/A</v>
      </c>
      <c r="AH921" s="58" t="str">
        <f>IF(Fixtures[[#This Row],[penalties]], IF(Fixtures[[#This Row],[userPens]]=Fixtures[[#This Row],[homePens]],Fixtures[[#This Row],[awayPens]],Fixtures[[#This Row],[homePens]]), "N/A")</f>
        <v>N/A</v>
      </c>
      <c r="AI921" s="58" t="b">
        <f>COUNTBLANK(Fixtures[[#This Row],[G]:[MOTM]]) = 0</f>
        <v>0</v>
      </c>
      <c r="AJ921" s="58" t="str">
        <f>IF(Fixtures[[#This Row],[APP]], Fixtures[[#This Row],[G]]+Fixtures[[#This Row],[A]], "N/A")</f>
        <v>N/A</v>
      </c>
      <c r="AK9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2" spans="1:39" ht="13">
      <c r="A922" s="55"/>
      <c r="B922" s="61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7"/>
      <c r="R922" s="56"/>
      <c r="S922" s="58" t="str" cm="1">
        <f t="array" ref="S922">_xlfn._xlws.FILTER(Competitions[compType], (Fixtures[[#This Row],[competition]] = Competitions[name]), "N/A")</f>
        <v>N/A</v>
      </c>
      <c r="T922" s="58" t="str" cm="1">
        <f t="array" ref="T922">_xlfn._xlws.FILTER(Competitions[exhibition], (Fixtures[[#This Row],[competition]] = Competitions[name]), "N/A")</f>
        <v>N/A</v>
      </c>
      <c r="U922" s="58" t="str" cm="1">
        <f t="array" ref="U922">_xlfn._xlws.FILTER(Competitions[compID], (Fixtures[[#This Row],[competition]] = Competitions[name]), "N/A")</f>
        <v>N/A</v>
      </c>
      <c r="V9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2" s="58" t="str" cm="1">
        <f t="array" ref="W9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2" s="58" t="str" cm="1">
        <f t="array" ref="X922">_xlfn._xlws.FILTER(Teams[name], (Fixtures[[#This Row],[userTeamID]] = Teams[teamID]), "N/A")</f>
        <v>N/A</v>
      </c>
      <c r="Y922" s="58" t="str" cm="1">
        <f t="array" ref="Y922">_xlfn._xlws.FILTER(Teams[teamType], (Fixtures[[#This Row],[userTeamID]] = Teams[teamID]), "N/A")</f>
        <v>N/A</v>
      </c>
      <c r="Z922" s="58" t="str" cm="1">
        <f t="array" ref="Z9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2" s="58" t="str">
        <f>IF(Fixtures[[#This Row],[userSide]] = "N/A", "N/A", IF(Fixtures[[#This Row],[userSide]] = "H", Fixtures[[#This Row],[awayTeam]], Fixtures[[#This Row],[homeTeam]]))</f>
        <v>N/A</v>
      </c>
      <c r="AB922" s="58" t="str" cm="1">
        <f t="array" ref="AB922">_xlfn._xlws.FILTER(Teams[teamID], Fixtures[[#This Row],[oppTeam]] = Teams[name], "N/A")</f>
        <v>N/A</v>
      </c>
      <c r="AC922" s="58" t="str" cm="1">
        <f t="array" ref="AC922">_xlfn._xlws.FILTER(Teams[teamType], Fixtures[[#This Row],[oppTeam]] = Teams[name], "N/A")</f>
        <v>N/A</v>
      </c>
      <c r="AD922" s="58" t="str">
        <f>IF(ISBLANK(Fixtures[[#This Row],[date]]), "N/A", IF(Fixtures[[#This Row],[userSide]]="H", Fixtures[[#This Row],[homeScore]], Fixtures[[#This Row],[awayScore]]))</f>
        <v>N/A</v>
      </c>
      <c r="AE922" s="58" t="str">
        <f>IF(ISBLANK(Fixtures[[#This Row],[date]]), "N/A", IF(Fixtures[[#This Row],[userScore]] = Fixtures[[#This Row],[homeScore]], Fixtures[[#This Row],[awayScore]], Fixtures[[#This Row],[homeScore]]))</f>
        <v>N/A</v>
      </c>
      <c r="AF922" s="58" t="b">
        <f>NOT(AND(ISBLANK(Fixtures[[#This Row],[homePens]]), ISBLANK(Fixtures[[#This Row],[awayPens]])))</f>
        <v>0</v>
      </c>
      <c r="AG922" s="58" t="str">
        <f>IF(Fixtures[[#This Row],[penalties]], IF(Fixtures[[#This Row],[userSide]]="H", Fixtures[[#This Row],[homePens]], Fixtures[[#This Row],[awayPens]]), "N/A")</f>
        <v>N/A</v>
      </c>
      <c r="AH922" s="58" t="str">
        <f>IF(Fixtures[[#This Row],[penalties]], IF(Fixtures[[#This Row],[userPens]]=Fixtures[[#This Row],[homePens]],Fixtures[[#This Row],[awayPens]],Fixtures[[#This Row],[homePens]]), "N/A")</f>
        <v>N/A</v>
      </c>
      <c r="AI922" s="58" t="b">
        <f>COUNTBLANK(Fixtures[[#This Row],[G]:[MOTM]]) = 0</f>
        <v>0</v>
      </c>
      <c r="AJ922" s="58" t="str">
        <f>IF(Fixtures[[#This Row],[APP]], Fixtures[[#This Row],[G]]+Fixtures[[#This Row],[A]], "N/A")</f>
        <v>N/A</v>
      </c>
      <c r="AK9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3" spans="1:39" ht="13">
      <c r="A923" s="55"/>
      <c r="B923" s="61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7"/>
      <c r="R923" s="56"/>
      <c r="S923" s="58" t="str" cm="1">
        <f t="array" ref="S923">_xlfn._xlws.FILTER(Competitions[compType], (Fixtures[[#This Row],[competition]] = Competitions[name]), "N/A")</f>
        <v>N/A</v>
      </c>
      <c r="T923" s="58" t="str" cm="1">
        <f t="array" ref="T923">_xlfn._xlws.FILTER(Competitions[exhibition], (Fixtures[[#This Row],[competition]] = Competitions[name]), "N/A")</f>
        <v>N/A</v>
      </c>
      <c r="U923" s="58" t="str" cm="1">
        <f t="array" ref="U923">_xlfn._xlws.FILTER(Competitions[compID], (Fixtures[[#This Row],[competition]] = Competitions[name]), "N/A")</f>
        <v>N/A</v>
      </c>
      <c r="V9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3" s="58" t="str" cm="1">
        <f t="array" ref="W9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3" s="58" t="str" cm="1">
        <f t="array" ref="X923">_xlfn._xlws.FILTER(Teams[name], (Fixtures[[#This Row],[userTeamID]] = Teams[teamID]), "N/A")</f>
        <v>N/A</v>
      </c>
      <c r="Y923" s="58" t="str" cm="1">
        <f t="array" ref="Y923">_xlfn._xlws.FILTER(Teams[teamType], (Fixtures[[#This Row],[userTeamID]] = Teams[teamID]), "N/A")</f>
        <v>N/A</v>
      </c>
      <c r="Z923" s="58" t="str" cm="1">
        <f t="array" ref="Z9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3" s="58" t="str">
        <f>IF(Fixtures[[#This Row],[userSide]] = "N/A", "N/A", IF(Fixtures[[#This Row],[userSide]] = "H", Fixtures[[#This Row],[awayTeam]], Fixtures[[#This Row],[homeTeam]]))</f>
        <v>N/A</v>
      </c>
      <c r="AB923" s="58" t="str" cm="1">
        <f t="array" ref="AB923">_xlfn._xlws.FILTER(Teams[teamID], Fixtures[[#This Row],[oppTeam]] = Teams[name], "N/A")</f>
        <v>N/A</v>
      </c>
      <c r="AC923" s="58" t="str" cm="1">
        <f t="array" ref="AC923">_xlfn._xlws.FILTER(Teams[teamType], Fixtures[[#This Row],[oppTeam]] = Teams[name], "N/A")</f>
        <v>N/A</v>
      </c>
      <c r="AD923" s="58" t="str">
        <f>IF(ISBLANK(Fixtures[[#This Row],[date]]), "N/A", IF(Fixtures[[#This Row],[userSide]]="H", Fixtures[[#This Row],[homeScore]], Fixtures[[#This Row],[awayScore]]))</f>
        <v>N/A</v>
      </c>
      <c r="AE923" s="58" t="str">
        <f>IF(ISBLANK(Fixtures[[#This Row],[date]]), "N/A", IF(Fixtures[[#This Row],[userScore]] = Fixtures[[#This Row],[homeScore]], Fixtures[[#This Row],[awayScore]], Fixtures[[#This Row],[homeScore]]))</f>
        <v>N/A</v>
      </c>
      <c r="AF923" s="58" t="b">
        <f>NOT(AND(ISBLANK(Fixtures[[#This Row],[homePens]]), ISBLANK(Fixtures[[#This Row],[awayPens]])))</f>
        <v>0</v>
      </c>
      <c r="AG923" s="58" t="str">
        <f>IF(Fixtures[[#This Row],[penalties]], IF(Fixtures[[#This Row],[userSide]]="H", Fixtures[[#This Row],[homePens]], Fixtures[[#This Row],[awayPens]]), "N/A")</f>
        <v>N/A</v>
      </c>
      <c r="AH923" s="58" t="str">
        <f>IF(Fixtures[[#This Row],[penalties]], IF(Fixtures[[#This Row],[userPens]]=Fixtures[[#This Row],[homePens]],Fixtures[[#This Row],[awayPens]],Fixtures[[#This Row],[homePens]]), "N/A")</f>
        <v>N/A</v>
      </c>
      <c r="AI923" s="58" t="b">
        <f>COUNTBLANK(Fixtures[[#This Row],[G]:[MOTM]]) = 0</f>
        <v>0</v>
      </c>
      <c r="AJ923" s="58" t="str">
        <f>IF(Fixtures[[#This Row],[APP]], Fixtures[[#This Row],[G]]+Fixtures[[#This Row],[A]], "N/A")</f>
        <v>N/A</v>
      </c>
      <c r="AK9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4" spans="1:39" ht="13">
      <c r="A924" s="55"/>
      <c r="B924" s="61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7"/>
      <c r="R924" s="56"/>
      <c r="S924" s="58" t="str" cm="1">
        <f t="array" ref="S924">_xlfn._xlws.FILTER(Competitions[compType], (Fixtures[[#This Row],[competition]] = Competitions[name]), "N/A")</f>
        <v>N/A</v>
      </c>
      <c r="T924" s="58" t="str" cm="1">
        <f t="array" ref="T924">_xlfn._xlws.FILTER(Competitions[exhibition], (Fixtures[[#This Row],[competition]] = Competitions[name]), "N/A")</f>
        <v>N/A</v>
      </c>
      <c r="U924" s="58" t="str" cm="1">
        <f t="array" ref="U924">_xlfn._xlws.FILTER(Competitions[compID], (Fixtures[[#This Row],[competition]] = Competitions[name]), "N/A")</f>
        <v>N/A</v>
      </c>
      <c r="V9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4" s="58" t="str" cm="1">
        <f t="array" ref="W9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4" s="58" t="str" cm="1">
        <f t="array" ref="X924">_xlfn._xlws.FILTER(Teams[name], (Fixtures[[#This Row],[userTeamID]] = Teams[teamID]), "N/A")</f>
        <v>N/A</v>
      </c>
      <c r="Y924" s="58" t="str" cm="1">
        <f t="array" ref="Y924">_xlfn._xlws.FILTER(Teams[teamType], (Fixtures[[#This Row],[userTeamID]] = Teams[teamID]), "N/A")</f>
        <v>N/A</v>
      </c>
      <c r="Z924" s="58" t="str" cm="1">
        <f t="array" ref="Z9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4" s="58" t="str">
        <f>IF(Fixtures[[#This Row],[userSide]] = "N/A", "N/A", IF(Fixtures[[#This Row],[userSide]] = "H", Fixtures[[#This Row],[awayTeam]], Fixtures[[#This Row],[homeTeam]]))</f>
        <v>N/A</v>
      </c>
      <c r="AB924" s="58" t="str" cm="1">
        <f t="array" ref="AB924">_xlfn._xlws.FILTER(Teams[teamID], Fixtures[[#This Row],[oppTeam]] = Teams[name], "N/A")</f>
        <v>N/A</v>
      </c>
      <c r="AC924" s="58" t="str" cm="1">
        <f t="array" ref="AC924">_xlfn._xlws.FILTER(Teams[teamType], Fixtures[[#This Row],[oppTeam]] = Teams[name], "N/A")</f>
        <v>N/A</v>
      </c>
      <c r="AD924" s="58" t="str">
        <f>IF(ISBLANK(Fixtures[[#This Row],[date]]), "N/A", IF(Fixtures[[#This Row],[userSide]]="H", Fixtures[[#This Row],[homeScore]], Fixtures[[#This Row],[awayScore]]))</f>
        <v>N/A</v>
      </c>
      <c r="AE924" s="58" t="str">
        <f>IF(ISBLANK(Fixtures[[#This Row],[date]]), "N/A", IF(Fixtures[[#This Row],[userScore]] = Fixtures[[#This Row],[homeScore]], Fixtures[[#This Row],[awayScore]], Fixtures[[#This Row],[homeScore]]))</f>
        <v>N/A</v>
      </c>
      <c r="AF924" s="58" t="b">
        <f>NOT(AND(ISBLANK(Fixtures[[#This Row],[homePens]]), ISBLANK(Fixtures[[#This Row],[awayPens]])))</f>
        <v>0</v>
      </c>
      <c r="AG924" s="58" t="str">
        <f>IF(Fixtures[[#This Row],[penalties]], IF(Fixtures[[#This Row],[userSide]]="H", Fixtures[[#This Row],[homePens]], Fixtures[[#This Row],[awayPens]]), "N/A")</f>
        <v>N/A</v>
      </c>
      <c r="AH924" s="58" t="str">
        <f>IF(Fixtures[[#This Row],[penalties]], IF(Fixtures[[#This Row],[userPens]]=Fixtures[[#This Row],[homePens]],Fixtures[[#This Row],[awayPens]],Fixtures[[#This Row],[homePens]]), "N/A")</f>
        <v>N/A</v>
      </c>
      <c r="AI924" s="58" t="b">
        <f>COUNTBLANK(Fixtures[[#This Row],[G]:[MOTM]]) = 0</f>
        <v>0</v>
      </c>
      <c r="AJ924" s="58" t="str">
        <f>IF(Fixtures[[#This Row],[APP]], Fixtures[[#This Row],[G]]+Fixtures[[#This Row],[A]], "N/A")</f>
        <v>N/A</v>
      </c>
      <c r="AK9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5" spans="1:39" ht="13">
      <c r="A925" s="55"/>
      <c r="B925" s="61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7"/>
      <c r="R925" s="56"/>
      <c r="S925" s="58" t="str" cm="1">
        <f t="array" ref="S925">_xlfn._xlws.FILTER(Competitions[compType], (Fixtures[[#This Row],[competition]] = Competitions[name]), "N/A")</f>
        <v>N/A</v>
      </c>
      <c r="T925" s="58" t="str" cm="1">
        <f t="array" ref="T925">_xlfn._xlws.FILTER(Competitions[exhibition], (Fixtures[[#This Row],[competition]] = Competitions[name]), "N/A")</f>
        <v>N/A</v>
      </c>
      <c r="U925" s="58" t="str" cm="1">
        <f t="array" ref="U925">_xlfn._xlws.FILTER(Competitions[compID], (Fixtures[[#This Row],[competition]] = Competitions[name]), "N/A")</f>
        <v>N/A</v>
      </c>
      <c r="V9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5" s="58" t="str" cm="1">
        <f t="array" ref="W9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5" s="58" t="str" cm="1">
        <f t="array" ref="X925">_xlfn._xlws.FILTER(Teams[name], (Fixtures[[#This Row],[userTeamID]] = Teams[teamID]), "N/A")</f>
        <v>N/A</v>
      </c>
      <c r="Y925" s="58" t="str" cm="1">
        <f t="array" ref="Y925">_xlfn._xlws.FILTER(Teams[teamType], (Fixtures[[#This Row],[userTeamID]] = Teams[teamID]), "N/A")</f>
        <v>N/A</v>
      </c>
      <c r="Z925" s="58" t="str" cm="1">
        <f t="array" ref="Z9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5" s="58" t="str">
        <f>IF(Fixtures[[#This Row],[userSide]] = "N/A", "N/A", IF(Fixtures[[#This Row],[userSide]] = "H", Fixtures[[#This Row],[awayTeam]], Fixtures[[#This Row],[homeTeam]]))</f>
        <v>N/A</v>
      </c>
      <c r="AB925" s="58" t="str" cm="1">
        <f t="array" ref="AB925">_xlfn._xlws.FILTER(Teams[teamID], Fixtures[[#This Row],[oppTeam]] = Teams[name], "N/A")</f>
        <v>N/A</v>
      </c>
      <c r="AC925" s="58" t="str" cm="1">
        <f t="array" ref="AC925">_xlfn._xlws.FILTER(Teams[teamType], Fixtures[[#This Row],[oppTeam]] = Teams[name], "N/A")</f>
        <v>N/A</v>
      </c>
      <c r="AD925" s="58" t="str">
        <f>IF(ISBLANK(Fixtures[[#This Row],[date]]), "N/A", IF(Fixtures[[#This Row],[userSide]]="H", Fixtures[[#This Row],[homeScore]], Fixtures[[#This Row],[awayScore]]))</f>
        <v>N/A</v>
      </c>
      <c r="AE925" s="58" t="str">
        <f>IF(ISBLANK(Fixtures[[#This Row],[date]]), "N/A", IF(Fixtures[[#This Row],[userScore]] = Fixtures[[#This Row],[homeScore]], Fixtures[[#This Row],[awayScore]], Fixtures[[#This Row],[homeScore]]))</f>
        <v>N/A</v>
      </c>
      <c r="AF925" s="58" t="b">
        <f>NOT(AND(ISBLANK(Fixtures[[#This Row],[homePens]]), ISBLANK(Fixtures[[#This Row],[awayPens]])))</f>
        <v>0</v>
      </c>
      <c r="AG925" s="58" t="str">
        <f>IF(Fixtures[[#This Row],[penalties]], IF(Fixtures[[#This Row],[userSide]]="H", Fixtures[[#This Row],[homePens]], Fixtures[[#This Row],[awayPens]]), "N/A")</f>
        <v>N/A</v>
      </c>
      <c r="AH925" s="58" t="str">
        <f>IF(Fixtures[[#This Row],[penalties]], IF(Fixtures[[#This Row],[userPens]]=Fixtures[[#This Row],[homePens]],Fixtures[[#This Row],[awayPens]],Fixtures[[#This Row],[homePens]]), "N/A")</f>
        <v>N/A</v>
      </c>
      <c r="AI925" s="58" t="b">
        <f>COUNTBLANK(Fixtures[[#This Row],[G]:[MOTM]]) = 0</f>
        <v>0</v>
      </c>
      <c r="AJ925" s="58" t="str">
        <f>IF(Fixtures[[#This Row],[APP]], Fixtures[[#This Row],[G]]+Fixtures[[#This Row],[A]], "N/A")</f>
        <v>N/A</v>
      </c>
      <c r="AK9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6" spans="1:39" ht="13">
      <c r="A926" s="55"/>
      <c r="B926" s="61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7"/>
      <c r="R926" s="56"/>
      <c r="S926" s="58" t="str" cm="1">
        <f t="array" ref="S926">_xlfn._xlws.FILTER(Competitions[compType], (Fixtures[[#This Row],[competition]] = Competitions[name]), "N/A")</f>
        <v>N/A</v>
      </c>
      <c r="T926" s="58" t="str" cm="1">
        <f t="array" ref="T926">_xlfn._xlws.FILTER(Competitions[exhibition], (Fixtures[[#This Row],[competition]] = Competitions[name]), "N/A")</f>
        <v>N/A</v>
      </c>
      <c r="U926" s="58" t="str" cm="1">
        <f t="array" ref="U926">_xlfn._xlws.FILTER(Competitions[compID], (Fixtures[[#This Row],[competition]] = Competitions[name]), "N/A")</f>
        <v>N/A</v>
      </c>
      <c r="V9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6" s="58" t="str" cm="1">
        <f t="array" ref="W9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6" s="58" t="str" cm="1">
        <f t="array" ref="X926">_xlfn._xlws.FILTER(Teams[name], (Fixtures[[#This Row],[userTeamID]] = Teams[teamID]), "N/A")</f>
        <v>N/A</v>
      </c>
      <c r="Y926" s="58" t="str" cm="1">
        <f t="array" ref="Y926">_xlfn._xlws.FILTER(Teams[teamType], (Fixtures[[#This Row],[userTeamID]] = Teams[teamID]), "N/A")</f>
        <v>N/A</v>
      </c>
      <c r="Z926" s="58" t="str" cm="1">
        <f t="array" ref="Z9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6" s="58" t="str">
        <f>IF(Fixtures[[#This Row],[userSide]] = "N/A", "N/A", IF(Fixtures[[#This Row],[userSide]] = "H", Fixtures[[#This Row],[awayTeam]], Fixtures[[#This Row],[homeTeam]]))</f>
        <v>N/A</v>
      </c>
      <c r="AB926" s="58" t="str" cm="1">
        <f t="array" ref="AB926">_xlfn._xlws.FILTER(Teams[teamID], Fixtures[[#This Row],[oppTeam]] = Teams[name], "N/A")</f>
        <v>N/A</v>
      </c>
      <c r="AC926" s="58" t="str" cm="1">
        <f t="array" ref="AC926">_xlfn._xlws.FILTER(Teams[teamType], Fixtures[[#This Row],[oppTeam]] = Teams[name], "N/A")</f>
        <v>N/A</v>
      </c>
      <c r="AD926" s="58" t="str">
        <f>IF(ISBLANK(Fixtures[[#This Row],[date]]), "N/A", IF(Fixtures[[#This Row],[userSide]]="H", Fixtures[[#This Row],[homeScore]], Fixtures[[#This Row],[awayScore]]))</f>
        <v>N/A</v>
      </c>
      <c r="AE926" s="58" t="str">
        <f>IF(ISBLANK(Fixtures[[#This Row],[date]]), "N/A", IF(Fixtures[[#This Row],[userScore]] = Fixtures[[#This Row],[homeScore]], Fixtures[[#This Row],[awayScore]], Fixtures[[#This Row],[homeScore]]))</f>
        <v>N/A</v>
      </c>
      <c r="AF926" s="58" t="b">
        <f>NOT(AND(ISBLANK(Fixtures[[#This Row],[homePens]]), ISBLANK(Fixtures[[#This Row],[awayPens]])))</f>
        <v>0</v>
      </c>
      <c r="AG926" s="58" t="str">
        <f>IF(Fixtures[[#This Row],[penalties]], IF(Fixtures[[#This Row],[userSide]]="H", Fixtures[[#This Row],[homePens]], Fixtures[[#This Row],[awayPens]]), "N/A")</f>
        <v>N/A</v>
      </c>
      <c r="AH926" s="58" t="str">
        <f>IF(Fixtures[[#This Row],[penalties]], IF(Fixtures[[#This Row],[userPens]]=Fixtures[[#This Row],[homePens]],Fixtures[[#This Row],[awayPens]],Fixtures[[#This Row],[homePens]]), "N/A")</f>
        <v>N/A</v>
      </c>
      <c r="AI926" s="58" t="b">
        <f>COUNTBLANK(Fixtures[[#This Row],[G]:[MOTM]]) = 0</f>
        <v>0</v>
      </c>
      <c r="AJ926" s="58" t="str">
        <f>IF(Fixtures[[#This Row],[APP]], Fixtures[[#This Row],[G]]+Fixtures[[#This Row],[A]], "N/A")</f>
        <v>N/A</v>
      </c>
      <c r="AK9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7" spans="1:39" ht="13">
      <c r="A927" s="55"/>
      <c r="B927" s="61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7"/>
      <c r="R927" s="56"/>
      <c r="S927" s="58" t="str" cm="1">
        <f t="array" ref="S927">_xlfn._xlws.FILTER(Competitions[compType], (Fixtures[[#This Row],[competition]] = Competitions[name]), "N/A")</f>
        <v>N/A</v>
      </c>
      <c r="T927" s="58" t="str" cm="1">
        <f t="array" ref="T927">_xlfn._xlws.FILTER(Competitions[exhibition], (Fixtures[[#This Row],[competition]] = Competitions[name]), "N/A")</f>
        <v>N/A</v>
      </c>
      <c r="U927" s="58" t="str" cm="1">
        <f t="array" ref="U927">_xlfn._xlws.FILTER(Competitions[compID], (Fixtures[[#This Row],[competition]] = Competitions[name]), "N/A")</f>
        <v>N/A</v>
      </c>
      <c r="V9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7" s="58" t="str" cm="1">
        <f t="array" ref="W9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7" s="58" t="str" cm="1">
        <f t="array" ref="X927">_xlfn._xlws.FILTER(Teams[name], (Fixtures[[#This Row],[userTeamID]] = Teams[teamID]), "N/A")</f>
        <v>N/A</v>
      </c>
      <c r="Y927" s="58" t="str" cm="1">
        <f t="array" ref="Y927">_xlfn._xlws.FILTER(Teams[teamType], (Fixtures[[#This Row],[userTeamID]] = Teams[teamID]), "N/A")</f>
        <v>N/A</v>
      </c>
      <c r="Z927" s="58" t="str" cm="1">
        <f t="array" ref="Z9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7" s="58" t="str">
        <f>IF(Fixtures[[#This Row],[userSide]] = "N/A", "N/A", IF(Fixtures[[#This Row],[userSide]] = "H", Fixtures[[#This Row],[awayTeam]], Fixtures[[#This Row],[homeTeam]]))</f>
        <v>N/A</v>
      </c>
      <c r="AB927" s="58" t="str" cm="1">
        <f t="array" ref="AB927">_xlfn._xlws.FILTER(Teams[teamID], Fixtures[[#This Row],[oppTeam]] = Teams[name], "N/A")</f>
        <v>N/A</v>
      </c>
      <c r="AC927" s="58" t="str" cm="1">
        <f t="array" ref="AC927">_xlfn._xlws.FILTER(Teams[teamType], Fixtures[[#This Row],[oppTeam]] = Teams[name], "N/A")</f>
        <v>N/A</v>
      </c>
      <c r="AD927" s="58" t="str">
        <f>IF(ISBLANK(Fixtures[[#This Row],[date]]), "N/A", IF(Fixtures[[#This Row],[userSide]]="H", Fixtures[[#This Row],[homeScore]], Fixtures[[#This Row],[awayScore]]))</f>
        <v>N/A</v>
      </c>
      <c r="AE927" s="58" t="str">
        <f>IF(ISBLANK(Fixtures[[#This Row],[date]]), "N/A", IF(Fixtures[[#This Row],[userScore]] = Fixtures[[#This Row],[homeScore]], Fixtures[[#This Row],[awayScore]], Fixtures[[#This Row],[homeScore]]))</f>
        <v>N/A</v>
      </c>
      <c r="AF927" s="58" t="b">
        <f>NOT(AND(ISBLANK(Fixtures[[#This Row],[homePens]]), ISBLANK(Fixtures[[#This Row],[awayPens]])))</f>
        <v>0</v>
      </c>
      <c r="AG927" s="58" t="str">
        <f>IF(Fixtures[[#This Row],[penalties]], IF(Fixtures[[#This Row],[userSide]]="H", Fixtures[[#This Row],[homePens]], Fixtures[[#This Row],[awayPens]]), "N/A")</f>
        <v>N/A</v>
      </c>
      <c r="AH927" s="58" t="str">
        <f>IF(Fixtures[[#This Row],[penalties]], IF(Fixtures[[#This Row],[userPens]]=Fixtures[[#This Row],[homePens]],Fixtures[[#This Row],[awayPens]],Fixtures[[#This Row],[homePens]]), "N/A")</f>
        <v>N/A</v>
      </c>
      <c r="AI927" s="58" t="b">
        <f>COUNTBLANK(Fixtures[[#This Row],[G]:[MOTM]]) = 0</f>
        <v>0</v>
      </c>
      <c r="AJ927" s="58" t="str">
        <f>IF(Fixtures[[#This Row],[APP]], Fixtures[[#This Row],[G]]+Fixtures[[#This Row],[A]], "N/A")</f>
        <v>N/A</v>
      </c>
      <c r="AK9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8" spans="1:39" ht="13">
      <c r="A928" s="55"/>
      <c r="B928" s="61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7"/>
      <c r="R928" s="56"/>
      <c r="S928" s="58" t="str" cm="1">
        <f t="array" ref="S928">_xlfn._xlws.FILTER(Competitions[compType], (Fixtures[[#This Row],[competition]] = Competitions[name]), "N/A")</f>
        <v>N/A</v>
      </c>
      <c r="T928" s="58" t="str" cm="1">
        <f t="array" ref="T928">_xlfn._xlws.FILTER(Competitions[exhibition], (Fixtures[[#This Row],[competition]] = Competitions[name]), "N/A")</f>
        <v>N/A</v>
      </c>
      <c r="U928" s="58" t="str" cm="1">
        <f t="array" ref="U928">_xlfn._xlws.FILTER(Competitions[compID], (Fixtures[[#This Row],[competition]] = Competitions[name]), "N/A")</f>
        <v>N/A</v>
      </c>
      <c r="V9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8" s="58" t="str" cm="1">
        <f t="array" ref="W9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8" s="58" t="str" cm="1">
        <f t="array" ref="X928">_xlfn._xlws.FILTER(Teams[name], (Fixtures[[#This Row],[userTeamID]] = Teams[teamID]), "N/A")</f>
        <v>N/A</v>
      </c>
      <c r="Y928" s="58" t="str" cm="1">
        <f t="array" ref="Y928">_xlfn._xlws.FILTER(Teams[teamType], (Fixtures[[#This Row],[userTeamID]] = Teams[teamID]), "N/A")</f>
        <v>N/A</v>
      </c>
      <c r="Z928" s="58" t="str" cm="1">
        <f t="array" ref="Z9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8" s="58" t="str">
        <f>IF(Fixtures[[#This Row],[userSide]] = "N/A", "N/A", IF(Fixtures[[#This Row],[userSide]] = "H", Fixtures[[#This Row],[awayTeam]], Fixtures[[#This Row],[homeTeam]]))</f>
        <v>N/A</v>
      </c>
      <c r="AB928" s="58" t="str" cm="1">
        <f t="array" ref="AB928">_xlfn._xlws.FILTER(Teams[teamID], Fixtures[[#This Row],[oppTeam]] = Teams[name], "N/A")</f>
        <v>N/A</v>
      </c>
      <c r="AC928" s="58" t="str" cm="1">
        <f t="array" ref="AC928">_xlfn._xlws.FILTER(Teams[teamType], Fixtures[[#This Row],[oppTeam]] = Teams[name], "N/A")</f>
        <v>N/A</v>
      </c>
      <c r="AD928" s="58" t="str">
        <f>IF(ISBLANK(Fixtures[[#This Row],[date]]), "N/A", IF(Fixtures[[#This Row],[userSide]]="H", Fixtures[[#This Row],[homeScore]], Fixtures[[#This Row],[awayScore]]))</f>
        <v>N/A</v>
      </c>
      <c r="AE928" s="58" t="str">
        <f>IF(ISBLANK(Fixtures[[#This Row],[date]]), "N/A", IF(Fixtures[[#This Row],[userScore]] = Fixtures[[#This Row],[homeScore]], Fixtures[[#This Row],[awayScore]], Fixtures[[#This Row],[homeScore]]))</f>
        <v>N/A</v>
      </c>
      <c r="AF928" s="58" t="b">
        <f>NOT(AND(ISBLANK(Fixtures[[#This Row],[homePens]]), ISBLANK(Fixtures[[#This Row],[awayPens]])))</f>
        <v>0</v>
      </c>
      <c r="AG928" s="58" t="str">
        <f>IF(Fixtures[[#This Row],[penalties]], IF(Fixtures[[#This Row],[userSide]]="H", Fixtures[[#This Row],[homePens]], Fixtures[[#This Row],[awayPens]]), "N/A")</f>
        <v>N/A</v>
      </c>
      <c r="AH928" s="58" t="str">
        <f>IF(Fixtures[[#This Row],[penalties]], IF(Fixtures[[#This Row],[userPens]]=Fixtures[[#This Row],[homePens]],Fixtures[[#This Row],[awayPens]],Fixtures[[#This Row],[homePens]]), "N/A")</f>
        <v>N/A</v>
      </c>
      <c r="AI928" s="58" t="b">
        <f>COUNTBLANK(Fixtures[[#This Row],[G]:[MOTM]]) = 0</f>
        <v>0</v>
      </c>
      <c r="AJ928" s="58" t="str">
        <f>IF(Fixtures[[#This Row],[APP]], Fixtures[[#This Row],[G]]+Fixtures[[#This Row],[A]], "N/A")</f>
        <v>N/A</v>
      </c>
      <c r="AK9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29" spans="1:39" ht="13">
      <c r="A929" s="55"/>
      <c r="B929" s="61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7"/>
      <c r="R929" s="56"/>
      <c r="S929" s="58" t="str" cm="1">
        <f t="array" ref="S929">_xlfn._xlws.FILTER(Competitions[compType], (Fixtures[[#This Row],[competition]] = Competitions[name]), "N/A")</f>
        <v>N/A</v>
      </c>
      <c r="T929" s="58" t="str" cm="1">
        <f t="array" ref="T929">_xlfn._xlws.FILTER(Competitions[exhibition], (Fixtures[[#This Row],[competition]] = Competitions[name]), "N/A")</f>
        <v>N/A</v>
      </c>
      <c r="U929" s="58" t="str" cm="1">
        <f t="array" ref="U929">_xlfn._xlws.FILTER(Competitions[compID], (Fixtures[[#This Row],[competition]] = Competitions[name]), "N/A")</f>
        <v>N/A</v>
      </c>
      <c r="V9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29" s="58" t="str" cm="1">
        <f t="array" ref="W9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29" s="58" t="str" cm="1">
        <f t="array" ref="X929">_xlfn._xlws.FILTER(Teams[name], (Fixtures[[#This Row],[userTeamID]] = Teams[teamID]), "N/A")</f>
        <v>N/A</v>
      </c>
      <c r="Y929" s="58" t="str" cm="1">
        <f t="array" ref="Y929">_xlfn._xlws.FILTER(Teams[teamType], (Fixtures[[#This Row],[userTeamID]] = Teams[teamID]), "N/A")</f>
        <v>N/A</v>
      </c>
      <c r="Z929" s="58" t="str" cm="1">
        <f t="array" ref="Z9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29" s="58" t="str">
        <f>IF(Fixtures[[#This Row],[userSide]] = "N/A", "N/A", IF(Fixtures[[#This Row],[userSide]] = "H", Fixtures[[#This Row],[awayTeam]], Fixtures[[#This Row],[homeTeam]]))</f>
        <v>N/A</v>
      </c>
      <c r="AB929" s="58" t="str" cm="1">
        <f t="array" ref="AB929">_xlfn._xlws.FILTER(Teams[teamID], Fixtures[[#This Row],[oppTeam]] = Teams[name], "N/A")</f>
        <v>N/A</v>
      </c>
      <c r="AC929" s="58" t="str" cm="1">
        <f t="array" ref="AC929">_xlfn._xlws.FILTER(Teams[teamType], Fixtures[[#This Row],[oppTeam]] = Teams[name], "N/A")</f>
        <v>N/A</v>
      </c>
      <c r="AD929" s="58" t="str">
        <f>IF(ISBLANK(Fixtures[[#This Row],[date]]), "N/A", IF(Fixtures[[#This Row],[userSide]]="H", Fixtures[[#This Row],[homeScore]], Fixtures[[#This Row],[awayScore]]))</f>
        <v>N/A</v>
      </c>
      <c r="AE929" s="58" t="str">
        <f>IF(ISBLANK(Fixtures[[#This Row],[date]]), "N/A", IF(Fixtures[[#This Row],[userScore]] = Fixtures[[#This Row],[homeScore]], Fixtures[[#This Row],[awayScore]], Fixtures[[#This Row],[homeScore]]))</f>
        <v>N/A</v>
      </c>
      <c r="AF929" s="58" t="b">
        <f>NOT(AND(ISBLANK(Fixtures[[#This Row],[homePens]]), ISBLANK(Fixtures[[#This Row],[awayPens]])))</f>
        <v>0</v>
      </c>
      <c r="AG929" s="58" t="str">
        <f>IF(Fixtures[[#This Row],[penalties]], IF(Fixtures[[#This Row],[userSide]]="H", Fixtures[[#This Row],[homePens]], Fixtures[[#This Row],[awayPens]]), "N/A")</f>
        <v>N/A</v>
      </c>
      <c r="AH929" s="58" t="str">
        <f>IF(Fixtures[[#This Row],[penalties]], IF(Fixtures[[#This Row],[userPens]]=Fixtures[[#This Row],[homePens]],Fixtures[[#This Row],[awayPens]],Fixtures[[#This Row],[homePens]]), "N/A")</f>
        <v>N/A</v>
      </c>
      <c r="AI929" s="58" t="b">
        <f>COUNTBLANK(Fixtures[[#This Row],[G]:[MOTM]]) = 0</f>
        <v>0</v>
      </c>
      <c r="AJ929" s="58" t="str">
        <f>IF(Fixtures[[#This Row],[APP]], Fixtures[[#This Row],[G]]+Fixtures[[#This Row],[A]], "N/A")</f>
        <v>N/A</v>
      </c>
      <c r="AK9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0" spans="1:39" ht="13">
      <c r="A930" s="55"/>
      <c r="B930" s="61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7"/>
      <c r="R930" s="56"/>
      <c r="S930" s="58" t="str" cm="1">
        <f t="array" ref="S930">_xlfn._xlws.FILTER(Competitions[compType], (Fixtures[[#This Row],[competition]] = Competitions[name]), "N/A")</f>
        <v>N/A</v>
      </c>
      <c r="T930" s="58" t="str" cm="1">
        <f t="array" ref="T930">_xlfn._xlws.FILTER(Competitions[exhibition], (Fixtures[[#This Row],[competition]] = Competitions[name]), "N/A")</f>
        <v>N/A</v>
      </c>
      <c r="U930" s="58" t="str" cm="1">
        <f t="array" ref="U930">_xlfn._xlws.FILTER(Competitions[compID], (Fixtures[[#This Row],[competition]] = Competitions[name]), "N/A")</f>
        <v>N/A</v>
      </c>
      <c r="V9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0" s="58" t="str" cm="1">
        <f t="array" ref="W9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0" s="58" t="str" cm="1">
        <f t="array" ref="X930">_xlfn._xlws.FILTER(Teams[name], (Fixtures[[#This Row],[userTeamID]] = Teams[teamID]), "N/A")</f>
        <v>N/A</v>
      </c>
      <c r="Y930" s="58" t="str" cm="1">
        <f t="array" ref="Y930">_xlfn._xlws.FILTER(Teams[teamType], (Fixtures[[#This Row],[userTeamID]] = Teams[teamID]), "N/A")</f>
        <v>N/A</v>
      </c>
      <c r="Z930" s="58" t="str" cm="1">
        <f t="array" ref="Z9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0" s="58" t="str">
        <f>IF(Fixtures[[#This Row],[userSide]] = "N/A", "N/A", IF(Fixtures[[#This Row],[userSide]] = "H", Fixtures[[#This Row],[awayTeam]], Fixtures[[#This Row],[homeTeam]]))</f>
        <v>N/A</v>
      </c>
      <c r="AB930" s="58" t="str" cm="1">
        <f t="array" ref="AB930">_xlfn._xlws.FILTER(Teams[teamID], Fixtures[[#This Row],[oppTeam]] = Teams[name], "N/A")</f>
        <v>N/A</v>
      </c>
      <c r="AC930" s="58" t="str" cm="1">
        <f t="array" ref="AC930">_xlfn._xlws.FILTER(Teams[teamType], Fixtures[[#This Row],[oppTeam]] = Teams[name], "N/A")</f>
        <v>N/A</v>
      </c>
      <c r="AD930" s="58" t="str">
        <f>IF(ISBLANK(Fixtures[[#This Row],[date]]), "N/A", IF(Fixtures[[#This Row],[userSide]]="H", Fixtures[[#This Row],[homeScore]], Fixtures[[#This Row],[awayScore]]))</f>
        <v>N/A</v>
      </c>
      <c r="AE930" s="58" t="str">
        <f>IF(ISBLANK(Fixtures[[#This Row],[date]]), "N/A", IF(Fixtures[[#This Row],[userScore]] = Fixtures[[#This Row],[homeScore]], Fixtures[[#This Row],[awayScore]], Fixtures[[#This Row],[homeScore]]))</f>
        <v>N/A</v>
      </c>
      <c r="AF930" s="58" t="b">
        <f>NOT(AND(ISBLANK(Fixtures[[#This Row],[homePens]]), ISBLANK(Fixtures[[#This Row],[awayPens]])))</f>
        <v>0</v>
      </c>
      <c r="AG930" s="58" t="str">
        <f>IF(Fixtures[[#This Row],[penalties]], IF(Fixtures[[#This Row],[userSide]]="H", Fixtures[[#This Row],[homePens]], Fixtures[[#This Row],[awayPens]]), "N/A")</f>
        <v>N/A</v>
      </c>
      <c r="AH930" s="58" t="str">
        <f>IF(Fixtures[[#This Row],[penalties]], IF(Fixtures[[#This Row],[userPens]]=Fixtures[[#This Row],[homePens]],Fixtures[[#This Row],[awayPens]],Fixtures[[#This Row],[homePens]]), "N/A")</f>
        <v>N/A</v>
      </c>
      <c r="AI930" s="58" t="b">
        <f>COUNTBLANK(Fixtures[[#This Row],[G]:[MOTM]]) = 0</f>
        <v>0</v>
      </c>
      <c r="AJ930" s="58" t="str">
        <f>IF(Fixtures[[#This Row],[APP]], Fixtures[[#This Row],[G]]+Fixtures[[#This Row],[A]], "N/A")</f>
        <v>N/A</v>
      </c>
      <c r="AK9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1" spans="1:39" ht="13">
      <c r="A931" s="55"/>
      <c r="B931" s="61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7"/>
      <c r="R931" s="56"/>
      <c r="S931" s="58" t="str" cm="1">
        <f t="array" ref="S931">_xlfn._xlws.FILTER(Competitions[compType], (Fixtures[[#This Row],[competition]] = Competitions[name]), "N/A")</f>
        <v>N/A</v>
      </c>
      <c r="T931" s="58" t="str" cm="1">
        <f t="array" ref="T931">_xlfn._xlws.FILTER(Competitions[exhibition], (Fixtures[[#This Row],[competition]] = Competitions[name]), "N/A")</f>
        <v>N/A</v>
      </c>
      <c r="U931" s="58" t="str" cm="1">
        <f t="array" ref="U931">_xlfn._xlws.FILTER(Competitions[compID], (Fixtures[[#This Row],[competition]] = Competitions[name]), "N/A")</f>
        <v>N/A</v>
      </c>
      <c r="V9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1" s="58" t="str" cm="1">
        <f t="array" ref="W9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1" s="58" t="str" cm="1">
        <f t="array" ref="X931">_xlfn._xlws.FILTER(Teams[name], (Fixtures[[#This Row],[userTeamID]] = Teams[teamID]), "N/A")</f>
        <v>N/A</v>
      </c>
      <c r="Y931" s="58" t="str" cm="1">
        <f t="array" ref="Y931">_xlfn._xlws.FILTER(Teams[teamType], (Fixtures[[#This Row],[userTeamID]] = Teams[teamID]), "N/A")</f>
        <v>N/A</v>
      </c>
      <c r="Z931" s="58" t="str" cm="1">
        <f t="array" ref="Z9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1" s="58" t="str">
        <f>IF(Fixtures[[#This Row],[userSide]] = "N/A", "N/A", IF(Fixtures[[#This Row],[userSide]] = "H", Fixtures[[#This Row],[awayTeam]], Fixtures[[#This Row],[homeTeam]]))</f>
        <v>N/A</v>
      </c>
      <c r="AB931" s="58" t="str" cm="1">
        <f t="array" ref="AB931">_xlfn._xlws.FILTER(Teams[teamID], Fixtures[[#This Row],[oppTeam]] = Teams[name], "N/A")</f>
        <v>N/A</v>
      </c>
      <c r="AC931" s="58" t="str" cm="1">
        <f t="array" ref="AC931">_xlfn._xlws.FILTER(Teams[teamType], Fixtures[[#This Row],[oppTeam]] = Teams[name], "N/A")</f>
        <v>N/A</v>
      </c>
      <c r="AD931" s="58" t="str">
        <f>IF(ISBLANK(Fixtures[[#This Row],[date]]), "N/A", IF(Fixtures[[#This Row],[userSide]]="H", Fixtures[[#This Row],[homeScore]], Fixtures[[#This Row],[awayScore]]))</f>
        <v>N/A</v>
      </c>
      <c r="AE931" s="58" t="str">
        <f>IF(ISBLANK(Fixtures[[#This Row],[date]]), "N/A", IF(Fixtures[[#This Row],[userScore]] = Fixtures[[#This Row],[homeScore]], Fixtures[[#This Row],[awayScore]], Fixtures[[#This Row],[homeScore]]))</f>
        <v>N/A</v>
      </c>
      <c r="AF931" s="58" t="b">
        <f>NOT(AND(ISBLANK(Fixtures[[#This Row],[homePens]]), ISBLANK(Fixtures[[#This Row],[awayPens]])))</f>
        <v>0</v>
      </c>
      <c r="AG931" s="58" t="str">
        <f>IF(Fixtures[[#This Row],[penalties]], IF(Fixtures[[#This Row],[userSide]]="H", Fixtures[[#This Row],[homePens]], Fixtures[[#This Row],[awayPens]]), "N/A")</f>
        <v>N/A</v>
      </c>
      <c r="AH931" s="58" t="str">
        <f>IF(Fixtures[[#This Row],[penalties]], IF(Fixtures[[#This Row],[userPens]]=Fixtures[[#This Row],[homePens]],Fixtures[[#This Row],[awayPens]],Fixtures[[#This Row],[homePens]]), "N/A")</f>
        <v>N/A</v>
      </c>
      <c r="AI931" s="58" t="b">
        <f>COUNTBLANK(Fixtures[[#This Row],[G]:[MOTM]]) = 0</f>
        <v>0</v>
      </c>
      <c r="AJ931" s="58" t="str">
        <f>IF(Fixtures[[#This Row],[APP]], Fixtures[[#This Row],[G]]+Fixtures[[#This Row],[A]], "N/A")</f>
        <v>N/A</v>
      </c>
      <c r="AK9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2" spans="1:39" ht="13">
      <c r="A932" s="55"/>
      <c r="B932" s="61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7"/>
      <c r="R932" s="56"/>
      <c r="S932" s="58" t="str" cm="1">
        <f t="array" ref="S932">_xlfn._xlws.FILTER(Competitions[compType], (Fixtures[[#This Row],[competition]] = Competitions[name]), "N/A")</f>
        <v>N/A</v>
      </c>
      <c r="T932" s="58" t="str" cm="1">
        <f t="array" ref="T932">_xlfn._xlws.FILTER(Competitions[exhibition], (Fixtures[[#This Row],[competition]] = Competitions[name]), "N/A")</f>
        <v>N/A</v>
      </c>
      <c r="U932" s="58" t="str" cm="1">
        <f t="array" ref="U932">_xlfn._xlws.FILTER(Competitions[compID], (Fixtures[[#This Row],[competition]] = Competitions[name]), "N/A")</f>
        <v>N/A</v>
      </c>
      <c r="V9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2" s="58" t="str" cm="1">
        <f t="array" ref="W9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2" s="58" t="str" cm="1">
        <f t="array" ref="X932">_xlfn._xlws.FILTER(Teams[name], (Fixtures[[#This Row],[userTeamID]] = Teams[teamID]), "N/A")</f>
        <v>N/A</v>
      </c>
      <c r="Y932" s="58" t="str" cm="1">
        <f t="array" ref="Y932">_xlfn._xlws.FILTER(Teams[teamType], (Fixtures[[#This Row],[userTeamID]] = Teams[teamID]), "N/A")</f>
        <v>N/A</v>
      </c>
      <c r="Z932" s="58" t="str" cm="1">
        <f t="array" ref="Z9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2" s="58" t="str">
        <f>IF(Fixtures[[#This Row],[userSide]] = "N/A", "N/A", IF(Fixtures[[#This Row],[userSide]] = "H", Fixtures[[#This Row],[awayTeam]], Fixtures[[#This Row],[homeTeam]]))</f>
        <v>N/A</v>
      </c>
      <c r="AB932" s="58" t="str" cm="1">
        <f t="array" ref="AB932">_xlfn._xlws.FILTER(Teams[teamID], Fixtures[[#This Row],[oppTeam]] = Teams[name], "N/A")</f>
        <v>N/A</v>
      </c>
      <c r="AC932" s="58" t="str" cm="1">
        <f t="array" ref="AC932">_xlfn._xlws.FILTER(Teams[teamType], Fixtures[[#This Row],[oppTeam]] = Teams[name], "N/A")</f>
        <v>N/A</v>
      </c>
      <c r="AD932" s="58" t="str">
        <f>IF(ISBLANK(Fixtures[[#This Row],[date]]), "N/A", IF(Fixtures[[#This Row],[userSide]]="H", Fixtures[[#This Row],[homeScore]], Fixtures[[#This Row],[awayScore]]))</f>
        <v>N/A</v>
      </c>
      <c r="AE932" s="58" t="str">
        <f>IF(ISBLANK(Fixtures[[#This Row],[date]]), "N/A", IF(Fixtures[[#This Row],[userScore]] = Fixtures[[#This Row],[homeScore]], Fixtures[[#This Row],[awayScore]], Fixtures[[#This Row],[homeScore]]))</f>
        <v>N/A</v>
      </c>
      <c r="AF932" s="58" t="b">
        <f>NOT(AND(ISBLANK(Fixtures[[#This Row],[homePens]]), ISBLANK(Fixtures[[#This Row],[awayPens]])))</f>
        <v>0</v>
      </c>
      <c r="AG932" s="58" t="str">
        <f>IF(Fixtures[[#This Row],[penalties]], IF(Fixtures[[#This Row],[userSide]]="H", Fixtures[[#This Row],[homePens]], Fixtures[[#This Row],[awayPens]]), "N/A")</f>
        <v>N/A</v>
      </c>
      <c r="AH932" s="58" t="str">
        <f>IF(Fixtures[[#This Row],[penalties]], IF(Fixtures[[#This Row],[userPens]]=Fixtures[[#This Row],[homePens]],Fixtures[[#This Row],[awayPens]],Fixtures[[#This Row],[homePens]]), "N/A")</f>
        <v>N/A</v>
      </c>
      <c r="AI932" s="58" t="b">
        <f>COUNTBLANK(Fixtures[[#This Row],[G]:[MOTM]]) = 0</f>
        <v>0</v>
      </c>
      <c r="AJ932" s="58" t="str">
        <f>IF(Fixtures[[#This Row],[APP]], Fixtures[[#This Row],[G]]+Fixtures[[#This Row],[A]], "N/A")</f>
        <v>N/A</v>
      </c>
      <c r="AK9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3" spans="1:39" ht="13">
      <c r="A933" s="55"/>
      <c r="B933" s="61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7"/>
      <c r="R933" s="56"/>
      <c r="S933" s="58" t="str" cm="1">
        <f t="array" ref="S933">_xlfn._xlws.FILTER(Competitions[compType], (Fixtures[[#This Row],[competition]] = Competitions[name]), "N/A")</f>
        <v>N/A</v>
      </c>
      <c r="T933" s="58" t="str" cm="1">
        <f t="array" ref="T933">_xlfn._xlws.FILTER(Competitions[exhibition], (Fixtures[[#This Row],[competition]] = Competitions[name]), "N/A")</f>
        <v>N/A</v>
      </c>
      <c r="U933" s="58" t="str" cm="1">
        <f t="array" ref="U933">_xlfn._xlws.FILTER(Competitions[compID], (Fixtures[[#This Row],[competition]] = Competitions[name]), "N/A")</f>
        <v>N/A</v>
      </c>
      <c r="V9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3" s="58" t="str" cm="1">
        <f t="array" ref="W9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3" s="58" t="str" cm="1">
        <f t="array" ref="X933">_xlfn._xlws.FILTER(Teams[name], (Fixtures[[#This Row],[userTeamID]] = Teams[teamID]), "N/A")</f>
        <v>N/A</v>
      </c>
      <c r="Y933" s="58" t="str" cm="1">
        <f t="array" ref="Y933">_xlfn._xlws.FILTER(Teams[teamType], (Fixtures[[#This Row],[userTeamID]] = Teams[teamID]), "N/A")</f>
        <v>N/A</v>
      </c>
      <c r="Z933" s="58" t="str" cm="1">
        <f t="array" ref="Z9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3" s="58" t="str">
        <f>IF(Fixtures[[#This Row],[userSide]] = "N/A", "N/A", IF(Fixtures[[#This Row],[userSide]] = "H", Fixtures[[#This Row],[awayTeam]], Fixtures[[#This Row],[homeTeam]]))</f>
        <v>N/A</v>
      </c>
      <c r="AB933" s="58" t="str" cm="1">
        <f t="array" ref="AB933">_xlfn._xlws.FILTER(Teams[teamID], Fixtures[[#This Row],[oppTeam]] = Teams[name], "N/A")</f>
        <v>N/A</v>
      </c>
      <c r="AC933" s="58" t="str" cm="1">
        <f t="array" ref="AC933">_xlfn._xlws.FILTER(Teams[teamType], Fixtures[[#This Row],[oppTeam]] = Teams[name], "N/A")</f>
        <v>N/A</v>
      </c>
      <c r="AD933" s="58" t="str">
        <f>IF(ISBLANK(Fixtures[[#This Row],[date]]), "N/A", IF(Fixtures[[#This Row],[userSide]]="H", Fixtures[[#This Row],[homeScore]], Fixtures[[#This Row],[awayScore]]))</f>
        <v>N/A</v>
      </c>
      <c r="AE933" s="58" t="str">
        <f>IF(ISBLANK(Fixtures[[#This Row],[date]]), "N/A", IF(Fixtures[[#This Row],[userScore]] = Fixtures[[#This Row],[homeScore]], Fixtures[[#This Row],[awayScore]], Fixtures[[#This Row],[homeScore]]))</f>
        <v>N/A</v>
      </c>
      <c r="AF933" s="58" t="b">
        <f>NOT(AND(ISBLANK(Fixtures[[#This Row],[homePens]]), ISBLANK(Fixtures[[#This Row],[awayPens]])))</f>
        <v>0</v>
      </c>
      <c r="AG933" s="58" t="str">
        <f>IF(Fixtures[[#This Row],[penalties]], IF(Fixtures[[#This Row],[userSide]]="H", Fixtures[[#This Row],[homePens]], Fixtures[[#This Row],[awayPens]]), "N/A")</f>
        <v>N/A</v>
      </c>
      <c r="AH933" s="58" t="str">
        <f>IF(Fixtures[[#This Row],[penalties]], IF(Fixtures[[#This Row],[userPens]]=Fixtures[[#This Row],[homePens]],Fixtures[[#This Row],[awayPens]],Fixtures[[#This Row],[homePens]]), "N/A")</f>
        <v>N/A</v>
      </c>
      <c r="AI933" s="58" t="b">
        <f>COUNTBLANK(Fixtures[[#This Row],[G]:[MOTM]]) = 0</f>
        <v>0</v>
      </c>
      <c r="AJ933" s="58" t="str">
        <f>IF(Fixtures[[#This Row],[APP]], Fixtures[[#This Row],[G]]+Fixtures[[#This Row],[A]], "N/A")</f>
        <v>N/A</v>
      </c>
      <c r="AK9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4" spans="1:39" ht="13">
      <c r="A934" s="55"/>
      <c r="B934" s="61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7"/>
      <c r="R934" s="56"/>
      <c r="S934" s="58" t="str" cm="1">
        <f t="array" ref="S934">_xlfn._xlws.FILTER(Competitions[compType], (Fixtures[[#This Row],[competition]] = Competitions[name]), "N/A")</f>
        <v>N/A</v>
      </c>
      <c r="T934" s="58" t="str" cm="1">
        <f t="array" ref="T934">_xlfn._xlws.FILTER(Competitions[exhibition], (Fixtures[[#This Row],[competition]] = Competitions[name]), "N/A")</f>
        <v>N/A</v>
      </c>
      <c r="U934" s="58" t="str" cm="1">
        <f t="array" ref="U934">_xlfn._xlws.FILTER(Competitions[compID], (Fixtures[[#This Row],[competition]] = Competitions[name]), "N/A")</f>
        <v>N/A</v>
      </c>
      <c r="V9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4" s="58" t="str" cm="1">
        <f t="array" ref="W9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4" s="58" t="str" cm="1">
        <f t="array" ref="X934">_xlfn._xlws.FILTER(Teams[name], (Fixtures[[#This Row],[userTeamID]] = Teams[teamID]), "N/A")</f>
        <v>N/A</v>
      </c>
      <c r="Y934" s="58" t="str" cm="1">
        <f t="array" ref="Y934">_xlfn._xlws.FILTER(Teams[teamType], (Fixtures[[#This Row],[userTeamID]] = Teams[teamID]), "N/A")</f>
        <v>N/A</v>
      </c>
      <c r="Z934" s="58" t="str" cm="1">
        <f t="array" ref="Z9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4" s="58" t="str">
        <f>IF(Fixtures[[#This Row],[userSide]] = "N/A", "N/A", IF(Fixtures[[#This Row],[userSide]] = "H", Fixtures[[#This Row],[awayTeam]], Fixtures[[#This Row],[homeTeam]]))</f>
        <v>N/A</v>
      </c>
      <c r="AB934" s="58" t="str" cm="1">
        <f t="array" ref="AB934">_xlfn._xlws.FILTER(Teams[teamID], Fixtures[[#This Row],[oppTeam]] = Teams[name], "N/A")</f>
        <v>N/A</v>
      </c>
      <c r="AC934" s="58" t="str" cm="1">
        <f t="array" ref="AC934">_xlfn._xlws.FILTER(Teams[teamType], Fixtures[[#This Row],[oppTeam]] = Teams[name], "N/A")</f>
        <v>N/A</v>
      </c>
      <c r="AD934" s="58" t="str">
        <f>IF(ISBLANK(Fixtures[[#This Row],[date]]), "N/A", IF(Fixtures[[#This Row],[userSide]]="H", Fixtures[[#This Row],[homeScore]], Fixtures[[#This Row],[awayScore]]))</f>
        <v>N/A</v>
      </c>
      <c r="AE934" s="58" t="str">
        <f>IF(ISBLANK(Fixtures[[#This Row],[date]]), "N/A", IF(Fixtures[[#This Row],[userScore]] = Fixtures[[#This Row],[homeScore]], Fixtures[[#This Row],[awayScore]], Fixtures[[#This Row],[homeScore]]))</f>
        <v>N/A</v>
      </c>
      <c r="AF934" s="58" t="b">
        <f>NOT(AND(ISBLANK(Fixtures[[#This Row],[homePens]]), ISBLANK(Fixtures[[#This Row],[awayPens]])))</f>
        <v>0</v>
      </c>
      <c r="AG934" s="58" t="str">
        <f>IF(Fixtures[[#This Row],[penalties]], IF(Fixtures[[#This Row],[userSide]]="H", Fixtures[[#This Row],[homePens]], Fixtures[[#This Row],[awayPens]]), "N/A")</f>
        <v>N/A</v>
      </c>
      <c r="AH934" s="58" t="str">
        <f>IF(Fixtures[[#This Row],[penalties]], IF(Fixtures[[#This Row],[userPens]]=Fixtures[[#This Row],[homePens]],Fixtures[[#This Row],[awayPens]],Fixtures[[#This Row],[homePens]]), "N/A")</f>
        <v>N/A</v>
      </c>
      <c r="AI934" s="58" t="b">
        <f>COUNTBLANK(Fixtures[[#This Row],[G]:[MOTM]]) = 0</f>
        <v>0</v>
      </c>
      <c r="AJ934" s="58" t="str">
        <f>IF(Fixtures[[#This Row],[APP]], Fixtures[[#This Row],[G]]+Fixtures[[#This Row],[A]], "N/A")</f>
        <v>N/A</v>
      </c>
      <c r="AK9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5" spans="1:39" ht="13">
      <c r="A935" s="55"/>
      <c r="B935" s="61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7"/>
      <c r="R935" s="56"/>
      <c r="S935" s="58" t="str" cm="1">
        <f t="array" ref="S935">_xlfn._xlws.FILTER(Competitions[compType], (Fixtures[[#This Row],[competition]] = Competitions[name]), "N/A")</f>
        <v>N/A</v>
      </c>
      <c r="T935" s="58" t="str" cm="1">
        <f t="array" ref="T935">_xlfn._xlws.FILTER(Competitions[exhibition], (Fixtures[[#This Row],[competition]] = Competitions[name]), "N/A")</f>
        <v>N/A</v>
      </c>
      <c r="U935" s="58" t="str" cm="1">
        <f t="array" ref="U935">_xlfn._xlws.FILTER(Competitions[compID], (Fixtures[[#This Row],[competition]] = Competitions[name]), "N/A")</f>
        <v>N/A</v>
      </c>
      <c r="V9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5" s="58" t="str" cm="1">
        <f t="array" ref="W9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5" s="58" t="str" cm="1">
        <f t="array" ref="X935">_xlfn._xlws.FILTER(Teams[name], (Fixtures[[#This Row],[userTeamID]] = Teams[teamID]), "N/A")</f>
        <v>N/A</v>
      </c>
      <c r="Y935" s="58" t="str" cm="1">
        <f t="array" ref="Y935">_xlfn._xlws.FILTER(Teams[teamType], (Fixtures[[#This Row],[userTeamID]] = Teams[teamID]), "N/A")</f>
        <v>N/A</v>
      </c>
      <c r="Z935" s="58" t="str" cm="1">
        <f t="array" ref="Z9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5" s="58" t="str">
        <f>IF(Fixtures[[#This Row],[userSide]] = "N/A", "N/A", IF(Fixtures[[#This Row],[userSide]] = "H", Fixtures[[#This Row],[awayTeam]], Fixtures[[#This Row],[homeTeam]]))</f>
        <v>N/A</v>
      </c>
      <c r="AB935" s="58" t="str" cm="1">
        <f t="array" ref="AB935">_xlfn._xlws.FILTER(Teams[teamID], Fixtures[[#This Row],[oppTeam]] = Teams[name], "N/A")</f>
        <v>N/A</v>
      </c>
      <c r="AC935" s="58" t="str" cm="1">
        <f t="array" ref="AC935">_xlfn._xlws.FILTER(Teams[teamType], Fixtures[[#This Row],[oppTeam]] = Teams[name], "N/A")</f>
        <v>N/A</v>
      </c>
      <c r="AD935" s="58" t="str">
        <f>IF(ISBLANK(Fixtures[[#This Row],[date]]), "N/A", IF(Fixtures[[#This Row],[userSide]]="H", Fixtures[[#This Row],[homeScore]], Fixtures[[#This Row],[awayScore]]))</f>
        <v>N/A</v>
      </c>
      <c r="AE935" s="58" t="str">
        <f>IF(ISBLANK(Fixtures[[#This Row],[date]]), "N/A", IF(Fixtures[[#This Row],[userScore]] = Fixtures[[#This Row],[homeScore]], Fixtures[[#This Row],[awayScore]], Fixtures[[#This Row],[homeScore]]))</f>
        <v>N/A</v>
      </c>
      <c r="AF935" s="58" t="b">
        <f>NOT(AND(ISBLANK(Fixtures[[#This Row],[homePens]]), ISBLANK(Fixtures[[#This Row],[awayPens]])))</f>
        <v>0</v>
      </c>
      <c r="AG935" s="58" t="str">
        <f>IF(Fixtures[[#This Row],[penalties]], IF(Fixtures[[#This Row],[userSide]]="H", Fixtures[[#This Row],[homePens]], Fixtures[[#This Row],[awayPens]]), "N/A")</f>
        <v>N/A</v>
      </c>
      <c r="AH935" s="58" t="str">
        <f>IF(Fixtures[[#This Row],[penalties]], IF(Fixtures[[#This Row],[userPens]]=Fixtures[[#This Row],[homePens]],Fixtures[[#This Row],[awayPens]],Fixtures[[#This Row],[homePens]]), "N/A")</f>
        <v>N/A</v>
      </c>
      <c r="AI935" s="58" t="b">
        <f>COUNTBLANK(Fixtures[[#This Row],[G]:[MOTM]]) = 0</f>
        <v>0</v>
      </c>
      <c r="AJ935" s="58" t="str">
        <f>IF(Fixtures[[#This Row],[APP]], Fixtures[[#This Row],[G]]+Fixtures[[#This Row],[A]], "N/A")</f>
        <v>N/A</v>
      </c>
      <c r="AK9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6" spans="1:39" ht="13">
      <c r="A936" s="55"/>
      <c r="B936" s="61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7"/>
      <c r="R936" s="56"/>
      <c r="S936" s="58" t="str" cm="1">
        <f t="array" ref="S936">_xlfn._xlws.FILTER(Competitions[compType], (Fixtures[[#This Row],[competition]] = Competitions[name]), "N/A")</f>
        <v>N/A</v>
      </c>
      <c r="T936" s="58" t="str" cm="1">
        <f t="array" ref="T936">_xlfn._xlws.FILTER(Competitions[exhibition], (Fixtures[[#This Row],[competition]] = Competitions[name]), "N/A")</f>
        <v>N/A</v>
      </c>
      <c r="U936" s="58" t="str" cm="1">
        <f t="array" ref="U936">_xlfn._xlws.FILTER(Competitions[compID], (Fixtures[[#This Row],[competition]] = Competitions[name]), "N/A")</f>
        <v>N/A</v>
      </c>
      <c r="V9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6" s="58" t="str" cm="1">
        <f t="array" ref="W9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6" s="58" t="str" cm="1">
        <f t="array" ref="X936">_xlfn._xlws.FILTER(Teams[name], (Fixtures[[#This Row],[userTeamID]] = Teams[teamID]), "N/A")</f>
        <v>N/A</v>
      </c>
      <c r="Y936" s="58" t="str" cm="1">
        <f t="array" ref="Y936">_xlfn._xlws.FILTER(Teams[teamType], (Fixtures[[#This Row],[userTeamID]] = Teams[teamID]), "N/A")</f>
        <v>N/A</v>
      </c>
      <c r="Z936" s="58" t="str" cm="1">
        <f t="array" ref="Z9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6" s="58" t="str">
        <f>IF(Fixtures[[#This Row],[userSide]] = "N/A", "N/A", IF(Fixtures[[#This Row],[userSide]] = "H", Fixtures[[#This Row],[awayTeam]], Fixtures[[#This Row],[homeTeam]]))</f>
        <v>N/A</v>
      </c>
      <c r="AB936" s="58" t="str" cm="1">
        <f t="array" ref="AB936">_xlfn._xlws.FILTER(Teams[teamID], Fixtures[[#This Row],[oppTeam]] = Teams[name], "N/A")</f>
        <v>N/A</v>
      </c>
      <c r="AC936" s="58" t="str" cm="1">
        <f t="array" ref="AC936">_xlfn._xlws.FILTER(Teams[teamType], Fixtures[[#This Row],[oppTeam]] = Teams[name], "N/A")</f>
        <v>N/A</v>
      </c>
      <c r="AD936" s="58" t="str">
        <f>IF(ISBLANK(Fixtures[[#This Row],[date]]), "N/A", IF(Fixtures[[#This Row],[userSide]]="H", Fixtures[[#This Row],[homeScore]], Fixtures[[#This Row],[awayScore]]))</f>
        <v>N/A</v>
      </c>
      <c r="AE936" s="58" t="str">
        <f>IF(ISBLANK(Fixtures[[#This Row],[date]]), "N/A", IF(Fixtures[[#This Row],[userScore]] = Fixtures[[#This Row],[homeScore]], Fixtures[[#This Row],[awayScore]], Fixtures[[#This Row],[homeScore]]))</f>
        <v>N/A</v>
      </c>
      <c r="AF936" s="58" t="b">
        <f>NOT(AND(ISBLANK(Fixtures[[#This Row],[homePens]]), ISBLANK(Fixtures[[#This Row],[awayPens]])))</f>
        <v>0</v>
      </c>
      <c r="AG936" s="58" t="str">
        <f>IF(Fixtures[[#This Row],[penalties]], IF(Fixtures[[#This Row],[userSide]]="H", Fixtures[[#This Row],[homePens]], Fixtures[[#This Row],[awayPens]]), "N/A")</f>
        <v>N/A</v>
      </c>
      <c r="AH936" s="58" t="str">
        <f>IF(Fixtures[[#This Row],[penalties]], IF(Fixtures[[#This Row],[userPens]]=Fixtures[[#This Row],[homePens]],Fixtures[[#This Row],[awayPens]],Fixtures[[#This Row],[homePens]]), "N/A")</f>
        <v>N/A</v>
      </c>
      <c r="AI936" s="58" t="b">
        <f>COUNTBLANK(Fixtures[[#This Row],[G]:[MOTM]]) = 0</f>
        <v>0</v>
      </c>
      <c r="AJ936" s="58" t="str">
        <f>IF(Fixtures[[#This Row],[APP]], Fixtures[[#This Row],[G]]+Fixtures[[#This Row],[A]], "N/A")</f>
        <v>N/A</v>
      </c>
      <c r="AK9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7" spans="1:39" ht="13">
      <c r="A937" s="55"/>
      <c r="B937" s="61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7"/>
      <c r="R937" s="56"/>
      <c r="S937" s="58" t="str" cm="1">
        <f t="array" ref="S937">_xlfn._xlws.FILTER(Competitions[compType], (Fixtures[[#This Row],[competition]] = Competitions[name]), "N/A")</f>
        <v>N/A</v>
      </c>
      <c r="T937" s="58" t="str" cm="1">
        <f t="array" ref="T937">_xlfn._xlws.FILTER(Competitions[exhibition], (Fixtures[[#This Row],[competition]] = Competitions[name]), "N/A")</f>
        <v>N/A</v>
      </c>
      <c r="U937" s="58" t="str" cm="1">
        <f t="array" ref="U937">_xlfn._xlws.FILTER(Competitions[compID], (Fixtures[[#This Row],[competition]] = Competitions[name]), "N/A")</f>
        <v>N/A</v>
      </c>
      <c r="V9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7" s="58" t="str" cm="1">
        <f t="array" ref="W9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7" s="58" t="str" cm="1">
        <f t="array" ref="X937">_xlfn._xlws.FILTER(Teams[name], (Fixtures[[#This Row],[userTeamID]] = Teams[teamID]), "N/A")</f>
        <v>N/A</v>
      </c>
      <c r="Y937" s="58" t="str" cm="1">
        <f t="array" ref="Y937">_xlfn._xlws.FILTER(Teams[teamType], (Fixtures[[#This Row],[userTeamID]] = Teams[teamID]), "N/A")</f>
        <v>N/A</v>
      </c>
      <c r="Z937" s="58" t="str" cm="1">
        <f t="array" ref="Z9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7" s="58" t="str">
        <f>IF(Fixtures[[#This Row],[userSide]] = "N/A", "N/A", IF(Fixtures[[#This Row],[userSide]] = "H", Fixtures[[#This Row],[awayTeam]], Fixtures[[#This Row],[homeTeam]]))</f>
        <v>N/A</v>
      </c>
      <c r="AB937" s="58" t="str" cm="1">
        <f t="array" ref="AB937">_xlfn._xlws.FILTER(Teams[teamID], Fixtures[[#This Row],[oppTeam]] = Teams[name], "N/A")</f>
        <v>N/A</v>
      </c>
      <c r="AC937" s="58" t="str" cm="1">
        <f t="array" ref="AC937">_xlfn._xlws.FILTER(Teams[teamType], Fixtures[[#This Row],[oppTeam]] = Teams[name], "N/A")</f>
        <v>N/A</v>
      </c>
      <c r="AD937" s="58" t="str">
        <f>IF(ISBLANK(Fixtures[[#This Row],[date]]), "N/A", IF(Fixtures[[#This Row],[userSide]]="H", Fixtures[[#This Row],[homeScore]], Fixtures[[#This Row],[awayScore]]))</f>
        <v>N/A</v>
      </c>
      <c r="AE937" s="58" t="str">
        <f>IF(ISBLANK(Fixtures[[#This Row],[date]]), "N/A", IF(Fixtures[[#This Row],[userScore]] = Fixtures[[#This Row],[homeScore]], Fixtures[[#This Row],[awayScore]], Fixtures[[#This Row],[homeScore]]))</f>
        <v>N/A</v>
      </c>
      <c r="AF937" s="58" t="b">
        <f>NOT(AND(ISBLANK(Fixtures[[#This Row],[homePens]]), ISBLANK(Fixtures[[#This Row],[awayPens]])))</f>
        <v>0</v>
      </c>
      <c r="AG937" s="58" t="str">
        <f>IF(Fixtures[[#This Row],[penalties]], IF(Fixtures[[#This Row],[userSide]]="H", Fixtures[[#This Row],[homePens]], Fixtures[[#This Row],[awayPens]]), "N/A")</f>
        <v>N/A</v>
      </c>
      <c r="AH937" s="58" t="str">
        <f>IF(Fixtures[[#This Row],[penalties]], IF(Fixtures[[#This Row],[userPens]]=Fixtures[[#This Row],[homePens]],Fixtures[[#This Row],[awayPens]],Fixtures[[#This Row],[homePens]]), "N/A")</f>
        <v>N/A</v>
      </c>
      <c r="AI937" s="58" t="b">
        <f>COUNTBLANK(Fixtures[[#This Row],[G]:[MOTM]]) = 0</f>
        <v>0</v>
      </c>
      <c r="AJ937" s="58" t="str">
        <f>IF(Fixtures[[#This Row],[APP]], Fixtures[[#This Row],[G]]+Fixtures[[#This Row],[A]], "N/A")</f>
        <v>N/A</v>
      </c>
      <c r="AK9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8" spans="1:39" ht="13">
      <c r="A938" s="55"/>
      <c r="B938" s="61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7"/>
      <c r="R938" s="56"/>
      <c r="S938" s="58" t="str" cm="1">
        <f t="array" ref="S938">_xlfn._xlws.FILTER(Competitions[compType], (Fixtures[[#This Row],[competition]] = Competitions[name]), "N/A")</f>
        <v>N/A</v>
      </c>
      <c r="T938" s="58" t="str" cm="1">
        <f t="array" ref="T938">_xlfn._xlws.FILTER(Competitions[exhibition], (Fixtures[[#This Row],[competition]] = Competitions[name]), "N/A")</f>
        <v>N/A</v>
      </c>
      <c r="U938" s="58" t="str" cm="1">
        <f t="array" ref="U938">_xlfn._xlws.FILTER(Competitions[compID], (Fixtures[[#This Row],[competition]] = Competitions[name]), "N/A")</f>
        <v>N/A</v>
      </c>
      <c r="V9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8" s="58" t="str" cm="1">
        <f t="array" ref="W9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8" s="58" t="str" cm="1">
        <f t="array" ref="X938">_xlfn._xlws.FILTER(Teams[name], (Fixtures[[#This Row],[userTeamID]] = Teams[teamID]), "N/A")</f>
        <v>N/A</v>
      </c>
      <c r="Y938" s="58" t="str" cm="1">
        <f t="array" ref="Y938">_xlfn._xlws.FILTER(Teams[teamType], (Fixtures[[#This Row],[userTeamID]] = Teams[teamID]), "N/A")</f>
        <v>N/A</v>
      </c>
      <c r="Z938" s="58" t="str" cm="1">
        <f t="array" ref="Z9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8" s="58" t="str">
        <f>IF(Fixtures[[#This Row],[userSide]] = "N/A", "N/A", IF(Fixtures[[#This Row],[userSide]] = "H", Fixtures[[#This Row],[awayTeam]], Fixtures[[#This Row],[homeTeam]]))</f>
        <v>N/A</v>
      </c>
      <c r="AB938" s="58" t="str" cm="1">
        <f t="array" ref="AB938">_xlfn._xlws.FILTER(Teams[teamID], Fixtures[[#This Row],[oppTeam]] = Teams[name], "N/A")</f>
        <v>N/A</v>
      </c>
      <c r="AC938" s="58" t="str" cm="1">
        <f t="array" ref="AC938">_xlfn._xlws.FILTER(Teams[teamType], Fixtures[[#This Row],[oppTeam]] = Teams[name], "N/A")</f>
        <v>N/A</v>
      </c>
      <c r="AD938" s="58" t="str">
        <f>IF(ISBLANK(Fixtures[[#This Row],[date]]), "N/A", IF(Fixtures[[#This Row],[userSide]]="H", Fixtures[[#This Row],[homeScore]], Fixtures[[#This Row],[awayScore]]))</f>
        <v>N/A</v>
      </c>
      <c r="AE938" s="58" t="str">
        <f>IF(ISBLANK(Fixtures[[#This Row],[date]]), "N/A", IF(Fixtures[[#This Row],[userScore]] = Fixtures[[#This Row],[homeScore]], Fixtures[[#This Row],[awayScore]], Fixtures[[#This Row],[homeScore]]))</f>
        <v>N/A</v>
      </c>
      <c r="AF938" s="58" t="b">
        <f>NOT(AND(ISBLANK(Fixtures[[#This Row],[homePens]]), ISBLANK(Fixtures[[#This Row],[awayPens]])))</f>
        <v>0</v>
      </c>
      <c r="AG938" s="58" t="str">
        <f>IF(Fixtures[[#This Row],[penalties]], IF(Fixtures[[#This Row],[userSide]]="H", Fixtures[[#This Row],[homePens]], Fixtures[[#This Row],[awayPens]]), "N/A")</f>
        <v>N/A</v>
      </c>
      <c r="AH938" s="58" t="str">
        <f>IF(Fixtures[[#This Row],[penalties]], IF(Fixtures[[#This Row],[userPens]]=Fixtures[[#This Row],[homePens]],Fixtures[[#This Row],[awayPens]],Fixtures[[#This Row],[homePens]]), "N/A")</f>
        <v>N/A</v>
      </c>
      <c r="AI938" s="58" t="b">
        <f>COUNTBLANK(Fixtures[[#This Row],[G]:[MOTM]]) = 0</f>
        <v>0</v>
      </c>
      <c r="AJ938" s="58" t="str">
        <f>IF(Fixtures[[#This Row],[APP]], Fixtures[[#This Row],[G]]+Fixtures[[#This Row],[A]], "N/A")</f>
        <v>N/A</v>
      </c>
      <c r="AK9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39" spans="1:39" ht="13">
      <c r="A939" s="55"/>
      <c r="B939" s="61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7"/>
      <c r="R939" s="56"/>
      <c r="S939" s="58" t="str" cm="1">
        <f t="array" ref="S939">_xlfn._xlws.FILTER(Competitions[compType], (Fixtures[[#This Row],[competition]] = Competitions[name]), "N/A")</f>
        <v>N/A</v>
      </c>
      <c r="T939" s="58" t="str" cm="1">
        <f t="array" ref="T939">_xlfn._xlws.FILTER(Competitions[exhibition], (Fixtures[[#This Row],[competition]] = Competitions[name]), "N/A")</f>
        <v>N/A</v>
      </c>
      <c r="U939" s="58" t="str" cm="1">
        <f t="array" ref="U939">_xlfn._xlws.FILTER(Competitions[compID], (Fixtures[[#This Row],[competition]] = Competitions[name]), "N/A")</f>
        <v>N/A</v>
      </c>
      <c r="V9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39" s="58" t="str" cm="1">
        <f t="array" ref="W9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39" s="58" t="str" cm="1">
        <f t="array" ref="X939">_xlfn._xlws.FILTER(Teams[name], (Fixtures[[#This Row],[userTeamID]] = Teams[teamID]), "N/A")</f>
        <v>N/A</v>
      </c>
      <c r="Y939" s="58" t="str" cm="1">
        <f t="array" ref="Y939">_xlfn._xlws.FILTER(Teams[teamType], (Fixtures[[#This Row],[userTeamID]] = Teams[teamID]), "N/A")</f>
        <v>N/A</v>
      </c>
      <c r="Z939" s="58" t="str" cm="1">
        <f t="array" ref="Z9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39" s="58" t="str">
        <f>IF(Fixtures[[#This Row],[userSide]] = "N/A", "N/A", IF(Fixtures[[#This Row],[userSide]] = "H", Fixtures[[#This Row],[awayTeam]], Fixtures[[#This Row],[homeTeam]]))</f>
        <v>N/A</v>
      </c>
      <c r="AB939" s="58" t="str" cm="1">
        <f t="array" ref="AB939">_xlfn._xlws.FILTER(Teams[teamID], Fixtures[[#This Row],[oppTeam]] = Teams[name], "N/A")</f>
        <v>N/A</v>
      </c>
      <c r="AC939" s="58" t="str" cm="1">
        <f t="array" ref="AC939">_xlfn._xlws.FILTER(Teams[teamType], Fixtures[[#This Row],[oppTeam]] = Teams[name], "N/A")</f>
        <v>N/A</v>
      </c>
      <c r="AD939" s="58" t="str">
        <f>IF(ISBLANK(Fixtures[[#This Row],[date]]), "N/A", IF(Fixtures[[#This Row],[userSide]]="H", Fixtures[[#This Row],[homeScore]], Fixtures[[#This Row],[awayScore]]))</f>
        <v>N/A</v>
      </c>
      <c r="AE939" s="58" t="str">
        <f>IF(ISBLANK(Fixtures[[#This Row],[date]]), "N/A", IF(Fixtures[[#This Row],[userScore]] = Fixtures[[#This Row],[homeScore]], Fixtures[[#This Row],[awayScore]], Fixtures[[#This Row],[homeScore]]))</f>
        <v>N/A</v>
      </c>
      <c r="AF939" s="58" t="b">
        <f>NOT(AND(ISBLANK(Fixtures[[#This Row],[homePens]]), ISBLANK(Fixtures[[#This Row],[awayPens]])))</f>
        <v>0</v>
      </c>
      <c r="AG939" s="58" t="str">
        <f>IF(Fixtures[[#This Row],[penalties]], IF(Fixtures[[#This Row],[userSide]]="H", Fixtures[[#This Row],[homePens]], Fixtures[[#This Row],[awayPens]]), "N/A")</f>
        <v>N/A</v>
      </c>
      <c r="AH939" s="58" t="str">
        <f>IF(Fixtures[[#This Row],[penalties]], IF(Fixtures[[#This Row],[userPens]]=Fixtures[[#This Row],[homePens]],Fixtures[[#This Row],[awayPens]],Fixtures[[#This Row],[homePens]]), "N/A")</f>
        <v>N/A</v>
      </c>
      <c r="AI939" s="58" t="b">
        <f>COUNTBLANK(Fixtures[[#This Row],[G]:[MOTM]]) = 0</f>
        <v>0</v>
      </c>
      <c r="AJ939" s="58" t="str">
        <f>IF(Fixtures[[#This Row],[APP]], Fixtures[[#This Row],[G]]+Fixtures[[#This Row],[A]], "N/A")</f>
        <v>N/A</v>
      </c>
      <c r="AK9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0" spans="1:39" ht="13">
      <c r="A940" s="55"/>
      <c r="B940" s="61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7"/>
      <c r="R940" s="56"/>
      <c r="S940" s="58" t="str" cm="1">
        <f t="array" ref="S940">_xlfn._xlws.FILTER(Competitions[compType], (Fixtures[[#This Row],[competition]] = Competitions[name]), "N/A")</f>
        <v>N/A</v>
      </c>
      <c r="T940" s="58" t="str" cm="1">
        <f t="array" ref="T940">_xlfn._xlws.FILTER(Competitions[exhibition], (Fixtures[[#This Row],[competition]] = Competitions[name]), "N/A")</f>
        <v>N/A</v>
      </c>
      <c r="U940" s="58" t="str" cm="1">
        <f t="array" ref="U940">_xlfn._xlws.FILTER(Competitions[compID], (Fixtures[[#This Row],[competition]] = Competitions[name]), "N/A")</f>
        <v>N/A</v>
      </c>
      <c r="V9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0" s="58" t="str" cm="1">
        <f t="array" ref="W9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0" s="58" t="str" cm="1">
        <f t="array" ref="X940">_xlfn._xlws.FILTER(Teams[name], (Fixtures[[#This Row],[userTeamID]] = Teams[teamID]), "N/A")</f>
        <v>N/A</v>
      </c>
      <c r="Y940" s="58" t="str" cm="1">
        <f t="array" ref="Y940">_xlfn._xlws.FILTER(Teams[teamType], (Fixtures[[#This Row],[userTeamID]] = Teams[teamID]), "N/A")</f>
        <v>N/A</v>
      </c>
      <c r="Z940" s="58" t="str" cm="1">
        <f t="array" ref="Z9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0" s="58" t="str">
        <f>IF(Fixtures[[#This Row],[userSide]] = "N/A", "N/A", IF(Fixtures[[#This Row],[userSide]] = "H", Fixtures[[#This Row],[awayTeam]], Fixtures[[#This Row],[homeTeam]]))</f>
        <v>N/A</v>
      </c>
      <c r="AB940" s="58" t="str" cm="1">
        <f t="array" ref="AB940">_xlfn._xlws.FILTER(Teams[teamID], Fixtures[[#This Row],[oppTeam]] = Teams[name], "N/A")</f>
        <v>N/A</v>
      </c>
      <c r="AC940" s="58" t="str" cm="1">
        <f t="array" ref="AC940">_xlfn._xlws.FILTER(Teams[teamType], Fixtures[[#This Row],[oppTeam]] = Teams[name], "N/A")</f>
        <v>N/A</v>
      </c>
      <c r="AD940" s="58" t="str">
        <f>IF(ISBLANK(Fixtures[[#This Row],[date]]), "N/A", IF(Fixtures[[#This Row],[userSide]]="H", Fixtures[[#This Row],[homeScore]], Fixtures[[#This Row],[awayScore]]))</f>
        <v>N/A</v>
      </c>
      <c r="AE940" s="58" t="str">
        <f>IF(ISBLANK(Fixtures[[#This Row],[date]]), "N/A", IF(Fixtures[[#This Row],[userScore]] = Fixtures[[#This Row],[homeScore]], Fixtures[[#This Row],[awayScore]], Fixtures[[#This Row],[homeScore]]))</f>
        <v>N/A</v>
      </c>
      <c r="AF940" s="58" t="b">
        <f>NOT(AND(ISBLANK(Fixtures[[#This Row],[homePens]]), ISBLANK(Fixtures[[#This Row],[awayPens]])))</f>
        <v>0</v>
      </c>
      <c r="AG940" s="58" t="str">
        <f>IF(Fixtures[[#This Row],[penalties]], IF(Fixtures[[#This Row],[userSide]]="H", Fixtures[[#This Row],[homePens]], Fixtures[[#This Row],[awayPens]]), "N/A")</f>
        <v>N/A</v>
      </c>
      <c r="AH940" s="58" t="str">
        <f>IF(Fixtures[[#This Row],[penalties]], IF(Fixtures[[#This Row],[userPens]]=Fixtures[[#This Row],[homePens]],Fixtures[[#This Row],[awayPens]],Fixtures[[#This Row],[homePens]]), "N/A")</f>
        <v>N/A</v>
      </c>
      <c r="AI940" s="58" t="b">
        <f>COUNTBLANK(Fixtures[[#This Row],[G]:[MOTM]]) = 0</f>
        <v>0</v>
      </c>
      <c r="AJ940" s="58" t="str">
        <f>IF(Fixtures[[#This Row],[APP]], Fixtures[[#This Row],[G]]+Fixtures[[#This Row],[A]], "N/A")</f>
        <v>N/A</v>
      </c>
      <c r="AK9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1" spans="1:39" ht="13">
      <c r="A941" s="55"/>
      <c r="B941" s="61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7"/>
      <c r="R941" s="56"/>
      <c r="S941" s="58" t="str" cm="1">
        <f t="array" ref="S941">_xlfn._xlws.FILTER(Competitions[compType], (Fixtures[[#This Row],[competition]] = Competitions[name]), "N/A")</f>
        <v>N/A</v>
      </c>
      <c r="T941" s="58" t="str" cm="1">
        <f t="array" ref="T941">_xlfn._xlws.FILTER(Competitions[exhibition], (Fixtures[[#This Row],[competition]] = Competitions[name]), "N/A")</f>
        <v>N/A</v>
      </c>
      <c r="U941" s="58" t="str" cm="1">
        <f t="array" ref="U941">_xlfn._xlws.FILTER(Competitions[compID], (Fixtures[[#This Row],[competition]] = Competitions[name]), "N/A")</f>
        <v>N/A</v>
      </c>
      <c r="V9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1" s="58" t="str" cm="1">
        <f t="array" ref="W9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1" s="58" t="str" cm="1">
        <f t="array" ref="X941">_xlfn._xlws.FILTER(Teams[name], (Fixtures[[#This Row],[userTeamID]] = Teams[teamID]), "N/A")</f>
        <v>N/A</v>
      </c>
      <c r="Y941" s="58" t="str" cm="1">
        <f t="array" ref="Y941">_xlfn._xlws.FILTER(Teams[teamType], (Fixtures[[#This Row],[userTeamID]] = Teams[teamID]), "N/A")</f>
        <v>N/A</v>
      </c>
      <c r="Z941" s="58" t="str" cm="1">
        <f t="array" ref="Z9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1" s="58" t="str">
        <f>IF(Fixtures[[#This Row],[userSide]] = "N/A", "N/A", IF(Fixtures[[#This Row],[userSide]] = "H", Fixtures[[#This Row],[awayTeam]], Fixtures[[#This Row],[homeTeam]]))</f>
        <v>N/A</v>
      </c>
      <c r="AB941" s="58" t="str" cm="1">
        <f t="array" ref="AB941">_xlfn._xlws.FILTER(Teams[teamID], Fixtures[[#This Row],[oppTeam]] = Teams[name], "N/A")</f>
        <v>N/A</v>
      </c>
      <c r="AC941" s="58" t="str" cm="1">
        <f t="array" ref="AC941">_xlfn._xlws.FILTER(Teams[teamType], Fixtures[[#This Row],[oppTeam]] = Teams[name], "N/A")</f>
        <v>N/A</v>
      </c>
      <c r="AD941" s="58" t="str">
        <f>IF(ISBLANK(Fixtures[[#This Row],[date]]), "N/A", IF(Fixtures[[#This Row],[userSide]]="H", Fixtures[[#This Row],[homeScore]], Fixtures[[#This Row],[awayScore]]))</f>
        <v>N/A</v>
      </c>
      <c r="AE941" s="58" t="str">
        <f>IF(ISBLANK(Fixtures[[#This Row],[date]]), "N/A", IF(Fixtures[[#This Row],[userScore]] = Fixtures[[#This Row],[homeScore]], Fixtures[[#This Row],[awayScore]], Fixtures[[#This Row],[homeScore]]))</f>
        <v>N/A</v>
      </c>
      <c r="AF941" s="58" t="b">
        <f>NOT(AND(ISBLANK(Fixtures[[#This Row],[homePens]]), ISBLANK(Fixtures[[#This Row],[awayPens]])))</f>
        <v>0</v>
      </c>
      <c r="AG941" s="58" t="str">
        <f>IF(Fixtures[[#This Row],[penalties]], IF(Fixtures[[#This Row],[userSide]]="H", Fixtures[[#This Row],[homePens]], Fixtures[[#This Row],[awayPens]]), "N/A")</f>
        <v>N/A</v>
      </c>
      <c r="AH941" s="58" t="str">
        <f>IF(Fixtures[[#This Row],[penalties]], IF(Fixtures[[#This Row],[userPens]]=Fixtures[[#This Row],[homePens]],Fixtures[[#This Row],[awayPens]],Fixtures[[#This Row],[homePens]]), "N/A")</f>
        <v>N/A</v>
      </c>
      <c r="AI941" s="58" t="b">
        <f>COUNTBLANK(Fixtures[[#This Row],[G]:[MOTM]]) = 0</f>
        <v>0</v>
      </c>
      <c r="AJ941" s="58" t="str">
        <f>IF(Fixtures[[#This Row],[APP]], Fixtures[[#This Row],[G]]+Fixtures[[#This Row],[A]], "N/A")</f>
        <v>N/A</v>
      </c>
      <c r="AK9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2" spans="1:39" ht="13">
      <c r="A942" s="55"/>
      <c r="B942" s="61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7"/>
      <c r="R942" s="56"/>
      <c r="S942" s="58" t="str" cm="1">
        <f t="array" ref="S942">_xlfn._xlws.FILTER(Competitions[compType], (Fixtures[[#This Row],[competition]] = Competitions[name]), "N/A")</f>
        <v>N/A</v>
      </c>
      <c r="T942" s="58" t="str" cm="1">
        <f t="array" ref="T942">_xlfn._xlws.FILTER(Competitions[exhibition], (Fixtures[[#This Row],[competition]] = Competitions[name]), "N/A")</f>
        <v>N/A</v>
      </c>
      <c r="U942" s="58" t="str" cm="1">
        <f t="array" ref="U942">_xlfn._xlws.FILTER(Competitions[compID], (Fixtures[[#This Row],[competition]] = Competitions[name]), "N/A")</f>
        <v>N/A</v>
      </c>
      <c r="V9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2" s="58" t="str" cm="1">
        <f t="array" ref="W9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2" s="58" t="str" cm="1">
        <f t="array" ref="X942">_xlfn._xlws.FILTER(Teams[name], (Fixtures[[#This Row],[userTeamID]] = Teams[teamID]), "N/A")</f>
        <v>N/A</v>
      </c>
      <c r="Y942" s="58" t="str" cm="1">
        <f t="array" ref="Y942">_xlfn._xlws.FILTER(Teams[teamType], (Fixtures[[#This Row],[userTeamID]] = Teams[teamID]), "N/A")</f>
        <v>N/A</v>
      </c>
      <c r="Z942" s="58" t="str" cm="1">
        <f t="array" ref="Z9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2" s="58" t="str">
        <f>IF(Fixtures[[#This Row],[userSide]] = "N/A", "N/A", IF(Fixtures[[#This Row],[userSide]] = "H", Fixtures[[#This Row],[awayTeam]], Fixtures[[#This Row],[homeTeam]]))</f>
        <v>N/A</v>
      </c>
      <c r="AB942" s="58" t="str" cm="1">
        <f t="array" ref="AB942">_xlfn._xlws.FILTER(Teams[teamID], Fixtures[[#This Row],[oppTeam]] = Teams[name], "N/A")</f>
        <v>N/A</v>
      </c>
      <c r="AC942" s="58" t="str" cm="1">
        <f t="array" ref="AC942">_xlfn._xlws.FILTER(Teams[teamType], Fixtures[[#This Row],[oppTeam]] = Teams[name], "N/A")</f>
        <v>N/A</v>
      </c>
      <c r="AD942" s="58" t="str">
        <f>IF(ISBLANK(Fixtures[[#This Row],[date]]), "N/A", IF(Fixtures[[#This Row],[userSide]]="H", Fixtures[[#This Row],[homeScore]], Fixtures[[#This Row],[awayScore]]))</f>
        <v>N/A</v>
      </c>
      <c r="AE942" s="58" t="str">
        <f>IF(ISBLANK(Fixtures[[#This Row],[date]]), "N/A", IF(Fixtures[[#This Row],[userScore]] = Fixtures[[#This Row],[homeScore]], Fixtures[[#This Row],[awayScore]], Fixtures[[#This Row],[homeScore]]))</f>
        <v>N/A</v>
      </c>
      <c r="AF942" s="58" t="b">
        <f>NOT(AND(ISBLANK(Fixtures[[#This Row],[homePens]]), ISBLANK(Fixtures[[#This Row],[awayPens]])))</f>
        <v>0</v>
      </c>
      <c r="AG942" s="58" t="str">
        <f>IF(Fixtures[[#This Row],[penalties]], IF(Fixtures[[#This Row],[userSide]]="H", Fixtures[[#This Row],[homePens]], Fixtures[[#This Row],[awayPens]]), "N/A")</f>
        <v>N/A</v>
      </c>
      <c r="AH942" s="58" t="str">
        <f>IF(Fixtures[[#This Row],[penalties]], IF(Fixtures[[#This Row],[userPens]]=Fixtures[[#This Row],[homePens]],Fixtures[[#This Row],[awayPens]],Fixtures[[#This Row],[homePens]]), "N/A")</f>
        <v>N/A</v>
      </c>
      <c r="AI942" s="58" t="b">
        <f>COUNTBLANK(Fixtures[[#This Row],[G]:[MOTM]]) = 0</f>
        <v>0</v>
      </c>
      <c r="AJ942" s="58" t="str">
        <f>IF(Fixtures[[#This Row],[APP]], Fixtures[[#This Row],[G]]+Fixtures[[#This Row],[A]], "N/A")</f>
        <v>N/A</v>
      </c>
      <c r="AK9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3" spans="1:39" ht="13">
      <c r="A943" s="55"/>
      <c r="B943" s="61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7"/>
      <c r="R943" s="56"/>
      <c r="S943" s="58" t="str" cm="1">
        <f t="array" ref="S943">_xlfn._xlws.FILTER(Competitions[compType], (Fixtures[[#This Row],[competition]] = Competitions[name]), "N/A")</f>
        <v>N/A</v>
      </c>
      <c r="T943" s="58" t="str" cm="1">
        <f t="array" ref="T943">_xlfn._xlws.FILTER(Competitions[exhibition], (Fixtures[[#This Row],[competition]] = Competitions[name]), "N/A")</f>
        <v>N/A</v>
      </c>
      <c r="U943" s="58" t="str" cm="1">
        <f t="array" ref="U943">_xlfn._xlws.FILTER(Competitions[compID], (Fixtures[[#This Row],[competition]] = Competitions[name]), "N/A")</f>
        <v>N/A</v>
      </c>
      <c r="V9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3" s="58" t="str" cm="1">
        <f t="array" ref="W9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3" s="58" t="str" cm="1">
        <f t="array" ref="X943">_xlfn._xlws.FILTER(Teams[name], (Fixtures[[#This Row],[userTeamID]] = Teams[teamID]), "N/A")</f>
        <v>N/A</v>
      </c>
      <c r="Y943" s="58" t="str" cm="1">
        <f t="array" ref="Y943">_xlfn._xlws.FILTER(Teams[teamType], (Fixtures[[#This Row],[userTeamID]] = Teams[teamID]), "N/A")</f>
        <v>N/A</v>
      </c>
      <c r="Z943" s="58" t="str" cm="1">
        <f t="array" ref="Z9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3" s="58" t="str">
        <f>IF(Fixtures[[#This Row],[userSide]] = "N/A", "N/A", IF(Fixtures[[#This Row],[userSide]] = "H", Fixtures[[#This Row],[awayTeam]], Fixtures[[#This Row],[homeTeam]]))</f>
        <v>N/A</v>
      </c>
      <c r="AB943" s="58" t="str" cm="1">
        <f t="array" ref="AB943">_xlfn._xlws.FILTER(Teams[teamID], Fixtures[[#This Row],[oppTeam]] = Teams[name], "N/A")</f>
        <v>N/A</v>
      </c>
      <c r="AC943" s="58" t="str" cm="1">
        <f t="array" ref="AC943">_xlfn._xlws.FILTER(Teams[teamType], Fixtures[[#This Row],[oppTeam]] = Teams[name], "N/A")</f>
        <v>N/A</v>
      </c>
      <c r="AD943" s="58" t="str">
        <f>IF(ISBLANK(Fixtures[[#This Row],[date]]), "N/A", IF(Fixtures[[#This Row],[userSide]]="H", Fixtures[[#This Row],[homeScore]], Fixtures[[#This Row],[awayScore]]))</f>
        <v>N/A</v>
      </c>
      <c r="AE943" s="58" t="str">
        <f>IF(ISBLANK(Fixtures[[#This Row],[date]]), "N/A", IF(Fixtures[[#This Row],[userScore]] = Fixtures[[#This Row],[homeScore]], Fixtures[[#This Row],[awayScore]], Fixtures[[#This Row],[homeScore]]))</f>
        <v>N/A</v>
      </c>
      <c r="AF943" s="58" t="b">
        <f>NOT(AND(ISBLANK(Fixtures[[#This Row],[homePens]]), ISBLANK(Fixtures[[#This Row],[awayPens]])))</f>
        <v>0</v>
      </c>
      <c r="AG943" s="58" t="str">
        <f>IF(Fixtures[[#This Row],[penalties]], IF(Fixtures[[#This Row],[userSide]]="H", Fixtures[[#This Row],[homePens]], Fixtures[[#This Row],[awayPens]]), "N/A")</f>
        <v>N/A</v>
      </c>
      <c r="AH943" s="58" t="str">
        <f>IF(Fixtures[[#This Row],[penalties]], IF(Fixtures[[#This Row],[userPens]]=Fixtures[[#This Row],[homePens]],Fixtures[[#This Row],[awayPens]],Fixtures[[#This Row],[homePens]]), "N/A")</f>
        <v>N/A</v>
      </c>
      <c r="AI943" s="58" t="b">
        <f>COUNTBLANK(Fixtures[[#This Row],[G]:[MOTM]]) = 0</f>
        <v>0</v>
      </c>
      <c r="AJ943" s="58" t="str">
        <f>IF(Fixtures[[#This Row],[APP]], Fixtures[[#This Row],[G]]+Fixtures[[#This Row],[A]], "N/A")</f>
        <v>N/A</v>
      </c>
      <c r="AK9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4" spans="1:39" ht="13">
      <c r="A944" s="55"/>
      <c r="B944" s="61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7"/>
      <c r="R944" s="56"/>
      <c r="S944" s="58" t="str" cm="1">
        <f t="array" ref="S944">_xlfn._xlws.FILTER(Competitions[compType], (Fixtures[[#This Row],[competition]] = Competitions[name]), "N/A")</f>
        <v>N/A</v>
      </c>
      <c r="T944" s="58" t="str" cm="1">
        <f t="array" ref="T944">_xlfn._xlws.FILTER(Competitions[exhibition], (Fixtures[[#This Row],[competition]] = Competitions[name]), "N/A")</f>
        <v>N/A</v>
      </c>
      <c r="U944" s="58" t="str" cm="1">
        <f t="array" ref="U944">_xlfn._xlws.FILTER(Competitions[compID], (Fixtures[[#This Row],[competition]] = Competitions[name]), "N/A")</f>
        <v>N/A</v>
      </c>
      <c r="V9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4" s="58" t="str" cm="1">
        <f t="array" ref="W9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4" s="58" t="str" cm="1">
        <f t="array" ref="X944">_xlfn._xlws.FILTER(Teams[name], (Fixtures[[#This Row],[userTeamID]] = Teams[teamID]), "N/A")</f>
        <v>N/A</v>
      </c>
      <c r="Y944" s="58" t="str" cm="1">
        <f t="array" ref="Y944">_xlfn._xlws.FILTER(Teams[teamType], (Fixtures[[#This Row],[userTeamID]] = Teams[teamID]), "N/A")</f>
        <v>N/A</v>
      </c>
      <c r="Z944" s="58" t="str" cm="1">
        <f t="array" ref="Z9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4" s="58" t="str">
        <f>IF(Fixtures[[#This Row],[userSide]] = "N/A", "N/A", IF(Fixtures[[#This Row],[userSide]] = "H", Fixtures[[#This Row],[awayTeam]], Fixtures[[#This Row],[homeTeam]]))</f>
        <v>N/A</v>
      </c>
      <c r="AB944" s="58" t="str" cm="1">
        <f t="array" ref="AB944">_xlfn._xlws.FILTER(Teams[teamID], Fixtures[[#This Row],[oppTeam]] = Teams[name], "N/A")</f>
        <v>N/A</v>
      </c>
      <c r="AC944" s="58" t="str" cm="1">
        <f t="array" ref="AC944">_xlfn._xlws.FILTER(Teams[teamType], Fixtures[[#This Row],[oppTeam]] = Teams[name], "N/A")</f>
        <v>N/A</v>
      </c>
      <c r="AD944" s="58" t="str">
        <f>IF(ISBLANK(Fixtures[[#This Row],[date]]), "N/A", IF(Fixtures[[#This Row],[userSide]]="H", Fixtures[[#This Row],[homeScore]], Fixtures[[#This Row],[awayScore]]))</f>
        <v>N/A</v>
      </c>
      <c r="AE944" s="58" t="str">
        <f>IF(ISBLANK(Fixtures[[#This Row],[date]]), "N/A", IF(Fixtures[[#This Row],[userScore]] = Fixtures[[#This Row],[homeScore]], Fixtures[[#This Row],[awayScore]], Fixtures[[#This Row],[homeScore]]))</f>
        <v>N/A</v>
      </c>
      <c r="AF944" s="58" t="b">
        <f>NOT(AND(ISBLANK(Fixtures[[#This Row],[homePens]]), ISBLANK(Fixtures[[#This Row],[awayPens]])))</f>
        <v>0</v>
      </c>
      <c r="AG944" s="58" t="str">
        <f>IF(Fixtures[[#This Row],[penalties]], IF(Fixtures[[#This Row],[userSide]]="H", Fixtures[[#This Row],[homePens]], Fixtures[[#This Row],[awayPens]]), "N/A")</f>
        <v>N/A</v>
      </c>
      <c r="AH944" s="58" t="str">
        <f>IF(Fixtures[[#This Row],[penalties]], IF(Fixtures[[#This Row],[userPens]]=Fixtures[[#This Row],[homePens]],Fixtures[[#This Row],[awayPens]],Fixtures[[#This Row],[homePens]]), "N/A")</f>
        <v>N/A</v>
      </c>
      <c r="AI944" s="58" t="b">
        <f>COUNTBLANK(Fixtures[[#This Row],[G]:[MOTM]]) = 0</f>
        <v>0</v>
      </c>
      <c r="AJ944" s="58" t="str">
        <f>IF(Fixtures[[#This Row],[APP]], Fixtures[[#This Row],[G]]+Fixtures[[#This Row],[A]], "N/A")</f>
        <v>N/A</v>
      </c>
      <c r="AK9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5" spans="1:39" ht="13">
      <c r="A945" s="55"/>
      <c r="B945" s="61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7"/>
      <c r="R945" s="56"/>
      <c r="S945" s="58" t="str" cm="1">
        <f t="array" ref="S945">_xlfn._xlws.FILTER(Competitions[compType], (Fixtures[[#This Row],[competition]] = Competitions[name]), "N/A")</f>
        <v>N/A</v>
      </c>
      <c r="T945" s="58" t="str" cm="1">
        <f t="array" ref="T945">_xlfn._xlws.FILTER(Competitions[exhibition], (Fixtures[[#This Row],[competition]] = Competitions[name]), "N/A")</f>
        <v>N/A</v>
      </c>
      <c r="U945" s="58" t="str" cm="1">
        <f t="array" ref="U945">_xlfn._xlws.FILTER(Competitions[compID], (Fixtures[[#This Row],[competition]] = Competitions[name]), "N/A")</f>
        <v>N/A</v>
      </c>
      <c r="V9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5" s="58" t="str" cm="1">
        <f t="array" ref="W9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5" s="58" t="str" cm="1">
        <f t="array" ref="X945">_xlfn._xlws.FILTER(Teams[name], (Fixtures[[#This Row],[userTeamID]] = Teams[teamID]), "N/A")</f>
        <v>N/A</v>
      </c>
      <c r="Y945" s="58" t="str" cm="1">
        <f t="array" ref="Y945">_xlfn._xlws.FILTER(Teams[teamType], (Fixtures[[#This Row],[userTeamID]] = Teams[teamID]), "N/A")</f>
        <v>N/A</v>
      </c>
      <c r="Z945" s="58" t="str" cm="1">
        <f t="array" ref="Z9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5" s="58" t="str">
        <f>IF(Fixtures[[#This Row],[userSide]] = "N/A", "N/A", IF(Fixtures[[#This Row],[userSide]] = "H", Fixtures[[#This Row],[awayTeam]], Fixtures[[#This Row],[homeTeam]]))</f>
        <v>N/A</v>
      </c>
      <c r="AB945" s="58" t="str" cm="1">
        <f t="array" ref="AB945">_xlfn._xlws.FILTER(Teams[teamID], Fixtures[[#This Row],[oppTeam]] = Teams[name], "N/A")</f>
        <v>N/A</v>
      </c>
      <c r="AC945" s="58" t="str" cm="1">
        <f t="array" ref="AC945">_xlfn._xlws.FILTER(Teams[teamType], Fixtures[[#This Row],[oppTeam]] = Teams[name], "N/A")</f>
        <v>N/A</v>
      </c>
      <c r="AD945" s="58" t="str">
        <f>IF(ISBLANK(Fixtures[[#This Row],[date]]), "N/A", IF(Fixtures[[#This Row],[userSide]]="H", Fixtures[[#This Row],[homeScore]], Fixtures[[#This Row],[awayScore]]))</f>
        <v>N/A</v>
      </c>
      <c r="AE945" s="58" t="str">
        <f>IF(ISBLANK(Fixtures[[#This Row],[date]]), "N/A", IF(Fixtures[[#This Row],[userScore]] = Fixtures[[#This Row],[homeScore]], Fixtures[[#This Row],[awayScore]], Fixtures[[#This Row],[homeScore]]))</f>
        <v>N/A</v>
      </c>
      <c r="AF945" s="58" t="b">
        <f>NOT(AND(ISBLANK(Fixtures[[#This Row],[homePens]]), ISBLANK(Fixtures[[#This Row],[awayPens]])))</f>
        <v>0</v>
      </c>
      <c r="AG945" s="58" t="str">
        <f>IF(Fixtures[[#This Row],[penalties]], IF(Fixtures[[#This Row],[userSide]]="H", Fixtures[[#This Row],[homePens]], Fixtures[[#This Row],[awayPens]]), "N/A")</f>
        <v>N/A</v>
      </c>
      <c r="AH945" s="58" t="str">
        <f>IF(Fixtures[[#This Row],[penalties]], IF(Fixtures[[#This Row],[userPens]]=Fixtures[[#This Row],[homePens]],Fixtures[[#This Row],[awayPens]],Fixtures[[#This Row],[homePens]]), "N/A")</f>
        <v>N/A</v>
      </c>
      <c r="AI945" s="58" t="b">
        <f>COUNTBLANK(Fixtures[[#This Row],[G]:[MOTM]]) = 0</f>
        <v>0</v>
      </c>
      <c r="AJ945" s="58" t="str">
        <f>IF(Fixtures[[#This Row],[APP]], Fixtures[[#This Row],[G]]+Fixtures[[#This Row],[A]], "N/A")</f>
        <v>N/A</v>
      </c>
      <c r="AK9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6" spans="1:39" ht="13">
      <c r="A946" s="55"/>
      <c r="B946" s="61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7"/>
      <c r="R946" s="56"/>
      <c r="S946" s="58" t="str" cm="1">
        <f t="array" ref="S946">_xlfn._xlws.FILTER(Competitions[compType], (Fixtures[[#This Row],[competition]] = Competitions[name]), "N/A")</f>
        <v>N/A</v>
      </c>
      <c r="T946" s="58" t="str" cm="1">
        <f t="array" ref="T946">_xlfn._xlws.FILTER(Competitions[exhibition], (Fixtures[[#This Row],[competition]] = Competitions[name]), "N/A")</f>
        <v>N/A</v>
      </c>
      <c r="U946" s="58" t="str" cm="1">
        <f t="array" ref="U946">_xlfn._xlws.FILTER(Competitions[compID], (Fixtures[[#This Row],[competition]] = Competitions[name]), "N/A")</f>
        <v>N/A</v>
      </c>
      <c r="V9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6" s="58" t="str" cm="1">
        <f t="array" ref="W9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6" s="58" t="str" cm="1">
        <f t="array" ref="X946">_xlfn._xlws.FILTER(Teams[name], (Fixtures[[#This Row],[userTeamID]] = Teams[teamID]), "N/A")</f>
        <v>N/A</v>
      </c>
      <c r="Y946" s="58" t="str" cm="1">
        <f t="array" ref="Y946">_xlfn._xlws.FILTER(Teams[teamType], (Fixtures[[#This Row],[userTeamID]] = Teams[teamID]), "N/A")</f>
        <v>N/A</v>
      </c>
      <c r="Z946" s="58" t="str" cm="1">
        <f t="array" ref="Z9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6" s="58" t="str">
        <f>IF(Fixtures[[#This Row],[userSide]] = "N/A", "N/A", IF(Fixtures[[#This Row],[userSide]] = "H", Fixtures[[#This Row],[awayTeam]], Fixtures[[#This Row],[homeTeam]]))</f>
        <v>N/A</v>
      </c>
      <c r="AB946" s="58" t="str" cm="1">
        <f t="array" ref="AB946">_xlfn._xlws.FILTER(Teams[teamID], Fixtures[[#This Row],[oppTeam]] = Teams[name], "N/A")</f>
        <v>N/A</v>
      </c>
      <c r="AC946" s="58" t="str" cm="1">
        <f t="array" ref="AC946">_xlfn._xlws.FILTER(Teams[teamType], Fixtures[[#This Row],[oppTeam]] = Teams[name], "N/A")</f>
        <v>N/A</v>
      </c>
      <c r="AD946" s="58" t="str">
        <f>IF(ISBLANK(Fixtures[[#This Row],[date]]), "N/A", IF(Fixtures[[#This Row],[userSide]]="H", Fixtures[[#This Row],[homeScore]], Fixtures[[#This Row],[awayScore]]))</f>
        <v>N/A</v>
      </c>
      <c r="AE946" s="58" t="str">
        <f>IF(ISBLANK(Fixtures[[#This Row],[date]]), "N/A", IF(Fixtures[[#This Row],[userScore]] = Fixtures[[#This Row],[homeScore]], Fixtures[[#This Row],[awayScore]], Fixtures[[#This Row],[homeScore]]))</f>
        <v>N/A</v>
      </c>
      <c r="AF946" s="58" t="b">
        <f>NOT(AND(ISBLANK(Fixtures[[#This Row],[homePens]]), ISBLANK(Fixtures[[#This Row],[awayPens]])))</f>
        <v>0</v>
      </c>
      <c r="AG946" s="58" t="str">
        <f>IF(Fixtures[[#This Row],[penalties]], IF(Fixtures[[#This Row],[userSide]]="H", Fixtures[[#This Row],[homePens]], Fixtures[[#This Row],[awayPens]]), "N/A")</f>
        <v>N/A</v>
      </c>
      <c r="AH946" s="58" t="str">
        <f>IF(Fixtures[[#This Row],[penalties]], IF(Fixtures[[#This Row],[userPens]]=Fixtures[[#This Row],[homePens]],Fixtures[[#This Row],[awayPens]],Fixtures[[#This Row],[homePens]]), "N/A")</f>
        <v>N/A</v>
      </c>
      <c r="AI946" s="58" t="b">
        <f>COUNTBLANK(Fixtures[[#This Row],[G]:[MOTM]]) = 0</f>
        <v>0</v>
      </c>
      <c r="AJ946" s="58" t="str">
        <f>IF(Fixtures[[#This Row],[APP]], Fixtures[[#This Row],[G]]+Fixtures[[#This Row],[A]], "N/A")</f>
        <v>N/A</v>
      </c>
      <c r="AK9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7" spans="1:39" ht="13">
      <c r="A947" s="55"/>
      <c r="B947" s="61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7"/>
      <c r="R947" s="56"/>
      <c r="S947" s="58" t="str" cm="1">
        <f t="array" ref="S947">_xlfn._xlws.FILTER(Competitions[compType], (Fixtures[[#This Row],[competition]] = Competitions[name]), "N/A")</f>
        <v>N/A</v>
      </c>
      <c r="T947" s="58" t="str" cm="1">
        <f t="array" ref="T947">_xlfn._xlws.FILTER(Competitions[exhibition], (Fixtures[[#This Row],[competition]] = Competitions[name]), "N/A")</f>
        <v>N/A</v>
      </c>
      <c r="U947" s="58" t="str" cm="1">
        <f t="array" ref="U947">_xlfn._xlws.FILTER(Competitions[compID], (Fixtures[[#This Row],[competition]] = Competitions[name]), "N/A")</f>
        <v>N/A</v>
      </c>
      <c r="V9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7" s="58" t="str" cm="1">
        <f t="array" ref="W9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7" s="58" t="str" cm="1">
        <f t="array" ref="X947">_xlfn._xlws.FILTER(Teams[name], (Fixtures[[#This Row],[userTeamID]] = Teams[teamID]), "N/A")</f>
        <v>N/A</v>
      </c>
      <c r="Y947" s="58" t="str" cm="1">
        <f t="array" ref="Y947">_xlfn._xlws.FILTER(Teams[teamType], (Fixtures[[#This Row],[userTeamID]] = Teams[teamID]), "N/A")</f>
        <v>N/A</v>
      </c>
      <c r="Z947" s="58" t="str" cm="1">
        <f t="array" ref="Z9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7" s="58" t="str">
        <f>IF(Fixtures[[#This Row],[userSide]] = "N/A", "N/A", IF(Fixtures[[#This Row],[userSide]] = "H", Fixtures[[#This Row],[awayTeam]], Fixtures[[#This Row],[homeTeam]]))</f>
        <v>N/A</v>
      </c>
      <c r="AB947" s="58" t="str" cm="1">
        <f t="array" ref="AB947">_xlfn._xlws.FILTER(Teams[teamID], Fixtures[[#This Row],[oppTeam]] = Teams[name], "N/A")</f>
        <v>N/A</v>
      </c>
      <c r="AC947" s="58" t="str" cm="1">
        <f t="array" ref="AC947">_xlfn._xlws.FILTER(Teams[teamType], Fixtures[[#This Row],[oppTeam]] = Teams[name], "N/A")</f>
        <v>N/A</v>
      </c>
      <c r="AD947" s="58" t="str">
        <f>IF(ISBLANK(Fixtures[[#This Row],[date]]), "N/A", IF(Fixtures[[#This Row],[userSide]]="H", Fixtures[[#This Row],[homeScore]], Fixtures[[#This Row],[awayScore]]))</f>
        <v>N/A</v>
      </c>
      <c r="AE947" s="58" t="str">
        <f>IF(ISBLANK(Fixtures[[#This Row],[date]]), "N/A", IF(Fixtures[[#This Row],[userScore]] = Fixtures[[#This Row],[homeScore]], Fixtures[[#This Row],[awayScore]], Fixtures[[#This Row],[homeScore]]))</f>
        <v>N/A</v>
      </c>
      <c r="AF947" s="58" t="b">
        <f>NOT(AND(ISBLANK(Fixtures[[#This Row],[homePens]]), ISBLANK(Fixtures[[#This Row],[awayPens]])))</f>
        <v>0</v>
      </c>
      <c r="AG947" s="58" t="str">
        <f>IF(Fixtures[[#This Row],[penalties]], IF(Fixtures[[#This Row],[userSide]]="H", Fixtures[[#This Row],[homePens]], Fixtures[[#This Row],[awayPens]]), "N/A")</f>
        <v>N/A</v>
      </c>
      <c r="AH947" s="58" t="str">
        <f>IF(Fixtures[[#This Row],[penalties]], IF(Fixtures[[#This Row],[userPens]]=Fixtures[[#This Row],[homePens]],Fixtures[[#This Row],[awayPens]],Fixtures[[#This Row],[homePens]]), "N/A")</f>
        <v>N/A</v>
      </c>
      <c r="AI947" s="58" t="b">
        <f>COUNTBLANK(Fixtures[[#This Row],[G]:[MOTM]]) = 0</f>
        <v>0</v>
      </c>
      <c r="AJ947" s="58" t="str">
        <f>IF(Fixtures[[#This Row],[APP]], Fixtures[[#This Row],[G]]+Fixtures[[#This Row],[A]], "N/A")</f>
        <v>N/A</v>
      </c>
      <c r="AK9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8" spans="1:39" ht="13">
      <c r="A948" s="55"/>
      <c r="B948" s="61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7"/>
      <c r="R948" s="56"/>
      <c r="S948" s="58" t="str" cm="1">
        <f t="array" ref="S948">_xlfn._xlws.FILTER(Competitions[compType], (Fixtures[[#This Row],[competition]] = Competitions[name]), "N/A")</f>
        <v>N/A</v>
      </c>
      <c r="T948" s="58" t="str" cm="1">
        <f t="array" ref="T948">_xlfn._xlws.FILTER(Competitions[exhibition], (Fixtures[[#This Row],[competition]] = Competitions[name]), "N/A")</f>
        <v>N/A</v>
      </c>
      <c r="U948" s="58" t="str" cm="1">
        <f t="array" ref="U948">_xlfn._xlws.FILTER(Competitions[compID], (Fixtures[[#This Row],[competition]] = Competitions[name]), "N/A")</f>
        <v>N/A</v>
      </c>
      <c r="V9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8" s="58" t="str" cm="1">
        <f t="array" ref="W9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8" s="58" t="str" cm="1">
        <f t="array" ref="X948">_xlfn._xlws.FILTER(Teams[name], (Fixtures[[#This Row],[userTeamID]] = Teams[teamID]), "N/A")</f>
        <v>N/A</v>
      </c>
      <c r="Y948" s="58" t="str" cm="1">
        <f t="array" ref="Y948">_xlfn._xlws.FILTER(Teams[teamType], (Fixtures[[#This Row],[userTeamID]] = Teams[teamID]), "N/A")</f>
        <v>N/A</v>
      </c>
      <c r="Z948" s="58" t="str" cm="1">
        <f t="array" ref="Z9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8" s="58" t="str">
        <f>IF(Fixtures[[#This Row],[userSide]] = "N/A", "N/A", IF(Fixtures[[#This Row],[userSide]] = "H", Fixtures[[#This Row],[awayTeam]], Fixtures[[#This Row],[homeTeam]]))</f>
        <v>N/A</v>
      </c>
      <c r="AB948" s="58" t="str" cm="1">
        <f t="array" ref="AB948">_xlfn._xlws.FILTER(Teams[teamID], Fixtures[[#This Row],[oppTeam]] = Teams[name], "N/A")</f>
        <v>N/A</v>
      </c>
      <c r="AC948" s="58" t="str" cm="1">
        <f t="array" ref="AC948">_xlfn._xlws.FILTER(Teams[teamType], Fixtures[[#This Row],[oppTeam]] = Teams[name], "N/A")</f>
        <v>N/A</v>
      </c>
      <c r="AD948" s="58" t="str">
        <f>IF(ISBLANK(Fixtures[[#This Row],[date]]), "N/A", IF(Fixtures[[#This Row],[userSide]]="H", Fixtures[[#This Row],[homeScore]], Fixtures[[#This Row],[awayScore]]))</f>
        <v>N/A</v>
      </c>
      <c r="AE948" s="58" t="str">
        <f>IF(ISBLANK(Fixtures[[#This Row],[date]]), "N/A", IF(Fixtures[[#This Row],[userScore]] = Fixtures[[#This Row],[homeScore]], Fixtures[[#This Row],[awayScore]], Fixtures[[#This Row],[homeScore]]))</f>
        <v>N/A</v>
      </c>
      <c r="AF948" s="58" t="b">
        <f>NOT(AND(ISBLANK(Fixtures[[#This Row],[homePens]]), ISBLANK(Fixtures[[#This Row],[awayPens]])))</f>
        <v>0</v>
      </c>
      <c r="AG948" s="58" t="str">
        <f>IF(Fixtures[[#This Row],[penalties]], IF(Fixtures[[#This Row],[userSide]]="H", Fixtures[[#This Row],[homePens]], Fixtures[[#This Row],[awayPens]]), "N/A")</f>
        <v>N/A</v>
      </c>
      <c r="AH948" s="58" t="str">
        <f>IF(Fixtures[[#This Row],[penalties]], IF(Fixtures[[#This Row],[userPens]]=Fixtures[[#This Row],[homePens]],Fixtures[[#This Row],[awayPens]],Fixtures[[#This Row],[homePens]]), "N/A")</f>
        <v>N/A</v>
      </c>
      <c r="AI948" s="58" t="b">
        <f>COUNTBLANK(Fixtures[[#This Row],[G]:[MOTM]]) = 0</f>
        <v>0</v>
      </c>
      <c r="AJ948" s="58" t="str">
        <f>IF(Fixtures[[#This Row],[APP]], Fixtures[[#This Row],[G]]+Fixtures[[#This Row],[A]], "N/A")</f>
        <v>N/A</v>
      </c>
      <c r="AK9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49" spans="1:39" ht="13">
      <c r="A949" s="55"/>
      <c r="B949" s="61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7"/>
      <c r="R949" s="56"/>
      <c r="S949" s="58" t="str" cm="1">
        <f t="array" ref="S949">_xlfn._xlws.FILTER(Competitions[compType], (Fixtures[[#This Row],[competition]] = Competitions[name]), "N/A")</f>
        <v>N/A</v>
      </c>
      <c r="T949" s="58" t="str" cm="1">
        <f t="array" ref="T949">_xlfn._xlws.FILTER(Competitions[exhibition], (Fixtures[[#This Row],[competition]] = Competitions[name]), "N/A")</f>
        <v>N/A</v>
      </c>
      <c r="U949" s="58" t="str" cm="1">
        <f t="array" ref="U949">_xlfn._xlws.FILTER(Competitions[compID], (Fixtures[[#This Row],[competition]] = Competitions[name]), "N/A")</f>
        <v>N/A</v>
      </c>
      <c r="V9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49" s="58" t="str" cm="1">
        <f t="array" ref="W9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49" s="58" t="str" cm="1">
        <f t="array" ref="X949">_xlfn._xlws.FILTER(Teams[name], (Fixtures[[#This Row],[userTeamID]] = Teams[teamID]), "N/A")</f>
        <v>N/A</v>
      </c>
      <c r="Y949" s="58" t="str" cm="1">
        <f t="array" ref="Y949">_xlfn._xlws.FILTER(Teams[teamType], (Fixtures[[#This Row],[userTeamID]] = Teams[teamID]), "N/A")</f>
        <v>N/A</v>
      </c>
      <c r="Z949" s="58" t="str" cm="1">
        <f t="array" ref="Z9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49" s="58" t="str">
        <f>IF(Fixtures[[#This Row],[userSide]] = "N/A", "N/A", IF(Fixtures[[#This Row],[userSide]] = "H", Fixtures[[#This Row],[awayTeam]], Fixtures[[#This Row],[homeTeam]]))</f>
        <v>N/A</v>
      </c>
      <c r="AB949" s="58" t="str" cm="1">
        <f t="array" ref="AB949">_xlfn._xlws.FILTER(Teams[teamID], Fixtures[[#This Row],[oppTeam]] = Teams[name], "N/A")</f>
        <v>N/A</v>
      </c>
      <c r="AC949" s="58" t="str" cm="1">
        <f t="array" ref="AC949">_xlfn._xlws.FILTER(Teams[teamType], Fixtures[[#This Row],[oppTeam]] = Teams[name], "N/A")</f>
        <v>N/A</v>
      </c>
      <c r="AD949" s="58" t="str">
        <f>IF(ISBLANK(Fixtures[[#This Row],[date]]), "N/A", IF(Fixtures[[#This Row],[userSide]]="H", Fixtures[[#This Row],[homeScore]], Fixtures[[#This Row],[awayScore]]))</f>
        <v>N/A</v>
      </c>
      <c r="AE949" s="58" t="str">
        <f>IF(ISBLANK(Fixtures[[#This Row],[date]]), "N/A", IF(Fixtures[[#This Row],[userScore]] = Fixtures[[#This Row],[homeScore]], Fixtures[[#This Row],[awayScore]], Fixtures[[#This Row],[homeScore]]))</f>
        <v>N/A</v>
      </c>
      <c r="AF949" s="58" t="b">
        <f>NOT(AND(ISBLANK(Fixtures[[#This Row],[homePens]]), ISBLANK(Fixtures[[#This Row],[awayPens]])))</f>
        <v>0</v>
      </c>
      <c r="AG949" s="58" t="str">
        <f>IF(Fixtures[[#This Row],[penalties]], IF(Fixtures[[#This Row],[userSide]]="H", Fixtures[[#This Row],[homePens]], Fixtures[[#This Row],[awayPens]]), "N/A")</f>
        <v>N/A</v>
      </c>
      <c r="AH949" s="58" t="str">
        <f>IF(Fixtures[[#This Row],[penalties]], IF(Fixtures[[#This Row],[userPens]]=Fixtures[[#This Row],[homePens]],Fixtures[[#This Row],[awayPens]],Fixtures[[#This Row],[homePens]]), "N/A")</f>
        <v>N/A</v>
      </c>
      <c r="AI949" s="58" t="b">
        <f>COUNTBLANK(Fixtures[[#This Row],[G]:[MOTM]]) = 0</f>
        <v>0</v>
      </c>
      <c r="AJ949" s="58" t="str">
        <f>IF(Fixtures[[#This Row],[APP]], Fixtures[[#This Row],[G]]+Fixtures[[#This Row],[A]], "N/A")</f>
        <v>N/A</v>
      </c>
      <c r="AK9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0" spans="1:39" ht="13">
      <c r="A950" s="55"/>
      <c r="B950" s="61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7"/>
      <c r="R950" s="56"/>
      <c r="S950" s="58" t="str" cm="1">
        <f t="array" ref="S950">_xlfn._xlws.FILTER(Competitions[compType], (Fixtures[[#This Row],[competition]] = Competitions[name]), "N/A")</f>
        <v>N/A</v>
      </c>
      <c r="T950" s="58" t="str" cm="1">
        <f t="array" ref="T950">_xlfn._xlws.FILTER(Competitions[exhibition], (Fixtures[[#This Row],[competition]] = Competitions[name]), "N/A")</f>
        <v>N/A</v>
      </c>
      <c r="U950" s="58" t="str" cm="1">
        <f t="array" ref="U950">_xlfn._xlws.FILTER(Competitions[compID], (Fixtures[[#This Row],[competition]] = Competitions[name]), "N/A")</f>
        <v>N/A</v>
      </c>
      <c r="V9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0" s="58" t="str" cm="1">
        <f t="array" ref="W9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0" s="58" t="str" cm="1">
        <f t="array" ref="X950">_xlfn._xlws.FILTER(Teams[name], (Fixtures[[#This Row],[userTeamID]] = Teams[teamID]), "N/A")</f>
        <v>N/A</v>
      </c>
      <c r="Y950" s="58" t="str" cm="1">
        <f t="array" ref="Y950">_xlfn._xlws.FILTER(Teams[teamType], (Fixtures[[#This Row],[userTeamID]] = Teams[teamID]), "N/A")</f>
        <v>N/A</v>
      </c>
      <c r="Z950" s="58" t="str" cm="1">
        <f t="array" ref="Z9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0" s="58" t="str">
        <f>IF(Fixtures[[#This Row],[userSide]] = "N/A", "N/A", IF(Fixtures[[#This Row],[userSide]] = "H", Fixtures[[#This Row],[awayTeam]], Fixtures[[#This Row],[homeTeam]]))</f>
        <v>N/A</v>
      </c>
      <c r="AB950" s="58" t="str" cm="1">
        <f t="array" ref="AB950">_xlfn._xlws.FILTER(Teams[teamID], Fixtures[[#This Row],[oppTeam]] = Teams[name], "N/A")</f>
        <v>N/A</v>
      </c>
      <c r="AC950" s="58" t="str" cm="1">
        <f t="array" ref="AC950">_xlfn._xlws.FILTER(Teams[teamType], Fixtures[[#This Row],[oppTeam]] = Teams[name], "N/A")</f>
        <v>N/A</v>
      </c>
      <c r="AD950" s="58" t="str">
        <f>IF(ISBLANK(Fixtures[[#This Row],[date]]), "N/A", IF(Fixtures[[#This Row],[userSide]]="H", Fixtures[[#This Row],[homeScore]], Fixtures[[#This Row],[awayScore]]))</f>
        <v>N/A</v>
      </c>
      <c r="AE950" s="58" t="str">
        <f>IF(ISBLANK(Fixtures[[#This Row],[date]]), "N/A", IF(Fixtures[[#This Row],[userScore]] = Fixtures[[#This Row],[homeScore]], Fixtures[[#This Row],[awayScore]], Fixtures[[#This Row],[homeScore]]))</f>
        <v>N/A</v>
      </c>
      <c r="AF950" s="58" t="b">
        <f>NOT(AND(ISBLANK(Fixtures[[#This Row],[homePens]]), ISBLANK(Fixtures[[#This Row],[awayPens]])))</f>
        <v>0</v>
      </c>
      <c r="AG950" s="58" t="str">
        <f>IF(Fixtures[[#This Row],[penalties]], IF(Fixtures[[#This Row],[userSide]]="H", Fixtures[[#This Row],[homePens]], Fixtures[[#This Row],[awayPens]]), "N/A")</f>
        <v>N/A</v>
      </c>
      <c r="AH950" s="58" t="str">
        <f>IF(Fixtures[[#This Row],[penalties]], IF(Fixtures[[#This Row],[userPens]]=Fixtures[[#This Row],[homePens]],Fixtures[[#This Row],[awayPens]],Fixtures[[#This Row],[homePens]]), "N/A")</f>
        <v>N/A</v>
      </c>
      <c r="AI950" s="58" t="b">
        <f>COUNTBLANK(Fixtures[[#This Row],[G]:[MOTM]]) = 0</f>
        <v>0</v>
      </c>
      <c r="AJ950" s="58" t="str">
        <f>IF(Fixtures[[#This Row],[APP]], Fixtures[[#This Row],[G]]+Fixtures[[#This Row],[A]], "N/A")</f>
        <v>N/A</v>
      </c>
      <c r="AK9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1" spans="1:39" ht="13">
      <c r="A951" s="55"/>
      <c r="B951" s="61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7"/>
      <c r="R951" s="56"/>
      <c r="S951" s="58" t="str" cm="1">
        <f t="array" ref="S951">_xlfn._xlws.FILTER(Competitions[compType], (Fixtures[[#This Row],[competition]] = Competitions[name]), "N/A")</f>
        <v>N/A</v>
      </c>
      <c r="T951" s="58" t="str" cm="1">
        <f t="array" ref="T951">_xlfn._xlws.FILTER(Competitions[exhibition], (Fixtures[[#This Row],[competition]] = Competitions[name]), "N/A")</f>
        <v>N/A</v>
      </c>
      <c r="U951" s="58" t="str" cm="1">
        <f t="array" ref="U951">_xlfn._xlws.FILTER(Competitions[compID], (Fixtures[[#This Row],[competition]] = Competitions[name]), "N/A")</f>
        <v>N/A</v>
      </c>
      <c r="V9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1" s="58" t="str" cm="1">
        <f t="array" ref="W9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1" s="58" t="str" cm="1">
        <f t="array" ref="X951">_xlfn._xlws.FILTER(Teams[name], (Fixtures[[#This Row],[userTeamID]] = Teams[teamID]), "N/A")</f>
        <v>N/A</v>
      </c>
      <c r="Y951" s="58" t="str" cm="1">
        <f t="array" ref="Y951">_xlfn._xlws.FILTER(Teams[teamType], (Fixtures[[#This Row],[userTeamID]] = Teams[teamID]), "N/A")</f>
        <v>N/A</v>
      </c>
      <c r="Z951" s="58" t="str" cm="1">
        <f t="array" ref="Z9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1" s="58" t="str">
        <f>IF(Fixtures[[#This Row],[userSide]] = "N/A", "N/A", IF(Fixtures[[#This Row],[userSide]] = "H", Fixtures[[#This Row],[awayTeam]], Fixtures[[#This Row],[homeTeam]]))</f>
        <v>N/A</v>
      </c>
      <c r="AB951" s="58" t="str" cm="1">
        <f t="array" ref="AB951">_xlfn._xlws.FILTER(Teams[teamID], Fixtures[[#This Row],[oppTeam]] = Teams[name], "N/A")</f>
        <v>N/A</v>
      </c>
      <c r="AC951" s="58" t="str" cm="1">
        <f t="array" ref="AC951">_xlfn._xlws.FILTER(Teams[teamType], Fixtures[[#This Row],[oppTeam]] = Teams[name], "N/A")</f>
        <v>N/A</v>
      </c>
      <c r="AD951" s="58" t="str">
        <f>IF(ISBLANK(Fixtures[[#This Row],[date]]), "N/A", IF(Fixtures[[#This Row],[userSide]]="H", Fixtures[[#This Row],[homeScore]], Fixtures[[#This Row],[awayScore]]))</f>
        <v>N/A</v>
      </c>
      <c r="AE951" s="58" t="str">
        <f>IF(ISBLANK(Fixtures[[#This Row],[date]]), "N/A", IF(Fixtures[[#This Row],[userScore]] = Fixtures[[#This Row],[homeScore]], Fixtures[[#This Row],[awayScore]], Fixtures[[#This Row],[homeScore]]))</f>
        <v>N/A</v>
      </c>
      <c r="AF951" s="58" t="b">
        <f>NOT(AND(ISBLANK(Fixtures[[#This Row],[homePens]]), ISBLANK(Fixtures[[#This Row],[awayPens]])))</f>
        <v>0</v>
      </c>
      <c r="AG951" s="58" t="str">
        <f>IF(Fixtures[[#This Row],[penalties]], IF(Fixtures[[#This Row],[userSide]]="H", Fixtures[[#This Row],[homePens]], Fixtures[[#This Row],[awayPens]]), "N/A")</f>
        <v>N/A</v>
      </c>
      <c r="AH951" s="58" t="str">
        <f>IF(Fixtures[[#This Row],[penalties]], IF(Fixtures[[#This Row],[userPens]]=Fixtures[[#This Row],[homePens]],Fixtures[[#This Row],[awayPens]],Fixtures[[#This Row],[homePens]]), "N/A")</f>
        <v>N/A</v>
      </c>
      <c r="AI951" s="58" t="b">
        <f>COUNTBLANK(Fixtures[[#This Row],[G]:[MOTM]]) = 0</f>
        <v>0</v>
      </c>
      <c r="AJ951" s="58" t="str">
        <f>IF(Fixtures[[#This Row],[APP]], Fixtures[[#This Row],[G]]+Fixtures[[#This Row],[A]], "N/A")</f>
        <v>N/A</v>
      </c>
      <c r="AK9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2" spans="1:39" ht="13">
      <c r="A952" s="55"/>
      <c r="B952" s="61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7"/>
      <c r="R952" s="56"/>
      <c r="S952" s="58" t="str" cm="1">
        <f t="array" ref="S952">_xlfn._xlws.FILTER(Competitions[compType], (Fixtures[[#This Row],[competition]] = Competitions[name]), "N/A")</f>
        <v>N/A</v>
      </c>
      <c r="T952" s="58" t="str" cm="1">
        <f t="array" ref="T952">_xlfn._xlws.FILTER(Competitions[exhibition], (Fixtures[[#This Row],[competition]] = Competitions[name]), "N/A")</f>
        <v>N/A</v>
      </c>
      <c r="U952" s="58" t="str" cm="1">
        <f t="array" ref="U952">_xlfn._xlws.FILTER(Competitions[compID], (Fixtures[[#This Row],[competition]] = Competitions[name]), "N/A")</f>
        <v>N/A</v>
      </c>
      <c r="V9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2" s="58" t="str" cm="1">
        <f t="array" ref="W9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2" s="58" t="str" cm="1">
        <f t="array" ref="X952">_xlfn._xlws.FILTER(Teams[name], (Fixtures[[#This Row],[userTeamID]] = Teams[teamID]), "N/A")</f>
        <v>N/A</v>
      </c>
      <c r="Y952" s="58" t="str" cm="1">
        <f t="array" ref="Y952">_xlfn._xlws.FILTER(Teams[teamType], (Fixtures[[#This Row],[userTeamID]] = Teams[teamID]), "N/A")</f>
        <v>N/A</v>
      </c>
      <c r="Z952" s="58" t="str" cm="1">
        <f t="array" ref="Z9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2" s="58" t="str">
        <f>IF(Fixtures[[#This Row],[userSide]] = "N/A", "N/A", IF(Fixtures[[#This Row],[userSide]] = "H", Fixtures[[#This Row],[awayTeam]], Fixtures[[#This Row],[homeTeam]]))</f>
        <v>N/A</v>
      </c>
      <c r="AB952" s="58" t="str" cm="1">
        <f t="array" ref="AB952">_xlfn._xlws.FILTER(Teams[teamID], Fixtures[[#This Row],[oppTeam]] = Teams[name], "N/A")</f>
        <v>N/A</v>
      </c>
      <c r="AC952" s="58" t="str" cm="1">
        <f t="array" ref="AC952">_xlfn._xlws.FILTER(Teams[teamType], Fixtures[[#This Row],[oppTeam]] = Teams[name], "N/A")</f>
        <v>N/A</v>
      </c>
      <c r="AD952" s="58" t="str">
        <f>IF(ISBLANK(Fixtures[[#This Row],[date]]), "N/A", IF(Fixtures[[#This Row],[userSide]]="H", Fixtures[[#This Row],[homeScore]], Fixtures[[#This Row],[awayScore]]))</f>
        <v>N/A</v>
      </c>
      <c r="AE952" s="58" t="str">
        <f>IF(ISBLANK(Fixtures[[#This Row],[date]]), "N/A", IF(Fixtures[[#This Row],[userScore]] = Fixtures[[#This Row],[homeScore]], Fixtures[[#This Row],[awayScore]], Fixtures[[#This Row],[homeScore]]))</f>
        <v>N/A</v>
      </c>
      <c r="AF952" s="58" t="b">
        <f>NOT(AND(ISBLANK(Fixtures[[#This Row],[homePens]]), ISBLANK(Fixtures[[#This Row],[awayPens]])))</f>
        <v>0</v>
      </c>
      <c r="AG952" s="58" t="str">
        <f>IF(Fixtures[[#This Row],[penalties]], IF(Fixtures[[#This Row],[userSide]]="H", Fixtures[[#This Row],[homePens]], Fixtures[[#This Row],[awayPens]]), "N/A")</f>
        <v>N/A</v>
      </c>
      <c r="AH952" s="58" t="str">
        <f>IF(Fixtures[[#This Row],[penalties]], IF(Fixtures[[#This Row],[userPens]]=Fixtures[[#This Row],[homePens]],Fixtures[[#This Row],[awayPens]],Fixtures[[#This Row],[homePens]]), "N/A")</f>
        <v>N/A</v>
      </c>
      <c r="AI952" s="58" t="b">
        <f>COUNTBLANK(Fixtures[[#This Row],[G]:[MOTM]]) = 0</f>
        <v>0</v>
      </c>
      <c r="AJ952" s="58" t="str">
        <f>IF(Fixtures[[#This Row],[APP]], Fixtures[[#This Row],[G]]+Fixtures[[#This Row],[A]], "N/A")</f>
        <v>N/A</v>
      </c>
      <c r="AK9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3" spans="1:39" ht="13">
      <c r="A953" s="55"/>
      <c r="B953" s="61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7"/>
      <c r="R953" s="56"/>
      <c r="S953" s="58" t="str" cm="1">
        <f t="array" ref="S953">_xlfn._xlws.FILTER(Competitions[compType], (Fixtures[[#This Row],[competition]] = Competitions[name]), "N/A")</f>
        <v>N/A</v>
      </c>
      <c r="T953" s="58" t="str" cm="1">
        <f t="array" ref="T953">_xlfn._xlws.FILTER(Competitions[exhibition], (Fixtures[[#This Row],[competition]] = Competitions[name]), "N/A")</f>
        <v>N/A</v>
      </c>
      <c r="U953" s="58" t="str" cm="1">
        <f t="array" ref="U953">_xlfn._xlws.FILTER(Competitions[compID], (Fixtures[[#This Row],[competition]] = Competitions[name]), "N/A")</f>
        <v>N/A</v>
      </c>
      <c r="V9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3" s="58" t="str" cm="1">
        <f t="array" ref="W9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3" s="58" t="str" cm="1">
        <f t="array" ref="X953">_xlfn._xlws.FILTER(Teams[name], (Fixtures[[#This Row],[userTeamID]] = Teams[teamID]), "N/A")</f>
        <v>N/A</v>
      </c>
      <c r="Y953" s="58" t="str" cm="1">
        <f t="array" ref="Y953">_xlfn._xlws.FILTER(Teams[teamType], (Fixtures[[#This Row],[userTeamID]] = Teams[teamID]), "N/A")</f>
        <v>N/A</v>
      </c>
      <c r="Z953" s="58" t="str" cm="1">
        <f t="array" ref="Z9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3" s="58" t="str">
        <f>IF(Fixtures[[#This Row],[userSide]] = "N/A", "N/A", IF(Fixtures[[#This Row],[userSide]] = "H", Fixtures[[#This Row],[awayTeam]], Fixtures[[#This Row],[homeTeam]]))</f>
        <v>N/A</v>
      </c>
      <c r="AB953" s="58" t="str" cm="1">
        <f t="array" ref="AB953">_xlfn._xlws.FILTER(Teams[teamID], Fixtures[[#This Row],[oppTeam]] = Teams[name], "N/A")</f>
        <v>N/A</v>
      </c>
      <c r="AC953" s="58" t="str" cm="1">
        <f t="array" ref="AC953">_xlfn._xlws.FILTER(Teams[teamType], Fixtures[[#This Row],[oppTeam]] = Teams[name], "N/A")</f>
        <v>N/A</v>
      </c>
      <c r="AD953" s="58" t="str">
        <f>IF(ISBLANK(Fixtures[[#This Row],[date]]), "N/A", IF(Fixtures[[#This Row],[userSide]]="H", Fixtures[[#This Row],[homeScore]], Fixtures[[#This Row],[awayScore]]))</f>
        <v>N/A</v>
      </c>
      <c r="AE953" s="58" t="str">
        <f>IF(ISBLANK(Fixtures[[#This Row],[date]]), "N/A", IF(Fixtures[[#This Row],[userScore]] = Fixtures[[#This Row],[homeScore]], Fixtures[[#This Row],[awayScore]], Fixtures[[#This Row],[homeScore]]))</f>
        <v>N/A</v>
      </c>
      <c r="AF953" s="58" t="b">
        <f>NOT(AND(ISBLANK(Fixtures[[#This Row],[homePens]]), ISBLANK(Fixtures[[#This Row],[awayPens]])))</f>
        <v>0</v>
      </c>
      <c r="AG953" s="58" t="str">
        <f>IF(Fixtures[[#This Row],[penalties]], IF(Fixtures[[#This Row],[userSide]]="H", Fixtures[[#This Row],[homePens]], Fixtures[[#This Row],[awayPens]]), "N/A")</f>
        <v>N/A</v>
      </c>
      <c r="AH953" s="58" t="str">
        <f>IF(Fixtures[[#This Row],[penalties]], IF(Fixtures[[#This Row],[userPens]]=Fixtures[[#This Row],[homePens]],Fixtures[[#This Row],[awayPens]],Fixtures[[#This Row],[homePens]]), "N/A")</f>
        <v>N/A</v>
      </c>
      <c r="AI953" s="58" t="b">
        <f>COUNTBLANK(Fixtures[[#This Row],[G]:[MOTM]]) = 0</f>
        <v>0</v>
      </c>
      <c r="AJ953" s="58" t="str">
        <f>IF(Fixtures[[#This Row],[APP]], Fixtures[[#This Row],[G]]+Fixtures[[#This Row],[A]], "N/A")</f>
        <v>N/A</v>
      </c>
      <c r="AK9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4" spans="1:39" ht="13">
      <c r="A954" s="55"/>
      <c r="B954" s="61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7"/>
      <c r="R954" s="56"/>
      <c r="S954" s="58" t="str" cm="1">
        <f t="array" ref="S954">_xlfn._xlws.FILTER(Competitions[compType], (Fixtures[[#This Row],[competition]] = Competitions[name]), "N/A")</f>
        <v>N/A</v>
      </c>
      <c r="T954" s="58" t="str" cm="1">
        <f t="array" ref="T954">_xlfn._xlws.FILTER(Competitions[exhibition], (Fixtures[[#This Row],[competition]] = Competitions[name]), "N/A")</f>
        <v>N/A</v>
      </c>
      <c r="U954" s="58" t="str" cm="1">
        <f t="array" ref="U954">_xlfn._xlws.FILTER(Competitions[compID], (Fixtures[[#This Row],[competition]] = Competitions[name]), "N/A")</f>
        <v>N/A</v>
      </c>
      <c r="V9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4" s="58" t="str" cm="1">
        <f t="array" ref="W9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4" s="58" t="str" cm="1">
        <f t="array" ref="X954">_xlfn._xlws.FILTER(Teams[name], (Fixtures[[#This Row],[userTeamID]] = Teams[teamID]), "N/A")</f>
        <v>N/A</v>
      </c>
      <c r="Y954" s="58" t="str" cm="1">
        <f t="array" ref="Y954">_xlfn._xlws.FILTER(Teams[teamType], (Fixtures[[#This Row],[userTeamID]] = Teams[teamID]), "N/A")</f>
        <v>N/A</v>
      </c>
      <c r="Z954" s="58" t="str" cm="1">
        <f t="array" ref="Z9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4" s="58" t="str">
        <f>IF(Fixtures[[#This Row],[userSide]] = "N/A", "N/A", IF(Fixtures[[#This Row],[userSide]] = "H", Fixtures[[#This Row],[awayTeam]], Fixtures[[#This Row],[homeTeam]]))</f>
        <v>N/A</v>
      </c>
      <c r="AB954" s="58" t="str" cm="1">
        <f t="array" ref="AB954">_xlfn._xlws.FILTER(Teams[teamID], Fixtures[[#This Row],[oppTeam]] = Teams[name], "N/A")</f>
        <v>N/A</v>
      </c>
      <c r="AC954" s="58" t="str" cm="1">
        <f t="array" ref="AC954">_xlfn._xlws.FILTER(Teams[teamType], Fixtures[[#This Row],[oppTeam]] = Teams[name], "N/A")</f>
        <v>N/A</v>
      </c>
      <c r="AD954" s="58" t="str">
        <f>IF(ISBLANK(Fixtures[[#This Row],[date]]), "N/A", IF(Fixtures[[#This Row],[userSide]]="H", Fixtures[[#This Row],[homeScore]], Fixtures[[#This Row],[awayScore]]))</f>
        <v>N/A</v>
      </c>
      <c r="AE954" s="58" t="str">
        <f>IF(ISBLANK(Fixtures[[#This Row],[date]]), "N/A", IF(Fixtures[[#This Row],[userScore]] = Fixtures[[#This Row],[homeScore]], Fixtures[[#This Row],[awayScore]], Fixtures[[#This Row],[homeScore]]))</f>
        <v>N/A</v>
      </c>
      <c r="AF954" s="58" t="b">
        <f>NOT(AND(ISBLANK(Fixtures[[#This Row],[homePens]]), ISBLANK(Fixtures[[#This Row],[awayPens]])))</f>
        <v>0</v>
      </c>
      <c r="AG954" s="58" t="str">
        <f>IF(Fixtures[[#This Row],[penalties]], IF(Fixtures[[#This Row],[userSide]]="H", Fixtures[[#This Row],[homePens]], Fixtures[[#This Row],[awayPens]]), "N/A")</f>
        <v>N/A</v>
      </c>
      <c r="AH954" s="58" t="str">
        <f>IF(Fixtures[[#This Row],[penalties]], IF(Fixtures[[#This Row],[userPens]]=Fixtures[[#This Row],[homePens]],Fixtures[[#This Row],[awayPens]],Fixtures[[#This Row],[homePens]]), "N/A")</f>
        <v>N/A</v>
      </c>
      <c r="AI954" s="58" t="b">
        <f>COUNTBLANK(Fixtures[[#This Row],[G]:[MOTM]]) = 0</f>
        <v>0</v>
      </c>
      <c r="AJ954" s="58" t="str">
        <f>IF(Fixtures[[#This Row],[APP]], Fixtures[[#This Row],[G]]+Fixtures[[#This Row],[A]], "N/A")</f>
        <v>N/A</v>
      </c>
      <c r="AK9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5" spans="1:39" ht="13">
      <c r="A955" s="55"/>
      <c r="B955" s="61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7"/>
      <c r="R955" s="56"/>
      <c r="S955" s="58" t="str" cm="1">
        <f t="array" ref="S955">_xlfn._xlws.FILTER(Competitions[compType], (Fixtures[[#This Row],[competition]] = Competitions[name]), "N/A")</f>
        <v>N/A</v>
      </c>
      <c r="T955" s="58" t="str" cm="1">
        <f t="array" ref="T955">_xlfn._xlws.FILTER(Competitions[exhibition], (Fixtures[[#This Row],[competition]] = Competitions[name]), "N/A")</f>
        <v>N/A</v>
      </c>
      <c r="U955" s="58" t="str" cm="1">
        <f t="array" ref="U955">_xlfn._xlws.FILTER(Competitions[compID], (Fixtures[[#This Row],[competition]] = Competitions[name]), "N/A")</f>
        <v>N/A</v>
      </c>
      <c r="V9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5" s="58" t="str" cm="1">
        <f t="array" ref="W9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5" s="58" t="str" cm="1">
        <f t="array" ref="X955">_xlfn._xlws.FILTER(Teams[name], (Fixtures[[#This Row],[userTeamID]] = Teams[teamID]), "N/A")</f>
        <v>N/A</v>
      </c>
      <c r="Y955" s="58" t="str" cm="1">
        <f t="array" ref="Y955">_xlfn._xlws.FILTER(Teams[teamType], (Fixtures[[#This Row],[userTeamID]] = Teams[teamID]), "N/A")</f>
        <v>N/A</v>
      </c>
      <c r="Z955" s="58" t="str" cm="1">
        <f t="array" ref="Z9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5" s="58" t="str">
        <f>IF(Fixtures[[#This Row],[userSide]] = "N/A", "N/A", IF(Fixtures[[#This Row],[userSide]] = "H", Fixtures[[#This Row],[awayTeam]], Fixtures[[#This Row],[homeTeam]]))</f>
        <v>N/A</v>
      </c>
      <c r="AB955" s="58" t="str" cm="1">
        <f t="array" ref="AB955">_xlfn._xlws.FILTER(Teams[teamID], Fixtures[[#This Row],[oppTeam]] = Teams[name], "N/A")</f>
        <v>N/A</v>
      </c>
      <c r="AC955" s="58" t="str" cm="1">
        <f t="array" ref="AC955">_xlfn._xlws.FILTER(Teams[teamType], Fixtures[[#This Row],[oppTeam]] = Teams[name], "N/A")</f>
        <v>N/A</v>
      </c>
      <c r="AD955" s="58" t="str">
        <f>IF(ISBLANK(Fixtures[[#This Row],[date]]), "N/A", IF(Fixtures[[#This Row],[userSide]]="H", Fixtures[[#This Row],[homeScore]], Fixtures[[#This Row],[awayScore]]))</f>
        <v>N/A</v>
      </c>
      <c r="AE955" s="58" t="str">
        <f>IF(ISBLANK(Fixtures[[#This Row],[date]]), "N/A", IF(Fixtures[[#This Row],[userScore]] = Fixtures[[#This Row],[homeScore]], Fixtures[[#This Row],[awayScore]], Fixtures[[#This Row],[homeScore]]))</f>
        <v>N/A</v>
      </c>
      <c r="AF955" s="58" t="b">
        <f>NOT(AND(ISBLANK(Fixtures[[#This Row],[homePens]]), ISBLANK(Fixtures[[#This Row],[awayPens]])))</f>
        <v>0</v>
      </c>
      <c r="AG955" s="58" t="str">
        <f>IF(Fixtures[[#This Row],[penalties]], IF(Fixtures[[#This Row],[userSide]]="H", Fixtures[[#This Row],[homePens]], Fixtures[[#This Row],[awayPens]]), "N/A")</f>
        <v>N/A</v>
      </c>
      <c r="AH955" s="58" t="str">
        <f>IF(Fixtures[[#This Row],[penalties]], IF(Fixtures[[#This Row],[userPens]]=Fixtures[[#This Row],[homePens]],Fixtures[[#This Row],[awayPens]],Fixtures[[#This Row],[homePens]]), "N/A")</f>
        <v>N/A</v>
      </c>
      <c r="AI955" s="58" t="b">
        <f>COUNTBLANK(Fixtures[[#This Row],[G]:[MOTM]]) = 0</f>
        <v>0</v>
      </c>
      <c r="AJ955" s="58" t="str">
        <f>IF(Fixtures[[#This Row],[APP]], Fixtures[[#This Row],[G]]+Fixtures[[#This Row],[A]], "N/A")</f>
        <v>N/A</v>
      </c>
      <c r="AK9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6" spans="1:39" ht="13">
      <c r="A956" s="55"/>
      <c r="B956" s="61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7"/>
      <c r="R956" s="56"/>
      <c r="S956" s="58" t="str" cm="1">
        <f t="array" ref="S956">_xlfn._xlws.FILTER(Competitions[compType], (Fixtures[[#This Row],[competition]] = Competitions[name]), "N/A")</f>
        <v>N/A</v>
      </c>
      <c r="T956" s="58" t="str" cm="1">
        <f t="array" ref="T956">_xlfn._xlws.FILTER(Competitions[exhibition], (Fixtures[[#This Row],[competition]] = Competitions[name]), "N/A")</f>
        <v>N/A</v>
      </c>
      <c r="U956" s="58" t="str" cm="1">
        <f t="array" ref="U956">_xlfn._xlws.FILTER(Competitions[compID], (Fixtures[[#This Row],[competition]] = Competitions[name]), "N/A")</f>
        <v>N/A</v>
      </c>
      <c r="V9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6" s="58" t="str" cm="1">
        <f t="array" ref="W9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6" s="58" t="str" cm="1">
        <f t="array" ref="X956">_xlfn._xlws.FILTER(Teams[name], (Fixtures[[#This Row],[userTeamID]] = Teams[teamID]), "N/A")</f>
        <v>N/A</v>
      </c>
      <c r="Y956" s="58" t="str" cm="1">
        <f t="array" ref="Y956">_xlfn._xlws.FILTER(Teams[teamType], (Fixtures[[#This Row],[userTeamID]] = Teams[teamID]), "N/A")</f>
        <v>N/A</v>
      </c>
      <c r="Z956" s="58" t="str" cm="1">
        <f t="array" ref="Z9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6" s="58" t="str">
        <f>IF(Fixtures[[#This Row],[userSide]] = "N/A", "N/A", IF(Fixtures[[#This Row],[userSide]] = "H", Fixtures[[#This Row],[awayTeam]], Fixtures[[#This Row],[homeTeam]]))</f>
        <v>N/A</v>
      </c>
      <c r="AB956" s="58" t="str" cm="1">
        <f t="array" ref="AB956">_xlfn._xlws.FILTER(Teams[teamID], Fixtures[[#This Row],[oppTeam]] = Teams[name], "N/A")</f>
        <v>N/A</v>
      </c>
      <c r="AC956" s="58" t="str" cm="1">
        <f t="array" ref="AC956">_xlfn._xlws.FILTER(Teams[teamType], Fixtures[[#This Row],[oppTeam]] = Teams[name], "N/A")</f>
        <v>N/A</v>
      </c>
      <c r="AD956" s="58" t="str">
        <f>IF(ISBLANK(Fixtures[[#This Row],[date]]), "N/A", IF(Fixtures[[#This Row],[userSide]]="H", Fixtures[[#This Row],[homeScore]], Fixtures[[#This Row],[awayScore]]))</f>
        <v>N/A</v>
      </c>
      <c r="AE956" s="58" t="str">
        <f>IF(ISBLANK(Fixtures[[#This Row],[date]]), "N/A", IF(Fixtures[[#This Row],[userScore]] = Fixtures[[#This Row],[homeScore]], Fixtures[[#This Row],[awayScore]], Fixtures[[#This Row],[homeScore]]))</f>
        <v>N/A</v>
      </c>
      <c r="AF956" s="58" t="b">
        <f>NOT(AND(ISBLANK(Fixtures[[#This Row],[homePens]]), ISBLANK(Fixtures[[#This Row],[awayPens]])))</f>
        <v>0</v>
      </c>
      <c r="AG956" s="58" t="str">
        <f>IF(Fixtures[[#This Row],[penalties]], IF(Fixtures[[#This Row],[userSide]]="H", Fixtures[[#This Row],[homePens]], Fixtures[[#This Row],[awayPens]]), "N/A")</f>
        <v>N/A</v>
      </c>
      <c r="AH956" s="58" t="str">
        <f>IF(Fixtures[[#This Row],[penalties]], IF(Fixtures[[#This Row],[userPens]]=Fixtures[[#This Row],[homePens]],Fixtures[[#This Row],[awayPens]],Fixtures[[#This Row],[homePens]]), "N/A")</f>
        <v>N/A</v>
      </c>
      <c r="AI956" s="58" t="b">
        <f>COUNTBLANK(Fixtures[[#This Row],[G]:[MOTM]]) = 0</f>
        <v>0</v>
      </c>
      <c r="AJ956" s="58" t="str">
        <f>IF(Fixtures[[#This Row],[APP]], Fixtures[[#This Row],[G]]+Fixtures[[#This Row],[A]], "N/A")</f>
        <v>N/A</v>
      </c>
      <c r="AK9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7" spans="1:39" ht="13">
      <c r="A957" s="55"/>
      <c r="B957" s="61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7"/>
      <c r="R957" s="56"/>
      <c r="S957" s="58" t="str" cm="1">
        <f t="array" ref="S957">_xlfn._xlws.FILTER(Competitions[compType], (Fixtures[[#This Row],[competition]] = Competitions[name]), "N/A")</f>
        <v>N/A</v>
      </c>
      <c r="T957" s="58" t="str" cm="1">
        <f t="array" ref="T957">_xlfn._xlws.FILTER(Competitions[exhibition], (Fixtures[[#This Row],[competition]] = Competitions[name]), "N/A")</f>
        <v>N/A</v>
      </c>
      <c r="U957" s="58" t="str" cm="1">
        <f t="array" ref="U957">_xlfn._xlws.FILTER(Competitions[compID], (Fixtures[[#This Row],[competition]] = Competitions[name]), "N/A")</f>
        <v>N/A</v>
      </c>
      <c r="V9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7" s="58" t="str" cm="1">
        <f t="array" ref="W9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7" s="58" t="str" cm="1">
        <f t="array" ref="X957">_xlfn._xlws.FILTER(Teams[name], (Fixtures[[#This Row],[userTeamID]] = Teams[teamID]), "N/A")</f>
        <v>N/A</v>
      </c>
      <c r="Y957" s="58" t="str" cm="1">
        <f t="array" ref="Y957">_xlfn._xlws.FILTER(Teams[teamType], (Fixtures[[#This Row],[userTeamID]] = Teams[teamID]), "N/A")</f>
        <v>N/A</v>
      </c>
      <c r="Z957" s="58" t="str" cm="1">
        <f t="array" ref="Z9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7" s="58" t="str">
        <f>IF(Fixtures[[#This Row],[userSide]] = "N/A", "N/A", IF(Fixtures[[#This Row],[userSide]] = "H", Fixtures[[#This Row],[awayTeam]], Fixtures[[#This Row],[homeTeam]]))</f>
        <v>N/A</v>
      </c>
      <c r="AB957" s="58" t="str" cm="1">
        <f t="array" ref="AB957">_xlfn._xlws.FILTER(Teams[teamID], Fixtures[[#This Row],[oppTeam]] = Teams[name], "N/A")</f>
        <v>N/A</v>
      </c>
      <c r="AC957" s="58" t="str" cm="1">
        <f t="array" ref="AC957">_xlfn._xlws.FILTER(Teams[teamType], Fixtures[[#This Row],[oppTeam]] = Teams[name], "N/A")</f>
        <v>N/A</v>
      </c>
      <c r="AD957" s="58" t="str">
        <f>IF(ISBLANK(Fixtures[[#This Row],[date]]), "N/A", IF(Fixtures[[#This Row],[userSide]]="H", Fixtures[[#This Row],[homeScore]], Fixtures[[#This Row],[awayScore]]))</f>
        <v>N/A</v>
      </c>
      <c r="AE957" s="58" t="str">
        <f>IF(ISBLANK(Fixtures[[#This Row],[date]]), "N/A", IF(Fixtures[[#This Row],[userScore]] = Fixtures[[#This Row],[homeScore]], Fixtures[[#This Row],[awayScore]], Fixtures[[#This Row],[homeScore]]))</f>
        <v>N/A</v>
      </c>
      <c r="AF957" s="58" t="b">
        <f>NOT(AND(ISBLANK(Fixtures[[#This Row],[homePens]]), ISBLANK(Fixtures[[#This Row],[awayPens]])))</f>
        <v>0</v>
      </c>
      <c r="AG957" s="58" t="str">
        <f>IF(Fixtures[[#This Row],[penalties]], IF(Fixtures[[#This Row],[userSide]]="H", Fixtures[[#This Row],[homePens]], Fixtures[[#This Row],[awayPens]]), "N/A")</f>
        <v>N/A</v>
      </c>
      <c r="AH957" s="58" t="str">
        <f>IF(Fixtures[[#This Row],[penalties]], IF(Fixtures[[#This Row],[userPens]]=Fixtures[[#This Row],[homePens]],Fixtures[[#This Row],[awayPens]],Fixtures[[#This Row],[homePens]]), "N/A")</f>
        <v>N/A</v>
      </c>
      <c r="AI957" s="58" t="b">
        <f>COUNTBLANK(Fixtures[[#This Row],[G]:[MOTM]]) = 0</f>
        <v>0</v>
      </c>
      <c r="AJ957" s="58" t="str">
        <f>IF(Fixtures[[#This Row],[APP]], Fixtures[[#This Row],[G]]+Fixtures[[#This Row],[A]], "N/A")</f>
        <v>N/A</v>
      </c>
      <c r="AK9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8" spans="1:39" ht="13">
      <c r="A958" s="55"/>
      <c r="B958" s="61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7"/>
      <c r="R958" s="56"/>
      <c r="S958" s="58" t="str" cm="1">
        <f t="array" ref="S958">_xlfn._xlws.FILTER(Competitions[compType], (Fixtures[[#This Row],[competition]] = Competitions[name]), "N/A")</f>
        <v>N/A</v>
      </c>
      <c r="T958" s="58" t="str" cm="1">
        <f t="array" ref="T958">_xlfn._xlws.FILTER(Competitions[exhibition], (Fixtures[[#This Row],[competition]] = Competitions[name]), "N/A")</f>
        <v>N/A</v>
      </c>
      <c r="U958" s="58" t="str" cm="1">
        <f t="array" ref="U958">_xlfn._xlws.FILTER(Competitions[compID], (Fixtures[[#This Row],[competition]] = Competitions[name]), "N/A")</f>
        <v>N/A</v>
      </c>
      <c r="V9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8" s="58" t="str" cm="1">
        <f t="array" ref="W9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8" s="58" t="str" cm="1">
        <f t="array" ref="X958">_xlfn._xlws.FILTER(Teams[name], (Fixtures[[#This Row],[userTeamID]] = Teams[teamID]), "N/A")</f>
        <v>N/A</v>
      </c>
      <c r="Y958" s="58" t="str" cm="1">
        <f t="array" ref="Y958">_xlfn._xlws.FILTER(Teams[teamType], (Fixtures[[#This Row],[userTeamID]] = Teams[teamID]), "N/A")</f>
        <v>N/A</v>
      </c>
      <c r="Z958" s="58" t="str" cm="1">
        <f t="array" ref="Z9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8" s="58" t="str">
        <f>IF(Fixtures[[#This Row],[userSide]] = "N/A", "N/A", IF(Fixtures[[#This Row],[userSide]] = "H", Fixtures[[#This Row],[awayTeam]], Fixtures[[#This Row],[homeTeam]]))</f>
        <v>N/A</v>
      </c>
      <c r="AB958" s="58" t="str" cm="1">
        <f t="array" ref="AB958">_xlfn._xlws.FILTER(Teams[teamID], Fixtures[[#This Row],[oppTeam]] = Teams[name], "N/A")</f>
        <v>N/A</v>
      </c>
      <c r="AC958" s="58" t="str" cm="1">
        <f t="array" ref="AC958">_xlfn._xlws.FILTER(Teams[teamType], Fixtures[[#This Row],[oppTeam]] = Teams[name], "N/A")</f>
        <v>N/A</v>
      </c>
      <c r="AD958" s="58" t="str">
        <f>IF(ISBLANK(Fixtures[[#This Row],[date]]), "N/A", IF(Fixtures[[#This Row],[userSide]]="H", Fixtures[[#This Row],[homeScore]], Fixtures[[#This Row],[awayScore]]))</f>
        <v>N/A</v>
      </c>
      <c r="AE958" s="58" t="str">
        <f>IF(ISBLANK(Fixtures[[#This Row],[date]]), "N/A", IF(Fixtures[[#This Row],[userScore]] = Fixtures[[#This Row],[homeScore]], Fixtures[[#This Row],[awayScore]], Fixtures[[#This Row],[homeScore]]))</f>
        <v>N/A</v>
      </c>
      <c r="AF958" s="58" t="b">
        <f>NOT(AND(ISBLANK(Fixtures[[#This Row],[homePens]]), ISBLANK(Fixtures[[#This Row],[awayPens]])))</f>
        <v>0</v>
      </c>
      <c r="AG958" s="58" t="str">
        <f>IF(Fixtures[[#This Row],[penalties]], IF(Fixtures[[#This Row],[userSide]]="H", Fixtures[[#This Row],[homePens]], Fixtures[[#This Row],[awayPens]]), "N/A")</f>
        <v>N/A</v>
      </c>
      <c r="AH958" s="58" t="str">
        <f>IF(Fixtures[[#This Row],[penalties]], IF(Fixtures[[#This Row],[userPens]]=Fixtures[[#This Row],[homePens]],Fixtures[[#This Row],[awayPens]],Fixtures[[#This Row],[homePens]]), "N/A")</f>
        <v>N/A</v>
      </c>
      <c r="AI958" s="58" t="b">
        <f>COUNTBLANK(Fixtures[[#This Row],[G]:[MOTM]]) = 0</f>
        <v>0</v>
      </c>
      <c r="AJ958" s="58" t="str">
        <f>IF(Fixtures[[#This Row],[APP]], Fixtures[[#This Row],[G]]+Fixtures[[#This Row],[A]], "N/A")</f>
        <v>N/A</v>
      </c>
      <c r="AK9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59" spans="1:39" ht="13">
      <c r="A959" s="55"/>
      <c r="B959" s="61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7"/>
      <c r="R959" s="56"/>
      <c r="S959" s="58" t="str" cm="1">
        <f t="array" ref="S959">_xlfn._xlws.FILTER(Competitions[compType], (Fixtures[[#This Row],[competition]] = Competitions[name]), "N/A")</f>
        <v>N/A</v>
      </c>
      <c r="T959" s="58" t="str" cm="1">
        <f t="array" ref="T959">_xlfn._xlws.FILTER(Competitions[exhibition], (Fixtures[[#This Row],[competition]] = Competitions[name]), "N/A")</f>
        <v>N/A</v>
      </c>
      <c r="U959" s="58" t="str" cm="1">
        <f t="array" ref="U959">_xlfn._xlws.FILTER(Competitions[compID], (Fixtures[[#This Row],[competition]] = Competitions[name]), "N/A")</f>
        <v>N/A</v>
      </c>
      <c r="V9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59" s="58" t="str" cm="1">
        <f t="array" ref="W9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59" s="58" t="str" cm="1">
        <f t="array" ref="X959">_xlfn._xlws.FILTER(Teams[name], (Fixtures[[#This Row],[userTeamID]] = Teams[teamID]), "N/A")</f>
        <v>N/A</v>
      </c>
      <c r="Y959" s="58" t="str" cm="1">
        <f t="array" ref="Y959">_xlfn._xlws.FILTER(Teams[teamType], (Fixtures[[#This Row],[userTeamID]] = Teams[teamID]), "N/A")</f>
        <v>N/A</v>
      </c>
      <c r="Z959" s="58" t="str" cm="1">
        <f t="array" ref="Z9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59" s="58" t="str">
        <f>IF(Fixtures[[#This Row],[userSide]] = "N/A", "N/A", IF(Fixtures[[#This Row],[userSide]] = "H", Fixtures[[#This Row],[awayTeam]], Fixtures[[#This Row],[homeTeam]]))</f>
        <v>N/A</v>
      </c>
      <c r="AB959" s="58" t="str" cm="1">
        <f t="array" ref="AB959">_xlfn._xlws.FILTER(Teams[teamID], Fixtures[[#This Row],[oppTeam]] = Teams[name], "N/A")</f>
        <v>N/A</v>
      </c>
      <c r="AC959" s="58" t="str" cm="1">
        <f t="array" ref="AC959">_xlfn._xlws.FILTER(Teams[teamType], Fixtures[[#This Row],[oppTeam]] = Teams[name], "N/A")</f>
        <v>N/A</v>
      </c>
      <c r="AD959" s="58" t="str">
        <f>IF(ISBLANK(Fixtures[[#This Row],[date]]), "N/A", IF(Fixtures[[#This Row],[userSide]]="H", Fixtures[[#This Row],[homeScore]], Fixtures[[#This Row],[awayScore]]))</f>
        <v>N/A</v>
      </c>
      <c r="AE959" s="58" t="str">
        <f>IF(ISBLANK(Fixtures[[#This Row],[date]]), "N/A", IF(Fixtures[[#This Row],[userScore]] = Fixtures[[#This Row],[homeScore]], Fixtures[[#This Row],[awayScore]], Fixtures[[#This Row],[homeScore]]))</f>
        <v>N/A</v>
      </c>
      <c r="AF959" s="58" t="b">
        <f>NOT(AND(ISBLANK(Fixtures[[#This Row],[homePens]]), ISBLANK(Fixtures[[#This Row],[awayPens]])))</f>
        <v>0</v>
      </c>
      <c r="AG959" s="58" t="str">
        <f>IF(Fixtures[[#This Row],[penalties]], IF(Fixtures[[#This Row],[userSide]]="H", Fixtures[[#This Row],[homePens]], Fixtures[[#This Row],[awayPens]]), "N/A")</f>
        <v>N/A</v>
      </c>
      <c r="AH959" s="58" t="str">
        <f>IF(Fixtures[[#This Row],[penalties]], IF(Fixtures[[#This Row],[userPens]]=Fixtures[[#This Row],[homePens]],Fixtures[[#This Row],[awayPens]],Fixtures[[#This Row],[homePens]]), "N/A")</f>
        <v>N/A</v>
      </c>
      <c r="AI959" s="58" t="b">
        <f>COUNTBLANK(Fixtures[[#This Row],[G]:[MOTM]]) = 0</f>
        <v>0</v>
      </c>
      <c r="AJ959" s="58" t="str">
        <f>IF(Fixtures[[#This Row],[APP]], Fixtures[[#This Row],[G]]+Fixtures[[#This Row],[A]], "N/A")</f>
        <v>N/A</v>
      </c>
      <c r="AK9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0" spans="1:39" ht="13">
      <c r="A960" s="55"/>
      <c r="B960" s="61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7"/>
      <c r="R960" s="56"/>
      <c r="S960" s="58" t="str" cm="1">
        <f t="array" ref="S960">_xlfn._xlws.FILTER(Competitions[compType], (Fixtures[[#This Row],[competition]] = Competitions[name]), "N/A")</f>
        <v>N/A</v>
      </c>
      <c r="T960" s="58" t="str" cm="1">
        <f t="array" ref="T960">_xlfn._xlws.FILTER(Competitions[exhibition], (Fixtures[[#This Row],[competition]] = Competitions[name]), "N/A")</f>
        <v>N/A</v>
      </c>
      <c r="U960" s="58" t="str" cm="1">
        <f t="array" ref="U960">_xlfn._xlws.FILTER(Competitions[compID], (Fixtures[[#This Row],[competition]] = Competitions[name]), "N/A")</f>
        <v>N/A</v>
      </c>
      <c r="V9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0" s="58" t="str" cm="1">
        <f t="array" ref="W9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0" s="58" t="str" cm="1">
        <f t="array" ref="X960">_xlfn._xlws.FILTER(Teams[name], (Fixtures[[#This Row],[userTeamID]] = Teams[teamID]), "N/A")</f>
        <v>N/A</v>
      </c>
      <c r="Y960" s="58" t="str" cm="1">
        <f t="array" ref="Y960">_xlfn._xlws.FILTER(Teams[teamType], (Fixtures[[#This Row],[userTeamID]] = Teams[teamID]), "N/A")</f>
        <v>N/A</v>
      </c>
      <c r="Z960" s="58" t="str" cm="1">
        <f t="array" ref="Z9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0" s="58" t="str">
        <f>IF(Fixtures[[#This Row],[userSide]] = "N/A", "N/A", IF(Fixtures[[#This Row],[userSide]] = "H", Fixtures[[#This Row],[awayTeam]], Fixtures[[#This Row],[homeTeam]]))</f>
        <v>N/A</v>
      </c>
      <c r="AB960" s="58" t="str" cm="1">
        <f t="array" ref="AB960">_xlfn._xlws.FILTER(Teams[teamID], Fixtures[[#This Row],[oppTeam]] = Teams[name], "N/A")</f>
        <v>N/A</v>
      </c>
      <c r="AC960" s="58" t="str" cm="1">
        <f t="array" ref="AC960">_xlfn._xlws.FILTER(Teams[teamType], Fixtures[[#This Row],[oppTeam]] = Teams[name], "N/A")</f>
        <v>N/A</v>
      </c>
      <c r="AD960" s="58" t="str">
        <f>IF(ISBLANK(Fixtures[[#This Row],[date]]), "N/A", IF(Fixtures[[#This Row],[userSide]]="H", Fixtures[[#This Row],[homeScore]], Fixtures[[#This Row],[awayScore]]))</f>
        <v>N/A</v>
      </c>
      <c r="AE960" s="58" t="str">
        <f>IF(ISBLANK(Fixtures[[#This Row],[date]]), "N/A", IF(Fixtures[[#This Row],[userScore]] = Fixtures[[#This Row],[homeScore]], Fixtures[[#This Row],[awayScore]], Fixtures[[#This Row],[homeScore]]))</f>
        <v>N/A</v>
      </c>
      <c r="AF960" s="58" t="b">
        <f>NOT(AND(ISBLANK(Fixtures[[#This Row],[homePens]]), ISBLANK(Fixtures[[#This Row],[awayPens]])))</f>
        <v>0</v>
      </c>
      <c r="AG960" s="58" t="str">
        <f>IF(Fixtures[[#This Row],[penalties]], IF(Fixtures[[#This Row],[userSide]]="H", Fixtures[[#This Row],[homePens]], Fixtures[[#This Row],[awayPens]]), "N/A")</f>
        <v>N/A</v>
      </c>
      <c r="AH960" s="58" t="str">
        <f>IF(Fixtures[[#This Row],[penalties]], IF(Fixtures[[#This Row],[userPens]]=Fixtures[[#This Row],[homePens]],Fixtures[[#This Row],[awayPens]],Fixtures[[#This Row],[homePens]]), "N/A")</f>
        <v>N/A</v>
      </c>
      <c r="AI960" s="58" t="b">
        <f>COUNTBLANK(Fixtures[[#This Row],[G]:[MOTM]]) = 0</f>
        <v>0</v>
      </c>
      <c r="AJ960" s="58" t="str">
        <f>IF(Fixtures[[#This Row],[APP]], Fixtures[[#This Row],[G]]+Fixtures[[#This Row],[A]], "N/A")</f>
        <v>N/A</v>
      </c>
      <c r="AK9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1" spans="1:39" ht="13">
      <c r="A961" s="55"/>
      <c r="B961" s="61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7"/>
      <c r="R961" s="56"/>
      <c r="S961" s="58" t="str" cm="1">
        <f t="array" ref="S961">_xlfn._xlws.FILTER(Competitions[compType], (Fixtures[[#This Row],[competition]] = Competitions[name]), "N/A")</f>
        <v>N/A</v>
      </c>
      <c r="T961" s="58" t="str" cm="1">
        <f t="array" ref="T961">_xlfn._xlws.FILTER(Competitions[exhibition], (Fixtures[[#This Row],[competition]] = Competitions[name]), "N/A")</f>
        <v>N/A</v>
      </c>
      <c r="U961" s="58" t="str" cm="1">
        <f t="array" ref="U961">_xlfn._xlws.FILTER(Competitions[compID], (Fixtures[[#This Row],[competition]] = Competitions[name]), "N/A")</f>
        <v>N/A</v>
      </c>
      <c r="V9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1" s="58" t="str" cm="1">
        <f t="array" ref="W9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1" s="58" t="str" cm="1">
        <f t="array" ref="X961">_xlfn._xlws.FILTER(Teams[name], (Fixtures[[#This Row],[userTeamID]] = Teams[teamID]), "N/A")</f>
        <v>N/A</v>
      </c>
      <c r="Y961" s="58" t="str" cm="1">
        <f t="array" ref="Y961">_xlfn._xlws.FILTER(Teams[teamType], (Fixtures[[#This Row],[userTeamID]] = Teams[teamID]), "N/A")</f>
        <v>N/A</v>
      </c>
      <c r="Z961" s="58" t="str" cm="1">
        <f t="array" ref="Z9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1" s="58" t="str">
        <f>IF(Fixtures[[#This Row],[userSide]] = "N/A", "N/A", IF(Fixtures[[#This Row],[userSide]] = "H", Fixtures[[#This Row],[awayTeam]], Fixtures[[#This Row],[homeTeam]]))</f>
        <v>N/A</v>
      </c>
      <c r="AB961" s="58" t="str" cm="1">
        <f t="array" ref="AB961">_xlfn._xlws.FILTER(Teams[teamID], Fixtures[[#This Row],[oppTeam]] = Teams[name], "N/A")</f>
        <v>N/A</v>
      </c>
      <c r="AC961" s="58" t="str" cm="1">
        <f t="array" ref="AC961">_xlfn._xlws.FILTER(Teams[teamType], Fixtures[[#This Row],[oppTeam]] = Teams[name], "N/A")</f>
        <v>N/A</v>
      </c>
      <c r="AD961" s="58" t="str">
        <f>IF(ISBLANK(Fixtures[[#This Row],[date]]), "N/A", IF(Fixtures[[#This Row],[userSide]]="H", Fixtures[[#This Row],[homeScore]], Fixtures[[#This Row],[awayScore]]))</f>
        <v>N/A</v>
      </c>
      <c r="AE961" s="58" t="str">
        <f>IF(ISBLANK(Fixtures[[#This Row],[date]]), "N/A", IF(Fixtures[[#This Row],[userScore]] = Fixtures[[#This Row],[homeScore]], Fixtures[[#This Row],[awayScore]], Fixtures[[#This Row],[homeScore]]))</f>
        <v>N/A</v>
      </c>
      <c r="AF961" s="58" t="b">
        <f>NOT(AND(ISBLANK(Fixtures[[#This Row],[homePens]]), ISBLANK(Fixtures[[#This Row],[awayPens]])))</f>
        <v>0</v>
      </c>
      <c r="AG961" s="58" t="str">
        <f>IF(Fixtures[[#This Row],[penalties]], IF(Fixtures[[#This Row],[userSide]]="H", Fixtures[[#This Row],[homePens]], Fixtures[[#This Row],[awayPens]]), "N/A")</f>
        <v>N/A</v>
      </c>
      <c r="AH961" s="58" t="str">
        <f>IF(Fixtures[[#This Row],[penalties]], IF(Fixtures[[#This Row],[userPens]]=Fixtures[[#This Row],[homePens]],Fixtures[[#This Row],[awayPens]],Fixtures[[#This Row],[homePens]]), "N/A")</f>
        <v>N/A</v>
      </c>
      <c r="AI961" s="58" t="b">
        <f>COUNTBLANK(Fixtures[[#This Row],[G]:[MOTM]]) = 0</f>
        <v>0</v>
      </c>
      <c r="AJ961" s="58" t="str">
        <f>IF(Fixtures[[#This Row],[APP]], Fixtures[[#This Row],[G]]+Fixtures[[#This Row],[A]], "N/A")</f>
        <v>N/A</v>
      </c>
      <c r="AK9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2" spans="1:39" ht="13">
      <c r="A962" s="55"/>
      <c r="B962" s="61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7"/>
      <c r="R962" s="56"/>
      <c r="S962" s="58" t="str" cm="1">
        <f t="array" ref="S962">_xlfn._xlws.FILTER(Competitions[compType], (Fixtures[[#This Row],[competition]] = Competitions[name]), "N/A")</f>
        <v>N/A</v>
      </c>
      <c r="T962" s="58" t="str" cm="1">
        <f t="array" ref="T962">_xlfn._xlws.FILTER(Competitions[exhibition], (Fixtures[[#This Row],[competition]] = Competitions[name]), "N/A")</f>
        <v>N/A</v>
      </c>
      <c r="U962" s="58" t="str" cm="1">
        <f t="array" ref="U962">_xlfn._xlws.FILTER(Competitions[compID], (Fixtures[[#This Row],[competition]] = Competitions[name]), "N/A")</f>
        <v>N/A</v>
      </c>
      <c r="V9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2" s="58" t="str" cm="1">
        <f t="array" ref="W9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2" s="58" t="str" cm="1">
        <f t="array" ref="X962">_xlfn._xlws.FILTER(Teams[name], (Fixtures[[#This Row],[userTeamID]] = Teams[teamID]), "N/A")</f>
        <v>N/A</v>
      </c>
      <c r="Y962" s="58" t="str" cm="1">
        <f t="array" ref="Y962">_xlfn._xlws.FILTER(Teams[teamType], (Fixtures[[#This Row],[userTeamID]] = Teams[teamID]), "N/A")</f>
        <v>N/A</v>
      </c>
      <c r="Z962" s="58" t="str" cm="1">
        <f t="array" ref="Z9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2" s="58" t="str">
        <f>IF(Fixtures[[#This Row],[userSide]] = "N/A", "N/A", IF(Fixtures[[#This Row],[userSide]] = "H", Fixtures[[#This Row],[awayTeam]], Fixtures[[#This Row],[homeTeam]]))</f>
        <v>N/A</v>
      </c>
      <c r="AB962" s="58" t="str" cm="1">
        <f t="array" ref="AB962">_xlfn._xlws.FILTER(Teams[teamID], Fixtures[[#This Row],[oppTeam]] = Teams[name], "N/A")</f>
        <v>N/A</v>
      </c>
      <c r="AC962" s="58" t="str" cm="1">
        <f t="array" ref="AC962">_xlfn._xlws.FILTER(Teams[teamType], Fixtures[[#This Row],[oppTeam]] = Teams[name], "N/A")</f>
        <v>N/A</v>
      </c>
      <c r="AD962" s="58" t="str">
        <f>IF(ISBLANK(Fixtures[[#This Row],[date]]), "N/A", IF(Fixtures[[#This Row],[userSide]]="H", Fixtures[[#This Row],[homeScore]], Fixtures[[#This Row],[awayScore]]))</f>
        <v>N/A</v>
      </c>
      <c r="AE962" s="58" t="str">
        <f>IF(ISBLANK(Fixtures[[#This Row],[date]]), "N/A", IF(Fixtures[[#This Row],[userScore]] = Fixtures[[#This Row],[homeScore]], Fixtures[[#This Row],[awayScore]], Fixtures[[#This Row],[homeScore]]))</f>
        <v>N/A</v>
      </c>
      <c r="AF962" s="58" t="b">
        <f>NOT(AND(ISBLANK(Fixtures[[#This Row],[homePens]]), ISBLANK(Fixtures[[#This Row],[awayPens]])))</f>
        <v>0</v>
      </c>
      <c r="AG962" s="58" t="str">
        <f>IF(Fixtures[[#This Row],[penalties]], IF(Fixtures[[#This Row],[userSide]]="H", Fixtures[[#This Row],[homePens]], Fixtures[[#This Row],[awayPens]]), "N/A")</f>
        <v>N/A</v>
      </c>
      <c r="AH962" s="58" t="str">
        <f>IF(Fixtures[[#This Row],[penalties]], IF(Fixtures[[#This Row],[userPens]]=Fixtures[[#This Row],[homePens]],Fixtures[[#This Row],[awayPens]],Fixtures[[#This Row],[homePens]]), "N/A")</f>
        <v>N/A</v>
      </c>
      <c r="AI962" s="58" t="b">
        <f>COUNTBLANK(Fixtures[[#This Row],[G]:[MOTM]]) = 0</f>
        <v>0</v>
      </c>
      <c r="AJ962" s="58" t="str">
        <f>IF(Fixtures[[#This Row],[APP]], Fixtures[[#This Row],[G]]+Fixtures[[#This Row],[A]], "N/A")</f>
        <v>N/A</v>
      </c>
      <c r="AK9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3" spans="1:39" ht="13">
      <c r="A963" s="55"/>
      <c r="B963" s="61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7"/>
      <c r="R963" s="56"/>
      <c r="S963" s="58" t="str" cm="1">
        <f t="array" ref="S963">_xlfn._xlws.FILTER(Competitions[compType], (Fixtures[[#This Row],[competition]] = Competitions[name]), "N/A")</f>
        <v>N/A</v>
      </c>
      <c r="T963" s="58" t="str" cm="1">
        <f t="array" ref="T963">_xlfn._xlws.FILTER(Competitions[exhibition], (Fixtures[[#This Row],[competition]] = Competitions[name]), "N/A")</f>
        <v>N/A</v>
      </c>
      <c r="U963" s="58" t="str" cm="1">
        <f t="array" ref="U963">_xlfn._xlws.FILTER(Competitions[compID], (Fixtures[[#This Row],[competition]] = Competitions[name]), "N/A")</f>
        <v>N/A</v>
      </c>
      <c r="V9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3" s="58" t="str" cm="1">
        <f t="array" ref="W9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3" s="58" t="str" cm="1">
        <f t="array" ref="X963">_xlfn._xlws.FILTER(Teams[name], (Fixtures[[#This Row],[userTeamID]] = Teams[teamID]), "N/A")</f>
        <v>N/A</v>
      </c>
      <c r="Y963" s="58" t="str" cm="1">
        <f t="array" ref="Y963">_xlfn._xlws.FILTER(Teams[teamType], (Fixtures[[#This Row],[userTeamID]] = Teams[teamID]), "N/A")</f>
        <v>N/A</v>
      </c>
      <c r="Z963" s="58" t="str" cm="1">
        <f t="array" ref="Z9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3" s="58" t="str">
        <f>IF(Fixtures[[#This Row],[userSide]] = "N/A", "N/A", IF(Fixtures[[#This Row],[userSide]] = "H", Fixtures[[#This Row],[awayTeam]], Fixtures[[#This Row],[homeTeam]]))</f>
        <v>N/A</v>
      </c>
      <c r="AB963" s="58" t="str" cm="1">
        <f t="array" ref="AB963">_xlfn._xlws.FILTER(Teams[teamID], Fixtures[[#This Row],[oppTeam]] = Teams[name], "N/A")</f>
        <v>N/A</v>
      </c>
      <c r="AC963" s="58" t="str" cm="1">
        <f t="array" ref="AC963">_xlfn._xlws.FILTER(Teams[teamType], Fixtures[[#This Row],[oppTeam]] = Teams[name], "N/A")</f>
        <v>N/A</v>
      </c>
      <c r="AD963" s="58" t="str">
        <f>IF(ISBLANK(Fixtures[[#This Row],[date]]), "N/A", IF(Fixtures[[#This Row],[userSide]]="H", Fixtures[[#This Row],[homeScore]], Fixtures[[#This Row],[awayScore]]))</f>
        <v>N/A</v>
      </c>
      <c r="AE963" s="58" t="str">
        <f>IF(ISBLANK(Fixtures[[#This Row],[date]]), "N/A", IF(Fixtures[[#This Row],[userScore]] = Fixtures[[#This Row],[homeScore]], Fixtures[[#This Row],[awayScore]], Fixtures[[#This Row],[homeScore]]))</f>
        <v>N/A</v>
      </c>
      <c r="AF963" s="58" t="b">
        <f>NOT(AND(ISBLANK(Fixtures[[#This Row],[homePens]]), ISBLANK(Fixtures[[#This Row],[awayPens]])))</f>
        <v>0</v>
      </c>
      <c r="AG963" s="58" t="str">
        <f>IF(Fixtures[[#This Row],[penalties]], IF(Fixtures[[#This Row],[userSide]]="H", Fixtures[[#This Row],[homePens]], Fixtures[[#This Row],[awayPens]]), "N/A")</f>
        <v>N/A</v>
      </c>
      <c r="AH963" s="58" t="str">
        <f>IF(Fixtures[[#This Row],[penalties]], IF(Fixtures[[#This Row],[userPens]]=Fixtures[[#This Row],[homePens]],Fixtures[[#This Row],[awayPens]],Fixtures[[#This Row],[homePens]]), "N/A")</f>
        <v>N/A</v>
      </c>
      <c r="AI963" s="58" t="b">
        <f>COUNTBLANK(Fixtures[[#This Row],[G]:[MOTM]]) = 0</f>
        <v>0</v>
      </c>
      <c r="AJ963" s="58" t="str">
        <f>IF(Fixtures[[#This Row],[APP]], Fixtures[[#This Row],[G]]+Fixtures[[#This Row],[A]], "N/A")</f>
        <v>N/A</v>
      </c>
      <c r="AK9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4" spans="1:39" ht="13">
      <c r="A964" s="55"/>
      <c r="B964" s="61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7"/>
      <c r="R964" s="56"/>
      <c r="S964" s="58" t="str" cm="1">
        <f t="array" ref="S964">_xlfn._xlws.FILTER(Competitions[compType], (Fixtures[[#This Row],[competition]] = Competitions[name]), "N/A")</f>
        <v>N/A</v>
      </c>
      <c r="T964" s="58" t="str" cm="1">
        <f t="array" ref="T964">_xlfn._xlws.FILTER(Competitions[exhibition], (Fixtures[[#This Row],[competition]] = Competitions[name]), "N/A")</f>
        <v>N/A</v>
      </c>
      <c r="U964" s="58" t="str" cm="1">
        <f t="array" ref="U964">_xlfn._xlws.FILTER(Competitions[compID], (Fixtures[[#This Row],[competition]] = Competitions[name]), "N/A")</f>
        <v>N/A</v>
      </c>
      <c r="V9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4" s="58" t="str" cm="1">
        <f t="array" ref="W9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4" s="58" t="str" cm="1">
        <f t="array" ref="X964">_xlfn._xlws.FILTER(Teams[name], (Fixtures[[#This Row],[userTeamID]] = Teams[teamID]), "N/A")</f>
        <v>N/A</v>
      </c>
      <c r="Y964" s="58" t="str" cm="1">
        <f t="array" ref="Y964">_xlfn._xlws.FILTER(Teams[teamType], (Fixtures[[#This Row],[userTeamID]] = Teams[teamID]), "N/A")</f>
        <v>N/A</v>
      </c>
      <c r="Z964" s="58" t="str" cm="1">
        <f t="array" ref="Z9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4" s="58" t="str">
        <f>IF(Fixtures[[#This Row],[userSide]] = "N/A", "N/A", IF(Fixtures[[#This Row],[userSide]] = "H", Fixtures[[#This Row],[awayTeam]], Fixtures[[#This Row],[homeTeam]]))</f>
        <v>N/A</v>
      </c>
      <c r="AB964" s="58" t="str" cm="1">
        <f t="array" ref="AB964">_xlfn._xlws.FILTER(Teams[teamID], Fixtures[[#This Row],[oppTeam]] = Teams[name], "N/A")</f>
        <v>N/A</v>
      </c>
      <c r="AC964" s="58" t="str" cm="1">
        <f t="array" ref="AC964">_xlfn._xlws.FILTER(Teams[teamType], Fixtures[[#This Row],[oppTeam]] = Teams[name], "N/A")</f>
        <v>N/A</v>
      </c>
      <c r="AD964" s="58" t="str">
        <f>IF(ISBLANK(Fixtures[[#This Row],[date]]), "N/A", IF(Fixtures[[#This Row],[userSide]]="H", Fixtures[[#This Row],[homeScore]], Fixtures[[#This Row],[awayScore]]))</f>
        <v>N/A</v>
      </c>
      <c r="AE964" s="58" t="str">
        <f>IF(ISBLANK(Fixtures[[#This Row],[date]]), "N/A", IF(Fixtures[[#This Row],[userScore]] = Fixtures[[#This Row],[homeScore]], Fixtures[[#This Row],[awayScore]], Fixtures[[#This Row],[homeScore]]))</f>
        <v>N/A</v>
      </c>
      <c r="AF964" s="58" t="b">
        <f>NOT(AND(ISBLANK(Fixtures[[#This Row],[homePens]]), ISBLANK(Fixtures[[#This Row],[awayPens]])))</f>
        <v>0</v>
      </c>
      <c r="AG964" s="58" t="str">
        <f>IF(Fixtures[[#This Row],[penalties]], IF(Fixtures[[#This Row],[userSide]]="H", Fixtures[[#This Row],[homePens]], Fixtures[[#This Row],[awayPens]]), "N/A")</f>
        <v>N/A</v>
      </c>
      <c r="AH964" s="58" t="str">
        <f>IF(Fixtures[[#This Row],[penalties]], IF(Fixtures[[#This Row],[userPens]]=Fixtures[[#This Row],[homePens]],Fixtures[[#This Row],[awayPens]],Fixtures[[#This Row],[homePens]]), "N/A")</f>
        <v>N/A</v>
      </c>
      <c r="AI964" s="58" t="b">
        <f>COUNTBLANK(Fixtures[[#This Row],[G]:[MOTM]]) = 0</f>
        <v>0</v>
      </c>
      <c r="AJ964" s="58" t="str">
        <f>IF(Fixtures[[#This Row],[APP]], Fixtures[[#This Row],[G]]+Fixtures[[#This Row],[A]], "N/A")</f>
        <v>N/A</v>
      </c>
      <c r="AK9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5" spans="1:39" ht="13">
      <c r="A965" s="55"/>
      <c r="B965" s="61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7"/>
      <c r="R965" s="56"/>
      <c r="S965" s="58" t="str" cm="1">
        <f t="array" ref="S965">_xlfn._xlws.FILTER(Competitions[compType], (Fixtures[[#This Row],[competition]] = Competitions[name]), "N/A")</f>
        <v>N/A</v>
      </c>
      <c r="T965" s="58" t="str" cm="1">
        <f t="array" ref="T965">_xlfn._xlws.FILTER(Competitions[exhibition], (Fixtures[[#This Row],[competition]] = Competitions[name]), "N/A")</f>
        <v>N/A</v>
      </c>
      <c r="U965" s="58" t="str" cm="1">
        <f t="array" ref="U965">_xlfn._xlws.FILTER(Competitions[compID], (Fixtures[[#This Row],[competition]] = Competitions[name]), "N/A")</f>
        <v>N/A</v>
      </c>
      <c r="V9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5" s="58" t="str" cm="1">
        <f t="array" ref="W9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5" s="58" t="str" cm="1">
        <f t="array" ref="X965">_xlfn._xlws.FILTER(Teams[name], (Fixtures[[#This Row],[userTeamID]] = Teams[teamID]), "N/A")</f>
        <v>N/A</v>
      </c>
      <c r="Y965" s="58" t="str" cm="1">
        <f t="array" ref="Y965">_xlfn._xlws.FILTER(Teams[teamType], (Fixtures[[#This Row],[userTeamID]] = Teams[teamID]), "N/A")</f>
        <v>N/A</v>
      </c>
      <c r="Z965" s="58" t="str" cm="1">
        <f t="array" ref="Z9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5" s="58" t="str">
        <f>IF(Fixtures[[#This Row],[userSide]] = "N/A", "N/A", IF(Fixtures[[#This Row],[userSide]] = "H", Fixtures[[#This Row],[awayTeam]], Fixtures[[#This Row],[homeTeam]]))</f>
        <v>N/A</v>
      </c>
      <c r="AB965" s="58" t="str" cm="1">
        <f t="array" ref="AB965">_xlfn._xlws.FILTER(Teams[teamID], Fixtures[[#This Row],[oppTeam]] = Teams[name], "N/A")</f>
        <v>N/A</v>
      </c>
      <c r="AC965" s="58" t="str" cm="1">
        <f t="array" ref="AC965">_xlfn._xlws.FILTER(Teams[teamType], Fixtures[[#This Row],[oppTeam]] = Teams[name], "N/A")</f>
        <v>N/A</v>
      </c>
      <c r="AD965" s="58" t="str">
        <f>IF(ISBLANK(Fixtures[[#This Row],[date]]), "N/A", IF(Fixtures[[#This Row],[userSide]]="H", Fixtures[[#This Row],[homeScore]], Fixtures[[#This Row],[awayScore]]))</f>
        <v>N/A</v>
      </c>
      <c r="AE965" s="58" t="str">
        <f>IF(ISBLANK(Fixtures[[#This Row],[date]]), "N/A", IF(Fixtures[[#This Row],[userScore]] = Fixtures[[#This Row],[homeScore]], Fixtures[[#This Row],[awayScore]], Fixtures[[#This Row],[homeScore]]))</f>
        <v>N/A</v>
      </c>
      <c r="AF965" s="58" t="b">
        <f>NOT(AND(ISBLANK(Fixtures[[#This Row],[homePens]]), ISBLANK(Fixtures[[#This Row],[awayPens]])))</f>
        <v>0</v>
      </c>
      <c r="AG965" s="58" t="str">
        <f>IF(Fixtures[[#This Row],[penalties]], IF(Fixtures[[#This Row],[userSide]]="H", Fixtures[[#This Row],[homePens]], Fixtures[[#This Row],[awayPens]]), "N/A")</f>
        <v>N/A</v>
      </c>
      <c r="AH965" s="58" t="str">
        <f>IF(Fixtures[[#This Row],[penalties]], IF(Fixtures[[#This Row],[userPens]]=Fixtures[[#This Row],[homePens]],Fixtures[[#This Row],[awayPens]],Fixtures[[#This Row],[homePens]]), "N/A")</f>
        <v>N/A</v>
      </c>
      <c r="AI965" s="58" t="b">
        <f>COUNTBLANK(Fixtures[[#This Row],[G]:[MOTM]]) = 0</f>
        <v>0</v>
      </c>
      <c r="AJ965" s="58" t="str">
        <f>IF(Fixtures[[#This Row],[APP]], Fixtures[[#This Row],[G]]+Fixtures[[#This Row],[A]], "N/A")</f>
        <v>N/A</v>
      </c>
      <c r="AK9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6" spans="1:39" ht="13">
      <c r="A966" s="55"/>
      <c r="B966" s="61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7"/>
      <c r="R966" s="56"/>
      <c r="S966" s="58" t="str" cm="1">
        <f t="array" ref="S966">_xlfn._xlws.FILTER(Competitions[compType], (Fixtures[[#This Row],[competition]] = Competitions[name]), "N/A")</f>
        <v>N/A</v>
      </c>
      <c r="T966" s="58" t="str" cm="1">
        <f t="array" ref="T966">_xlfn._xlws.FILTER(Competitions[exhibition], (Fixtures[[#This Row],[competition]] = Competitions[name]), "N/A")</f>
        <v>N/A</v>
      </c>
      <c r="U966" s="58" t="str" cm="1">
        <f t="array" ref="U966">_xlfn._xlws.FILTER(Competitions[compID], (Fixtures[[#This Row],[competition]] = Competitions[name]), "N/A")</f>
        <v>N/A</v>
      </c>
      <c r="V9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6" s="58" t="str" cm="1">
        <f t="array" ref="W9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6" s="58" t="str" cm="1">
        <f t="array" ref="X966">_xlfn._xlws.FILTER(Teams[name], (Fixtures[[#This Row],[userTeamID]] = Teams[teamID]), "N/A")</f>
        <v>N/A</v>
      </c>
      <c r="Y966" s="58" t="str" cm="1">
        <f t="array" ref="Y966">_xlfn._xlws.FILTER(Teams[teamType], (Fixtures[[#This Row],[userTeamID]] = Teams[teamID]), "N/A")</f>
        <v>N/A</v>
      </c>
      <c r="Z966" s="58" t="str" cm="1">
        <f t="array" ref="Z9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6" s="58" t="str">
        <f>IF(Fixtures[[#This Row],[userSide]] = "N/A", "N/A", IF(Fixtures[[#This Row],[userSide]] = "H", Fixtures[[#This Row],[awayTeam]], Fixtures[[#This Row],[homeTeam]]))</f>
        <v>N/A</v>
      </c>
      <c r="AB966" s="58" t="str" cm="1">
        <f t="array" ref="AB966">_xlfn._xlws.FILTER(Teams[teamID], Fixtures[[#This Row],[oppTeam]] = Teams[name], "N/A")</f>
        <v>N/A</v>
      </c>
      <c r="AC966" s="58" t="str" cm="1">
        <f t="array" ref="AC966">_xlfn._xlws.FILTER(Teams[teamType], Fixtures[[#This Row],[oppTeam]] = Teams[name], "N/A")</f>
        <v>N/A</v>
      </c>
      <c r="AD966" s="58" t="str">
        <f>IF(ISBLANK(Fixtures[[#This Row],[date]]), "N/A", IF(Fixtures[[#This Row],[userSide]]="H", Fixtures[[#This Row],[homeScore]], Fixtures[[#This Row],[awayScore]]))</f>
        <v>N/A</v>
      </c>
      <c r="AE966" s="58" t="str">
        <f>IF(ISBLANK(Fixtures[[#This Row],[date]]), "N/A", IF(Fixtures[[#This Row],[userScore]] = Fixtures[[#This Row],[homeScore]], Fixtures[[#This Row],[awayScore]], Fixtures[[#This Row],[homeScore]]))</f>
        <v>N/A</v>
      </c>
      <c r="AF966" s="58" t="b">
        <f>NOT(AND(ISBLANK(Fixtures[[#This Row],[homePens]]), ISBLANK(Fixtures[[#This Row],[awayPens]])))</f>
        <v>0</v>
      </c>
      <c r="AG966" s="58" t="str">
        <f>IF(Fixtures[[#This Row],[penalties]], IF(Fixtures[[#This Row],[userSide]]="H", Fixtures[[#This Row],[homePens]], Fixtures[[#This Row],[awayPens]]), "N/A")</f>
        <v>N/A</v>
      </c>
      <c r="AH966" s="58" t="str">
        <f>IF(Fixtures[[#This Row],[penalties]], IF(Fixtures[[#This Row],[userPens]]=Fixtures[[#This Row],[homePens]],Fixtures[[#This Row],[awayPens]],Fixtures[[#This Row],[homePens]]), "N/A")</f>
        <v>N/A</v>
      </c>
      <c r="AI966" s="58" t="b">
        <f>COUNTBLANK(Fixtures[[#This Row],[G]:[MOTM]]) = 0</f>
        <v>0</v>
      </c>
      <c r="AJ966" s="58" t="str">
        <f>IF(Fixtures[[#This Row],[APP]], Fixtures[[#This Row],[G]]+Fixtures[[#This Row],[A]], "N/A")</f>
        <v>N/A</v>
      </c>
      <c r="AK9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7" spans="1:39" ht="13">
      <c r="A967" s="55"/>
      <c r="B967" s="61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7"/>
      <c r="R967" s="56"/>
      <c r="S967" s="58" t="str" cm="1">
        <f t="array" ref="S967">_xlfn._xlws.FILTER(Competitions[compType], (Fixtures[[#This Row],[competition]] = Competitions[name]), "N/A")</f>
        <v>N/A</v>
      </c>
      <c r="T967" s="58" t="str" cm="1">
        <f t="array" ref="T967">_xlfn._xlws.FILTER(Competitions[exhibition], (Fixtures[[#This Row],[competition]] = Competitions[name]), "N/A")</f>
        <v>N/A</v>
      </c>
      <c r="U967" s="58" t="str" cm="1">
        <f t="array" ref="U967">_xlfn._xlws.FILTER(Competitions[compID], (Fixtures[[#This Row],[competition]] = Competitions[name]), "N/A")</f>
        <v>N/A</v>
      </c>
      <c r="V9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7" s="58" t="str" cm="1">
        <f t="array" ref="W9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7" s="58" t="str" cm="1">
        <f t="array" ref="X967">_xlfn._xlws.FILTER(Teams[name], (Fixtures[[#This Row],[userTeamID]] = Teams[teamID]), "N/A")</f>
        <v>N/A</v>
      </c>
      <c r="Y967" s="58" t="str" cm="1">
        <f t="array" ref="Y967">_xlfn._xlws.FILTER(Teams[teamType], (Fixtures[[#This Row],[userTeamID]] = Teams[teamID]), "N/A")</f>
        <v>N/A</v>
      </c>
      <c r="Z967" s="58" t="str" cm="1">
        <f t="array" ref="Z9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7" s="58" t="str">
        <f>IF(Fixtures[[#This Row],[userSide]] = "N/A", "N/A", IF(Fixtures[[#This Row],[userSide]] = "H", Fixtures[[#This Row],[awayTeam]], Fixtures[[#This Row],[homeTeam]]))</f>
        <v>N/A</v>
      </c>
      <c r="AB967" s="58" t="str" cm="1">
        <f t="array" ref="AB967">_xlfn._xlws.FILTER(Teams[teamID], Fixtures[[#This Row],[oppTeam]] = Teams[name], "N/A")</f>
        <v>N/A</v>
      </c>
      <c r="AC967" s="58" t="str" cm="1">
        <f t="array" ref="AC967">_xlfn._xlws.FILTER(Teams[teamType], Fixtures[[#This Row],[oppTeam]] = Teams[name], "N/A")</f>
        <v>N/A</v>
      </c>
      <c r="AD967" s="58" t="str">
        <f>IF(ISBLANK(Fixtures[[#This Row],[date]]), "N/A", IF(Fixtures[[#This Row],[userSide]]="H", Fixtures[[#This Row],[homeScore]], Fixtures[[#This Row],[awayScore]]))</f>
        <v>N/A</v>
      </c>
      <c r="AE967" s="58" t="str">
        <f>IF(ISBLANK(Fixtures[[#This Row],[date]]), "N/A", IF(Fixtures[[#This Row],[userScore]] = Fixtures[[#This Row],[homeScore]], Fixtures[[#This Row],[awayScore]], Fixtures[[#This Row],[homeScore]]))</f>
        <v>N/A</v>
      </c>
      <c r="AF967" s="58" t="b">
        <f>NOT(AND(ISBLANK(Fixtures[[#This Row],[homePens]]), ISBLANK(Fixtures[[#This Row],[awayPens]])))</f>
        <v>0</v>
      </c>
      <c r="AG967" s="58" t="str">
        <f>IF(Fixtures[[#This Row],[penalties]], IF(Fixtures[[#This Row],[userSide]]="H", Fixtures[[#This Row],[homePens]], Fixtures[[#This Row],[awayPens]]), "N/A")</f>
        <v>N/A</v>
      </c>
      <c r="AH967" s="58" t="str">
        <f>IF(Fixtures[[#This Row],[penalties]], IF(Fixtures[[#This Row],[userPens]]=Fixtures[[#This Row],[homePens]],Fixtures[[#This Row],[awayPens]],Fixtures[[#This Row],[homePens]]), "N/A")</f>
        <v>N/A</v>
      </c>
      <c r="AI967" s="58" t="b">
        <f>COUNTBLANK(Fixtures[[#This Row],[G]:[MOTM]]) = 0</f>
        <v>0</v>
      </c>
      <c r="AJ967" s="58" t="str">
        <f>IF(Fixtures[[#This Row],[APP]], Fixtures[[#This Row],[G]]+Fixtures[[#This Row],[A]], "N/A")</f>
        <v>N/A</v>
      </c>
      <c r="AK9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8" spans="1:39" ht="13">
      <c r="A968" s="55"/>
      <c r="B968" s="61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7"/>
      <c r="R968" s="56"/>
      <c r="S968" s="58" t="str" cm="1">
        <f t="array" ref="S968">_xlfn._xlws.FILTER(Competitions[compType], (Fixtures[[#This Row],[competition]] = Competitions[name]), "N/A")</f>
        <v>N/A</v>
      </c>
      <c r="T968" s="58" t="str" cm="1">
        <f t="array" ref="T968">_xlfn._xlws.FILTER(Competitions[exhibition], (Fixtures[[#This Row],[competition]] = Competitions[name]), "N/A")</f>
        <v>N/A</v>
      </c>
      <c r="U968" s="58" t="str" cm="1">
        <f t="array" ref="U968">_xlfn._xlws.FILTER(Competitions[compID], (Fixtures[[#This Row],[competition]] = Competitions[name]), "N/A")</f>
        <v>N/A</v>
      </c>
      <c r="V9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8" s="58" t="str" cm="1">
        <f t="array" ref="W9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8" s="58" t="str" cm="1">
        <f t="array" ref="X968">_xlfn._xlws.FILTER(Teams[name], (Fixtures[[#This Row],[userTeamID]] = Teams[teamID]), "N/A")</f>
        <v>N/A</v>
      </c>
      <c r="Y968" s="58" t="str" cm="1">
        <f t="array" ref="Y968">_xlfn._xlws.FILTER(Teams[teamType], (Fixtures[[#This Row],[userTeamID]] = Teams[teamID]), "N/A")</f>
        <v>N/A</v>
      </c>
      <c r="Z968" s="58" t="str" cm="1">
        <f t="array" ref="Z9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8" s="58" t="str">
        <f>IF(Fixtures[[#This Row],[userSide]] = "N/A", "N/A", IF(Fixtures[[#This Row],[userSide]] = "H", Fixtures[[#This Row],[awayTeam]], Fixtures[[#This Row],[homeTeam]]))</f>
        <v>N/A</v>
      </c>
      <c r="AB968" s="58" t="str" cm="1">
        <f t="array" ref="AB968">_xlfn._xlws.FILTER(Teams[teamID], Fixtures[[#This Row],[oppTeam]] = Teams[name], "N/A")</f>
        <v>N/A</v>
      </c>
      <c r="AC968" s="58" t="str" cm="1">
        <f t="array" ref="AC968">_xlfn._xlws.FILTER(Teams[teamType], Fixtures[[#This Row],[oppTeam]] = Teams[name], "N/A")</f>
        <v>N/A</v>
      </c>
      <c r="AD968" s="58" t="str">
        <f>IF(ISBLANK(Fixtures[[#This Row],[date]]), "N/A", IF(Fixtures[[#This Row],[userSide]]="H", Fixtures[[#This Row],[homeScore]], Fixtures[[#This Row],[awayScore]]))</f>
        <v>N/A</v>
      </c>
      <c r="AE968" s="58" t="str">
        <f>IF(ISBLANK(Fixtures[[#This Row],[date]]), "N/A", IF(Fixtures[[#This Row],[userScore]] = Fixtures[[#This Row],[homeScore]], Fixtures[[#This Row],[awayScore]], Fixtures[[#This Row],[homeScore]]))</f>
        <v>N/A</v>
      </c>
      <c r="AF968" s="58" t="b">
        <f>NOT(AND(ISBLANK(Fixtures[[#This Row],[homePens]]), ISBLANK(Fixtures[[#This Row],[awayPens]])))</f>
        <v>0</v>
      </c>
      <c r="AG968" s="58" t="str">
        <f>IF(Fixtures[[#This Row],[penalties]], IF(Fixtures[[#This Row],[userSide]]="H", Fixtures[[#This Row],[homePens]], Fixtures[[#This Row],[awayPens]]), "N/A")</f>
        <v>N/A</v>
      </c>
      <c r="AH968" s="58" t="str">
        <f>IF(Fixtures[[#This Row],[penalties]], IF(Fixtures[[#This Row],[userPens]]=Fixtures[[#This Row],[homePens]],Fixtures[[#This Row],[awayPens]],Fixtures[[#This Row],[homePens]]), "N/A")</f>
        <v>N/A</v>
      </c>
      <c r="AI968" s="58" t="b">
        <f>COUNTBLANK(Fixtures[[#This Row],[G]:[MOTM]]) = 0</f>
        <v>0</v>
      </c>
      <c r="AJ968" s="58" t="str">
        <f>IF(Fixtures[[#This Row],[APP]], Fixtures[[#This Row],[G]]+Fixtures[[#This Row],[A]], "N/A")</f>
        <v>N/A</v>
      </c>
      <c r="AK9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69" spans="1:39" ht="13">
      <c r="A969" s="55"/>
      <c r="B969" s="61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7"/>
      <c r="R969" s="56"/>
      <c r="S969" s="58" t="str" cm="1">
        <f t="array" ref="S969">_xlfn._xlws.FILTER(Competitions[compType], (Fixtures[[#This Row],[competition]] = Competitions[name]), "N/A")</f>
        <v>N/A</v>
      </c>
      <c r="T969" s="58" t="str" cm="1">
        <f t="array" ref="T969">_xlfn._xlws.FILTER(Competitions[exhibition], (Fixtures[[#This Row],[competition]] = Competitions[name]), "N/A")</f>
        <v>N/A</v>
      </c>
      <c r="U969" s="58" t="str" cm="1">
        <f t="array" ref="U969">_xlfn._xlws.FILTER(Competitions[compID], (Fixtures[[#This Row],[competition]] = Competitions[name]), "N/A")</f>
        <v>N/A</v>
      </c>
      <c r="V9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69" s="58" t="str" cm="1">
        <f t="array" ref="W9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69" s="58" t="str" cm="1">
        <f t="array" ref="X969">_xlfn._xlws.FILTER(Teams[name], (Fixtures[[#This Row],[userTeamID]] = Teams[teamID]), "N/A")</f>
        <v>N/A</v>
      </c>
      <c r="Y969" s="58" t="str" cm="1">
        <f t="array" ref="Y969">_xlfn._xlws.FILTER(Teams[teamType], (Fixtures[[#This Row],[userTeamID]] = Teams[teamID]), "N/A")</f>
        <v>N/A</v>
      </c>
      <c r="Z969" s="58" t="str" cm="1">
        <f t="array" ref="Z9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69" s="58" t="str">
        <f>IF(Fixtures[[#This Row],[userSide]] = "N/A", "N/A", IF(Fixtures[[#This Row],[userSide]] = "H", Fixtures[[#This Row],[awayTeam]], Fixtures[[#This Row],[homeTeam]]))</f>
        <v>N/A</v>
      </c>
      <c r="AB969" s="58" t="str" cm="1">
        <f t="array" ref="AB969">_xlfn._xlws.FILTER(Teams[teamID], Fixtures[[#This Row],[oppTeam]] = Teams[name], "N/A")</f>
        <v>N/A</v>
      </c>
      <c r="AC969" s="58" t="str" cm="1">
        <f t="array" ref="AC969">_xlfn._xlws.FILTER(Teams[teamType], Fixtures[[#This Row],[oppTeam]] = Teams[name], "N/A")</f>
        <v>N/A</v>
      </c>
      <c r="AD969" s="58" t="str">
        <f>IF(ISBLANK(Fixtures[[#This Row],[date]]), "N/A", IF(Fixtures[[#This Row],[userSide]]="H", Fixtures[[#This Row],[homeScore]], Fixtures[[#This Row],[awayScore]]))</f>
        <v>N/A</v>
      </c>
      <c r="AE969" s="58" t="str">
        <f>IF(ISBLANK(Fixtures[[#This Row],[date]]), "N/A", IF(Fixtures[[#This Row],[userScore]] = Fixtures[[#This Row],[homeScore]], Fixtures[[#This Row],[awayScore]], Fixtures[[#This Row],[homeScore]]))</f>
        <v>N/A</v>
      </c>
      <c r="AF969" s="58" t="b">
        <f>NOT(AND(ISBLANK(Fixtures[[#This Row],[homePens]]), ISBLANK(Fixtures[[#This Row],[awayPens]])))</f>
        <v>0</v>
      </c>
      <c r="AG969" s="58" t="str">
        <f>IF(Fixtures[[#This Row],[penalties]], IF(Fixtures[[#This Row],[userSide]]="H", Fixtures[[#This Row],[homePens]], Fixtures[[#This Row],[awayPens]]), "N/A")</f>
        <v>N/A</v>
      </c>
      <c r="AH969" s="58" t="str">
        <f>IF(Fixtures[[#This Row],[penalties]], IF(Fixtures[[#This Row],[userPens]]=Fixtures[[#This Row],[homePens]],Fixtures[[#This Row],[awayPens]],Fixtures[[#This Row],[homePens]]), "N/A")</f>
        <v>N/A</v>
      </c>
      <c r="AI969" s="58" t="b">
        <f>COUNTBLANK(Fixtures[[#This Row],[G]:[MOTM]]) = 0</f>
        <v>0</v>
      </c>
      <c r="AJ969" s="58" t="str">
        <f>IF(Fixtures[[#This Row],[APP]], Fixtures[[#This Row],[G]]+Fixtures[[#This Row],[A]], "N/A")</f>
        <v>N/A</v>
      </c>
      <c r="AK9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0" spans="1:39" ht="13">
      <c r="A970" s="55"/>
      <c r="B970" s="61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7"/>
      <c r="R970" s="56"/>
      <c r="S970" s="58" t="str" cm="1">
        <f t="array" ref="S970">_xlfn._xlws.FILTER(Competitions[compType], (Fixtures[[#This Row],[competition]] = Competitions[name]), "N/A")</f>
        <v>N/A</v>
      </c>
      <c r="T970" s="58" t="str" cm="1">
        <f t="array" ref="T970">_xlfn._xlws.FILTER(Competitions[exhibition], (Fixtures[[#This Row],[competition]] = Competitions[name]), "N/A")</f>
        <v>N/A</v>
      </c>
      <c r="U970" s="58" t="str" cm="1">
        <f t="array" ref="U970">_xlfn._xlws.FILTER(Competitions[compID], (Fixtures[[#This Row],[competition]] = Competitions[name]), "N/A")</f>
        <v>N/A</v>
      </c>
      <c r="V9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0" s="58" t="str" cm="1">
        <f t="array" ref="W9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0" s="58" t="str" cm="1">
        <f t="array" ref="X970">_xlfn._xlws.FILTER(Teams[name], (Fixtures[[#This Row],[userTeamID]] = Teams[teamID]), "N/A")</f>
        <v>N/A</v>
      </c>
      <c r="Y970" s="58" t="str" cm="1">
        <f t="array" ref="Y970">_xlfn._xlws.FILTER(Teams[teamType], (Fixtures[[#This Row],[userTeamID]] = Teams[teamID]), "N/A")</f>
        <v>N/A</v>
      </c>
      <c r="Z970" s="58" t="str" cm="1">
        <f t="array" ref="Z9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0" s="58" t="str">
        <f>IF(Fixtures[[#This Row],[userSide]] = "N/A", "N/A", IF(Fixtures[[#This Row],[userSide]] = "H", Fixtures[[#This Row],[awayTeam]], Fixtures[[#This Row],[homeTeam]]))</f>
        <v>N/A</v>
      </c>
      <c r="AB970" s="58" t="str" cm="1">
        <f t="array" ref="AB970">_xlfn._xlws.FILTER(Teams[teamID], Fixtures[[#This Row],[oppTeam]] = Teams[name], "N/A")</f>
        <v>N/A</v>
      </c>
      <c r="AC970" s="58" t="str" cm="1">
        <f t="array" ref="AC970">_xlfn._xlws.FILTER(Teams[teamType], Fixtures[[#This Row],[oppTeam]] = Teams[name], "N/A")</f>
        <v>N/A</v>
      </c>
      <c r="AD970" s="58" t="str">
        <f>IF(ISBLANK(Fixtures[[#This Row],[date]]), "N/A", IF(Fixtures[[#This Row],[userSide]]="H", Fixtures[[#This Row],[homeScore]], Fixtures[[#This Row],[awayScore]]))</f>
        <v>N/A</v>
      </c>
      <c r="AE970" s="58" t="str">
        <f>IF(ISBLANK(Fixtures[[#This Row],[date]]), "N/A", IF(Fixtures[[#This Row],[userScore]] = Fixtures[[#This Row],[homeScore]], Fixtures[[#This Row],[awayScore]], Fixtures[[#This Row],[homeScore]]))</f>
        <v>N/A</v>
      </c>
      <c r="AF970" s="58" t="b">
        <f>NOT(AND(ISBLANK(Fixtures[[#This Row],[homePens]]), ISBLANK(Fixtures[[#This Row],[awayPens]])))</f>
        <v>0</v>
      </c>
      <c r="AG970" s="58" t="str">
        <f>IF(Fixtures[[#This Row],[penalties]], IF(Fixtures[[#This Row],[userSide]]="H", Fixtures[[#This Row],[homePens]], Fixtures[[#This Row],[awayPens]]), "N/A")</f>
        <v>N/A</v>
      </c>
      <c r="AH970" s="58" t="str">
        <f>IF(Fixtures[[#This Row],[penalties]], IF(Fixtures[[#This Row],[userPens]]=Fixtures[[#This Row],[homePens]],Fixtures[[#This Row],[awayPens]],Fixtures[[#This Row],[homePens]]), "N/A")</f>
        <v>N/A</v>
      </c>
      <c r="AI970" s="58" t="b">
        <f>COUNTBLANK(Fixtures[[#This Row],[G]:[MOTM]]) = 0</f>
        <v>0</v>
      </c>
      <c r="AJ970" s="58" t="str">
        <f>IF(Fixtures[[#This Row],[APP]], Fixtures[[#This Row],[G]]+Fixtures[[#This Row],[A]], "N/A")</f>
        <v>N/A</v>
      </c>
      <c r="AK9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1" spans="1:39" ht="13">
      <c r="A971" s="55"/>
      <c r="B971" s="61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7"/>
      <c r="R971" s="56"/>
      <c r="S971" s="58" t="str" cm="1">
        <f t="array" ref="S971">_xlfn._xlws.FILTER(Competitions[compType], (Fixtures[[#This Row],[competition]] = Competitions[name]), "N/A")</f>
        <v>N/A</v>
      </c>
      <c r="T971" s="58" t="str" cm="1">
        <f t="array" ref="T971">_xlfn._xlws.FILTER(Competitions[exhibition], (Fixtures[[#This Row],[competition]] = Competitions[name]), "N/A")</f>
        <v>N/A</v>
      </c>
      <c r="U971" s="58" t="str" cm="1">
        <f t="array" ref="U971">_xlfn._xlws.FILTER(Competitions[compID], (Fixtures[[#This Row],[competition]] = Competitions[name]), "N/A")</f>
        <v>N/A</v>
      </c>
      <c r="V9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1" s="58" t="str" cm="1">
        <f t="array" ref="W9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1" s="58" t="str" cm="1">
        <f t="array" ref="X971">_xlfn._xlws.FILTER(Teams[name], (Fixtures[[#This Row],[userTeamID]] = Teams[teamID]), "N/A")</f>
        <v>N/A</v>
      </c>
      <c r="Y971" s="58" t="str" cm="1">
        <f t="array" ref="Y971">_xlfn._xlws.FILTER(Teams[teamType], (Fixtures[[#This Row],[userTeamID]] = Teams[teamID]), "N/A")</f>
        <v>N/A</v>
      </c>
      <c r="Z971" s="58" t="str" cm="1">
        <f t="array" ref="Z9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1" s="58" t="str">
        <f>IF(Fixtures[[#This Row],[userSide]] = "N/A", "N/A", IF(Fixtures[[#This Row],[userSide]] = "H", Fixtures[[#This Row],[awayTeam]], Fixtures[[#This Row],[homeTeam]]))</f>
        <v>N/A</v>
      </c>
      <c r="AB971" s="58" t="str" cm="1">
        <f t="array" ref="AB971">_xlfn._xlws.FILTER(Teams[teamID], Fixtures[[#This Row],[oppTeam]] = Teams[name], "N/A")</f>
        <v>N/A</v>
      </c>
      <c r="AC971" s="58" t="str" cm="1">
        <f t="array" ref="AC971">_xlfn._xlws.FILTER(Teams[teamType], Fixtures[[#This Row],[oppTeam]] = Teams[name], "N/A")</f>
        <v>N/A</v>
      </c>
      <c r="AD971" s="58" t="str">
        <f>IF(ISBLANK(Fixtures[[#This Row],[date]]), "N/A", IF(Fixtures[[#This Row],[userSide]]="H", Fixtures[[#This Row],[homeScore]], Fixtures[[#This Row],[awayScore]]))</f>
        <v>N/A</v>
      </c>
      <c r="AE971" s="58" t="str">
        <f>IF(ISBLANK(Fixtures[[#This Row],[date]]), "N/A", IF(Fixtures[[#This Row],[userScore]] = Fixtures[[#This Row],[homeScore]], Fixtures[[#This Row],[awayScore]], Fixtures[[#This Row],[homeScore]]))</f>
        <v>N/A</v>
      </c>
      <c r="AF971" s="58" t="b">
        <f>NOT(AND(ISBLANK(Fixtures[[#This Row],[homePens]]), ISBLANK(Fixtures[[#This Row],[awayPens]])))</f>
        <v>0</v>
      </c>
      <c r="AG971" s="58" t="str">
        <f>IF(Fixtures[[#This Row],[penalties]], IF(Fixtures[[#This Row],[userSide]]="H", Fixtures[[#This Row],[homePens]], Fixtures[[#This Row],[awayPens]]), "N/A")</f>
        <v>N/A</v>
      </c>
      <c r="AH971" s="58" t="str">
        <f>IF(Fixtures[[#This Row],[penalties]], IF(Fixtures[[#This Row],[userPens]]=Fixtures[[#This Row],[homePens]],Fixtures[[#This Row],[awayPens]],Fixtures[[#This Row],[homePens]]), "N/A")</f>
        <v>N/A</v>
      </c>
      <c r="AI971" s="58" t="b">
        <f>COUNTBLANK(Fixtures[[#This Row],[G]:[MOTM]]) = 0</f>
        <v>0</v>
      </c>
      <c r="AJ971" s="58" t="str">
        <f>IF(Fixtures[[#This Row],[APP]], Fixtures[[#This Row],[G]]+Fixtures[[#This Row],[A]], "N/A")</f>
        <v>N/A</v>
      </c>
      <c r="AK9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2" spans="1:39" ht="13">
      <c r="A972" s="55"/>
      <c r="B972" s="61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7"/>
      <c r="R972" s="56"/>
      <c r="S972" s="58" t="str" cm="1">
        <f t="array" ref="S972">_xlfn._xlws.FILTER(Competitions[compType], (Fixtures[[#This Row],[competition]] = Competitions[name]), "N/A")</f>
        <v>N/A</v>
      </c>
      <c r="T972" s="58" t="str" cm="1">
        <f t="array" ref="T972">_xlfn._xlws.FILTER(Competitions[exhibition], (Fixtures[[#This Row],[competition]] = Competitions[name]), "N/A")</f>
        <v>N/A</v>
      </c>
      <c r="U972" s="58" t="str" cm="1">
        <f t="array" ref="U972">_xlfn._xlws.FILTER(Competitions[compID], (Fixtures[[#This Row],[competition]] = Competitions[name]), "N/A")</f>
        <v>N/A</v>
      </c>
      <c r="V9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2" s="58" t="str" cm="1">
        <f t="array" ref="W9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2" s="58" t="str" cm="1">
        <f t="array" ref="X972">_xlfn._xlws.FILTER(Teams[name], (Fixtures[[#This Row],[userTeamID]] = Teams[teamID]), "N/A")</f>
        <v>N/A</v>
      </c>
      <c r="Y972" s="58" t="str" cm="1">
        <f t="array" ref="Y972">_xlfn._xlws.FILTER(Teams[teamType], (Fixtures[[#This Row],[userTeamID]] = Teams[teamID]), "N/A")</f>
        <v>N/A</v>
      </c>
      <c r="Z972" s="58" t="str" cm="1">
        <f t="array" ref="Z9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2" s="58" t="str">
        <f>IF(Fixtures[[#This Row],[userSide]] = "N/A", "N/A", IF(Fixtures[[#This Row],[userSide]] = "H", Fixtures[[#This Row],[awayTeam]], Fixtures[[#This Row],[homeTeam]]))</f>
        <v>N/A</v>
      </c>
      <c r="AB972" s="58" t="str" cm="1">
        <f t="array" ref="AB972">_xlfn._xlws.FILTER(Teams[teamID], Fixtures[[#This Row],[oppTeam]] = Teams[name], "N/A")</f>
        <v>N/A</v>
      </c>
      <c r="AC972" s="58" t="str" cm="1">
        <f t="array" ref="AC972">_xlfn._xlws.FILTER(Teams[teamType], Fixtures[[#This Row],[oppTeam]] = Teams[name], "N/A")</f>
        <v>N/A</v>
      </c>
      <c r="AD972" s="58" t="str">
        <f>IF(ISBLANK(Fixtures[[#This Row],[date]]), "N/A", IF(Fixtures[[#This Row],[userSide]]="H", Fixtures[[#This Row],[homeScore]], Fixtures[[#This Row],[awayScore]]))</f>
        <v>N/A</v>
      </c>
      <c r="AE972" s="58" t="str">
        <f>IF(ISBLANK(Fixtures[[#This Row],[date]]), "N/A", IF(Fixtures[[#This Row],[userScore]] = Fixtures[[#This Row],[homeScore]], Fixtures[[#This Row],[awayScore]], Fixtures[[#This Row],[homeScore]]))</f>
        <v>N/A</v>
      </c>
      <c r="AF972" s="58" t="b">
        <f>NOT(AND(ISBLANK(Fixtures[[#This Row],[homePens]]), ISBLANK(Fixtures[[#This Row],[awayPens]])))</f>
        <v>0</v>
      </c>
      <c r="AG972" s="58" t="str">
        <f>IF(Fixtures[[#This Row],[penalties]], IF(Fixtures[[#This Row],[userSide]]="H", Fixtures[[#This Row],[homePens]], Fixtures[[#This Row],[awayPens]]), "N/A")</f>
        <v>N/A</v>
      </c>
      <c r="AH972" s="58" t="str">
        <f>IF(Fixtures[[#This Row],[penalties]], IF(Fixtures[[#This Row],[userPens]]=Fixtures[[#This Row],[homePens]],Fixtures[[#This Row],[awayPens]],Fixtures[[#This Row],[homePens]]), "N/A")</f>
        <v>N/A</v>
      </c>
      <c r="AI972" s="58" t="b">
        <f>COUNTBLANK(Fixtures[[#This Row],[G]:[MOTM]]) = 0</f>
        <v>0</v>
      </c>
      <c r="AJ972" s="58" t="str">
        <f>IF(Fixtures[[#This Row],[APP]], Fixtures[[#This Row],[G]]+Fixtures[[#This Row],[A]], "N/A")</f>
        <v>N/A</v>
      </c>
      <c r="AK9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3" spans="1:39" ht="13">
      <c r="A973" s="55"/>
      <c r="B973" s="61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7"/>
      <c r="R973" s="56"/>
      <c r="S973" s="58" t="str" cm="1">
        <f t="array" ref="S973">_xlfn._xlws.FILTER(Competitions[compType], (Fixtures[[#This Row],[competition]] = Competitions[name]), "N/A")</f>
        <v>N/A</v>
      </c>
      <c r="T973" s="58" t="str" cm="1">
        <f t="array" ref="T973">_xlfn._xlws.FILTER(Competitions[exhibition], (Fixtures[[#This Row],[competition]] = Competitions[name]), "N/A")</f>
        <v>N/A</v>
      </c>
      <c r="U973" s="58" t="str" cm="1">
        <f t="array" ref="U973">_xlfn._xlws.FILTER(Competitions[compID], (Fixtures[[#This Row],[competition]] = Competitions[name]), "N/A")</f>
        <v>N/A</v>
      </c>
      <c r="V9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3" s="58" t="str" cm="1">
        <f t="array" ref="W9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3" s="58" t="str" cm="1">
        <f t="array" ref="X973">_xlfn._xlws.FILTER(Teams[name], (Fixtures[[#This Row],[userTeamID]] = Teams[teamID]), "N/A")</f>
        <v>N/A</v>
      </c>
      <c r="Y973" s="58" t="str" cm="1">
        <f t="array" ref="Y973">_xlfn._xlws.FILTER(Teams[teamType], (Fixtures[[#This Row],[userTeamID]] = Teams[teamID]), "N/A")</f>
        <v>N/A</v>
      </c>
      <c r="Z973" s="58" t="str" cm="1">
        <f t="array" ref="Z9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3" s="58" t="str">
        <f>IF(Fixtures[[#This Row],[userSide]] = "N/A", "N/A", IF(Fixtures[[#This Row],[userSide]] = "H", Fixtures[[#This Row],[awayTeam]], Fixtures[[#This Row],[homeTeam]]))</f>
        <v>N/A</v>
      </c>
      <c r="AB973" s="58" t="str" cm="1">
        <f t="array" ref="AB973">_xlfn._xlws.FILTER(Teams[teamID], Fixtures[[#This Row],[oppTeam]] = Teams[name], "N/A")</f>
        <v>N/A</v>
      </c>
      <c r="AC973" s="58" t="str" cm="1">
        <f t="array" ref="AC973">_xlfn._xlws.FILTER(Teams[teamType], Fixtures[[#This Row],[oppTeam]] = Teams[name], "N/A")</f>
        <v>N/A</v>
      </c>
      <c r="AD973" s="58" t="str">
        <f>IF(ISBLANK(Fixtures[[#This Row],[date]]), "N/A", IF(Fixtures[[#This Row],[userSide]]="H", Fixtures[[#This Row],[homeScore]], Fixtures[[#This Row],[awayScore]]))</f>
        <v>N/A</v>
      </c>
      <c r="AE973" s="58" t="str">
        <f>IF(ISBLANK(Fixtures[[#This Row],[date]]), "N/A", IF(Fixtures[[#This Row],[userScore]] = Fixtures[[#This Row],[homeScore]], Fixtures[[#This Row],[awayScore]], Fixtures[[#This Row],[homeScore]]))</f>
        <v>N/A</v>
      </c>
      <c r="AF973" s="58" t="b">
        <f>NOT(AND(ISBLANK(Fixtures[[#This Row],[homePens]]), ISBLANK(Fixtures[[#This Row],[awayPens]])))</f>
        <v>0</v>
      </c>
      <c r="AG973" s="58" t="str">
        <f>IF(Fixtures[[#This Row],[penalties]], IF(Fixtures[[#This Row],[userSide]]="H", Fixtures[[#This Row],[homePens]], Fixtures[[#This Row],[awayPens]]), "N/A")</f>
        <v>N/A</v>
      </c>
      <c r="AH973" s="58" t="str">
        <f>IF(Fixtures[[#This Row],[penalties]], IF(Fixtures[[#This Row],[userPens]]=Fixtures[[#This Row],[homePens]],Fixtures[[#This Row],[awayPens]],Fixtures[[#This Row],[homePens]]), "N/A")</f>
        <v>N/A</v>
      </c>
      <c r="AI973" s="58" t="b">
        <f>COUNTBLANK(Fixtures[[#This Row],[G]:[MOTM]]) = 0</f>
        <v>0</v>
      </c>
      <c r="AJ973" s="58" t="str">
        <f>IF(Fixtures[[#This Row],[APP]], Fixtures[[#This Row],[G]]+Fixtures[[#This Row],[A]], "N/A")</f>
        <v>N/A</v>
      </c>
      <c r="AK9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4" spans="1:39" ht="13">
      <c r="A974" s="55"/>
      <c r="B974" s="61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7"/>
      <c r="R974" s="56"/>
      <c r="S974" s="58" t="str" cm="1">
        <f t="array" ref="S974">_xlfn._xlws.FILTER(Competitions[compType], (Fixtures[[#This Row],[competition]] = Competitions[name]), "N/A")</f>
        <v>N/A</v>
      </c>
      <c r="T974" s="58" t="str" cm="1">
        <f t="array" ref="T974">_xlfn._xlws.FILTER(Competitions[exhibition], (Fixtures[[#This Row],[competition]] = Competitions[name]), "N/A")</f>
        <v>N/A</v>
      </c>
      <c r="U974" s="58" t="str" cm="1">
        <f t="array" ref="U974">_xlfn._xlws.FILTER(Competitions[compID], (Fixtures[[#This Row],[competition]] = Competitions[name]), "N/A")</f>
        <v>N/A</v>
      </c>
      <c r="V9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4" s="58" t="str" cm="1">
        <f t="array" ref="W9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4" s="58" t="str" cm="1">
        <f t="array" ref="X974">_xlfn._xlws.FILTER(Teams[name], (Fixtures[[#This Row],[userTeamID]] = Teams[teamID]), "N/A")</f>
        <v>N/A</v>
      </c>
      <c r="Y974" s="58" t="str" cm="1">
        <f t="array" ref="Y974">_xlfn._xlws.FILTER(Teams[teamType], (Fixtures[[#This Row],[userTeamID]] = Teams[teamID]), "N/A")</f>
        <v>N/A</v>
      </c>
      <c r="Z974" s="58" t="str" cm="1">
        <f t="array" ref="Z9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4" s="58" t="str">
        <f>IF(Fixtures[[#This Row],[userSide]] = "N/A", "N/A", IF(Fixtures[[#This Row],[userSide]] = "H", Fixtures[[#This Row],[awayTeam]], Fixtures[[#This Row],[homeTeam]]))</f>
        <v>N/A</v>
      </c>
      <c r="AB974" s="58" t="str" cm="1">
        <f t="array" ref="AB974">_xlfn._xlws.FILTER(Teams[teamID], Fixtures[[#This Row],[oppTeam]] = Teams[name], "N/A")</f>
        <v>N/A</v>
      </c>
      <c r="AC974" s="58" t="str" cm="1">
        <f t="array" ref="AC974">_xlfn._xlws.FILTER(Teams[teamType], Fixtures[[#This Row],[oppTeam]] = Teams[name], "N/A")</f>
        <v>N/A</v>
      </c>
      <c r="AD974" s="58" t="str">
        <f>IF(ISBLANK(Fixtures[[#This Row],[date]]), "N/A", IF(Fixtures[[#This Row],[userSide]]="H", Fixtures[[#This Row],[homeScore]], Fixtures[[#This Row],[awayScore]]))</f>
        <v>N/A</v>
      </c>
      <c r="AE974" s="58" t="str">
        <f>IF(ISBLANK(Fixtures[[#This Row],[date]]), "N/A", IF(Fixtures[[#This Row],[userScore]] = Fixtures[[#This Row],[homeScore]], Fixtures[[#This Row],[awayScore]], Fixtures[[#This Row],[homeScore]]))</f>
        <v>N/A</v>
      </c>
      <c r="AF974" s="58" t="b">
        <f>NOT(AND(ISBLANK(Fixtures[[#This Row],[homePens]]), ISBLANK(Fixtures[[#This Row],[awayPens]])))</f>
        <v>0</v>
      </c>
      <c r="AG974" s="58" t="str">
        <f>IF(Fixtures[[#This Row],[penalties]], IF(Fixtures[[#This Row],[userSide]]="H", Fixtures[[#This Row],[homePens]], Fixtures[[#This Row],[awayPens]]), "N/A")</f>
        <v>N/A</v>
      </c>
      <c r="AH974" s="58" t="str">
        <f>IF(Fixtures[[#This Row],[penalties]], IF(Fixtures[[#This Row],[userPens]]=Fixtures[[#This Row],[homePens]],Fixtures[[#This Row],[awayPens]],Fixtures[[#This Row],[homePens]]), "N/A")</f>
        <v>N/A</v>
      </c>
      <c r="AI974" s="58" t="b">
        <f>COUNTBLANK(Fixtures[[#This Row],[G]:[MOTM]]) = 0</f>
        <v>0</v>
      </c>
      <c r="AJ974" s="58" t="str">
        <f>IF(Fixtures[[#This Row],[APP]], Fixtures[[#This Row],[G]]+Fixtures[[#This Row],[A]], "N/A")</f>
        <v>N/A</v>
      </c>
      <c r="AK9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5" spans="1:39" ht="13">
      <c r="A975" s="55"/>
      <c r="B975" s="61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7"/>
      <c r="R975" s="56"/>
      <c r="S975" s="58" t="str" cm="1">
        <f t="array" ref="S975">_xlfn._xlws.FILTER(Competitions[compType], (Fixtures[[#This Row],[competition]] = Competitions[name]), "N/A")</f>
        <v>N/A</v>
      </c>
      <c r="T975" s="58" t="str" cm="1">
        <f t="array" ref="T975">_xlfn._xlws.FILTER(Competitions[exhibition], (Fixtures[[#This Row],[competition]] = Competitions[name]), "N/A")</f>
        <v>N/A</v>
      </c>
      <c r="U975" s="58" t="str" cm="1">
        <f t="array" ref="U975">_xlfn._xlws.FILTER(Competitions[compID], (Fixtures[[#This Row],[competition]] = Competitions[name]), "N/A")</f>
        <v>N/A</v>
      </c>
      <c r="V9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5" s="58" t="str" cm="1">
        <f t="array" ref="W9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5" s="58" t="str" cm="1">
        <f t="array" ref="X975">_xlfn._xlws.FILTER(Teams[name], (Fixtures[[#This Row],[userTeamID]] = Teams[teamID]), "N/A")</f>
        <v>N/A</v>
      </c>
      <c r="Y975" s="58" t="str" cm="1">
        <f t="array" ref="Y975">_xlfn._xlws.FILTER(Teams[teamType], (Fixtures[[#This Row],[userTeamID]] = Teams[teamID]), "N/A")</f>
        <v>N/A</v>
      </c>
      <c r="Z975" s="58" t="str" cm="1">
        <f t="array" ref="Z9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5" s="58" t="str">
        <f>IF(Fixtures[[#This Row],[userSide]] = "N/A", "N/A", IF(Fixtures[[#This Row],[userSide]] = "H", Fixtures[[#This Row],[awayTeam]], Fixtures[[#This Row],[homeTeam]]))</f>
        <v>N/A</v>
      </c>
      <c r="AB975" s="58" t="str" cm="1">
        <f t="array" ref="AB975">_xlfn._xlws.FILTER(Teams[teamID], Fixtures[[#This Row],[oppTeam]] = Teams[name], "N/A")</f>
        <v>N/A</v>
      </c>
      <c r="AC975" s="58" t="str" cm="1">
        <f t="array" ref="AC975">_xlfn._xlws.FILTER(Teams[teamType], Fixtures[[#This Row],[oppTeam]] = Teams[name], "N/A")</f>
        <v>N/A</v>
      </c>
      <c r="AD975" s="58" t="str">
        <f>IF(ISBLANK(Fixtures[[#This Row],[date]]), "N/A", IF(Fixtures[[#This Row],[userSide]]="H", Fixtures[[#This Row],[homeScore]], Fixtures[[#This Row],[awayScore]]))</f>
        <v>N/A</v>
      </c>
      <c r="AE975" s="58" t="str">
        <f>IF(ISBLANK(Fixtures[[#This Row],[date]]), "N/A", IF(Fixtures[[#This Row],[userScore]] = Fixtures[[#This Row],[homeScore]], Fixtures[[#This Row],[awayScore]], Fixtures[[#This Row],[homeScore]]))</f>
        <v>N/A</v>
      </c>
      <c r="AF975" s="58" t="b">
        <f>NOT(AND(ISBLANK(Fixtures[[#This Row],[homePens]]), ISBLANK(Fixtures[[#This Row],[awayPens]])))</f>
        <v>0</v>
      </c>
      <c r="AG975" s="58" t="str">
        <f>IF(Fixtures[[#This Row],[penalties]], IF(Fixtures[[#This Row],[userSide]]="H", Fixtures[[#This Row],[homePens]], Fixtures[[#This Row],[awayPens]]), "N/A")</f>
        <v>N/A</v>
      </c>
      <c r="AH975" s="58" t="str">
        <f>IF(Fixtures[[#This Row],[penalties]], IF(Fixtures[[#This Row],[userPens]]=Fixtures[[#This Row],[homePens]],Fixtures[[#This Row],[awayPens]],Fixtures[[#This Row],[homePens]]), "N/A")</f>
        <v>N/A</v>
      </c>
      <c r="AI975" s="58" t="b">
        <f>COUNTBLANK(Fixtures[[#This Row],[G]:[MOTM]]) = 0</f>
        <v>0</v>
      </c>
      <c r="AJ975" s="58" t="str">
        <f>IF(Fixtures[[#This Row],[APP]], Fixtures[[#This Row],[G]]+Fixtures[[#This Row],[A]], "N/A")</f>
        <v>N/A</v>
      </c>
      <c r="AK9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6" spans="1:39" ht="13">
      <c r="A976" s="55"/>
      <c r="B976" s="61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7"/>
      <c r="R976" s="56"/>
      <c r="S976" s="58" t="str" cm="1">
        <f t="array" ref="S976">_xlfn._xlws.FILTER(Competitions[compType], (Fixtures[[#This Row],[competition]] = Competitions[name]), "N/A")</f>
        <v>N/A</v>
      </c>
      <c r="T976" s="58" t="str" cm="1">
        <f t="array" ref="T976">_xlfn._xlws.FILTER(Competitions[exhibition], (Fixtures[[#This Row],[competition]] = Competitions[name]), "N/A")</f>
        <v>N/A</v>
      </c>
      <c r="U976" s="58" t="str" cm="1">
        <f t="array" ref="U976">_xlfn._xlws.FILTER(Competitions[compID], (Fixtures[[#This Row],[competition]] = Competitions[name]), "N/A")</f>
        <v>N/A</v>
      </c>
      <c r="V9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6" s="58" t="str" cm="1">
        <f t="array" ref="W9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6" s="58" t="str" cm="1">
        <f t="array" ref="X976">_xlfn._xlws.FILTER(Teams[name], (Fixtures[[#This Row],[userTeamID]] = Teams[teamID]), "N/A")</f>
        <v>N/A</v>
      </c>
      <c r="Y976" s="58" t="str" cm="1">
        <f t="array" ref="Y976">_xlfn._xlws.FILTER(Teams[teamType], (Fixtures[[#This Row],[userTeamID]] = Teams[teamID]), "N/A")</f>
        <v>N/A</v>
      </c>
      <c r="Z976" s="58" t="str" cm="1">
        <f t="array" ref="Z9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6" s="58" t="str">
        <f>IF(Fixtures[[#This Row],[userSide]] = "N/A", "N/A", IF(Fixtures[[#This Row],[userSide]] = "H", Fixtures[[#This Row],[awayTeam]], Fixtures[[#This Row],[homeTeam]]))</f>
        <v>N/A</v>
      </c>
      <c r="AB976" s="58" t="str" cm="1">
        <f t="array" ref="AB976">_xlfn._xlws.FILTER(Teams[teamID], Fixtures[[#This Row],[oppTeam]] = Teams[name], "N/A")</f>
        <v>N/A</v>
      </c>
      <c r="AC976" s="58" t="str" cm="1">
        <f t="array" ref="AC976">_xlfn._xlws.FILTER(Teams[teamType], Fixtures[[#This Row],[oppTeam]] = Teams[name], "N/A")</f>
        <v>N/A</v>
      </c>
      <c r="AD976" s="58" t="str">
        <f>IF(ISBLANK(Fixtures[[#This Row],[date]]), "N/A", IF(Fixtures[[#This Row],[userSide]]="H", Fixtures[[#This Row],[homeScore]], Fixtures[[#This Row],[awayScore]]))</f>
        <v>N/A</v>
      </c>
      <c r="AE976" s="58" t="str">
        <f>IF(ISBLANK(Fixtures[[#This Row],[date]]), "N/A", IF(Fixtures[[#This Row],[userScore]] = Fixtures[[#This Row],[homeScore]], Fixtures[[#This Row],[awayScore]], Fixtures[[#This Row],[homeScore]]))</f>
        <v>N/A</v>
      </c>
      <c r="AF976" s="58" t="b">
        <f>NOT(AND(ISBLANK(Fixtures[[#This Row],[homePens]]), ISBLANK(Fixtures[[#This Row],[awayPens]])))</f>
        <v>0</v>
      </c>
      <c r="AG976" s="58" t="str">
        <f>IF(Fixtures[[#This Row],[penalties]], IF(Fixtures[[#This Row],[userSide]]="H", Fixtures[[#This Row],[homePens]], Fixtures[[#This Row],[awayPens]]), "N/A")</f>
        <v>N/A</v>
      </c>
      <c r="AH976" s="58" t="str">
        <f>IF(Fixtures[[#This Row],[penalties]], IF(Fixtures[[#This Row],[userPens]]=Fixtures[[#This Row],[homePens]],Fixtures[[#This Row],[awayPens]],Fixtures[[#This Row],[homePens]]), "N/A")</f>
        <v>N/A</v>
      </c>
      <c r="AI976" s="58" t="b">
        <f>COUNTBLANK(Fixtures[[#This Row],[G]:[MOTM]]) = 0</f>
        <v>0</v>
      </c>
      <c r="AJ976" s="58" t="str">
        <f>IF(Fixtures[[#This Row],[APP]], Fixtures[[#This Row],[G]]+Fixtures[[#This Row],[A]], "N/A")</f>
        <v>N/A</v>
      </c>
      <c r="AK9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7" spans="1:39" ht="13">
      <c r="A977" s="55"/>
      <c r="B977" s="61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7"/>
      <c r="R977" s="56"/>
      <c r="S977" s="58" t="str" cm="1">
        <f t="array" ref="S977">_xlfn._xlws.FILTER(Competitions[compType], (Fixtures[[#This Row],[competition]] = Competitions[name]), "N/A")</f>
        <v>N/A</v>
      </c>
      <c r="T977" s="58" t="str" cm="1">
        <f t="array" ref="T977">_xlfn._xlws.FILTER(Competitions[exhibition], (Fixtures[[#This Row],[competition]] = Competitions[name]), "N/A")</f>
        <v>N/A</v>
      </c>
      <c r="U977" s="58" t="str" cm="1">
        <f t="array" ref="U977">_xlfn._xlws.FILTER(Competitions[compID], (Fixtures[[#This Row],[competition]] = Competitions[name]), "N/A")</f>
        <v>N/A</v>
      </c>
      <c r="V9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7" s="58" t="str" cm="1">
        <f t="array" ref="W9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7" s="58" t="str" cm="1">
        <f t="array" ref="X977">_xlfn._xlws.FILTER(Teams[name], (Fixtures[[#This Row],[userTeamID]] = Teams[teamID]), "N/A")</f>
        <v>N/A</v>
      </c>
      <c r="Y977" s="58" t="str" cm="1">
        <f t="array" ref="Y977">_xlfn._xlws.FILTER(Teams[teamType], (Fixtures[[#This Row],[userTeamID]] = Teams[teamID]), "N/A")</f>
        <v>N/A</v>
      </c>
      <c r="Z977" s="58" t="str" cm="1">
        <f t="array" ref="Z9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7" s="58" t="str">
        <f>IF(Fixtures[[#This Row],[userSide]] = "N/A", "N/A", IF(Fixtures[[#This Row],[userSide]] = "H", Fixtures[[#This Row],[awayTeam]], Fixtures[[#This Row],[homeTeam]]))</f>
        <v>N/A</v>
      </c>
      <c r="AB977" s="58" t="str" cm="1">
        <f t="array" ref="AB977">_xlfn._xlws.FILTER(Teams[teamID], Fixtures[[#This Row],[oppTeam]] = Teams[name], "N/A")</f>
        <v>N/A</v>
      </c>
      <c r="AC977" s="58" t="str" cm="1">
        <f t="array" ref="AC977">_xlfn._xlws.FILTER(Teams[teamType], Fixtures[[#This Row],[oppTeam]] = Teams[name], "N/A")</f>
        <v>N/A</v>
      </c>
      <c r="AD977" s="58" t="str">
        <f>IF(ISBLANK(Fixtures[[#This Row],[date]]), "N/A", IF(Fixtures[[#This Row],[userSide]]="H", Fixtures[[#This Row],[homeScore]], Fixtures[[#This Row],[awayScore]]))</f>
        <v>N/A</v>
      </c>
      <c r="AE977" s="58" t="str">
        <f>IF(ISBLANK(Fixtures[[#This Row],[date]]), "N/A", IF(Fixtures[[#This Row],[userScore]] = Fixtures[[#This Row],[homeScore]], Fixtures[[#This Row],[awayScore]], Fixtures[[#This Row],[homeScore]]))</f>
        <v>N/A</v>
      </c>
      <c r="AF977" s="58" t="b">
        <f>NOT(AND(ISBLANK(Fixtures[[#This Row],[homePens]]), ISBLANK(Fixtures[[#This Row],[awayPens]])))</f>
        <v>0</v>
      </c>
      <c r="AG977" s="58" t="str">
        <f>IF(Fixtures[[#This Row],[penalties]], IF(Fixtures[[#This Row],[userSide]]="H", Fixtures[[#This Row],[homePens]], Fixtures[[#This Row],[awayPens]]), "N/A")</f>
        <v>N/A</v>
      </c>
      <c r="AH977" s="58" t="str">
        <f>IF(Fixtures[[#This Row],[penalties]], IF(Fixtures[[#This Row],[userPens]]=Fixtures[[#This Row],[homePens]],Fixtures[[#This Row],[awayPens]],Fixtures[[#This Row],[homePens]]), "N/A")</f>
        <v>N/A</v>
      </c>
      <c r="AI977" s="58" t="b">
        <f>COUNTBLANK(Fixtures[[#This Row],[G]:[MOTM]]) = 0</f>
        <v>0</v>
      </c>
      <c r="AJ977" s="58" t="str">
        <f>IF(Fixtures[[#This Row],[APP]], Fixtures[[#This Row],[G]]+Fixtures[[#This Row],[A]], "N/A")</f>
        <v>N/A</v>
      </c>
      <c r="AK9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8" spans="1:39" ht="13">
      <c r="A978" s="55"/>
      <c r="B978" s="61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7"/>
      <c r="R978" s="56"/>
      <c r="S978" s="58" t="str" cm="1">
        <f t="array" ref="S978">_xlfn._xlws.FILTER(Competitions[compType], (Fixtures[[#This Row],[competition]] = Competitions[name]), "N/A")</f>
        <v>N/A</v>
      </c>
      <c r="T978" s="58" t="str" cm="1">
        <f t="array" ref="T978">_xlfn._xlws.FILTER(Competitions[exhibition], (Fixtures[[#This Row],[competition]] = Competitions[name]), "N/A")</f>
        <v>N/A</v>
      </c>
      <c r="U978" s="58" t="str" cm="1">
        <f t="array" ref="U978">_xlfn._xlws.FILTER(Competitions[compID], (Fixtures[[#This Row],[competition]] = Competitions[name]), "N/A")</f>
        <v>N/A</v>
      </c>
      <c r="V9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8" s="58" t="str" cm="1">
        <f t="array" ref="W9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8" s="58" t="str" cm="1">
        <f t="array" ref="X978">_xlfn._xlws.FILTER(Teams[name], (Fixtures[[#This Row],[userTeamID]] = Teams[teamID]), "N/A")</f>
        <v>N/A</v>
      </c>
      <c r="Y978" s="58" t="str" cm="1">
        <f t="array" ref="Y978">_xlfn._xlws.FILTER(Teams[teamType], (Fixtures[[#This Row],[userTeamID]] = Teams[teamID]), "N/A")</f>
        <v>N/A</v>
      </c>
      <c r="Z978" s="58" t="str" cm="1">
        <f t="array" ref="Z9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8" s="58" t="str">
        <f>IF(Fixtures[[#This Row],[userSide]] = "N/A", "N/A", IF(Fixtures[[#This Row],[userSide]] = "H", Fixtures[[#This Row],[awayTeam]], Fixtures[[#This Row],[homeTeam]]))</f>
        <v>N/A</v>
      </c>
      <c r="AB978" s="58" t="str" cm="1">
        <f t="array" ref="AB978">_xlfn._xlws.FILTER(Teams[teamID], Fixtures[[#This Row],[oppTeam]] = Teams[name], "N/A")</f>
        <v>N/A</v>
      </c>
      <c r="AC978" s="58" t="str" cm="1">
        <f t="array" ref="AC978">_xlfn._xlws.FILTER(Teams[teamType], Fixtures[[#This Row],[oppTeam]] = Teams[name], "N/A")</f>
        <v>N/A</v>
      </c>
      <c r="AD978" s="58" t="str">
        <f>IF(ISBLANK(Fixtures[[#This Row],[date]]), "N/A", IF(Fixtures[[#This Row],[userSide]]="H", Fixtures[[#This Row],[homeScore]], Fixtures[[#This Row],[awayScore]]))</f>
        <v>N/A</v>
      </c>
      <c r="AE978" s="58" t="str">
        <f>IF(ISBLANK(Fixtures[[#This Row],[date]]), "N/A", IF(Fixtures[[#This Row],[userScore]] = Fixtures[[#This Row],[homeScore]], Fixtures[[#This Row],[awayScore]], Fixtures[[#This Row],[homeScore]]))</f>
        <v>N/A</v>
      </c>
      <c r="AF978" s="58" t="b">
        <f>NOT(AND(ISBLANK(Fixtures[[#This Row],[homePens]]), ISBLANK(Fixtures[[#This Row],[awayPens]])))</f>
        <v>0</v>
      </c>
      <c r="AG978" s="58" t="str">
        <f>IF(Fixtures[[#This Row],[penalties]], IF(Fixtures[[#This Row],[userSide]]="H", Fixtures[[#This Row],[homePens]], Fixtures[[#This Row],[awayPens]]), "N/A")</f>
        <v>N/A</v>
      </c>
      <c r="AH978" s="58" t="str">
        <f>IF(Fixtures[[#This Row],[penalties]], IF(Fixtures[[#This Row],[userPens]]=Fixtures[[#This Row],[homePens]],Fixtures[[#This Row],[awayPens]],Fixtures[[#This Row],[homePens]]), "N/A")</f>
        <v>N/A</v>
      </c>
      <c r="AI978" s="58" t="b">
        <f>COUNTBLANK(Fixtures[[#This Row],[G]:[MOTM]]) = 0</f>
        <v>0</v>
      </c>
      <c r="AJ978" s="58" t="str">
        <f>IF(Fixtures[[#This Row],[APP]], Fixtures[[#This Row],[G]]+Fixtures[[#This Row],[A]], "N/A")</f>
        <v>N/A</v>
      </c>
      <c r="AK9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79" spans="1:39" ht="13">
      <c r="A979" s="55"/>
      <c r="B979" s="61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7"/>
      <c r="R979" s="56"/>
      <c r="S979" s="58" t="str" cm="1">
        <f t="array" ref="S979">_xlfn._xlws.FILTER(Competitions[compType], (Fixtures[[#This Row],[competition]] = Competitions[name]), "N/A")</f>
        <v>N/A</v>
      </c>
      <c r="T979" s="58" t="str" cm="1">
        <f t="array" ref="T979">_xlfn._xlws.FILTER(Competitions[exhibition], (Fixtures[[#This Row],[competition]] = Competitions[name]), "N/A")</f>
        <v>N/A</v>
      </c>
      <c r="U979" s="58" t="str" cm="1">
        <f t="array" ref="U979">_xlfn._xlws.FILTER(Competitions[compID], (Fixtures[[#This Row],[competition]] = Competitions[name]), "N/A")</f>
        <v>N/A</v>
      </c>
      <c r="V9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79" s="58" t="str" cm="1">
        <f t="array" ref="W9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79" s="58" t="str" cm="1">
        <f t="array" ref="X979">_xlfn._xlws.FILTER(Teams[name], (Fixtures[[#This Row],[userTeamID]] = Teams[teamID]), "N/A")</f>
        <v>N/A</v>
      </c>
      <c r="Y979" s="58" t="str" cm="1">
        <f t="array" ref="Y979">_xlfn._xlws.FILTER(Teams[teamType], (Fixtures[[#This Row],[userTeamID]] = Teams[teamID]), "N/A")</f>
        <v>N/A</v>
      </c>
      <c r="Z979" s="58" t="str" cm="1">
        <f t="array" ref="Z9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79" s="58" t="str">
        <f>IF(Fixtures[[#This Row],[userSide]] = "N/A", "N/A", IF(Fixtures[[#This Row],[userSide]] = "H", Fixtures[[#This Row],[awayTeam]], Fixtures[[#This Row],[homeTeam]]))</f>
        <v>N/A</v>
      </c>
      <c r="AB979" s="58" t="str" cm="1">
        <f t="array" ref="AB979">_xlfn._xlws.FILTER(Teams[teamID], Fixtures[[#This Row],[oppTeam]] = Teams[name], "N/A")</f>
        <v>N/A</v>
      </c>
      <c r="AC979" s="58" t="str" cm="1">
        <f t="array" ref="AC979">_xlfn._xlws.FILTER(Teams[teamType], Fixtures[[#This Row],[oppTeam]] = Teams[name], "N/A")</f>
        <v>N/A</v>
      </c>
      <c r="AD979" s="58" t="str">
        <f>IF(ISBLANK(Fixtures[[#This Row],[date]]), "N/A", IF(Fixtures[[#This Row],[userSide]]="H", Fixtures[[#This Row],[homeScore]], Fixtures[[#This Row],[awayScore]]))</f>
        <v>N/A</v>
      </c>
      <c r="AE979" s="58" t="str">
        <f>IF(ISBLANK(Fixtures[[#This Row],[date]]), "N/A", IF(Fixtures[[#This Row],[userScore]] = Fixtures[[#This Row],[homeScore]], Fixtures[[#This Row],[awayScore]], Fixtures[[#This Row],[homeScore]]))</f>
        <v>N/A</v>
      </c>
      <c r="AF979" s="58" t="b">
        <f>NOT(AND(ISBLANK(Fixtures[[#This Row],[homePens]]), ISBLANK(Fixtures[[#This Row],[awayPens]])))</f>
        <v>0</v>
      </c>
      <c r="AG979" s="58" t="str">
        <f>IF(Fixtures[[#This Row],[penalties]], IF(Fixtures[[#This Row],[userSide]]="H", Fixtures[[#This Row],[homePens]], Fixtures[[#This Row],[awayPens]]), "N/A")</f>
        <v>N/A</v>
      </c>
      <c r="AH979" s="58" t="str">
        <f>IF(Fixtures[[#This Row],[penalties]], IF(Fixtures[[#This Row],[userPens]]=Fixtures[[#This Row],[homePens]],Fixtures[[#This Row],[awayPens]],Fixtures[[#This Row],[homePens]]), "N/A")</f>
        <v>N/A</v>
      </c>
      <c r="AI979" s="58" t="b">
        <f>COUNTBLANK(Fixtures[[#This Row],[G]:[MOTM]]) = 0</f>
        <v>0</v>
      </c>
      <c r="AJ979" s="58" t="str">
        <f>IF(Fixtures[[#This Row],[APP]], Fixtures[[#This Row],[G]]+Fixtures[[#This Row],[A]], "N/A")</f>
        <v>N/A</v>
      </c>
      <c r="AK9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0" spans="1:39" ht="13">
      <c r="A980" s="55"/>
      <c r="B980" s="61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7"/>
      <c r="R980" s="56"/>
      <c r="S980" s="58" t="str" cm="1">
        <f t="array" ref="S980">_xlfn._xlws.FILTER(Competitions[compType], (Fixtures[[#This Row],[competition]] = Competitions[name]), "N/A")</f>
        <v>N/A</v>
      </c>
      <c r="T980" s="58" t="str" cm="1">
        <f t="array" ref="T980">_xlfn._xlws.FILTER(Competitions[exhibition], (Fixtures[[#This Row],[competition]] = Competitions[name]), "N/A")</f>
        <v>N/A</v>
      </c>
      <c r="U980" s="58" t="str" cm="1">
        <f t="array" ref="U980">_xlfn._xlws.FILTER(Competitions[compID], (Fixtures[[#This Row],[competition]] = Competitions[name]), "N/A")</f>
        <v>N/A</v>
      </c>
      <c r="V9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0" s="58" t="str" cm="1">
        <f t="array" ref="W9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0" s="58" t="str" cm="1">
        <f t="array" ref="X980">_xlfn._xlws.FILTER(Teams[name], (Fixtures[[#This Row],[userTeamID]] = Teams[teamID]), "N/A")</f>
        <v>N/A</v>
      </c>
      <c r="Y980" s="58" t="str" cm="1">
        <f t="array" ref="Y980">_xlfn._xlws.FILTER(Teams[teamType], (Fixtures[[#This Row],[userTeamID]] = Teams[teamID]), "N/A")</f>
        <v>N/A</v>
      </c>
      <c r="Z980" s="58" t="str" cm="1">
        <f t="array" ref="Z9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0" s="58" t="str">
        <f>IF(Fixtures[[#This Row],[userSide]] = "N/A", "N/A", IF(Fixtures[[#This Row],[userSide]] = "H", Fixtures[[#This Row],[awayTeam]], Fixtures[[#This Row],[homeTeam]]))</f>
        <v>N/A</v>
      </c>
      <c r="AB980" s="58" t="str" cm="1">
        <f t="array" ref="AB980">_xlfn._xlws.FILTER(Teams[teamID], Fixtures[[#This Row],[oppTeam]] = Teams[name], "N/A")</f>
        <v>N/A</v>
      </c>
      <c r="AC980" s="58" t="str" cm="1">
        <f t="array" ref="AC980">_xlfn._xlws.FILTER(Teams[teamType], Fixtures[[#This Row],[oppTeam]] = Teams[name], "N/A")</f>
        <v>N/A</v>
      </c>
      <c r="AD980" s="58" t="str">
        <f>IF(ISBLANK(Fixtures[[#This Row],[date]]), "N/A", IF(Fixtures[[#This Row],[userSide]]="H", Fixtures[[#This Row],[homeScore]], Fixtures[[#This Row],[awayScore]]))</f>
        <v>N/A</v>
      </c>
      <c r="AE980" s="58" t="str">
        <f>IF(ISBLANK(Fixtures[[#This Row],[date]]), "N/A", IF(Fixtures[[#This Row],[userScore]] = Fixtures[[#This Row],[homeScore]], Fixtures[[#This Row],[awayScore]], Fixtures[[#This Row],[homeScore]]))</f>
        <v>N/A</v>
      </c>
      <c r="AF980" s="58" t="b">
        <f>NOT(AND(ISBLANK(Fixtures[[#This Row],[homePens]]), ISBLANK(Fixtures[[#This Row],[awayPens]])))</f>
        <v>0</v>
      </c>
      <c r="AG980" s="58" t="str">
        <f>IF(Fixtures[[#This Row],[penalties]], IF(Fixtures[[#This Row],[userSide]]="H", Fixtures[[#This Row],[homePens]], Fixtures[[#This Row],[awayPens]]), "N/A")</f>
        <v>N/A</v>
      </c>
      <c r="AH980" s="58" t="str">
        <f>IF(Fixtures[[#This Row],[penalties]], IF(Fixtures[[#This Row],[userPens]]=Fixtures[[#This Row],[homePens]],Fixtures[[#This Row],[awayPens]],Fixtures[[#This Row],[homePens]]), "N/A")</f>
        <v>N/A</v>
      </c>
      <c r="AI980" s="58" t="b">
        <f>COUNTBLANK(Fixtures[[#This Row],[G]:[MOTM]]) = 0</f>
        <v>0</v>
      </c>
      <c r="AJ980" s="58" t="str">
        <f>IF(Fixtures[[#This Row],[APP]], Fixtures[[#This Row],[G]]+Fixtures[[#This Row],[A]], "N/A")</f>
        <v>N/A</v>
      </c>
      <c r="AK9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1" spans="1:39" ht="13">
      <c r="A981" s="55"/>
      <c r="B981" s="61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7"/>
      <c r="R981" s="56"/>
      <c r="S981" s="58" t="str" cm="1">
        <f t="array" ref="S981">_xlfn._xlws.FILTER(Competitions[compType], (Fixtures[[#This Row],[competition]] = Competitions[name]), "N/A")</f>
        <v>N/A</v>
      </c>
      <c r="T981" s="58" t="str" cm="1">
        <f t="array" ref="T981">_xlfn._xlws.FILTER(Competitions[exhibition], (Fixtures[[#This Row],[competition]] = Competitions[name]), "N/A")</f>
        <v>N/A</v>
      </c>
      <c r="U981" s="58" t="str" cm="1">
        <f t="array" ref="U981">_xlfn._xlws.FILTER(Competitions[compID], (Fixtures[[#This Row],[competition]] = Competitions[name]), "N/A")</f>
        <v>N/A</v>
      </c>
      <c r="V9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1" s="58" t="str" cm="1">
        <f t="array" ref="W9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1" s="58" t="str" cm="1">
        <f t="array" ref="X981">_xlfn._xlws.FILTER(Teams[name], (Fixtures[[#This Row],[userTeamID]] = Teams[teamID]), "N/A")</f>
        <v>N/A</v>
      </c>
      <c r="Y981" s="58" t="str" cm="1">
        <f t="array" ref="Y981">_xlfn._xlws.FILTER(Teams[teamType], (Fixtures[[#This Row],[userTeamID]] = Teams[teamID]), "N/A")</f>
        <v>N/A</v>
      </c>
      <c r="Z981" s="58" t="str" cm="1">
        <f t="array" ref="Z9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1" s="58" t="str">
        <f>IF(Fixtures[[#This Row],[userSide]] = "N/A", "N/A", IF(Fixtures[[#This Row],[userSide]] = "H", Fixtures[[#This Row],[awayTeam]], Fixtures[[#This Row],[homeTeam]]))</f>
        <v>N/A</v>
      </c>
      <c r="AB981" s="58" t="str" cm="1">
        <f t="array" ref="AB981">_xlfn._xlws.FILTER(Teams[teamID], Fixtures[[#This Row],[oppTeam]] = Teams[name], "N/A")</f>
        <v>N/A</v>
      </c>
      <c r="AC981" s="58" t="str" cm="1">
        <f t="array" ref="AC981">_xlfn._xlws.FILTER(Teams[teamType], Fixtures[[#This Row],[oppTeam]] = Teams[name], "N/A")</f>
        <v>N/A</v>
      </c>
      <c r="AD981" s="58" t="str">
        <f>IF(ISBLANK(Fixtures[[#This Row],[date]]), "N/A", IF(Fixtures[[#This Row],[userSide]]="H", Fixtures[[#This Row],[homeScore]], Fixtures[[#This Row],[awayScore]]))</f>
        <v>N/A</v>
      </c>
      <c r="AE981" s="58" t="str">
        <f>IF(ISBLANK(Fixtures[[#This Row],[date]]), "N/A", IF(Fixtures[[#This Row],[userScore]] = Fixtures[[#This Row],[homeScore]], Fixtures[[#This Row],[awayScore]], Fixtures[[#This Row],[homeScore]]))</f>
        <v>N/A</v>
      </c>
      <c r="AF981" s="58" t="b">
        <f>NOT(AND(ISBLANK(Fixtures[[#This Row],[homePens]]), ISBLANK(Fixtures[[#This Row],[awayPens]])))</f>
        <v>0</v>
      </c>
      <c r="AG981" s="58" t="str">
        <f>IF(Fixtures[[#This Row],[penalties]], IF(Fixtures[[#This Row],[userSide]]="H", Fixtures[[#This Row],[homePens]], Fixtures[[#This Row],[awayPens]]), "N/A")</f>
        <v>N/A</v>
      </c>
      <c r="AH981" s="58" t="str">
        <f>IF(Fixtures[[#This Row],[penalties]], IF(Fixtures[[#This Row],[userPens]]=Fixtures[[#This Row],[homePens]],Fixtures[[#This Row],[awayPens]],Fixtures[[#This Row],[homePens]]), "N/A")</f>
        <v>N/A</v>
      </c>
      <c r="AI981" s="58" t="b">
        <f>COUNTBLANK(Fixtures[[#This Row],[G]:[MOTM]]) = 0</f>
        <v>0</v>
      </c>
      <c r="AJ981" s="58" t="str">
        <f>IF(Fixtures[[#This Row],[APP]], Fixtures[[#This Row],[G]]+Fixtures[[#This Row],[A]], "N/A")</f>
        <v>N/A</v>
      </c>
      <c r="AK9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2" spans="1:39" ht="13">
      <c r="A982" s="55"/>
      <c r="B982" s="61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7"/>
      <c r="R982" s="56"/>
      <c r="S982" s="58" t="str" cm="1">
        <f t="array" ref="S982">_xlfn._xlws.FILTER(Competitions[compType], (Fixtures[[#This Row],[competition]] = Competitions[name]), "N/A")</f>
        <v>N/A</v>
      </c>
      <c r="T982" s="58" t="str" cm="1">
        <f t="array" ref="T982">_xlfn._xlws.FILTER(Competitions[exhibition], (Fixtures[[#This Row],[competition]] = Competitions[name]), "N/A")</f>
        <v>N/A</v>
      </c>
      <c r="U982" s="58" t="str" cm="1">
        <f t="array" ref="U982">_xlfn._xlws.FILTER(Competitions[compID], (Fixtures[[#This Row],[competition]] = Competitions[name]), "N/A")</f>
        <v>N/A</v>
      </c>
      <c r="V9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2" s="58" t="str" cm="1">
        <f t="array" ref="W9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2" s="58" t="str" cm="1">
        <f t="array" ref="X982">_xlfn._xlws.FILTER(Teams[name], (Fixtures[[#This Row],[userTeamID]] = Teams[teamID]), "N/A")</f>
        <v>N/A</v>
      </c>
      <c r="Y982" s="58" t="str" cm="1">
        <f t="array" ref="Y982">_xlfn._xlws.FILTER(Teams[teamType], (Fixtures[[#This Row],[userTeamID]] = Teams[teamID]), "N/A")</f>
        <v>N/A</v>
      </c>
      <c r="Z982" s="58" t="str" cm="1">
        <f t="array" ref="Z9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2" s="58" t="str">
        <f>IF(Fixtures[[#This Row],[userSide]] = "N/A", "N/A", IF(Fixtures[[#This Row],[userSide]] = "H", Fixtures[[#This Row],[awayTeam]], Fixtures[[#This Row],[homeTeam]]))</f>
        <v>N/A</v>
      </c>
      <c r="AB982" s="58" t="str" cm="1">
        <f t="array" ref="AB982">_xlfn._xlws.FILTER(Teams[teamID], Fixtures[[#This Row],[oppTeam]] = Teams[name], "N/A")</f>
        <v>N/A</v>
      </c>
      <c r="AC982" s="58" t="str" cm="1">
        <f t="array" ref="AC982">_xlfn._xlws.FILTER(Teams[teamType], Fixtures[[#This Row],[oppTeam]] = Teams[name], "N/A")</f>
        <v>N/A</v>
      </c>
      <c r="AD982" s="58" t="str">
        <f>IF(ISBLANK(Fixtures[[#This Row],[date]]), "N/A", IF(Fixtures[[#This Row],[userSide]]="H", Fixtures[[#This Row],[homeScore]], Fixtures[[#This Row],[awayScore]]))</f>
        <v>N/A</v>
      </c>
      <c r="AE982" s="58" t="str">
        <f>IF(ISBLANK(Fixtures[[#This Row],[date]]), "N/A", IF(Fixtures[[#This Row],[userScore]] = Fixtures[[#This Row],[homeScore]], Fixtures[[#This Row],[awayScore]], Fixtures[[#This Row],[homeScore]]))</f>
        <v>N/A</v>
      </c>
      <c r="AF982" s="58" t="b">
        <f>NOT(AND(ISBLANK(Fixtures[[#This Row],[homePens]]), ISBLANK(Fixtures[[#This Row],[awayPens]])))</f>
        <v>0</v>
      </c>
      <c r="AG982" s="58" t="str">
        <f>IF(Fixtures[[#This Row],[penalties]], IF(Fixtures[[#This Row],[userSide]]="H", Fixtures[[#This Row],[homePens]], Fixtures[[#This Row],[awayPens]]), "N/A")</f>
        <v>N/A</v>
      </c>
      <c r="AH982" s="58" t="str">
        <f>IF(Fixtures[[#This Row],[penalties]], IF(Fixtures[[#This Row],[userPens]]=Fixtures[[#This Row],[homePens]],Fixtures[[#This Row],[awayPens]],Fixtures[[#This Row],[homePens]]), "N/A")</f>
        <v>N/A</v>
      </c>
      <c r="AI982" s="58" t="b">
        <f>COUNTBLANK(Fixtures[[#This Row],[G]:[MOTM]]) = 0</f>
        <v>0</v>
      </c>
      <c r="AJ982" s="58" t="str">
        <f>IF(Fixtures[[#This Row],[APP]], Fixtures[[#This Row],[G]]+Fixtures[[#This Row],[A]], "N/A")</f>
        <v>N/A</v>
      </c>
      <c r="AK9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3" spans="1:39" ht="13">
      <c r="A983" s="55"/>
      <c r="B983" s="61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7"/>
      <c r="R983" s="56"/>
      <c r="S983" s="58" t="str" cm="1">
        <f t="array" ref="S983">_xlfn._xlws.FILTER(Competitions[compType], (Fixtures[[#This Row],[competition]] = Competitions[name]), "N/A")</f>
        <v>N/A</v>
      </c>
      <c r="T983" s="58" t="str" cm="1">
        <f t="array" ref="T983">_xlfn._xlws.FILTER(Competitions[exhibition], (Fixtures[[#This Row],[competition]] = Competitions[name]), "N/A")</f>
        <v>N/A</v>
      </c>
      <c r="U983" s="58" t="str" cm="1">
        <f t="array" ref="U983">_xlfn._xlws.FILTER(Competitions[compID], (Fixtures[[#This Row],[competition]] = Competitions[name]), "N/A")</f>
        <v>N/A</v>
      </c>
      <c r="V9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3" s="58" t="str" cm="1">
        <f t="array" ref="W9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3" s="58" t="str" cm="1">
        <f t="array" ref="X983">_xlfn._xlws.FILTER(Teams[name], (Fixtures[[#This Row],[userTeamID]] = Teams[teamID]), "N/A")</f>
        <v>N/A</v>
      </c>
      <c r="Y983" s="58" t="str" cm="1">
        <f t="array" ref="Y983">_xlfn._xlws.FILTER(Teams[teamType], (Fixtures[[#This Row],[userTeamID]] = Teams[teamID]), "N/A")</f>
        <v>N/A</v>
      </c>
      <c r="Z983" s="58" t="str" cm="1">
        <f t="array" ref="Z9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3" s="58" t="str">
        <f>IF(Fixtures[[#This Row],[userSide]] = "N/A", "N/A", IF(Fixtures[[#This Row],[userSide]] = "H", Fixtures[[#This Row],[awayTeam]], Fixtures[[#This Row],[homeTeam]]))</f>
        <v>N/A</v>
      </c>
      <c r="AB983" s="58" t="str" cm="1">
        <f t="array" ref="AB983">_xlfn._xlws.FILTER(Teams[teamID], Fixtures[[#This Row],[oppTeam]] = Teams[name], "N/A")</f>
        <v>N/A</v>
      </c>
      <c r="AC983" s="58" t="str" cm="1">
        <f t="array" ref="AC983">_xlfn._xlws.FILTER(Teams[teamType], Fixtures[[#This Row],[oppTeam]] = Teams[name], "N/A")</f>
        <v>N/A</v>
      </c>
      <c r="AD983" s="58" t="str">
        <f>IF(ISBLANK(Fixtures[[#This Row],[date]]), "N/A", IF(Fixtures[[#This Row],[userSide]]="H", Fixtures[[#This Row],[homeScore]], Fixtures[[#This Row],[awayScore]]))</f>
        <v>N/A</v>
      </c>
      <c r="AE983" s="58" t="str">
        <f>IF(ISBLANK(Fixtures[[#This Row],[date]]), "N/A", IF(Fixtures[[#This Row],[userScore]] = Fixtures[[#This Row],[homeScore]], Fixtures[[#This Row],[awayScore]], Fixtures[[#This Row],[homeScore]]))</f>
        <v>N/A</v>
      </c>
      <c r="AF983" s="58" t="b">
        <f>NOT(AND(ISBLANK(Fixtures[[#This Row],[homePens]]), ISBLANK(Fixtures[[#This Row],[awayPens]])))</f>
        <v>0</v>
      </c>
      <c r="AG983" s="58" t="str">
        <f>IF(Fixtures[[#This Row],[penalties]], IF(Fixtures[[#This Row],[userSide]]="H", Fixtures[[#This Row],[homePens]], Fixtures[[#This Row],[awayPens]]), "N/A")</f>
        <v>N/A</v>
      </c>
      <c r="AH983" s="58" t="str">
        <f>IF(Fixtures[[#This Row],[penalties]], IF(Fixtures[[#This Row],[userPens]]=Fixtures[[#This Row],[homePens]],Fixtures[[#This Row],[awayPens]],Fixtures[[#This Row],[homePens]]), "N/A")</f>
        <v>N/A</v>
      </c>
      <c r="AI983" s="58" t="b">
        <f>COUNTBLANK(Fixtures[[#This Row],[G]:[MOTM]]) = 0</f>
        <v>0</v>
      </c>
      <c r="AJ983" s="58" t="str">
        <f>IF(Fixtures[[#This Row],[APP]], Fixtures[[#This Row],[G]]+Fixtures[[#This Row],[A]], "N/A")</f>
        <v>N/A</v>
      </c>
      <c r="AK9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4" spans="1:39" ht="13">
      <c r="A984" s="55"/>
      <c r="B984" s="61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7"/>
      <c r="R984" s="56"/>
      <c r="S984" s="58" t="str" cm="1">
        <f t="array" ref="S984">_xlfn._xlws.FILTER(Competitions[compType], (Fixtures[[#This Row],[competition]] = Competitions[name]), "N/A")</f>
        <v>N/A</v>
      </c>
      <c r="T984" s="58" t="str" cm="1">
        <f t="array" ref="T984">_xlfn._xlws.FILTER(Competitions[exhibition], (Fixtures[[#This Row],[competition]] = Competitions[name]), "N/A")</f>
        <v>N/A</v>
      </c>
      <c r="U984" s="58" t="str" cm="1">
        <f t="array" ref="U984">_xlfn._xlws.FILTER(Competitions[compID], (Fixtures[[#This Row],[competition]] = Competitions[name]), "N/A")</f>
        <v>N/A</v>
      </c>
      <c r="V9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4" s="58" t="str" cm="1">
        <f t="array" ref="W9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4" s="58" t="str" cm="1">
        <f t="array" ref="X984">_xlfn._xlws.FILTER(Teams[name], (Fixtures[[#This Row],[userTeamID]] = Teams[teamID]), "N/A")</f>
        <v>N/A</v>
      </c>
      <c r="Y984" s="58" t="str" cm="1">
        <f t="array" ref="Y984">_xlfn._xlws.FILTER(Teams[teamType], (Fixtures[[#This Row],[userTeamID]] = Teams[teamID]), "N/A")</f>
        <v>N/A</v>
      </c>
      <c r="Z984" s="58" t="str" cm="1">
        <f t="array" ref="Z9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4" s="58" t="str">
        <f>IF(Fixtures[[#This Row],[userSide]] = "N/A", "N/A", IF(Fixtures[[#This Row],[userSide]] = "H", Fixtures[[#This Row],[awayTeam]], Fixtures[[#This Row],[homeTeam]]))</f>
        <v>N/A</v>
      </c>
      <c r="AB984" s="58" t="str" cm="1">
        <f t="array" ref="AB984">_xlfn._xlws.FILTER(Teams[teamID], Fixtures[[#This Row],[oppTeam]] = Teams[name], "N/A")</f>
        <v>N/A</v>
      </c>
      <c r="AC984" s="58" t="str" cm="1">
        <f t="array" ref="AC984">_xlfn._xlws.FILTER(Teams[teamType], Fixtures[[#This Row],[oppTeam]] = Teams[name], "N/A")</f>
        <v>N/A</v>
      </c>
      <c r="AD984" s="58" t="str">
        <f>IF(ISBLANK(Fixtures[[#This Row],[date]]), "N/A", IF(Fixtures[[#This Row],[userSide]]="H", Fixtures[[#This Row],[homeScore]], Fixtures[[#This Row],[awayScore]]))</f>
        <v>N/A</v>
      </c>
      <c r="AE984" s="58" t="str">
        <f>IF(ISBLANK(Fixtures[[#This Row],[date]]), "N/A", IF(Fixtures[[#This Row],[userScore]] = Fixtures[[#This Row],[homeScore]], Fixtures[[#This Row],[awayScore]], Fixtures[[#This Row],[homeScore]]))</f>
        <v>N/A</v>
      </c>
      <c r="AF984" s="58" t="b">
        <f>NOT(AND(ISBLANK(Fixtures[[#This Row],[homePens]]), ISBLANK(Fixtures[[#This Row],[awayPens]])))</f>
        <v>0</v>
      </c>
      <c r="AG984" s="58" t="str">
        <f>IF(Fixtures[[#This Row],[penalties]], IF(Fixtures[[#This Row],[userSide]]="H", Fixtures[[#This Row],[homePens]], Fixtures[[#This Row],[awayPens]]), "N/A")</f>
        <v>N/A</v>
      </c>
      <c r="AH984" s="58" t="str">
        <f>IF(Fixtures[[#This Row],[penalties]], IF(Fixtures[[#This Row],[userPens]]=Fixtures[[#This Row],[homePens]],Fixtures[[#This Row],[awayPens]],Fixtures[[#This Row],[homePens]]), "N/A")</f>
        <v>N/A</v>
      </c>
      <c r="AI984" s="58" t="b">
        <f>COUNTBLANK(Fixtures[[#This Row],[G]:[MOTM]]) = 0</f>
        <v>0</v>
      </c>
      <c r="AJ984" s="58" t="str">
        <f>IF(Fixtures[[#This Row],[APP]], Fixtures[[#This Row],[G]]+Fixtures[[#This Row],[A]], "N/A")</f>
        <v>N/A</v>
      </c>
      <c r="AK9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5" spans="1:39" ht="13">
      <c r="A985" s="55"/>
      <c r="B985" s="61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7"/>
      <c r="R985" s="56"/>
      <c r="S985" s="58" t="str" cm="1">
        <f t="array" ref="S985">_xlfn._xlws.FILTER(Competitions[compType], (Fixtures[[#This Row],[competition]] = Competitions[name]), "N/A")</f>
        <v>N/A</v>
      </c>
      <c r="T985" s="58" t="str" cm="1">
        <f t="array" ref="T985">_xlfn._xlws.FILTER(Competitions[exhibition], (Fixtures[[#This Row],[competition]] = Competitions[name]), "N/A")</f>
        <v>N/A</v>
      </c>
      <c r="U985" s="58" t="str" cm="1">
        <f t="array" ref="U985">_xlfn._xlws.FILTER(Competitions[compID], (Fixtures[[#This Row],[competition]] = Competitions[name]), "N/A")</f>
        <v>N/A</v>
      </c>
      <c r="V9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5" s="58" t="str" cm="1">
        <f t="array" ref="W9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5" s="58" t="str" cm="1">
        <f t="array" ref="X985">_xlfn._xlws.FILTER(Teams[name], (Fixtures[[#This Row],[userTeamID]] = Teams[teamID]), "N/A")</f>
        <v>N/A</v>
      </c>
      <c r="Y985" s="58" t="str" cm="1">
        <f t="array" ref="Y985">_xlfn._xlws.FILTER(Teams[teamType], (Fixtures[[#This Row],[userTeamID]] = Teams[teamID]), "N/A")</f>
        <v>N/A</v>
      </c>
      <c r="Z985" s="58" t="str" cm="1">
        <f t="array" ref="Z9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5" s="58" t="str">
        <f>IF(Fixtures[[#This Row],[userSide]] = "N/A", "N/A", IF(Fixtures[[#This Row],[userSide]] = "H", Fixtures[[#This Row],[awayTeam]], Fixtures[[#This Row],[homeTeam]]))</f>
        <v>N/A</v>
      </c>
      <c r="AB985" s="58" t="str" cm="1">
        <f t="array" ref="AB985">_xlfn._xlws.FILTER(Teams[teamID], Fixtures[[#This Row],[oppTeam]] = Teams[name], "N/A")</f>
        <v>N/A</v>
      </c>
      <c r="AC985" s="58" t="str" cm="1">
        <f t="array" ref="AC985">_xlfn._xlws.FILTER(Teams[teamType], Fixtures[[#This Row],[oppTeam]] = Teams[name], "N/A")</f>
        <v>N/A</v>
      </c>
      <c r="AD985" s="58" t="str">
        <f>IF(ISBLANK(Fixtures[[#This Row],[date]]), "N/A", IF(Fixtures[[#This Row],[userSide]]="H", Fixtures[[#This Row],[homeScore]], Fixtures[[#This Row],[awayScore]]))</f>
        <v>N/A</v>
      </c>
      <c r="AE985" s="58" t="str">
        <f>IF(ISBLANK(Fixtures[[#This Row],[date]]), "N/A", IF(Fixtures[[#This Row],[userScore]] = Fixtures[[#This Row],[homeScore]], Fixtures[[#This Row],[awayScore]], Fixtures[[#This Row],[homeScore]]))</f>
        <v>N/A</v>
      </c>
      <c r="AF985" s="58" t="b">
        <f>NOT(AND(ISBLANK(Fixtures[[#This Row],[homePens]]), ISBLANK(Fixtures[[#This Row],[awayPens]])))</f>
        <v>0</v>
      </c>
      <c r="AG985" s="58" t="str">
        <f>IF(Fixtures[[#This Row],[penalties]], IF(Fixtures[[#This Row],[userSide]]="H", Fixtures[[#This Row],[homePens]], Fixtures[[#This Row],[awayPens]]), "N/A")</f>
        <v>N/A</v>
      </c>
      <c r="AH985" s="58" t="str">
        <f>IF(Fixtures[[#This Row],[penalties]], IF(Fixtures[[#This Row],[userPens]]=Fixtures[[#This Row],[homePens]],Fixtures[[#This Row],[awayPens]],Fixtures[[#This Row],[homePens]]), "N/A")</f>
        <v>N/A</v>
      </c>
      <c r="AI985" s="58" t="b">
        <f>COUNTBLANK(Fixtures[[#This Row],[G]:[MOTM]]) = 0</f>
        <v>0</v>
      </c>
      <c r="AJ985" s="58" t="str">
        <f>IF(Fixtures[[#This Row],[APP]], Fixtures[[#This Row],[G]]+Fixtures[[#This Row],[A]], "N/A")</f>
        <v>N/A</v>
      </c>
      <c r="AK9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6" spans="1:39" ht="13">
      <c r="A986" s="55"/>
      <c r="B986" s="61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7"/>
      <c r="R986" s="56"/>
      <c r="S986" s="58" t="str" cm="1">
        <f t="array" ref="S986">_xlfn._xlws.FILTER(Competitions[compType], (Fixtures[[#This Row],[competition]] = Competitions[name]), "N/A")</f>
        <v>N/A</v>
      </c>
      <c r="T986" s="58" t="str" cm="1">
        <f t="array" ref="T986">_xlfn._xlws.FILTER(Competitions[exhibition], (Fixtures[[#This Row],[competition]] = Competitions[name]), "N/A")</f>
        <v>N/A</v>
      </c>
      <c r="U986" s="58" t="str" cm="1">
        <f t="array" ref="U986">_xlfn._xlws.FILTER(Competitions[compID], (Fixtures[[#This Row],[competition]] = Competitions[name]), "N/A")</f>
        <v>N/A</v>
      </c>
      <c r="V9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6" s="58" t="str" cm="1">
        <f t="array" ref="W9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6" s="58" t="str" cm="1">
        <f t="array" ref="X986">_xlfn._xlws.FILTER(Teams[name], (Fixtures[[#This Row],[userTeamID]] = Teams[teamID]), "N/A")</f>
        <v>N/A</v>
      </c>
      <c r="Y986" s="58" t="str" cm="1">
        <f t="array" ref="Y986">_xlfn._xlws.FILTER(Teams[teamType], (Fixtures[[#This Row],[userTeamID]] = Teams[teamID]), "N/A")</f>
        <v>N/A</v>
      </c>
      <c r="Z986" s="58" t="str" cm="1">
        <f t="array" ref="Z9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6" s="58" t="str">
        <f>IF(Fixtures[[#This Row],[userSide]] = "N/A", "N/A", IF(Fixtures[[#This Row],[userSide]] = "H", Fixtures[[#This Row],[awayTeam]], Fixtures[[#This Row],[homeTeam]]))</f>
        <v>N/A</v>
      </c>
      <c r="AB986" s="58" t="str" cm="1">
        <f t="array" ref="AB986">_xlfn._xlws.FILTER(Teams[teamID], Fixtures[[#This Row],[oppTeam]] = Teams[name], "N/A")</f>
        <v>N/A</v>
      </c>
      <c r="AC986" s="58" t="str" cm="1">
        <f t="array" ref="AC986">_xlfn._xlws.FILTER(Teams[teamType], Fixtures[[#This Row],[oppTeam]] = Teams[name], "N/A")</f>
        <v>N/A</v>
      </c>
      <c r="AD986" s="58" t="str">
        <f>IF(ISBLANK(Fixtures[[#This Row],[date]]), "N/A", IF(Fixtures[[#This Row],[userSide]]="H", Fixtures[[#This Row],[homeScore]], Fixtures[[#This Row],[awayScore]]))</f>
        <v>N/A</v>
      </c>
      <c r="AE986" s="58" t="str">
        <f>IF(ISBLANK(Fixtures[[#This Row],[date]]), "N/A", IF(Fixtures[[#This Row],[userScore]] = Fixtures[[#This Row],[homeScore]], Fixtures[[#This Row],[awayScore]], Fixtures[[#This Row],[homeScore]]))</f>
        <v>N/A</v>
      </c>
      <c r="AF986" s="58" t="b">
        <f>NOT(AND(ISBLANK(Fixtures[[#This Row],[homePens]]), ISBLANK(Fixtures[[#This Row],[awayPens]])))</f>
        <v>0</v>
      </c>
      <c r="AG986" s="58" t="str">
        <f>IF(Fixtures[[#This Row],[penalties]], IF(Fixtures[[#This Row],[userSide]]="H", Fixtures[[#This Row],[homePens]], Fixtures[[#This Row],[awayPens]]), "N/A")</f>
        <v>N/A</v>
      </c>
      <c r="AH986" s="58" t="str">
        <f>IF(Fixtures[[#This Row],[penalties]], IF(Fixtures[[#This Row],[userPens]]=Fixtures[[#This Row],[homePens]],Fixtures[[#This Row],[awayPens]],Fixtures[[#This Row],[homePens]]), "N/A")</f>
        <v>N/A</v>
      </c>
      <c r="AI986" s="58" t="b">
        <f>COUNTBLANK(Fixtures[[#This Row],[G]:[MOTM]]) = 0</f>
        <v>0</v>
      </c>
      <c r="AJ986" s="58" t="str">
        <f>IF(Fixtures[[#This Row],[APP]], Fixtures[[#This Row],[G]]+Fixtures[[#This Row],[A]], "N/A")</f>
        <v>N/A</v>
      </c>
      <c r="AK9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7" spans="1:39" ht="13">
      <c r="A987" s="55"/>
      <c r="B987" s="61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7"/>
      <c r="R987" s="56"/>
      <c r="S987" s="58" t="str" cm="1">
        <f t="array" ref="S987">_xlfn._xlws.FILTER(Competitions[compType], (Fixtures[[#This Row],[competition]] = Competitions[name]), "N/A")</f>
        <v>N/A</v>
      </c>
      <c r="T987" s="58" t="str" cm="1">
        <f t="array" ref="T987">_xlfn._xlws.FILTER(Competitions[exhibition], (Fixtures[[#This Row],[competition]] = Competitions[name]), "N/A")</f>
        <v>N/A</v>
      </c>
      <c r="U987" s="58" t="str" cm="1">
        <f t="array" ref="U987">_xlfn._xlws.FILTER(Competitions[compID], (Fixtures[[#This Row],[competition]] = Competitions[name]), "N/A")</f>
        <v>N/A</v>
      </c>
      <c r="V9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7" s="58" t="str" cm="1">
        <f t="array" ref="W9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7" s="58" t="str" cm="1">
        <f t="array" ref="X987">_xlfn._xlws.FILTER(Teams[name], (Fixtures[[#This Row],[userTeamID]] = Teams[teamID]), "N/A")</f>
        <v>N/A</v>
      </c>
      <c r="Y987" s="58" t="str" cm="1">
        <f t="array" ref="Y987">_xlfn._xlws.FILTER(Teams[teamType], (Fixtures[[#This Row],[userTeamID]] = Teams[teamID]), "N/A")</f>
        <v>N/A</v>
      </c>
      <c r="Z987" s="58" t="str" cm="1">
        <f t="array" ref="Z9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7" s="58" t="str">
        <f>IF(Fixtures[[#This Row],[userSide]] = "N/A", "N/A", IF(Fixtures[[#This Row],[userSide]] = "H", Fixtures[[#This Row],[awayTeam]], Fixtures[[#This Row],[homeTeam]]))</f>
        <v>N/A</v>
      </c>
      <c r="AB987" s="58" t="str" cm="1">
        <f t="array" ref="AB987">_xlfn._xlws.FILTER(Teams[teamID], Fixtures[[#This Row],[oppTeam]] = Teams[name], "N/A")</f>
        <v>N/A</v>
      </c>
      <c r="AC987" s="58" t="str" cm="1">
        <f t="array" ref="AC987">_xlfn._xlws.FILTER(Teams[teamType], Fixtures[[#This Row],[oppTeam]] = Teams[name], "N/A")</f>
        <v>N/A</v>
      </c>
      <c r="AD987" s="58" t="str">
        <f>IF(ISBLANK(Fixtures[[#This Row],[date]]), "N/A", IF(Fixtures[[#This Row],[userSide]]="H", Fixtures[[#This Row],[homeScore]], Fixtures[[#This Row],[awayScore]]))</f>
        <v>N/A</v>
      </c>
      <c r="AE987" s="58" t="str">
        <f>IF(ISBLANK(Fixtures[[#This Row],[date]]), "N/A", IF(Fixtures[[#This Row],[userScore]] = Fixtures[[#This Row],[homeScore]], Fixtures[[#This Row],[awayScore]], Fixtures[[#This Row],[homeScore]]))</f>
        <v>N/A</v>
      </c>
      <c r="AF987" s="58" t="b">
        <f>NOT(AND(ISBLANK(Fixtures[[#This Row],[homePens]]), ISBLANK(Fixtures[[#This Row],[awayPens]])))</f>
        <v>0</v>
      </c>
      <c r="AG987" s="58" t="str">
        <f>IF(Fixtures[[#This Row],[penalties]], IF(Fixtures[[#This Row],[userSide]]="H", Fixtures[[#This Row],[homePens]], Fixtures[[#This Row],[awayPens]]), "N/A")</f>
        <v>N/A</v>
      </c>
      <c r="AH987" s="58" t="str">
        <f>IF(Fixtures[[#This Row],[penalties]], IF(Fixtures[[#This Row],[userPens]]=Fixtures[[#This Row],[homePens]],Fixtures[[#This Row],[awayPens]],Fixtures[[#This Row],[homePens]]), "N/A")</f>
        <v>N/A</v>
      </c>
      <c r="AI987" s="58" t="b">
        <f>COUNTBLANK(Fixtures[[#This Row],[G]:[MOTM]]) = 0</f>
        <v>0</v>
      </c>
      <c r="AJ987" s="58" t="str">
        <f>IF(Fixtures[[#This Row],[APP]], Fixtures[[#This Row],[G]]+Fixtures[[#This Row],[A]], "N/A")</f>
        <v>N/A</v>
      </c>
      <c r="AK9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8" spans="1:39" ht="13">
      <c r="A988" s="55"/>
      <c r="B988" s="61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7"/>
      <c r="R988" s="56"/>
      <c r="S988" s="58" t="str" cm="1">
        <f t="array" ref="S988">_xlfn._xlws.FILTER(Competitions[compType], (Fixtures[[#This Row],[competition]] = Competitions[name]), "N/A")</f>
        <v>N/A</v>
      </c>
      <c r="T988" s="58" t="str" cm="1">
        <f t="array" ref="T988">_xlfn._xlws.FILTER(Competitions[exhibition], (Fixtures[[#This Row],[competition]] = Competitions[name]), "N/A")</f>
        <v>N/A</v>
      </c>
      <c r="U988" s="58" t="str" cm="1">
        <f t="array" ref="U988">_xlfn._xlws.FILTER(Competitions[compID], (Fixtures[[#This Row],[competition]] = Competitions[name]), "N/A")</f>
        <v>N/A</v>
      </c>
      <c r="V9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8" s="58" t="str" cm="1">
        <f t="array" ref="W9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8" s="58" t="str" cm="1">
        <f t="array" ref="X988">_xlfn._xlws.FILTER(Teams[name], (Fixtures[[#This Row],[userTeamID]] = Teams[teamID]), "N/A")</f>
        <v>N/A</v>
      </c>
      <c r="Y988" s="58" t="str" cm="1">
        <f t="array" ref="Y988">_xlfn._xlws.FILTER(Teams[teamType], (Fixtures[[#This Row],[userTeamID]] = Teams[teamID]), "N/A")</f>
        <v>N/A</v>
      </c>
      <c r="Z988" s="58" t="str" cm="1">
        <f t="array" ref="Z9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8" s="58" t="str">
        <f>IF(Fixtures[[#This Row],[userSide]] = "N/A", "N/A", IF(Fixtures[[#This Row],[userSide]] = "H", Fixtures[[#This Row],[awayTeam]], Fixtures[[#This Row],[homeTeam]]))</f>
        <v>N/A</v>
      </c>
      <c r="AB988" s="58" t="str" cm="1">
        <f t="array" ref="AB988">_xlfn._xlws.FILTER(Teams[teamID], Fixtures[[#This Row],[oppTeam]] = Teams[name], "N/A")</f>
        <v>N/A</v>
      </c>
      <c r="AC988" s="58" t="str" cm="1">
        <f t="array" ref="AC988">_xlfn._xlws.FILTER(Teams[teamType], Fixtures[[#This Row],[oppTeam]] = Teams[name], "N/A")</f>
        <v>N/A</v>
      </c>
      <c r="AD988" s="58" t="str">
        <f>IF(ISBLANK(Fixtures[[#This Row],[date]]), "N/A", IF(Fixtures[[#This Row],[userSide]]="H", Fixtures[[#This Row],[homeScore]], Fixtures[[#This Row],[awayScore]]))</f>
        <v>N/A</v>
      </c>
      <c r="AE988" s="58" t="str">
        <f>IF(ISBLANK(Fixtures[[#This Row],[date]]), "N/A", IF(Fixtures[[#This Row],[userScore]] = Fixtures[[#This Row],[homeScore]], Fixtures[[#This Row],[awayScore]], Fixtures[[#This Row],[homeScore]]))</f>
        <v>N/A</v>
      </c>
      <c r="AF988" s="58" t="b">
        <f>NOT(AND(ISBLANK(Fixtures[[#This Row],[homePens]]), ISBLANK(Fixtures[[#This Row],[awayPens]])))</f>
        <v>0</v>
      </c>
      <c r="AG988" s="58" t="str">
        <f>IF(Fixtures[[#This Row],[penalties]], IF(Fixtures[[#This Row],[userSide]]="H", Fixtures[[#This Row],[homePens]], Fixtures[[#This Row],[awayPens]]), "N/A")</f>
        <v>N/A</v>
      </c>
      <c r="AH988" s="58" t="str">
        <f>IF(Fixtures[[#This Row],[penalties]], IF(Fixtures[[#This Row],[userPens]]=Fixtures[[#This Row],[homePens]],Fixtures[[#This Row],[awayPens]],Fixtures[[#This Row],[homePens]]), "N/A")</f>
        <v>N/A</v>
      </c>
      <c r="AI988" s="58" t="b">
        <f>COUNTBLANK(Fixtures[[#This Row],[G]:[MOTM]]) = 0</f>
        <v>0</v>
      </c>
      <c r="AJ988" s="58" t="str">
        <f>IF(Fixtures[[#This Row],[APP]], Fixtures[[#This Row],[G]]+Fixtures[[#This Row],[A]], "N/A")</f>
        <v>N/A</v>
      </c>
      <c r="AK9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89" spans="1:39" ht="13">
      <c r="A989" s="55"/>
      <c r="B989" s="61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7"/>
      <c r="R989" s="56"/>
      <c r="S989" s="58" t="str" cm="1">
        <f t="array" ref="S989">_xlfn._xlws.FILTER(Competitions[compType], (Fixtures[[#This Row],[competition]] = Competitions[name]), "N/A")</f>
        <v>N/A</v>
      </c>
      <c r="T989" s="58" t="str" cm="1">
        <f t="array" ref="T989">_xlfn._xlws.FILTER(Competitions[exhibition], (Fixtures[[#This Row],[competition]] = Competitions[name]), "N/A")</f>
        <v>N/A</v>
      </c>
      <c r="U989" s="58" t="str" cm="1">
        <f t="array" ref="U989">_xlfn._xlws.FILTER(Competitions[compID], (Fixtures[[#This Row],[competition]] = Competitions[name]), "N/A")</f>
        <v>N/A</v>
      </c>
      <c r="V9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89" s="58" t="str" cm="1">
        <f t="array" ref="W9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89" s="58" t="str" cm="1">
        <f t="array" ref="X989">_xlfn._xlws.FILTER(Teams[name], (Fixtures[[#This Row],[userTeamID]] = Teams[teamID]), "N/A")</f>
        <v>N/A</v>
      </c>
      <c r="Y989" s="58" t="str" cm="1">
        <f t="array" ref="Y989">_xlfn._xlws.FILTER(Teams[teamType], (Fixtures[[#This Row],[userTeamID]] = Teams[teamID]), "N/A")</f>
        <v>N/A</v>
      </c>
      <c r="Z989" s="58" t="str" cm="1">
        <f t="array" ref="Z9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89" s="58" t="str">
        <f>IF(Fixtures[[#This Row],[userSide]] = "N/A", "N/A", IF(Fixtures[[#This Row],[userSide]] = "H", Fixtures[[#This Row],[awayTeam]], Fixtures[[#This Row],[homeTeam]]))</f>
        <v>N/A</v>
      </c>
      <c r="AB989" s="58" t="str" cm="1">
        <f t="array" ref="AB989">_xlfn._xlws.FILTER(Teams[teamID], Fixtures[[#This Row],[oppTeam]] = Teams[name], "N/A")</f>
        <v>N/A</v>
      </c>
      <c r="AC989" s="58" t="str" cm="1">
        <f t="array" ref="AC989">_xlfn._xlws.FILTER(Teams[teamType], Fixtures[[#This Row],[oppTeam]] = Teams[name], "N/A")</f>
        <v>N/A</v>
      </c>
      <c r="AD989" s="58" t="str">
        <f>IF(ISBLANK(Fixtures[[#This Row],[date]]), "N/A", IF(Fixtures[[#This Row],[userSide]]="H", Fixtures[[#This Row],[homeScore]], Fixtures[[#This Row],[awayScore]]))</f>
        <v>N/A</v>
      </c>
      <c r="AE989" s="58" t="str">
        <f>IF(ISBLANK(Fixtures[[#This Row],[date]]), "N/A", IF(Fixtures[[#This Row],[userScore]] = Fixtures[[#This Row],[homeScore]], Fixtures[[#This Row],[awayScore]], Fixtures[[#This Row],[homeScore]]))</f>
        <v>N/A</v>
      </c>
      <c r="AF989" s="58" t="b">
        <f>NOT(AND(ISBLANK(Fixtures[[#This Row],[homePens]]), ISBLANK(Fixtures[[#This Row],[awayPens]])))</f>
        <v>0</v>
      </c>
      <c r="AG989" s="58" t="str">
        <f>IF(Fixtures[[#This Row],[penalties]], IF(Fixtures[[#This Row],[userSide]]="H", Fixtures[[#This Row],[homePens]], Fixtures[[#This Row],[awayPens]]), "N/A")</f>
        <v>N/A</v>
      </c>
      <c r="AH989" s="58" t="str">
        <f>IF(Fixtures[[#This Row],[penalties]], IF(Fixtures[[#This Row],[userPens]]=Fixtures[[#This Row],[homePens]],Fixtures[[#This Row],[awayPens]],Fixtures[[#This Row],[homePens]]), "N/A")</f>
        <v>N/A</v>
      </c>
      <c r="AI989" s="58" t="b">
        <f>COUNTBLANK(Fixtures[[#This Row],[G]:[MOTM]]) = 0</f>
        <v>0</v>
      </c>
      <c r="AJ989" s="58" t="str">
        <f>IF(Fixtures[[#This Row],[APP]], Fixtures[[#This Row],[G]]+Fixtures[[#This Row],[A]], "N/A")</f>
        <v>N/A</v>
      </c>
      <c r="AK9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0" spans="1:39" ht="13">
      <c r="A990" s="55"/>
      <c r="B990" s="61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7"/>
      <c r="R990" s="56"/>
      <c r="S990" s="58" t="str" cm="1">
        <f t="array" ref="S990">_xlfn._xlws.FILTER(Competitions[compType], (Fixtures[[#This Row],[competition]] = Competitions[name]), "N/A")</f>
        <v>N/A</v>
      </c>
      <c r="T990" s="58" t="str" cm="1">
        <f t="array" ref="T990">_xlfn._xlws.FILTER(Competitions[exhibition], (Fixtures[[#This Row],[competition]] = Competitions[name]), "N/A")</f>
        <v>N/A</v>
      </c>
      <c r="U990" s="58" t="str" cm="1">
        <f t="array" ref="U990">_xlfn._xlws.FILTER(Competitions[compID], (Fixtures[[#This Row],[competition]] = Competitions[name]), "N/A")</f>
        <v>N/A</v>
      </c>
      <c r="V9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0" s="58" t="str" cm="1">
        <f t="array" ref="W9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0" s="58" t="str" cm="1">
        <f t="array" ref="X990">_xlfn._xlws.FILTER(Teams[name], (Fixtures[[#This Row],[userTeamID]] = Teams[teamID]), "N/A")</f>
        <v>N/A</v>
      </c>
      <c r="Y990" s="58" t="str" cm="1">
        <f t="array" ref="Y990">_xlfn._xlws.FILTER(Teams[teamType], (Fixtures[[#This Row],[userTeamID]] = Teams[teamID]), "N/A")</f>
        <v>N/A</v>
      </c>
      <c r="Z990" s="58" t="str" cm="1">
        <f t="array" ref="Z9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0" s="58" t="str">
        <f>IF(Fixtures[[#This Row],[userSide]] = "N/A", "N/A", IF(Fixtures[[#This Row],[userSide]] = "H", Fixtures[[#This Row],[awayTeam]], Fixtures[[#This Row],[homeTeam]]))</f>
        <v>N/A</v>
      </c>
      <c r="AB990" s="58" t="str" cm="1">
        <f t="array" ref="AB990">_xlfn._xlws.FILTER(Teams[teamID], Fixtures[[#This Row],[oppTeam]] = Teams[name], "N/A")</f>
        <v>N/A</v>
      </c>
      <c r="AC990" s="58" t="str" cm="1">
        <f t="array" ref="AC990">_xlfn._xlws.FILTER(Teams[teamType], Fixtures[[#This Row],[oppTeam]] = Teams[name], "N/A")</f>
        <v>N/A</v>
      </c>
      <c r="AD990" s="58" t="str">
        <f>IF(ISBLANK(Fixtures[[#This Row],[date]]), "N/A", IF(Fixtures[[#This Row],[userSide]]="H", Fixtures[[#This Row],[homeScore]], Fixtures[[#This Row],[awayScore]]))</f>
        <v>N/A</v>
      </c>
      <c r="AE990" s="58" t="str">
        <f>IF(ISBLANK(Fixtures[[#This Row],[date]]), "N/A", IF(Fixtures[[#This Row],[userScore]] = Fixtures[[#This Row],[homeScore]], Fixtures[[#This Row],[awayScore]], Fixtures[[#This Row],[homeScore]]))</f>
        <v>N/A</v>
      </c>
      <c r="AF990" s="58" t="b">
        <f>NOT(AND(ISBLANK(Fixtures[[#This Row],[homePens]]), ISBLANK(Fixtures[[#This Row],[awayPens]])))</f>
        <v>0</v>
      </c>
      <c r="AG990" s="58" t="str">
        <f>IF(Fixtures[[#This Row],[penalties]], IF(Fixtures[[#This Row],[userSide]]="H", Fixtures[[#This Row],[homePens]], Fixtures[[#This Row],[awayPens]]), "N/A")</f>
        <v>N/A</v>
      </c>
      <c r="AH990" s="58" t="str">
        <f>IF(Fixtures[[#This Row],[penalties]], IF(Fixtures[[#This Row],[userPens]]=Fixtures[[#This Row],[homePens]],Fixtures[[#This Row],[awayPens]],Fixtures[[#This Row],[homePens]]), "N/A")</f>
        <v>N/A</v>
      </c>
      <c r="AI990" s="58" t="b">
        <f>COUNTBLANK(Fixtures[[#This Row],[G]:[MOTM]]) = 0</f>
        <v>0</v>
      </c>
      <c r="AJ990" s="58" t="str">
        <f>IF(Fixtures[[#This Row],[APP]], Fixtures[[#This Row],[G]]+Fixtures[[#This Row],[A]], "N/A")</f>
        <v>N/A</v>
      </c>
      <c r="AK9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1" spans="1:39" ht="13">
      <c r="A991" s="55"/>
      <c r="B991" s="61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7"/>
      <c r="R991" s="56"/>
      <c r="S991" s="58" t="str" cm="1">
        <f t="array" ref="S991">_xlfn._xlws.FILTER(Competitions[compType], (Fixtures[[#This Row],[competition]] = Competitions[name]), "N/A")</f>
        <v>N/A</v>
      </c>
      <c r="T991" s="58" t="str" cm="1">
        <f t="array" ref="T991">_xlfn._xlws.FILTER(Competitions[exhibition], (Fixtures[[#This Row],[competition]] = Competitions[name]), "N/A")</f>
        <v>N/A</v>
      </c>
      <c r="U991" s="58" t="str" cm="1">
        <f t="array" ref="U991">_xlfn._xlws.FILTER(Competitions[compID], (Fixtures[[#This Row],[competition]] = Competitions[name]), "N/A")</f>
        <v>N/A</v>
      </c>
      <c r="V9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1" s="58" t="str" cm="1">
        <f t="array" ref="W9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1" s="58" t="str" cm="1">
        <f t="array" ref="X991">_xlfn._xlws.FILTER(Teams[name], (Fixtures[[#This Row],[userTeamID]] = Teams[teamID]), "N/A")</f>
        <v>N/A</v>
      </c>
      <c r="Y991" s="58" t="str" cm="1">
        <f t="array" ref="Y991">_xlfn._xlws.FILTER(Teams[teamType], (Fixtures[[#This Row],[userTeamID]] = Teams[teamID]), "N/A")</f>
        <v>N/A</v>
      </c>
      <c r="Z991" s="58" t="str" cm="1">
        <f t="array" ref="Z9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1" s="58" t="str">
        <f>IF(Fixtures[[#This Row],[userSide]] = "N/A", "N/A", IF(Fixtures[[#This Row],[userSide]] = "H", Fixtures[[#This Row],[awayTeam]], Fixtures[[#This Row],[homeTeam]]))</f>
        <v>N/A</v>
      </c>
      <c r="AB991" s="58" t="str" cm="1">
        <f t="array" ref="AB991">_xlfn._xlws.FILTER(Teams[teamID], Fixtures[[#This Row],[oppTeam]] = Teams[name], "N/A")</f>
        <v>N/A</v>
      </c>
      <c r="AC991" s="58" t="str" cm="1">
        <f t="array" ref="AC991">_xlfn._xlws.FILTER(Teams[teamType], Fixtures[[#This Row],[oppTeam]] = Teams[name], "N/A")</f>
        <v>N/A</v>
      </c>
      <c r="AD991" s="58" t="str">
        <f>IF(ISBLANK(Fixtures[[#This Row],[date]]), "N/A", IF(Fixtures[[#This Row],[userSide]]="H", Fixtures[[#This Row],[homeScore]], Fixtures[[#This Row],[awayScore]]))</f>
        <v>N/A</v>
      </c>
      <c r="AE991" s="58" t="str">
        <f>IF(ISBLANK(Fixtures[[#This Row],[date]]), "N/A", IF(Fixtures[[#This Row],[userScore]] = Fixtures[[#This Row],[homeScore]], Fixtures[[#This Row],[awayScore]], Fixtures[[#This Row],[homeScore]]))</f>
        <v>N/A</v>
      </c>
      <c r="AF991" s="58" t="b">
        <f>NOT(AND(ISBLANK(Fixtures[[#This Row],[homePens]]), ISBLANK(Fixtures[[#This Row],[awayPens]])))</f>
        <v>0</v>
      </c>
      <c r="AG991" s="58" t="str">
        <f>IF(Fixtures[[#This Row],[penalties]], IF(Fixtures[[#This Row],[userSide]]="H", Fixtures[[#This Row],[homePens]], Fixtures[[#This Row],[awayPens]]), "N/A")</f>
        <v>N/A</v>
      </c>
      <c r="AH991" s="58" t="str">
        <f>IF(Fixtures[[#This Row],[penalties]], IF(Fixtures[[#This Row],[userPens]]=Fixtures[[#This Row],[homePens]],Fixtures[[#This Row],[awayPens]],Fixtures[[#This Row],[homePens]]), "N/A")</f>
        <v>N/A</v>
      </c>
      <c r="AI991" s="58" t="b">
        <f>COUNTBLANK(Fixtures[[#This Row],[G]:[MOTM]]) = 0</f>
        <v>0</v>
      </c>
      <c r="AJ991" s="58" t="str">
        <f>IF(Fixtures[[#This Row],[APP]], Fixtures[[#This Row],[G]]+Fixtures[[#This Row],[A]], "N/A")</f>
        <v>N/A</v>
      </c>
      <c r="AK9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2" spans="1:39" ht="13">
      <c r="A992" s="55"/>
      <c r="B992" s="61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7"/>
      <c r="R992" s="56"/>
      <c r="S992" s="58" t="str" cm="1">
        <f t="array" ref="S992">_xlfn._xlws.FILTER(Competitions[compType], (Fixtures[[#This Row],[competition]] = Competitions[name]), "N/A")</f>
        <v>N/A</v>
      </c>
      <c r="T992" s="58" t="str" cm="1">
        <f t="array" ref="T992">_xlfn._xlws.FILTER(Competitions[exhibition], (Fixtures[[#This Row],[competition]] = Competitions[name]), "N/A")</f>
        <v>N/A</v>
      </c>
      <c r="U992" s="58" t="str" cm="1">
        <f t="array" ref="U992">_xlfn._xlws.FILTER(Competitions[compID], (Fixtures[[#This Row],[competition]] = Competitions[name]), "N/A")</f>
        <v>N/A</v>
      </c>
      <c r="V9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2" s="58" t="str" cm="1">
        <f t="array" ref="W9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2" s="58" t="str" cm="1">
        <f t="array" ref="X992">_xlfn._xlws.FILTER(Teams[name], (Fixtures[[#This Row],[userTeamID]] = Teams[teamID]), "N/A")</f>
        <v>N/A</v>
      </c>
      <c r="Y992" s="58" t="str" cm="1">
        <f t="array" ref="Y992">_xlfn._xlws.FILTER(Teams[teamType], (Fixtures[[#This Row],[userTeamID]] = Teams[teamID]), "N/A")</f>
        <v>N/A</v>
      </c>
      <c r="Z992" s="58" t="str" cm="1">
        <f t="array" ref="Z9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2" s="58" t="str">
        <f>IF(Fixtures[[#This Row],[userSide]] = "N/A", "N/A", IF(Fixtures[[#This Row],[userSide]] = "H", Fixtures[[#This Row],[awayTeam]], Fixtures[[#This Row],[homeTeam]]))</f>
        <v>N/A</v>
      </c>
      <c r="AB992" s="58" t="str" cm="1">
        <f t="array" ref="AB992">_xlfn._xlws.FILTER(Teams[teamID], Fixtures[[#This Row],[oppTeam]] = Teams[name], "N/A")</f>
        <v>N/A</v>
      </c>
      <c r="AC992" s="58" t="str" cm="1">
        <f t="array" ref="AC992">_xlfn._xlws.FILTER(Teams[teamType], Fixtures[[#This Row],[oppTeam]] = Teams[name], "N/A")</f>
        <v>N/A</v>
      </c>
      <c r="AD992" s="58" t="str">
        <f>IF(ISBLANK(Fixtures[[#This Row],[date]]), "N/A", IF(Fixtures[[#This Row],[userSide]]="H", Fixtures[[#This Row],[homeScore]], Fixtures[[#This Row],[awayScore]]))</f>
        <v>N/A</v>
      </c>
      <c r="AE992" s="58" t="str">
        <f>IF(ISBLANK(Fixtures[[#This Row],[date]]), "N/A", IF(Fixtures[[#This Row],[userScore]] = Fixtures[[#This Row],[homeScore]], Fixtures[[#This Row],[awayScore]], Fixtures[[#This Row],[homeScore]]))</f>
        <v>N/A</v>
      </c>
      <c r="AF992" s="58" t="b">
        <f>NOT(AND(ISBLANK(Fixtures[[#This Row],[homePens]]), ISBLANK(Fixtures[[#This Row],[awayPens]])))</f>
        <v>0</v>
      </c>
      <c r="AG992" s="58" t="str">
        <f>IF(Fixtures[[#This Row],[penalties]], IF(Fixtures[[#This Row],[userSide]]="H", Fixtures[[#This Row],[homePens]], Fixtures[[#This Row],[awayPens]]), "N/A")</f>
        <v>N/A</v>
      </c>
      <c r="AH992" s="58" t="str">
        <f>IF(Fixtures[[#This Row],[penalties]], IF(Fixtures[[#This Row],[userPens]]=Fixtures[[#This Row],[homePens]],Fixtures[[#This Row],[awayPens]],Fixtures[[#This Row],[homePens]]), "N/A")</f>
        <v>N/A</v>
      </c>
      <c r="AI992" s="58" t="b">
        <f>COUNTBLANK(Fixtures[[#This Row],[G]:[MOTM]]) = 0</f>
        <v>0</v>
      </c>
      <c r="AJ992" s="58" t="str">
        <f>IF(Fixtures[[#This Row],[APP]], Fixtures[[#This Row],[G]]+Fixtures[[#This Row],[A]], "N/A")</f>
        <v>N/A</v>
      </c>
      <c r="AK9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3" spans="1:39" ht="13">
      <c r="A993" s="55"/>
      <c r="B993" s="61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7"/>
      <c r="R993" s="56"/>
      <c r="S993" s="58" t="str" cm="1">
        <f t="array" ref="S993">_xlfn._xlws.FILTER(Competitions[compType], (Fixtures[[#This Row],[competition]] = Competitions[name]), "N/A")</f>
        <v>N/A</v>
      </c>
      <c r="T993" s="58" t="str" cm="1">
        <f t="array" ref="T993">_xlfn._xlws.FILTER(Competitions[exhibition], (Fixtures[[#This Row],[competition]] = Competitions[name]), "N/A")</f>
        <v>N/A</v>
      </c>
      <c r="U993" s="58" t="str" cm="1">
        <f t="array" ref="U993">_xlfn._xlws.FILTER(Competitions[compID], (Fixtures[[#This Row],[competition]] = Competitions[name]), "N/A")</f>
        <v>N/A</v>
      </c>
      <c r="V9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3" s="58" t="str" cm="1">
        <f t="array" ref="W9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3" s="58" t="str" cm="1">
        <f t="array" ref="X993">_xlfn._xlws.FILTER(Teams[name], (Fixtures[[#This Row],[userTeamID]] = Teams[teamID]), "N/A")</f>
        <v>N/A</v>
      </c>
      <c r="Y993" s="58" t="str" cm="1">
        <f t="array" ref="Y993">_xlfn._xlws.FILTER(Teams[teamType], (Fixtures[[#This Row],[userTeamID]] = Teams[teamID]), "N/A")</f>
        <v>N/A</v>
      </c>
      <c r="Z993" s="58" t="str" cm="1">
        <f t="array" ref="Z9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3" s="58" t="str">
        <f>IF(Fixtures[[#This Row],[userSide]] = "N/A", "N/A", IF(Fixtures[[#This Row],[userSide]] = "H", Fixtures[[#This Row],[awayTeam]], Fixtures[[#This Row],[homeTeam]]))</f>
        <v>N/A</v>
      </c>
      <c r="AB993" s="58" t="str" cm="1">
        <f t="array" ref="AB993">_xlfn._xlws.FILTER(Teams[teamID], Fixtures[[#This Row],[oppTeam]] = Teams[name], "N/A")</f>
        <v>N/A</v>
      </c>
      <c r="AC993" s="58" t="str" cm="1">
        <f t="array" ref="AC993">_xlfn._xlws.FILTER(Teams[teamType], Fixtures[[#This Row],[oppTeam]] = Teams[name], "N/A")</f>
        <v>N/A</v>
      </c>
      <c r="AD993" s="58" t="str">
        <f>IF(ISBLANK(Fixtures[[#This Row],[date]]), "N/A", IF(Fixtures[[#This Row],[userSide]]="H", Fixtures[[#This Row],[homeScore]], Fixtures[[#This Row],[awayScore]]))</f>
        <v>N/A</v>
      </c>
      <c r="AE993" s="58" t="str">
        <f>IF(ISBLANK(Fixtures[[#This Row],[date]]), "N/A", IF(Fixtures[[#This Row],[userScore]] = Fixtures[[#This Row],[homeScore]], Fixtures[[#This Row],[awayScore]], Fixtures[[#This Row],[homeScore]]))</f>
        <v>N/A</v>
      </c>
      <c r="AF993" s="58" t="b">
        <f>NOT(AND(ISBLANK(Fixtures[[#This Row],[homePens]]), ISBLANK(Fixtures[[#This Row],[awayPens]])))</f>
        <v>0</v>
      </c>
      <c r="AG993" s="58" t="str">
        <f>IF(Fixtures[[#This Row],[penalties]], IF(Fixtures[[#This Row],[userSide]]="H", Fixtures[[#This Row],[homePens]], Fixtures[[#This Row],[awayPens]]), "N/A")</f>
        <v>N/A</v>
      </c>
      <c r="AH993" s="58" t="str">
        <f>IF(Fixtures[[#This Row],[penalties]], IF(Fixtures[[#This Row],[userPens]]=Fixtures[[#This Row],[homePens]],Fixtures[[#This Row],[awayPens]],Fixtures[[#This Row],[homePens]]), "N/A")</f>
        <v>N/A</v>
      </c>
      <c r="AI993" s="58" t="b">
        <f>COUNTBLANK(Fixtures[[#This Row],[G]:[MOTM]]) = 0</f>
        <v>0</v>
      </c>
      <c r="AJ993" s="58" t="str">
        <f>IF(Fixtures[[#This Row],[APP]], Fixtures[[#This Row],[G]]+Fixtures[[#This Row],[A]], "N/A")</f>
        <v>N/A</v>
      </c>
      <c r="AK9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4" spans="1:39" ht="13">
      <c r="A994" s="55"/>
      <c r="B994" s="61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7"/>
      <c r="R994" s="56"/>
      <c r="S994" s="58" t="str" cm="1">
        <f t="array" ref="S994">_xlfn._xlws.FILTER(Competitions[compType], (Fixtures[[#This Row],[competition]] = Competitions[name]), "N/A")</f>
        <v>N/A</v>
      </c>
      <c r="T994" s="58" t="str" cm="1">
        <f t="array" ref="T994">_xlfn._xlws.FILTER(Competitions[exhibition], (Fixtures[[#This Row],[competition]] = Competitions[name]), "N/A")</f>
        <v>N/A</v>
      </c>
      <c r="U994" s="58" t="str" cm="1">
        <f t="array" ref="U994">_xlfn._xlws.FILTER(Competitions[compID], (Fixtures[[#This Row],[competition]] = Competitions[name]), "N/A")</f>
        <v>N/A</v>
      </c>
      <c r="V9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4" s="58" t="str" cm="1">
        <f t="array" ref="W9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4" s="58" t="str" cm="1">
        <f t="array" ref="X994">_xlfn._xlws.FILTER(Teams[name], (Fixtures[[#This Row],[userTeamID]] = Teams[teamID]), "N/A")</f>
        <v>N/A</v>
      </c>
      <c r="Y994" s="58" t="str" cm="1">
        <f t="array" ref="Y994">_xlfn._xlws.FILTER(Teams[teamType], (Fixtures[[#This Row],[userTeamID]] = Teams[teamID]), "N/A")</f>
        <v>N/A</v>
      </c>
      <c r="Z994" s="58" t="str" cm="1">
        <f t="array" ref="Z9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4" s="58" t="str">
        <f>IF(Fixtures[[#This Row],[userSide]] = "N/A", "N/A", IF(Fixtures[[#This Row],[userSide]] = "H", Fixtures[[#This Row],[awayTeam]], Fixtures[[#This Row],[homeTeam]]))</f>
        <v>N/A</v>
      </c>
      <c r="AB994" s="58" t="str" cm="1">
        <f t="array" ref="AB994">_xlfn._xlws.FILTER(Teams[teamID], Fixtures[[#This Row],[oppTeam]] = Teams[name], "N/A")</f>
        <v>N/A</v>
      </c>
      <c r="AC994" s="58" t="str" cm="1">
        <f t="array" ref="AC994">_xlfn._xlws.FILTER(Teams[teamType], Fixtures[[#This Row],[oppTeam]] = Teams[name], "N/A")</f>
        <v>N/A</v>
      </c>
      <c r="AD994" s="58" t="str">
        <f>IF(ISBLANK(Fixtures[[#This Row],[date]]), "N/A", IF(Fixtures[[#This Row],[userSide]]="H", Fixtures[[#This Row],[homeScore]], Fixtures[[#This Row],[awayScore]]))</f>
        <v>N/A</v>
      </c>
      <c r="AE994" s="58" t="str">
        <f>IF(ISBLANK(Fixtures[[#This Row],[date]]), "N/A", IF(Fixtures[[#This Row],[userScore]] = Fixtures[[#This Row],[homeScore]], Fixtures[[#This Row],[awayScore]], Fixtures[[#This Row],[homeScore]]))</f>
        <v>N/A</v>
      </c>
      <c r="AF994" s="58" t="b">
        <f>NOT(AND(ISBLANK(Fixtures[[#This Row],[homePens]]), ISBLANK(Fixtures[[#This Row],[awayPens]])))</f>
        <v>0</v>
      </c>
      <c r="AG994" s="58" t="str">
        <f>IF(Fixtures[[#This Row],[penalties]], IF(Fixtures[[#This Row],[userSide]]="H", Fixtures[[#This Row],[homePens]], Fixtures[[#This Row],[awayPens]]), "N/A")</f>
        <v>N/A</v>
      </c>
      <c r="AH994" s="58" t="str">
        <f>IF(Fixtures[[#This Row],[penalties]], IF(Fixtures[[#This Row],[userPens]]=Fixtures[[#This Row],[homePens]],Fixtures[[#This Row],[awayPens]],Fixtures[[#This Row],[homePens]]), "N/A")</f>
        <v>N/A</v>
      </c>
      <c r="AI994" s="58" t="b">
        <f>COUNTBLANK(Fixtures[[#This Row],[G]:[MOTM]]) = 0</f>
        <v>0</v>
      </c>
      <c r="AJ994" s="58" t="str">
        <f>IF(Fixtures[[#This Row],[APP]], Fixtures[[#This Row],[G]]+Fixtures[[#This Row],[A]], "N/A")</f>
        <v>N/A</v>
      </c>
      <c r="AK9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5" spans="1:39" ht="13">
      <c r="A995" s="55"/>
      <c r="B995" s="61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7"/>
      <c r="R995" s="56"/>
      <c r="S995" s="58" t="str" cm="1">
        <f t="array" ref="S995">_xlfn._xlws.FILTER(Competitions[compType], (Fixtures[[#This Row],[competition]] = Competitions[name]), "N/A")</f>
        <v>N/A</v>
      </c>
      <c r="T995" s="58" t="str" cm="1">
        <f t="array" ref="T995">_xlfn._xlws.FILTER(Competitions[exhibition], (Fixtures[[#This Row],[competition]] = Competitions[name]), "N/A")</f>
        <v>N/A</v>
      </c>
      <c r="U995" s="58" t="str" cm="1">
        <f t="array" ref="U995">_xlfn._xlws.FILTER(Competitions[compID], (Fixtures[[#This Row],[competition]] = Competitions[name]), "N/A")</f>
        <v>N/A</v>
      </c>
      <c r="V9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5" s="58" t="str" cm="1">
        <f t="array" ref="W9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5" s="58" t="str" cm="1">
        <f t="array" ref="X995">_xlfn._xlws.FILTER(Teams[name], (Fixtures[[#This Row],[userTeamID]] = Teams[teamID]), "N/A")</f>
        <v>N/A</v>
      </c>
      <c r="Y995" s="58" t="str" cm="1">
        <f t="array" ref="Y995">_xlfn._xlws.FILTER(Teams[teamType], (Fixtures[[#This Row],[userTeamID]] = Teams[teamID]), "N/A")</f>
        <v>N/A</v>
      </c>
      <c r="Z995" s="58" t="str" cm="1">
        <f t="array" ref="Z9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5" s="58" t="str">
        <f>IF(Fixtures[[#This Row],[userSide]] = "N/A", "N/A", IF(Fixtures[[#This Row],[userSide]] = "H", Fixtures[[#This Row],[awayTeam]], Fixtures[[#This Row],[homeTeam]]))</f>
        <v>N/A</v>
      </c>
      <c r="AB995" s="58" t="str" cm="1">
        <f t="array" ref="AB995">_xlfn._xlws.FILTER(Teams[teamID], Fixtures[[#This Row],[oppTeam]] = Teams[name], "N/A")</f>
        <v>N/A</v>
      </c>
      <c r="AC995" s="58" t="str" cm="1">
        <f t="array" ref="AC995">_xlfn._xlws.FILTER(Teams[teamType], Fixtures[[#This Row],[oppTeam]] = Teams[name], "N/A")</f>
        <v>N/A</v>
      </c>
      <c r="AD995" s="58" t="str">
        <f>IF(ISBLANK(Fixtures[[#This Row],[date]]), "N/A", IF(Fixtures[[#This Row],[userSide]]="H", Fixtures[[#This Row],[homeScore]], Fixtures[[#This Row],[awayScore]]))</f>
        <v>N/A</v>
      </c>
      <c r="AE995" s="58" t="str">
        <f>IF(ISBLANK(Fixtures[[#This Row],[date]]), "N/A", IF(Fixtures[[#This Row],[userScore]] = Fixtures[[#This Row],[homeScore]], Fixtures[[#This Row],[awayScore]], Fixtures[[#This Row],[homeScore]]))</f>
        <v>N/A</v>
      </c>
      <c r="AF995" s="58" t="b">
        <f>NOT(AND(ISBLANK(Fixtures[[#This Row],[homePens]]), ISBLANK(Fixtures[[#This Row],[awayPens]])))</f>
        <v>0</v>
      </c>
      <c r="AG995" s="58" t="str">
        <f>IF(Fixtures[[#This Row],[penalties]], IF(Fixtures[[#This Row],[userSide]]="H", Fixtures[[#This Row],[homePens]], Fixtures[[#This Row],[awayPens]]), "N/A")</f>
        <v>N/A</v>
      </c>
      <c r="AH995" s="58" t="str">
        <f>IF(Fixtures[[#This Row],[penalties]], IF(Fixtures[[#This Row],[userPens]]=Fixtures[[#This Row],[homePens]],Fixtures[[#This Row],[awayPens]],Fixtures[[#This Row],[homePens]]), "N/A")</f>
        <v>N/A</v>
      </c>
      <c r="AI995" s="58" t="b">
        <f>COUNTBLANK(Fixtures[[#This Row],[G]:[MOTM]]) = 0</f>
        <v>0</v>
      </c>
      <c r="AJ995" s="58" t="str">
        <f>IF(Fixtures[[#This Row],[APP]], Fixtures[[#This Row],[G]]+Fixtures[[#This Row],[A]], "N/A")</f>
        <v>N/A</v>
      </c>
      <c r="AK9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6" spans="1:39" ht="13">
      <c r="A996" s="55"/>
      <c r="B996" s="61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7"/>
      <c r="R996" s="56"/>
      <c r="S996" s="58" t="str" cm="1">
        <f t="array" ref="S996">_xlfn._xlws.FILTER(Competitions[compType], (Fixtures[[#This Row],[competition]] = Competitions[name]), "N/A")</f>
        <v>N/A</v>
      </c>
      <c r="T996" s="58" t="str" cm="1">
        <f t="array" ref="T996">_xlfn._xlws.FILTER(Competitions[exhibition], (Fixtures[[#This Row],[competition]] = Competitions[name]), "N/A")</f>
        <v>N/A</v>
      </c>
      <c r="U996" s="58" t="str" cm="1">
        <f t="array" ref="U996">_xlfn._xlws.FILTER(Competitions[compID], (Fixtures[[#This Row],[competition]] = Competitions[name]), "N/A")</f>
        <v>N/A</v>
      </c>
      <c r="V9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6" s="58" t="str" cm="1">
        <f t="array" ref="W9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6" s="58" t="str" cm="1">
        <f t="array" ref="X996">_xlfn._xlws.FILTER(Teams[name], (Fixtures[[#This Row],[userTeamID]] = Teams[teamID]), "N/A")</f>
        <v>N/A</v>
      </c>
      <c r="Y996" s="58" t="str" cm="1">
        <f t="array" ref="Y996">_xlfn._xlws.FILTER(Teams[teamType], (Fixtures[[#This Row],[userTeamID]] = Teams[teamID]), "N/A")</f>
        <v>N/A</v>
      </c>
      <c r="Z996" s="58" t="str" cm="1">
        <f t="array" ref="Z9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6" s="58" t="str">
        <f>IF(Fixtures[[#This Row],[userSide]] = "N/A", "N/A", IF(Fixtures[[#This Row],[userSide]] = "H", Fixtures[[#This Row],[awayTeam]], Fixtures[[#This Row],[homeTeam]]))</f>
        <v>N/A</v>
      </c>
      <c r="AB996" s="58" t="str" cm="1">
        <f t="array" ref="AB996">_xlfn._xlws.FILTER(Teams[teamID], Fixtures[[#This Row],[oppTeam]] = Teams[name], "N/A")</f>
        <v>N/A</v>
      </c>
      <c r="AC996" s="58" t="str" cm="1">
        <f t="array" ref="AC996">_xlfn._xlws.FILTER(Teams[teamType], Fixtures[[#This Row],[oppTeam]] = Teams[name], "N/A")</f>
        <v>N/A</v>
      </c>
      <c r="AD996" s="58" t="str">
        <f>IF(ISBLANK(Fixtures[[#This Row],[date]]), "N/A", IF(Fixtures[[#This Row],[userSide]]="H", Fixtures[[#This Row],[homeScore]], Fixtures[[#This Row],[awayScore]]))</f>
        <v>N/A</v>
      </c>
      <c r="AE996" s="58" t="str">
        <f>IF(ISBLANK(Fixtures[[#This Row],[date]]), "N/A", IF(Fixtures[[#This Row],[userScore]] = Fixtures[[#This Row],[homeScore]], Fixtures[[#This Row],[awayScore]], Fixtures[[#This Row],[homeScore]]))</f>
        <v>N/A</v>
      </c>
      <c r="AF996" s="58" t="b">
        <f>NOT(AND(ISBLANK(Fixtures[[#This Row],[homePens]]), ISBLANK(Fixtures[[#This Row],[awayPens]])))</f>
        <v>0</v>
      </c>
      <c r="AG996" s="58" t="str">
        <f>IF(Fixtures[[#This Row],[penalties]], IF(Fixtures[[#This Row],[userSide]]="H", Fixtures[[#This Row],[homePens]], Fixtures[[#This Row],[awayPens]]), "N/A")</f>
        <v>N/A</v>
      </c>
      <c r="AH996" s="58" t="str">
        <f>IF(Fixtures[[#This Row],[penalties]], IF(Fixtures[[#This Row],[userPens]]=Fixtures[[#This Row],[homePens]],Fixtures[[#This Row],[awayPens]],Fixtures[[#This Row],[homePens]]), "N/A")</f>
        <v>N/A</v>
      </c>
      <c r="AI996" s="58" t="b">
        <f>COUNTBLANK(Fixtures[[#This Row],[G]:[MOTM]]) = 0</f>
        <v>0</v>
      </c>
      <c r="AJ996" s="58" t="str">
        <f>IF(Fixtures[[#This Row],[APP]], Fixtures[[#This Row],[G]]+Fixtures[[#This Row],[A]], "N/A")</f>
        <v>N/A</v>
      </c>
      <c r="AK9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7" spans="1:39" ht="13">
      <c r="A997" s="55"/>
      <c r="B997" s="61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7"/>
      <c r="R997" s="56"/>
      <c r="S997" s="58" t="str" cm="1">
        <f t="array" ref="S997">_xlfn._xlws.FILTER(Competitions[compType], (Fixtures[[#This Row],[competition]] = Competitions[name]), "N/A")</f>
        <v>N/A</v>
      </c>
      <c r="T997" s="58" t="str" cm="1">
        <f t="array" ref="T997">_xlfn._xlws.FILTER(Competitions[exhibition], (Fixtures[[#This Row],[competition]] = Competitions[name]), "N/A")</f>
        <v>N/A</v>
      </c>
      <c r="U997" s="58" t="str" cm="1">
        <f t="array" ref="U997">_xlfn._xlws.FILTER(Competitions[compID], (Fixtures[[#This Row],[competition]] = Competitions[name]), "N/A")</f>
        <v>N/A</v>
      </c>
      <c r="V9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7" s="58" t="str" cm="1">
        <f t="array" ref="W9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7" s="58" t="str" cm="1">
        <f t="array" ref="X997">_xlfn._xlws.FILTER(Teams[name], (Fixtures[[#This Row],[userTeamID]] = Teams[teamID]), "N/A")</f>
        <v>N/A</v>
      </c>
      <c r="Y997" s="58" t="str" cm="1">
        <f t="array" ref="Y997">_xlfn._xlws.FILTER(Teams[teamType], (Fixtures[[#This Row],[userTeamID]] = Teams[teamID]), "N/A")</f>
        <v>N/A</v>
      </c>
      <c r="Z997" s="58" t="str" cm="1">
        <f t="array" ref="Z9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7" s="58" t="str">
        <f>IF(Fixtures[[#This Row],[userSide]] = "N/A", "N/A", IF(Fixtures[[#This Row],[userSide]] = "H", Fixtures[[#This Row],[awayTeam]], Fixtures[[#This Row],[homeTeam]]))</f>
        <v>N/A</v>
      </c>
      <c r="AB997" s="58" t="str" cm="1">
        <f t="array" ref="AB997">_xlfn._xlws.FILTER(Teams[teamID], Fixtures[[#This Row],[oppTeam]] = Teams[name], "N/A")</f>
        <v>N/A</v>
      </c>
      <c r="AC997" s="58" t="str" cm="1">
        <f t="array" ref="AC997">_xlfn._xlws.FILTER(Teams[teamType], Fixtures[[#This Row],[oppTeam]] = Teams[name], "N/A")</f>
        <v>N/A</v>
      </c>
      <c r="AD997" s="58" t="str">
        <f>IF(ISBLANK(Fixtures[[#This Row],[date]]), "N/A", IF(Fixtures[[#This Row],[userSide]]="H", Fixtures[[#This Row],[homeScore]], Fixtures[[#This Row],[awayScore]]))</f>
        <v>N/A</v>
      </c>
      <c r="AE997" s="58" t="str">
        <f>IF(ISBLANK(Fixtures[[#This Row],[date]]), "N/A", IF(Fixtures[[#This Row],[userScore]] = Fixtures[[#This Row],[homeScore]], Fixtures[[#This Row],[awayScore]], Fixtures[[#This Row],[homeScore]]))</f>
        <v>N/A</v>
      </c>
      <c r="AF997" s="58" t="b">
        <f>NOT(AND(ISBLANK(Fixtures[[#This Row],[homePens]]), ISBLANK(Fixtures[[#This Row],[awayPens]])))</f>
        <v>0</v>
      </c>
      <c r="AG997" s="58" t="str">
        <f>IF(Fixtures[[#This Row],[penalties]], IF(Fixtures[[#This Row],[userSide]]="H", Fixtures[[#This Row],[homePens]], Fixtures[[#This Row],[awayPens]]), "N/A")</f>
        <v>N/A</v>
      </c>
      <c r="AH997" s="58" t="str">
        <f>IF(Fixtures[[#This Row],[penalties]], IF(Fixtures[[#This Row],[userPens]]=Fixtures[[#This Row],[homePens]],Fixtures[[#This Row],[awayPens]],Fixtures[[#This Row],[homePens]]), "N/A")</f>
        <v>N/A</v>
      </c>
      <c r="AI997" s="58" t="b">
        <f>COUNTBLANK(Fixtures[[#This Row],[G]:[MOTM]]) = 0</f>
        <v>0</v>
      </c>
      <c r="AJ997" s="58" t="str">
        <f>IF(Fixtures[[#This Row],[APP]], Fixtures[[#This Row],[G]]+Fixtures[[#This Row],[A]], "N/A")</f>
        <v>N/A</v>
      </c>
      <c r="AK9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8" spans="1:39" ht="13">
      <c r="A998" s="55"/>
      <c r="B998" s="61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7"/>
      <c r="R998" s="56"/>
      <c r="S998" s="58" t="str" cm="1">
        <f t="array" ref="S998">_xlfn._xlws.FILTER(Competitions[compType], (Fixtures[[#This Row],[competition]] = Competitions[name]), "N/A")</f>
        <v>N/A</v>
      </c>
      <c r="T998" s="58" t="str" cm="1">
        <f t="array" ref="T998">_xlfn._xlws.FILTER(Competitions[exhibition], (Fixtures[[#This Row],[competition]] = Competitions[name]), "N/A")</f>
        <v>N/A</v>
      </c>
      <c r="U998" s="58" t="str" cm="1">
        <f t="array" ref="U998">_xlfn._xlws.FILTER(Competitions[compID], (Fixtures[[#This Row],[competition]] = Competitions[name]), "N/A")</f>
        <v>N/A</v>
      </c>
      <c r="V9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8" s="58" t="str" cm="1">
        <f t="array" ref="W9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8" s="58" t="str" cm="1">
        <f t="array" ref="X998">_xlfn._xlws.FILTER(Teams[name], (Fixtures[[#This Row],[userTeamID]] = Teams[teamID]), "N/A")</f>
        <v>N/A</v>
      </c>
      <c r="Y998" s="58" t="str" cm="1">
        <f t="array" ref="Y998">_xlfn._xlws.FILTER(Teams[teamType], (Fixtures[[#This Row],[userTeamID]] = Teams[teamID]), "N/A")</f>
        <v>N/A</v>
      </c>
      <c r="Z998" s="58" t="str" cm="1">
        <f t="array" ref="Z9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8" s="58" t="str">
        <f>IF(Fixtures[[#This Row],[userSide]] = "N/A", "N/A", IF(Fixtures[[#This Row],[userSide]] = "H", Fixtures[[#This Row],[awayTeam]], Fixtures[[#This Row],[homeTeam]]))</f>
        <v>N/A</v>
      </c>
      <c r="AB998" s="58" t="str" cm="1">
        <f t="array" ref="AB998">_xlfn._xlws.FILTER(Teams[teamID], Fixtures[[#This Row],[oppTeam]] = Teams[name], "N/A")</f>
        <v>N/A</v>
      </c>
      <c r="AC998" s="58" t="str" cm="1">
        <f t="array" ref="AC998">_xlfn._xlws.FILTER(Teams[teamType], Fixtures[[#This Row],[oppTeam]] = Teams[name], "N/A")</f>
        <v>N/A</v>
      </c>
      <c r="AD998" s="58" t="str">
        <f>IF(ISBLANK(Fixtures[[#This Row],[date]]), "N/A", IF(Fixtures[[#This Row],[userSide]]="H", Fixtures[[#This Row],[homeScore]], Fixtures[[#This Row],[awayScore]]))</f>
        <v>N/A</v>
      </c>
      <c r="AE998" s="58" t="str">
        <f>IF(ISBLANK(Fixtures[[#This Row],[date]]), "N/A", IF(Fixtures[[#This Row],[userScore]] = Fixtures[[#This Row],[homeScore]], Fixtures[[#This Row],[awayScore]], Fixtures[[#This Row],[homeScore]]))</f>
        <v>N/A</v>
      </c>
      <c r="AF998" s="58" t="b">
        <f>NOT(AND(ISBLANK(Fixtures[[#This Row],[homePens]]), ISBLANK(Fixtures[[#This Row],[awayPens]])))</f>
        <v>0</v>
      </c>
      <c r="AG998" s="58" t="str">
        <f>IF(Fixtures[[#This Row],[penalties]], IF(Fixtures[[#This Row],[userSide]]="H", Fixtures[[#This Row],[homePens]], Fixtures[[#This Row],[awayPens]]), "N/A")</f>
        <v>N/A</v>
      </c>
      <c r="AH998" s="58" t="str">
        <f>IF(Fixtures[[#This Row],[penalties]], IF(Fixtures[[#This Row],[userPens]]=Fixtures[[#This Row],[homePens]],Fixtures[[#This Row],[awayPens]],Fixtures[[#This Row],[homePens]]), "N/A")</f>
        <v>N/A</v>
      </c>
      <c r="AI998" s="58" t="b">
        <f>COUNTBLANK(Fixtures[[#This Row],[G]:[MOTM]]) = 0</f>
        <v>0</v>
      </c>
      <c r="AJ998" s="58" t="str">
        <f>IF(Fixtures[[#This Row],[APP]], Fixtures[[#This Row],[G]]+Fixtures[[#This Row],[A]], "N/A")</f>
        <v>N/A</v>
      </c>
      <c r="AK9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999" spans="1:39" ht="13">
      <c r="A999" s="55"/>
      <c r="B999" s="61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7"/>
      <c r="R999" s="56"/>
      <c r="S999" s="58" t="str" cm="1">
        <f t="array" ref="S999">_xlfn._xlws.FILTER(Competitions[compType], (Fixtures[[#This Row],[competition]] = Competitions[name]), "N/A")</f>
        <v>N/A</v>
      </c>
      <c r="T999" s="58" t="str" cm="1">
        <f t="array" ref="T999">_xlfn._xlws.FILTER(Competitions[exhibition], (Fixtures[[#This Row],[competition]] = Competitions[name]), "N/A")</f>
        <v>N/A</v>
      </c>
      <c r="U999" s="58" t="str" cm="1">
        <f t="array" ref="U999">_xlfn._xlws.FILTER(Competitions[compID], (Fixtures[[#This Row],[competition]] = Competitions[name]), "N/A")</f>
        <v>N/A</v>
      </c>
      <c r="V9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999" s="58" t="str" cm="1">
        <f t="array" ref="W9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999" s="58" t="str" cm="1">
        <f t="array" ref="X999">_xlfn._xlws.FILTER(Teams[name], (Fixtures[[#This Row],[userTeamID]] = Teams[teamID]), "N/A")</f>
        <v>N/A</v>
      </c>
      <c r="Y999" s="58" t="str" cm="1">
        <f t="array" ref="Y999">_xlfn._xlws.FILTER(Teams[teamType], (Fixtures[[#This Row],[userTeamID]] = Teams[teamID]), "N/A")</f>
        <v>N/A</v>
      </c>
      <c r="Z999" s="58" t="str" cm="1">
        <f t="array" ref="Z9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999" s="58" t="str">
        <f>IF(Fixtures[[#This Row],[userSide]] = "N/A", "N/A", IF(Fixtures[[#This Row],[userSide]] = "H", Fixtures[[#This Row],[awayTeam]], Fixtures[[#This Row],[homeTeam]]))</f>
        <v>N/A</v>
      </c>
      <c r="AB999" s="58" t="str" cm="1">
        <f t="array" ref="AB999">_xlfn._xlws.FILTER(Teams[teamID], Fixtures[[#This Row],[oppTeam]] = Teams[name], "N/A")</f>
        <v>N/A</v>
      </c>
      <c r="AC999" s="58" t="str" cm="1">
        <f t="array" ref="AC999">_xlfn._xlws.FILTER(Teams[teamType], Fixtures[[#This Row],[oppTeam]] = Teams[name], "N/A")</f>
        <v>N/A</v>
      </c>
      <c r="AD999" s="58" t="str">
        <f>IF(ISBLANK(Fixtures[[#This Row],[date]]), "N/A", IF(Fixtures[[#This Row],[userSide]]="H", Fixtures[[#This Row],[homeScore]], Fixtures[[#This Row],[awayScore]]))</f>
        <v>N/A</v>
      </c>
      <c r="AE999" s="58" t="str">
        <f>IF(ISBLANK(Fixtures[[#This Row],[date]]), "N/A", IF(Fixtures[[#This Row],[userScore]] = Fixtures[[#This Row],[homeScore]], Fixtures[[#This Row],[awayScore]], Fixtures[[#This Row],[homeScore]]))</f>
        <v>N/A</v>
      </c>
      <c r="AF999" s="58" t="b">
        <f>NOT(AND(ISBLANK(Fixtures[[#This Row],[homePens]]), ISBLANK(Fixtures[[#This Row],[awayPens]])))</f>
        <v>0</v>
      </c>
      <c r="AG999" s="58" t="str">
        <f>IF(Fixtures[[#This Row],[penalties]], IF(Fixtures[[#This Row],[userSide]]="H", Fixtures[[#This Row],[homePens]], Fixtures[[#This Row],[awayPens]]), "N/A")</f>
        <v>N/A</v>
      </c>
      <c r="AH999" s="58" t="str">
        <f>IF(Fixtures[[#This Row],[penalties]], IF(Fixtures[[#This Row],[userPens]]=Fixtures[[#This Row],[homePens]],Fixtures[[#This Row],[awayPens]],Fixtures[[#This Row],[homePens]]), "N/A")</f>
        <v>N/A</v>
      </c>
      <c r="AI999" s="58" t="b">
        <f>COUNTBLANK(Fixtures[[#This Row],[G]:[MOTM]]) = 0</f>
        <v>0</v>
      </c>
      <c r="AJ999" s="58" t="str">
        <f>IF(Fixtures[[#This Row],[APP]], Fixtures[[#This Row],[G]]+Fixtures[[#This Row],[A]], "N/A")</f>
        <v>N/A</v>
      </c>
      <c r="AK9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9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9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0" spans="1:39" ht="13">
      <c r="A1000" s="55"/>
      <c r="B1000" s="61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7"/>
      <c r="R1000" s="56"/>
      <c r="S1000" s="58" t="str" cm="1">
        <f t="array" ref="S1000">_xlfn._xlws.FILTER(Competitions[compType], (Fixtures[[#This Row],[competition]] = Competitions[name]), "N/A")</f>
        <v>N/A</v>
      </c>
      <c r="T1000" s="58" t="str" cm="1">
        <f t="array" ref="T1000">_xlfn._xlws.FILTER(Competitions[exhibition], (Fixtures[[#This Row],[competition]] = Competitions[name]), "N/A")</f>
        <v>N/A</v>
      </c>
      <c r="U1000" s="58" t="str" cm="1">
        <f t="array" ref="U1000">_xlfn._xlws.FILTER(Competitions[compID], (Fixtures[[#This Row],[competition]] = Competitions[name]), "N/A")</f>
        <v>N/A</v>
      </c>
      <c r="V10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0" s="58" t="str" cm="1">
        <f t="array" ref="W10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0" s="58" t="str" cm="1">
        <f t="array" ref="X1000">_xlfn._xlws.FILTER(Teams[name], (Fixtures[[#This Row],[userTeamID]] = Teams[teamID]), "N/A")</f>
        <v>N/A</v>
      </c>
      <c r="Y1000" s="58" t="str" cm="1">
        <f t="array" ref="Y1000">_xlfn._xlws.FILTER(Teams[teamType], (Fixtures[[#This Row],[userTeamID]] = Teams[teamID]), "N/A")</f>
        <v>N/A</v>
      </c>
      <c r="Z1000" s="58" t="str" cm="1">
        <f t="array" ref="Z10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0" s="58" t="str">
        <f>IF(Fixtures[[#This Row],[userSide]] = "N/A", "N/A", IF(Fixtures[[#This Row],[userSide]] = "H", Fixtures[[#This Row],[awayTeam]], Fixtures[[#This Row],[homeTeam]]))</f>
        <v>N/A</v>
      </c>
      <c r="AB1000" s="58" t="str" cm="1">
        <f t="array" ref="AB1000">_xlfn._xlws.FILTER(Teams[teamID], Fixtures[[#This Row],[oppTeam]] = Teams[name], "N/A")</f>
        <v>N/A</v>
      </c>
      <c r="AC1000" s="58" t="str" cm="1">
        <f t="array" ref="AC1000">_xlfn._xlws.FILTER(Teams[teamType], Fixtures[[#This Row],[oppTeam]] = Teams[name], "N/A")</f>
        <v>N/A</v>
      </c>
      <c r="AD1000" s="58" t="str">
        <f>IF(ISBLANK(Fixtures[[#This Row],[date]]), "N/A", IF(Fixtures[[#This Row],[userSide]]="H", Fixtures[[#This Row],[homeScore]], Fixtures[[#This Row],[awayScore]]))</f>
        <v>N/A</v>
      </c>
      <c r="AE1000" s="58" t="str">
        <f>IF(ISBLANK(Fixtures[[#This Row],[date]]), "N/A", IF(Fixtures[[#This Row],[userScore]] = Fixtures[[#This Row],[homeScore]], Fixtures[[#This Row],[awayScore]], Fixtures[[#This Row],[homeScore]]))</f>
        <v>N/A</v>
      </c>
      <c r="AF1000" s="58" t="b">
        <f>NOT(AND(ISBLANK(Fixtures[[#This Row],[homePens]]), ISBLANK(Fixtures[[#This Row],[awayPens]])))</f>
        <v>0</v>
      </c>
      <c r="AG1000" s="58" t="str">
        <f>IF(Fixtures[[#This Row],[penalties]], IF(Fixtures[[#This Row],[userSide]]="H", Fixtures[[#This Row],[homePens]], Fixtures[[#This Row],[awayPens]]), "N/A")</f>
        <v>N/A</v>
      </c>
      <c r="AH1000" s="58" t="str">
        <f>IF(Fixtures[[#This Row],[penalties]], IF(Fixtures[[#This Row],[userPens]]=Fixtures[[#This Row],[homePens]],Fixtures[[#This Row],[awayPens]],Fixtures[[#This Row],[homePens]]), "N/A")</f>
        <v>N/A</v>
      </c>
      <c r="AI1000" s="58" t="b">
        <f>COUNTBLANK(Fixtures[[#This Row],[G]:[MOTM]]) = 0</f>
        <v>0</v>
      </c>
      <c r="AJ1000" s="58" t="str">
        <f>IF(Fixtures[[#This Row],[APP]], Fixtures[[#This Row],[G]]+Fixtures[[#This Row],[A]], "N/A")</f>
        <v>N/A</v>
      </c>
      <c r="AK10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1" spans="1:39" ht="13">
      <c r="A1001" s="55"/>
      <c r="B1001" s="61"/>
      <c r="C1001" s="56"/>
      <c r="D1001" s="56"/>
      <c r="E1001" s="56"/>
      <c r="F1001" s="56"/>
      <c r="G1001" s="56"/>
      <c r="H1001" s="56"/>
      <c r="I1001" s="56"/>
      <c r="J1001" s="56"/>
      <c r="K1001" s="56"/>
      <c r="L1001" s="56"/>
      <c r="M1001" s="56"/>
      <c r="N1001" s="56"/>
      <c r="O1001" s="56"/>
      <c r="P1001" s="56"/>
      <c r="Q1001" s="57"/>
      <c r="R1001" s="56"/>
      <c r="S1001" s="58" t="str" cm="1">
        <f t="array" ref="S1001">_xlfn._xlws.FILTER(Competitions[compType], (Fixtures[[#This Row],[competition]] = Competitions[name]), "N/A")</f>
        <v>N/A</v>
      </c>
      <c r="T1001" s="58" t="str" cm="1">
        <f t="array" ref="T1001">_xlfn._xlws.FILTER(Competitions[exhibition], (Fixtures[[#This Row],[competition]] = Competitions[name]), "N/A")</f>
        <v>N/A</v>
      </c>
      <c r="U1001" s="58" t="str" cm="1">
        <f t="array" ref="U1001">_xlfn._xlws.FILTER(Competitions[compID], (Fixtures[[#This Row],[competition]] = Competitions[name]), "N/A")</f>
        <v>N/A</v>
      </c>
      <c r="V10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1" s="58" t="str" cm="1">
        <f t="array" ref="W10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1" s="58" t="str" cm="1">
        <f t="array" ref="X1001">_xlfn._xlws.FILTER(Teams[name], (Fixtures[[#This Row],[userTeamID]] = Teams[teamID]), "N/A")</f>
        <v>N/A</v>
      </c>
      <c r="Y1001" s="58" t="str" cm="1">
        <f t="array" ref="Y1001">_xlfn._xlws.FILTER(Teams[teamType], (Fixtures[[#This Row],[userTeamID]] = Teams[teamID]), "N/A")</f>
        <v>N/A</v>
      </c>
      <c r="Z1001" s="58" t="str" cm="1">
        <f t="array" ref="Z10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1" s="58" t="str">
        <f>IF(Fixtures[[#This Row],[userSide]] = "N/A", "N/A", IF(Fixtures[[#This Row],[userSide]] = "H", Fixtures[[#This Row],[awayTeam]], Fixtures[[#This Row],[homeTeam]]))</f>
        <v>N/A</v>
      </c>
      <c r="AB1001" s="58" t="str" cm="1">
        <f t="array" ref="AB1001">_xlfn._xlws.FILTER(Teams[teamID], Fixtures[[#This Row],[oppTeam]] = Teams[name], "N/A")</f>
        <v>N/A</v>
      </c>
      <c r="AC1001" s="58" t="str" cm="1">
        <f t="array" ref="AC1001">_xlfn._xlws.FILTER(Teams[teamType], Fixtures[[#This Row],[oppTeam]] = Teams[name], "N/A")</f>
        <v>N/A</v>
      </c>
      <c r="AD1001" s="58" t="str">
        <f>IF(ISBLANK(Fixtures[[#This Row],[date]]), "N/A", IF(Fixtures[[#This Row],[userSide]]="H", Fixtures[[#This Row],[homeScore]], Fixtures[[#This Row],[awayScore]]))</f>
        <v>N/A</v>
      </c>
      <c r="AE1001" s="58" t="str">
        <f>IF(ISBLANK(Fixtures[[#This Row],[date]]), "N/A", IF(Fixtures[[#This Row],[userScore]] = Fixtures[[#This Row],[homeScore]], Fixtures[[#This Row],[awayScore]], Fixtures[[#This Row],[homeScore]]))</f>
        <v>N/A</v>
      </c>
      <c r="AF1001" s="58" t="b">
        <f>NOT(AND(ISBLANK(Fixtures[[#This Row],[homePens]]), ISBLANK(Fixtures[[#This Row],[awayPens]])))</f>
        <v>0</v>
      </c>
      <c r="AG1001" s="58" t="str">
        <f>IF(Fixtures[[#This Row],[penalties]], IF(Fixtures[[#This Row],[userSide]]="H", Fixtures[[#This Row],[homePens]], Fixtures[[#This Row],[awayPens]]), "N/A")</f>
        <v>N/A</v>
      </c>
      <c r="AH1001" s="58" t="str">
        <f>IF(Fixtures[[#This Row],[penalties]], IF(Fixtures[[#This Row],[userPens]]=Fixtures[[#This Row],[homePens]],Fixtures[[#This Row],[awayPens]],Fixtures[[#This Row],[homePens]]), "N/A")</f>
        <v>N/A</v>
      </c>
      <c r="AI1001" s="58" t="b">
        <f>COUNTBLANK(Fixtures[[#This Row],[G]:[MOTM]]) = 0</f>
        <v>0</v>
      </c>
      <c r="AJ1001" s="58" t="str">
        <f>IF(Fixtures[[#This Row],[APP]], Fixtures[[#This Row],[G]]+Fixtures[[#This Row],[A]], "N/A")</f>
        <v>N/A</v>
      </c>
      <c r="AK10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2" spans="1:39" ht="13">
      <c r="A1002" s="55"/>
      <c r="B1002" s="61"/>
      <c r="C1002" s="56"/>
      <c r="D1002" s="56"/>
      <c r="E1002" s="56"/>
      <c r="F1002" s="56"/>
      <c r="G1002" s="56"/>
      <c r="H1002" s="56"/>
      <c r="I1002" s="56"/>
      <c r="J1002" s="56"/>
      <c r="K1002" s="56"/>
      <c r="L1002" s="56"/>
      <c r="M1002" s="56"/>
      <c r="N1002" s="56"/>
      <c r="O1002" s="56"/>
      <c r="P1002" s="56"/>
      <c r="Q1002" s="57"/>
      <c r="R1002" s="56"/>
      <c r="S1002" s="58" t="str" cm="1">
        <f t="array" ref="S1002">_xlfn._xlws.FILTER(Competitions[compType], (Fixtures[[#This Row],[competition]] = Competitions[name]), "N/A")</f>
        <v>N/A</v>
      </c>
      <c r="T1002" s="58" t="str" cm="1">
        <f t="array" ref="T1002">_xlfn._xlws.FILTER(Competitions[exhibition], (Fixtures[[#This Row],[competition]] = Competitions[name]), "N/A")</f>
        <v>N/A</v>
      </c>
      <c r="U1002" s="58" t="str" cm="1">
        <f t="array" ref="U1002">_xlfn._xlws.FILTER(Competitions[compID], (Fixtures[[#This Row],[competition]] = Competitions[name]), "N/A")</f>
        <v>N/A</v>
      </c>
      <c r="V10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2" s="58" t="str" cm="1">
        <f t="array" ref="W10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2" s="58" t="str" cm="1">
        <f t="array" ref="X1002">_xlfn._xlws.FILTER(Teams[name], (Fixtures[[#This Row],[userTeamID]] = Teams[teamID]), "N/A")</f>
        <v>N/A</v>
      </c>
      <c r="Y1002" s="58" t="str" cm="1">
        <f t="array" ref="Y1002">_xlfn._xlws.FILTER(Teams[teamType], (Fixtures[[#This Row],[userTeamID]] = Teams[teamID]), "N/A")</f>
        <v>N/A</v>
      </c>
      <c r="Z1002" s="58" t="str" cm="1">
        <f t="array" ref="Z10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2" s="58" t="str">
        <f>IF(Fixtures[[#This Row],[userSide]] = "N/A", "N/A", IF(Fixtures[[#This Row],[userSide]] = "H", Fixtures[[#This Row],[awayTeam]], Fixtures[[#This Row],[homeTeam]]))</f>
        <v>N/A</v>
      </c>
      <c r="AB1002" s="58" t="str" cm="1">
        <f t="array" ref="AB1002">_xlfn._xlws.FILTER(Teams[teamID], Fixtures[[#This Row],[oppTeam]] = Teams[name], "N/A")</f>
        <v>N/A</v>
      </c>
      <c r="AC1002" s="58" t="str" cm="1">
        <f t="array" ref="AC1002">_xlfn._xlws.FILTER(Teams[teamType], Fixtures[[#This Row],[oppTeam]] = Teams[name], "N/A")</f>
        <v>N/A</v>
      </c>
      <c r="AD1002" s="58" t="str">
        <f>IF(ISBLANK(Fixtures[[#This Row],[date]]), "N/A", IF(Fixtures[[#This Row],[userSide]]="H", Fixtures[[#This Row],[homeScore]], Fixtures[[#This Row],[awayScore]]))</f>
        <v>N/A</v>
      </c>
      <c r="AE1002" s="58" t="str">
        <f>IF(ISBLANK(Fixtures[[#This Row],[date]]), "N/A", IF(Fixtures[[#This Row],[userScore]] = Fixtures[[#This Row],[homeScore]], Fixtures[[#This Row],[awayScore]], Fixtures[[#This Row],[homeScore]]))</f>
        <v>N/A</v>
      </c>
      <c r="AF1002" s="58" t="b">
        <f>NOT(AND(ISBLANK(Fixtures[[#This Row],[homePens]]), ISBLANK(Fixtures[[#This Row],[awayPens]])))</f>
        <v>0</v>
      </c>
      <c r="AG1002" s="58" t="str">
        <f>IF(Fixtures[[#This Row],[penalties]], IF(Fixtures[[#This Row],[userSide]]="H", Fixtures[[#This Row],[homePens]], Fixtures[[#This Row],[awayPens]]), "N/A")</f>
        <v>N/A</v>
      </c>
      <c r="AH1002" s="58" t="str">
        <f>IF(Fixtures[[#This Row],[penalties]], IF(Fixtures[[#This Row],[userPens]]=Fixtures[[#This Row],[homePens]],Fixtures[[#This Row],[awayPens]],Fixtures[[#This Row],[homePens]]), "N/A")</f>
        <v>N/A</v>
      </c>
      <c r="AI1002" s="58" t="b">
        <f>COUNTBLANK(Fixtures[[#This Row],[G]:[MOTM]]) = 0</f>
        <v>0</v>
      </c>
      <c r="AJ1002" s="58" t="str">
        <f>IF(Fixtures[[#This Row],[APP]], Fixtures[[#This Row],[G]]+Fixtures[[#This Row],[A]], "N/A")</f>
        <v>N/A</v>
      </c>
      <c r="AK10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3" spans="1:39" ht="13">
      <c r="A1003" s="55"/>
      <c r="B1003" s="61"/>
      <c r="C1003" s="56"/>
      <c r="D1003" s="56"/>
      <c r="E1003" s="56"/>
      <c r="F1003" s="56"/>
      <c r="G1003" s="56"/>
      <c r="H1003" s="56"/>
      <c r="I1003" s="56"/>
      <c r="J1003" s="56"/>
      <c r="K1003" s="56"/>
      <c r="L1003" s="56"/>
      <c r="M1003" s="56"/>
      <c r="N1003" s="56"/>
      <c r="O1003" s="56"/>
      <c r="P1003" s="56"/>
      <c r="Q1003" s="57"/>
      <c r="R1003" s="56"/>
      <c r="S1003" s="58" t="str" cm="1">
        <f t="array" ref="S1003">_xlfn._xlws.FILTER(Competitions[compType], (Fixtures[[#This Row],[competition]] = Competitions[name]), "N/A")</f>
        <v>N/A</v>
      </c>
      <c r="T1003" s="58" t="str" cm="1">
        <f t="array" ref="T1003">_xlfn._xlws.FILTER(Competitions[exhibition], (Fixtures[[#This Row],[competition]] = Competitions[name]), "N/A")</f>
        <v>N/A</v>
      </c>
      <c r="U1003" s="58" t="str" cm="1">
        <f t="array" ref="U1003">_xlfn._xlws.FILTER(Competitions[compID], (Fixtures[[#This Row],[competition]] = Competitions[name]), "N/A")</f>
        <v>N/A</v>
      </c>
      <c r="V10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3" s="58" t="str" cm="1">
        <f t="array" ref="W10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3" s="58" t="str" cm="1">
        <f t="array" ref="X1003">_xlfn._xlws.FILTER(Teams[name], (Fixtures[[#This Row],[userTeamID]] = Teams[teamID]), "N/A")</f>
        <v>N/A</v>
      </c>
      <c r="Y1003" s="58" t="str" cm="1">
        <f t="array" ref="Y1003">_xlfn._xlws.FILTER(Teams[teamType], (Fixtures[[#This Row],[userTeamID]] = Teams[teamID]), "N/A")</f>
        <v>N/A</v>
      </c>
      <c r="Z1003" s="58" t="str" cm="1">
        <f t="array" ref="Z10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3" s="58" t="str">
        <f>IF(Fixtures[[#This Row],[userSide]] = "N/A", "N/A", IF(Fixtures[[#This Row],[userSide]] = "H", Fixtures[[#This Row],[awayTeam]], Fixtures[[#This Row],[homeTeam]]))</f>
        <v>N/A</v>
      </c>
      <c r="AB1003" s="58" t="str" cm="1">
        <f t="array" ref="AB1003">_xlfn._xlws.FILTER(Teams[teamID], Fixtures[[#This Row],[oppTeam]] = Teams[name], "N/A")</f>
        <v>N/A</v>
      </c>
      <c r="AC1003" s="58" t="str" cm="1">
        <f t="array" ref="AC1003">_xlfn._xlws.FILTER(Teams[teamType], Fixtures[[#This Row],[oppTeam]] = Teams[name], "N/A")</f>
        <v>N/A</v>
      </c>
      <c r="AD1003" s="58" t="str">
        <f>IF(ISBLANK(Fixtures[[#This Row],[date]]), "N/A", IF(Fixtures[[#This Row],[userSide]]="H", Fixtures[[#This Row],[homeScore]], Fixtures[[#This Row],[awayScore]]))</f>
        <v>N/A</v>
      </c>
      <c r="AE1003" s="58" t="str">
        <f>IF(ISBLANK(Fixtures[[#This Row],[date]]), "N/A", IF(Fixtures[[#This Row],[userScore]] = Fixtures[[#This Row],[homeScore]], Fixtures[[#This Row],[awayScore]], Fixtures[[#This Row],[homeScore]]))</f>
        <v>N/A</v>
      </c>
      <c r="AF1003" s="58" t="b">
        <f>NOT(AND(ISBLANK(Fixtures[[#This Row],[homePens]]), ISBLANK(Fixtures[[#This Row],[awayPens]])))</f>
        <v>0</v>
      </c>
      <c r="AG1003" s="58" t="str">
        <f>IF(Fixtures[[#This Row],[penalties]], IF(Fixtures[[#This Row],[userSide]]="H", Fixtures[[#This Row],[homePens]], Fixtures[[#This Row],[awayPens]]), "N/A")</f>
        <v>N/A</v>
      </c>
      <c r="AH1003" s="58" t="str">
        <f>IF(Fixtures[[#This Row],[penalties]], IF(Fixtures[[#This Row],[userPens]]=Fixtures[[#This Row],[homePens]],Fixtures[[#This Row],[awayPens]],Fixtures[[#This Row],[homePens]]), "N/A")</f>
        <v>N/A</v>
      </c>
      <c r="AI1003" s="58" t="b">
        <f>COUNTBLANK(Fixtures[[#This Row],[G]:[MOTM]]) = 0</f>
        <v>0</v>
      </c>
      <c r="AJ1003" s="58" t="str">
        <f>IF(Fixtures[[#This Row],[APP]], Fixtures[[#This Row],[G]]+Fixtures[[#This Row],[A]], "N/A")</f>
        <v>N/A</v>
      </c>
      <c r="AK10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4" spans="1:39" ht="13">
      <c r="A1004" s="55"/>
      <c r="B1004" s="61"/>
      <c r="C1004" s="56"/>
      <c r="D1004" s="56"/>
      <c r="E1004" s="56"/>
      <c r="F1004" s="56"/>
      <c r="G1004" s="56"/>
      <c r="H1004" s="56"/>
      <c r="I1004" s="56"/>
      <c r="J1004" s="56"/>
      <c r="K1004" s="56"/>
      <c r="L1004" s="56"/>
      <c r="M1004" s="56"/>
      <c r="N1004" s="56"/>
      <c r="O1004" s="56"/>
      <c r="P1004" s="56"/>
      <c r="Q1004" s="57"/>
      <c r="R1004" s="56"/>
      <c r="S1004" s="58" t="str" cm="1">
        <f t="array" ref="S1004">_xlfn._xlws.FILTER(Competitions[compType], (Fixtures[[#This Row],[competition]] = Competitions[name]), "N/A")</f>
        <v>N/A</v>
      </c>
      <c r="T1004" s="58" t="str" cm="1">
        <f t="array" ref="T1004">_xlfn._xlws.FILTER(Competitions[exhibition], (Fixtures[[#This Row],[competition]] = Competitions[name]), "N/A")</f>
        <v>N/A</v>
      </c>
      <c r="U1004" s="58" t="str" cm="1">
        <f t="array" ref="U1004">_xlfn._xlws.FILTER(Competitions[compID], (Fixtures[[#This Row],[competition]] = Competitions[name]), "N/A")</f>
        <v>N/A</v>
      </c>
      <c r="V10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4" s="58" t="str" cm="1">
        <f t="array" ref="W10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4" s="58" t="str" cm="1">
        <f t="array" ref="X1004">_xlfn._xlws.FILTER(Teams[name], (Fixtures[[#This Row],[userTeamID]] = Teams[teamID]), "N/A")</f>
        <v>N/A</v>
      </c>
      <c r="Y1004" s="58" t="str" cm="1">
        <f t="array" ref="Y1004">_xlfn._xlws.FILTER(Teams[teamType], (Fixtures[[#This Row],[userTeamID]] = Teams[teamID]), "N/A")</f>
        <v>N/A</v>
      </c>
      <c r="Z1004" s="58" t="str" cm="1">
        <f t="array" ref="Z10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4" s="58" t="str">
        <f>IF(Fixtures[[#This Row],[userSide]] = "N/A", "N/A", IF(Fixtures[[#This Row],[userSide]] = "H", Fixtures[[#This Row],[awayTeam]], Fixtures[[#This Row],[homeTeam]]))</f>
        <v>N/A</v>
      </c>
      <c r="AB1004" s="58" t="str" cm="1">
        <f t="array" ref="AB1004">_xlfn._xlws.FILTER(Teams[teamID], Fixtures[[#This Row],[oppTeam]] = Teams[name], "N/A")</f>
        <v>N/A</v>
      </c>
      <c r="AC1004" s="58" t="str" cm="1">
        <f t="array" ref="AC1004">_xlfn._xlws.FILTER(Teams[teamType], Fixtures[[#This Row],[oppTeam]] = Teams[name], "N/A")</f>
        <v>N/A</v>
      </c>
      <c r="AD1004" s="58" t="str">
        <f>IF(ISBLANK(Fixtures[[#This Row],[date]]), "N/A", IF(Fixtures[[#This Row],[userSide]]="H", Fixtures[[#This Row],[homeScore]], Fixtures[[#This Row],[awayScore]]))</f>
        <v>N/A</v>
      </c>
      <c r="AE1004" s="58" t="str">
        <f>IF(ISBLANK(Fixtures[[#This Row],[date]]), "N/A", IF(Fixtures[[#This Row],[userScore]] = Fixtures[[#This Row],[homeScore]], Fixtures[[#This Row],[awayScore]], Fixtures[[#This Row],[homeScore]]))</f>
        <v>N/A</v>
      </c>
      <c r="AF1004" s="58" t="b">
        <f>NOT(AND(ISBLANK(Fixtures[[#This Row],[homePens]]), ISBLANK(Fixtures[[#This Row],[awayPens]])))</f>
        <v>0</v>
      </c>
      <c r="AG1004" s="58" t="str">
        <f>IF(Fixtures[[#This Row],[penalties]], IF(Fixtures[[#This Row],[userSide]]="H", Fixtures[[#This Row],[homePens]], Fixtures[[#This Row],[awayPens]]), "N/A")</f>
        <v>N/A</v>
      </c>
      <c r="AH1004" s="58" t="str">
        <f>IF(Fixtures[[#This Row],[penalties]], IF(Fixtures[[#This Row],[userPens]]=Fixtures[[#This Row],[homePens]],Fixtures[[#This Row],[awayPens]],Fixtures[[#This Row],[homePens]]), "N/A")</f>
        <v>N/A</v>
      </c>
      <c r="AI1004" s="58" t="b">
        <f>COUNTBLANK(Fixtures[[#This Row],[G]:[MOTM]]) = 0</f>
        <v>0</v>
      </c>
      <c r="AJ1004" s="58" t="str">
        <f>IF(Fixtures[[#This Row],[APP]], Fixtures[[#This Row],[G]]+Fixtures[[#This Row],[A]], "N/A")</f>
        <v>N/A</v>
      </c>
      <c r="AK10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5" spans="1:39" ht="13">
      <c r="A1005" s="55"/>
      <c r="B1005" s="61"/>
      <c r="C1005" s="56"/>
      <c r="D1005" s="56"/>
      <c r="E1005" s="56"/>
      <c r="F1005" s="56"/>
      <c r="G1005" s="56"/>
      <c r="H1005" s="56"/>
      <c r="I1005" s="56"/>
      <c r="J1005" s="56"/>
      <c r="K1005" s="56"/>
      <c r="L1005" s="56"/>
      <c r="M1005" s="56"/>
      <c r="N1005" s="56"/>
      <c r="O1005" s="56"/>
      <c r="P1005" s="56"/>
      <c r="Q1005" s="57"/>
      <c r="R1005" s="56"/>
      <c r="S1005" s="58" t="str" cm="1">
        <f t="array" ref="S1005">_xlfn._xlws.FILTER(Competitions[compType], (Fixtures[[#This Row],[competition]] = Competitions[name]), "N/A")</f>
        <v>N/A</v>
      </c>
      <c r="T1005" s="58" t="str" cm="1">
        <f t="array" ref="T1005">_xlfn._xlws.FILTER(Competitions[exhibition], (Fixtures[[#This Row],[competition]] = Competitions[name]), "N/A")</f>
        <v>N/A</v>
      </c>
      <c r="U1005" s="58" t="str" cm="1">
        <f t="array" ref="U1005">_xlfn._xlws.FILTER(Competitions[compID], (Fixtures[[#This Row],[competition]] = Competitions[name]), "N/A")</f>
        <v>N/A</v>
      </c>
      <c r="V10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5" s="58" t="str" cm="1">
        <f t="array" ref="W10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5" s="58" t="str" cm="1">
        <f t="array" ref="X1005">_xlfn._xlws.FILTER(Teams[name], (Fixtures[[#This Row],[userTeamID]] = Teams[teamID]), "N/A")</f>
        <v>N/A</v>
      </c>
      <c r="Y1005" s="58" t="str" cm="1">
        <f t="array" ref="Y1005">_xlfn._xlws.FILTER(Teams[teamType], (Fixtures[[#This Row],[userTeamID]] = Teams[teamID]), "N/A")</f>
        <v>N/A</v>
      </c>
      <c r="Z1005" s="58" t="str" cm="1">
        <f t="array" ref="Z10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5" s="58" t="str">
        <f>IF(Fixtures[[#This Row],[userSide]] = "N/A", "N/A", IF(Fixtures[[#This Row],[userSide]] = "H", Fixtures[[#This Row],[awayTeam]], Fixtures[[#This Row],[homeTeam]]))</f>
        <v>N/A</v>
      </c>
      <c r="AB1005" s="58" t="str" cm="1">
        <f t="array" ref="AB1005">_xlfn._xlws.FILTER(Teams[teamID], Fixtures[[#This Row],[oppTeam]] = Teams[name], "N/A")</f>
        <v>N/A</v>
      </c>
      <c r="AC1005" s="58" t="str" cm="1">
        <f t="array" ref="AC1005">_xlfn._xlws.FILTER(Teams[teamType], Fixtures[[#This Row],[oppTeam]] = Teams[name], "N/A")</f>
        <v>N/A</v>
      </c>
      <c r="AD1005" s="58" t="str">
        <f>IF(ISBLANK(Fixtures[[#This Row],[date]]), "N/A", IF(Fixtures[[#This Row],[userSide]]="H", Fixtures[[#This Row],[homeScore]], Fixtures[[#This Row],[awayScore]]))</f>
        <v>N/A</v>
      </c>
      <c r="AE1005" s="58" t="str">
        <f>IF(ISBLANK(Fixtures[[#This Row],[date]]), "N/A", IF(Fixtures[[#This Row],[userScore]] = Fixtures[[#This Row],[homeScore]], Fixtures[[#This Row],[awayScore]], Fixtures[[#This Row],[homeScore]]))</f>
        <v>N/A</v>
      </c>
      <c r="AF1005" s="58" t="b">
        <f>NOT(AND(ISBLANK(Fixtures[[#This Row],[homePens]]), ISBLANK(Fixtures[[#This Row],[awayPens]])))</f>
        <v>0</v>
      </c>
      <c r="AG1005" s="58" t="str">
        <f>IF(Fixtures[[#This Row],[penalties]], IF(Fixtures[[#This Row],[userSide]]="H", Fixtures[[#This Row],[homePens]], Fixtures[[#This Row],[awayPens]]), "N/A")</f>
        <v>N/A</v>
      </c>
      <c r="AH1005" s="58" t="str">
        <f>IF(Fixtures[[#This Row],[penalties]], IF(Fixtures[[#This Row],[userPens]]=Fixtures[[#This Row],[homePens]],Fixtures[[#This Row],[awayPens]],Fixtures[[#This Row],[homePens]]), "N/A")</f>
        <v>N/A</v>
      </c>
      <c r="AI1005" s="58" t="b">
        <f>COUNTBLANK(Fixtures[[#This Row],[G]:[MOTM]]) = 0</f>
        <v>0</v>
      </c>
      <c r="AJ1005" s="58" t="str">
        <f>IF(Fixtures[[#This Row],[APP]], Fixtures[[#This Row],[G]]+Fixtures[[#This Row],[A]], "N/A")</f>
        <v>N/A</v>
      </c>
      <c r="AK10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6" spans="1:39" ht="13">
      <c r="A1006" s="55"/>
      <c r="B1006" s="61"/>
      <c r="C1006" s="56"/>
      <c r="D1006" s="56"/>
      <c r="E1006" s="56"/>
      <c r="F1006" s="56"/>
      <c r="G1006" s="56"/>
      <c r="H1006" s="56"/>
      <c r="I1006" s="56"/>
      <c r="J1006" s="56"/>
      <c r="K1006" s="56"/>
      <c r="L1006" s="56"/>
      <c r="M1006" s="56"/>
      <c r="N1006" s="56"/>
      <c r="O1006" s="56"/>
      <c r="P1006" s="56"/>
      <c r="Q1006" s="57"/>
      <c r="R1006" s="56"/>
      <c r="S1006" s="58" t="str" cm="1">
        <f t="array" ref="S1006">_xlfn._xlws.FILTER(Competitions[compType], (Fixtures[[#This Row],[competition]] = Competitions[name]), "N/A")</f>
        <v>N/A</v>
      </c>
      <c r="T1006" s="58" t="str" cm="1">
        <f t="array" ref="T1006">_xlfn._xlws.FILTER(Competitions[exhibition], (Fixtures[[#This Row],[competition]] = Competitions[name]), "N/A")</f>
        <v>N/A</v>
      </c>
      <c r="U1006" s="58" t="str" cm="1">
        <f t="array" ref="U1006">_xlfn._xlws.FILTER(Competitions[compID], (Fixtures[[#This Row],[competition]] = Competitions[name]), "N/A")</f>
        <v>N/A</v>
      </c>
      <c r="V10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6" s="58" t="str" cm="1">
        <f t="array" ref="W10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6" s="58" t="str" cm="1">
        <f t="array" ref="X1006">_xlfn._xlws.FILTER(Teams[name], (Fixtures[[#This Row],[userTeamID]] = Teams[teamID]), "N/A")</f>
        <v>N/A</v>
      </c>
      <c r="Y1006" s="58" t="str" cm="1">
        <f t="array" ref="Y1006">_xlfn._xlws.FILTER(Teams[teamType], (Fixtures[[#This Row],[userTeamID]] = Teams[teamID]), "N/A")</f>
        <v>N/A</v>
      </c>
      <c r="Z1006" s="58" t="str" cm="1">
        <f t="array" ref="Z10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6" s="58" t="str">
        <f>IF(Fixtures[[#This Row],[userSide]] = "N/A", "N/A", IF(Fixtures[[#This Row],[userSide]] = "H", Fixtures[[#This Row],[awayTeam]], Fixtures[[#This Row],[homeTeam]]))</f>
        <v>N/A</v>
      </c>
      <c r="AB1006" s="58" t="str" cm="1">
        <f t="array" ref="AB1006">_xlfn._xlws.FILTER(Teams[teamID], Fixtures[[#This Row],[oppTeam]] = Teams[name], "N/A")</f>
        <v>N/A</v>
      </c>
      <c r="AC1006" s="58" t="str" cm="1">
        <f t="array" ref="AC1006">_xlfn._xlws.FILTER(Teams[teamType], Fixtures[[#This Row],[oppTeam]] = Teams[name], "N/A")</f>
        <v>N/A</v>
      </c>
      <c r="AD1006" s="58" t="str">
        <f>IF(ISBLANK(Fixtures[[#This Row],[date]]), "N/A", IF(Fixtures[[#This Row],[userSide]]="H", Fixtures[[#This Row],[homeScore]], Fixtures[[#This Row],[awayScore]]))</f>
        <v>N/A</v>
      </c>
      <c r="AE1006" s="58" t="str">
        <f>IF(ISBLANK(Fixtures[[#This Row],[date]]), "N/A", IF(Fixtures[[#This Row],[userScore]] = Fixtures[[#This Row],[homeScore]], Fixtures[[#This Row],[awayScore]], Fixtures[[#This Row],[homeScore]]))</f>
        <v>N/A</v>
      </c>
      <c r="AF1006" s="58" t="b">
        <f>NOT(AND(ISBLANK(Fixtures[[#This Row],[homePens]]), ISBLANK(Fixtures[[#This Row],[awayPens]])))</f>
        <v>0</v>
      </c>
      <c r="AG1006" s="58" t="str">
        <f>IF(Fixtures[[#This Row],[penalties]], IF(Fixtures[[#This Row],[userSide]]="H", Fixtures[[#This Row],[homePens]], Fixtures[[#This Row],[awayPens]]), "N/A")</f>
        <v>N/A</v>
      </c>
      <c r="AH1006" s="58" t="str">
        <f>IF(Fixtures[[#This Row],[penalties]], IF(Fixtures[[#This Row],[userPens]]=Fixtures[[#This Row],[homePens]],Fixtures[[#This Row],[awayPens]],Fixtures[[#This Row],[homePens]]), "N/A")</f>
        <v>N/A</v>
      </c>
      <c r="AI1006" s="58" t="b">
        <f>COUNTBLANK(Fixtures[[#This Row],[G]:[MOTM]]) = 0</f>
        <v>0</v>
      </c>
      <c r="AJ1006" s="58" t="str">
        <f>IF(Fixtures[[#This Row],[APP]], Fixtures[[#This Row],[G]]+Fixtures[[#This Row],[A]], "N/A")</f>
        <v>N/A</v>
      </c>
      <c r="AK10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7" spans="1:39" ht="13">
      <c r="A1007" s="55"/>
      <c r="B1007" s="61"/>
      <c r="C1007" s="56"/>
      <c r="D1007" s="56"/>
      <c r="E1007" s="56"/>
      <c r="F1007" s="56"/>
      <c r="G1007" s="56"/>
      <c r="H1007" s="56"/>
      <c r="I1007" s="56"/>
      <c r="J1007" s="56"/>
      <c r="K1007" s="56"/>
      <c r="L1007" s="56"/>
      <c r="M1007" s="56"/>
      <c r="N1007" s="56"/>
      <c r="O1007" s="56"/>
      <c r="P1007" s="56"/>
      <c r="Q1007" s="57"/>
      <c r="R1007" s="56"/>
      <c r="S1007" s="58" t="str" cm="1">
        <f t="array" ref="S1007">_xlfn._xlws.FILTER(Competitions[compType], (Fixtures[[#This Row],[competition]] = Competitions[name]), "N/A")</f>
        <v>N/A</v>
      </c>
      <c r="T1007" s="58" t="str" cm="1">
        <f t="array" ref="T1007">_xlfn._xlws.FILTER(Competitions[exhibition], (Fixtures[[#This Row],[competition]] = Competitions[name]), "N/A")</f>
        <v>N/A</v>
      </c>
      <c r="U1007" s="58" t="str" cm="1">
        <f t="array" ref="U1007">_xlfn._xlws.FILTER(Competitions[compID], (Fixtures[[#This Row],[competition]] = Competitions[name]), "N/A")</f>
        <v>N/A</v>
      </c>
      <c r="V10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7" s="58" t="str" cm="1">
        <f t="array" ref="W10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7" s="58" t="str" cm="1">
        <f t="array" ref="X1007">_xlfn._xlws.FILTER(Teams[name], (Fixtures[[#This Row],[userTeamID]] = Teams[teamID]), "N/A")</f>
        <v>N/A</v>
      </c>
      <c r="Y1007" s="58" t="str" cm="1">
        <f t="array" ref="Y1007">_xlfn._xlws.FILTER(Teams[teamType], (Fixtures[[#This Row],[userTeamID]] = Teams[teamID]), "N/A")</f>
        <v>N/A</v>
      </c>
      <c r="Z1007" s="58" t="str" cm="1">
        <f t="array" ref="Z10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7" s="58" t="str">
        <f>IF(Fixtures[[#This Row],[userSide]] = "N/A", "N/A", IF(Fixtures[[#This Row],[userSide]] = "H", Fixtures[[#This Row],[awayTeam]], Fixtures[[#This Row],[homeTeam]]))</f>
        <v>N/A</v>
      </c>
      <c r="AB1007" s="58" t="str" cm="1">
        <f t="array" ref="AB1007">_xlfn._xlws.FILTER(Teams[teamID], Fixtures[[#This Row],[oppTeam]] = Teams[name], "N/A")</f>
        <v>N/A</v>
      </c>
      <c r="AC1007" s="58" t="str" cm="1">
        <f t="array" ref="AC1007">_xlfn._xlws.FILTER(Teams[teamType], Fixtures[[#This Row],[oppTeam]] = Teams[name], "N/A")</f>
        <v>N/A</v>
      </c>
      <c r="AD1007" s="58" t="str">
        <f>IF(ISBLANK(Fixtures[[#This Row],[date]]), "N/A", IF(Fixtures[[#This Row],[userSide]]="H", Fixtures[[#This Row],[homeScore]], Fixtures[[#This Row],[awayScore]]))</f>
        <v>N/A</v>
      </c>
      <c r="AE1007" s="58" t="str">
        <f>IF(ISBLANK(Fixtures[[#This Row],[date]]), "N/A", IF(Fixtures[[#This Row],[userScore]] = Fixtures[[#This Row],[homeScore]], Fixtures[[#This Row],[awayScore]], Fixtures[[#This Row],[homeScore]]))</f>
        <v>N/A</v>
      </c>
      <c r="AF1007" s="58" t="b">
        <f>NOT(AND(ISBLANK(Fixtures[[#This Row],[homePens]]), ISBLANK(Fixtures[[#This Row],[awayPens]])))</f>
        <v>0</v>
      </c>
      <c r="AG1007" s="58" t="str">
        <f>IF(Fixtures[[#This Row],[penalties]], IF(Fixtures[[#This Row],[userSide]]="H", Fixtures[[#This Row],[homePens]], Fixtures[[#This Row],[awayPens]]), "N/A")</f>
        <v>N/A</v>
      </c>
      <c r="AH1007" s="58" t="str">
        <f>IF(Fixtures[[#This Row],[penalties]], IF(Fixtures[[#This Row],[userPens]]=Fixtures[[#This Row],[homePens]],Fixtures[[#This Row],[awayPens]],Fixtures[[#This Row],[homePens]]), "N/A")</f>
        <v>N/A</v>
      </c>
      <c r="AI1007" s="58" t="b">
        <f>COUNTBLANK(Fixtures[[#This Row],[G]:[MOTM]]) = 0</f>
        <v>0</v>
      </c>
      <c r="AJ1007" s="58" t="str">
        <f>IF(Fixtures[[#This Row],[APP]], Fixtures[[#This Row],[G]]+Fixtures[[#This Row],[A]], "N/A")</f>
        <v>N/A</v>
      </c>
      <c r="AK10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8" spans="1:39" ht="13">
      <c r="A1008" s="55"/>
      <c r="B1008" s="61"/>
      <c r="C1008" s="56"/>
      <c r="D1008" s="56"/>
      <c r="E1008" s="56"/>
      <c r="F1008" s="56"/>
      <c r="G1008" s="56"/>
      <c r="H1008" s="56"/>
      <c r="I1008" s="56"/>
      <c r="J1008" s="56"/>
      <c r="K1008" s="56"/>
      <c r="L1008" s="56"/>
      <c r="M1008" s="56"/>
      <c r="N1008" s="56"/>
      <c r="O1008" s="56"/>
      <c r="P1008" s="56"/>
      <c r="Q1008" s="57"/>
      <c r="R1008" s="56"/>
      <c r="S1008" s="58" t="str" cm="1">
        <f t="array" ref="S1008">_xlfn._xlws.FILTER(Competitions[compType], (Fixtures[[#This Row],[competition]] = Competitions[name]), "N/A")</f>
        <v>N/A</v>
      </c>
      <c r="T1008" s="58" t="str" cm="1">
        <f t="array" ref="T1008">_xlfn._xlws.FILTER(Competitions[exhibition], (Fixtures[[#This Row],[competition]] = Competitions[name]), "N/A")</f>
        <v>N/A</v>
      </c>
      <c r="U1008" s="58" t="str" cm="1">
        <f t="array" ref="U1008">_xlfn._xlws.FILTER(Competitions[compID], (Fixtures[[#This Row],[competition]] = Competitions[name]), "N/A")</f>
        <v>N/A</v>
      </c>
      <c r="V10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8" s="58" t="str" cm="1">
        <f t="array" ref="W10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8" s="58" t="str" cm="1">
        <f t="array" ref="X1008">_xlfn._xlws.FILTER(Teams[name], (Fixtures[[#This Row],[userTeamID]] = Teams[teamID]), "N/A")</f>
        <v>N/A</v>
      </c>
      <c r="Y1008" s="58" t="str" cm="1">
        <f t="array" ref="Y1008">_xlfn._xlws.FILTER(Teams[teamType], (Fixtures[[#This Row],[userTeamID]] = Teams[teamID]), "N/A")</f>
        <v>N/A</v>
      </c>
      <c r="Z1008" s="58" t="str" cm="1">
        <f t="array" ref="Z10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8" s="58" t="str">
        <f>IF(Fixtures[[#This Row],[userSide]] = "N/A", "N/A", IF(Fixtures[[#This Row],[userSide]] = "H", Fixtures[[#This Row],[awayTeam]], Fixtures[[#This Row],[homeTeam]]))</f>
        <v>N/A</v>
      </c>
      <c r="AB1008" s="58" t="str" cm="1">
        <f t="array" ref="AB1008">_xlfn._xlws.FILTER(Teams[teamID], Fixtures[[#This Row],[oppTeam]] = Teams[name], "N/A")</f>
        <v>N/A</v>
      </c>
      <c r="AC1008" s="58" t="str" cm="1">
        <f t="array" ref="AC1008">_xlfn._xlws.FILTER(Teams[teamType], Fixtures[[#This Row],[oppTeam]] = Teams[name], "N/A")</f>
        <v>N/A</v>
      </c>
      <c r="AD1008" s="58" t="str">
        <f>IF(ISBLANK(Fixtures[[#This Row],[date]]), "N/A", IF(Fixtures[[#This Row],[userSide]]="H", Fixtures[[#This Row],[homeScore]], Fixtures[[#This Row],[awayScore]]))</f>
        <v>N/A</v>
      </c>
      <c r="AE1008" s="58" t="str">
        <f>IF(ISBLANK(Fixtures[[#This Row],[date]]), "N/A", IF(Fixtures[[#This Row],[userScore]] = Fixtures[[#This Row],[homeScore]], Fixtures[[#This Row],[awayScore]], Fixtures[[#This Row],[homeScore]]))</f>
        <v>N/A</v>
      </c>
      <c r="AF1008" s="58" t="b">
        <f>NOT(AND(ISBLANK(Fixtures[[#This Row],[homePens]]), ISBLANK(Fixtures[[#This Row],[awayPens]])))</f>
        <v>0</v>
      </c>
      <c r="AG1008" s="58" t="str">
        <f>IF(Fixtures[[#This Row],[penalties]], IF(Fixtures[[#This Row],[userSide]]="H", Fixtures[[#This Row],[homePens]], Fixtures[[#This Row],[awayPens]]), "N/A")</f>
        <v>N/A</v>
      </c>
      <c r="AH1008" s="58" t="str">
        <f>IF(Fixtures[[#This Row],[penalties]], IF(Fixtures[[#This Row],[userPens]]=Fixtures[[#This Row],[homePens]],Fixtures[[#This Row],[awayPens]],Fixtures[[#This Row],[homePens]]), "N/A")</f>
        <v>N/A</v>
      </c>
      <c r="AI1008" s="58" t="b">
        <f>COUNTBLANK(Fixtures[[#This Row],[G]:[MOTM]]) = 0</f>
        <v>0</v>
      </c>
      <c r="AJ1008" s="58" t="str">
        <f>IF(Fixtures[[#This Row],[APP]], Fixtures[[#This Row],[G]]+Fixtures[[#This Row],[A]], "N/A")</f>
        <v>N/A</v>
      </c>
      <c r="AK10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09" spans="1:39" ht="13">
      <c r="A1009" s="55"/>
      <c r="B1009" s="61"/>
      <c r="C1009" s="56"/>
      <c r="D1009" s="56"/>
      <c r="E1009" s="56"/>
      <c r="F1009" s="56"/>
      <c r="G1009" s="56"/>
      <c r="H1009" s="56"/>
      <c r="I1009" s="56"/>
      <c r="J1009" s="56"/>
      <c r="K1009" s="56"/>
      <c r="L1009" s="56"/>
      <c r="M1009" s="56"/>
      <c r="N1009" s="56"/>
      <c r="O1009" s="56"/>
      <c r="P1009" s="56"/>
      <c r="Q1009" s="57"/>
      <c r="R1009" s="56"/>
      <c r="S1009" s="58" t="str" cm="1">
        <f t="array" ref="S1009">_xlfn._xlws.FILTER(Competitions[compType], (Fixtures[[#This Row],[competition]] = Competitions[name]), "N/A")</f>
        <v>N/A</v>
      </c>
      <c r="T1009" s="58" t="str" cm="1">
        <f t="array" ref="T1009">_xlfn._xlws.FILTER(Competitions[exhibition], (Fixtures[[#This Row],[competition]] = Competitions[name]), "N/A")</f>
        <v>N/A</v>
      </c>
      <c r="U1009" s="58" t="str" cm="1">
        <f t="array" ref="U1009">_xlfn._xlws.FILTER(Competitions[compID], (Fixtures[[#This Row],[competition]] = Competitions[name]), "N/A")</f>
        <v>N/A</v>
      </c>
      <c r="V10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09" s="58" t="str" cm="1">
        <f t="array" ref="W10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09" s="58" t="str" cm="1">
        <f t="array" ref="X1009">_xlfn._xlws.FILTER(Teams[name], (Fixtures[[#This Row],[userTeamID]] = Teams[teamID]), "N/A")</f>
        <v>N/A</v>
      </c>
      <c r="Y1009" s="58" t="str" cm="1">
        <f t="array" ref="Y1009">_xlfn._xlws.FILTER(Teams[teamType], (Fixtures[[#This Row],[userTeamID]] = Teams[teamID]), "N/A")</f>
        <v>N/A</v>
      </c>
      <c r="Z1009" s="58" t="str" cm="1">
        <f t="array" ref="Z10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09" s="58" t="str">
        <f>IF(Fixtures[[#This Row],[userSide]] = "N/A", "N/A", IF(Fixtures[[#This Row],[userSide]] = "H", Fixtures[[#This Row],[awayTeam]], Fixtures[[#This Row],[homeTeam]]))</f>
        <v>N/A</v>
      </c>
      <c r="AB1009" s="58" t="str" cm="1">
        <f t="array" ref="AB1009">_xlfn._xlws.FILTER(Teams[teamID], Fixtures[[#This Row],[oppTeam]] = Teams[name], "N/A")</f>
        <v>N/A</v>
      </c>
      <c r="AC1009" s="58" t="str" cm="1">
        <f t="array" ref="AC1009">_xlfn._xlws.FILTER(Teams[teamType], Fixtures[[#This Row],[oppTeam]] = Teams[name], "N/A")</f>
        <v>N/A</v>
      </c>
      <c r="AD1009" s="58" t="str">
        <f>IF(ISBLANK(Fixtures[[#This Row],[date]]), "N/A", IF(Fixtures[[#This Row],[userSide]]="H", Fixtures[[#This Row],[homeScore]], Fixtures[[#This Row],[awayScore]]))</f>
        <v>N/A</v>
      </c>
      <c r="AE1009" s="58" t="str">
        <f>IF(ISBLANK(Fixtures[[#This Row],[date]]), "N/A", IF(Fixtures[[#This Row],[userScore]] = Fixtures[[#This Row],[homeScore]], Fixtures[[#This Row],[awayScore]], Fixtures[[#This Row],[homeScore]]))</f>
        <v>N/A</v>
      </c>
      <c r="AF1009" s="58" t="b">
        <f>NOT(AND(ISBLANK(Fixtures[[#This Row],[homePens]]), ISBLANK(Fixtures[[#This Row],[awayPens]])))</f>
        <v>0</v>
      </c>
      <c r="AG1009" s="58" t="str">
        <f>IF(Fixtures[[#This Row],[penalties]], IF(Fixtures[[#This Row],[userSide]]="H", Fixtures[[#This Row],[homePens]], Fixtures[[#This Row],[awayPens]]), "N/A")</f>
        <v>N/A</v>
      </c>
      <c r="AH1009" s="58" t="str">
        <f>IF(Fixtures[[#This Row],[penalties]], IF(Fixtures[[#This Row],[userPens]]=Fixtures[[#This Row],[homePens]],Fixtures[[#This Row],[awayPens]],Fixtures[[#This Row],[homePens]]), "N/A")</f>
        <v>N/A</v>
      </c>
      <c r="AI1009" s="58" t="b">
        <f>COUNTBLANK(Fixtures[[#This Row],[G]:[MOTM]]) = 0</f>
        <v>0</v>
      </c>
      <c r="AJ1009" s="58" t="str">
        <f>IF(Fixtures[[#This Row],[APP]], Fixtures[[#This Row],[G]]+Fixtures[[#This Row],[A]], "N/A")</f>
        <v>N/A</v>
      </c>
      <c r="AK10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0" spans="1:39" ht="13">
      <c r="A1010" s="55"/>
      <c r="B1010" s="61"/>
      <c r="C1010" s="56"/>
      <c r="D1010" s="56"/>
      <c r="E1010" s="56"/>
      <c r="F1010" s="56"/>
      <c r="G1010" s="56"/>
      <c r="H1010" s="56"/>
      <c r="I1010" s="56"/>
      <c r="J1010" s="56"/>
      <c r="K1010" s="56"/>
      <c r="L1010" s="56"/>
      <c r="M1010" s="56"/>
      <c r="N1010" s="56"/>
      <c r="O1010" s="56"/>
      <c r="P1010" s="56"/>
      <c r="Q1010" s="57"/>
      <c r="R1010" s="56"/>
      <c r="S1010" s="58" t="str" cm="1">
        <f t="array" ref="S1010">_xlfn._xlws.FILTER(Competitions[compType], (Fixtures[[#This Row],[competition]] = Competitions[name]), "N/A")</f>
        <v>N/A</v>
      </c>
      <c r="T1010" s="58" t="str" cm="1">
        <f t="array" ref="T1010">_xlfn._xlws.FILTER(Competitions[exhibition], (Fixtures[[#This Row],[competition]] = Competitions[name]), "N/A")</f>
        <v>N/A</v>
      </c>
      <c r="U1010" s="58" t="str" cm="1">
        <f t="array" ref="U1010">_xlfn._xlws.FILTER(Competitions[compID], (Fixtures[[#This Row],[competition]] = Competitions[name]), "N/A")</f>
        <v>N/A</v>
      </c>
      <c r="V10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0" s="58" t="str" cm="1">
        <f t="array" ref="W10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0" s="58" t="str" cm="1">
        <f t="array" ref="X1010">_xlfn._xlws.FILTER(Teams[name], (Fixtures[[#This Row],[userTeamID]] = Teams[teamID]), "N/A")</f>
        <v>N/A</v>
      </c>
      <c r="Y1010" s="58" t="str" cm="1">
        <f t="array" ref="Y1010">_xlfn._xlws.FILTER(Teams[teamType], (Fixtures[[#This Row],[userTeamID]] = Teams[teamID]), "N/A")</f>
        <v>N/A</v>
      </c>
      <c r="Z1010" s="58" t="str" cm="1">
        <f t="array" ref="Z10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0" s="58" t="str">
        <f>IF(Fixtures[[#This Row],[userSide]] = "N/A", "N/A", IF(Fixtures[[#This Row],[userSide]] = "H", Fixtures[[#This Row],[awayTeam]], Fixtures[[#This Row],[homeTeam]]))</f>
        <v>N/A</v>
      </c>
      <c r="AB1010" s="58" t="str" cm="1">
        <f t="array" ref="AB1010">_xlfn._xlws.FILTER(Teams[teamID], Fixtures[[#This Row],[oppTeam]] = Teams[name], "N/A")</f>
        <v>N/A</v>
      </c>
      <c r="AC1010" s="58" t="str" cm="1">
        <f t="array" ref="AC1010">_xlfn._xlws.FILTER(Teams[teamType], Fixtures[[#This Row],[oppTeam]] = Teams[name], "N/A")</f>
        <v>N/A</v>
      </c>
      <c r="AD1010" s="58" t="str">
        <f>IF(ISBLANK(Fixtures[[#This Row],[date]]), "N/A", IF(Fixtures[[#This Row],[userSide]]="H", Fixtures[[#This Row],[homeScore]], Fixtures[[#This Row],[awayScore]]))</f>
        <v>N/A</v>
      </c>
      <c r="AE1010" s="58" t="str">
        <f>IF(ISBLANK(Fixtures[[#This Row],[date]]), "N/A", IF(Fixtures[[#This Row],[userScore]] = Fixtures[[#This Row],[homeScore]], Fixtures[[#This Row],[awayScore]], Fixtures[[#This Row],[homeScore]]))</f>
        <v>N/A</v>
      </c>
      <c r="AF1010" s="58" t="b">
        <f>NOT(AND(ISBLANK(Fixtures[[#This Row],[homePens]]), ISBLANK(Fixtures[[#This Row],[awayPens]])))</f>
        <v>0</v>
      </c>
      <c r="AG1010" s="58" t="str">
        <f>IF(Fixtures[[#This Row],[penalties]], IF(Fixtures[[#This Row],[userSide]]="H", Fixtures[[#This Row],[homePens]], Fixtures[[#This Row],[awayPens]]), "N/A")</f>
        <v>N/A</v>
      </c>
      <c r="AH1010" s="58" t="str">
        <f>IF(Fixtures[[#This Row],[penalties]], IF(Fixtures[[#This Row],[userPens]]=Fixtures[[#This Row],[homePens]],Fixtures[[#This Row],[awayPens]],Fixtures[[#This Row],[homePens]]), "N/A")</f>
        <v>N/A</v>
      </c>
      <c r="AI1010" s="58" t="b">
        <f>COUNTBLANK(Fixtures[[#This Row],[G]:[MOTM]]) = 0</f>
        <v>0</v>
      </c>
      <c r="AJ1010" s="58" t="str">
        <f>IF(Fixtures[[#This Row],[APP]], Fixtures[[#This Row],[G]]+Fixtures[[#This Row],[A]], "N/A")</f>
        <v>N/A</v>
      </c>
      <c r="AK10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1" spans="1:39" ht="13">
      <c r="A1011" s="55"/>
      <c r="B1011" s="61"/>
      <c r="C1011" s="56"/>
      <c r="D1011" s="56"/>
      <c r="E1011" s="56"/>
      <c r="F1011" s="56"/>
      <c r="G1011" s="56"/>
      <c r="H1011" s="56"/>
      <c r="I1011" s="56"/>
      <c r="J1011" s="56"/>
      <c r="K1011" s="56"/>
      <c r="L1011" s="56"/>
      <c r="M1011" s="56"/>
      <c r="N1011" s="56"/>
      <c r="O1011" s="56"/>
      <c r="P1011" s="56"/>
      <c r="Q1011" s="57"/>
      <c r="R1011" s="56"/>
      <c r="S1011" s="58" t="str" cm="1">
        <f t="array" ref="S1011">_xlfn._xlws.FILTER(Competitions[compType], (Fixtures[[#This Row],[competition]] = Competitions[name]), "N/A")</f>
        <v>N/A</v>
      </c>
      <c r="T1011" s="58" t="str" cm="1">
        <f t="array" ref="T1011">_xlfn._xlws.FILTER(Competitions[exhibition], (Fixtures[[#This Row],[competition]] = Competitions[name]), "N/A")</f>
        <v>N/A</v>
      </c>
      <c r="U1011" s="58" t="str" cm="1">
        <f t="array" ref="U1011">_xlfn._xlws.FILTER(Competitions[compID], (Fixtures[[#This Row],[competition]] = Competitions[name]), "N/A")</f>
        <v>N/A</v>
      </c>
      <c r="V10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1" s="58" t="str" cm="1">
        <f t="array" ref="W10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1" s="58" t="str" cm="1">
        <f t="array" ref="X1011">_xlfn._xlws.FILTER(Teams[name], (Fixtures[[#This Row],[userTeamID]] = Teams[teamID]), "N/A")</f>
        <v>N/A</v>
      </c>
      <c r="Y1011" s="58" t="str" cm="1">
        <f t="array" ref="Y1011">_xlfn._xlws.FILTER(Teams[teamType], (Fixtures[[#This Row],[userTeamID]] = Teams[teamID]), "N/A")</f>
        <v>N/A</v>
      </c>
      <c r="Z1011" s="58" t="str" cm="1">
        <f t="array" ref="Z10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1" s="58" t="str">
        <f>IF(Fixtures[[#This Row],[userSide]] = "N/A", "N/A", IF(Fixtures[[#This Row],[userSide]] = "H", Fixtures[[#This Row],[awayTeam]], Fixtures[[#This Row],[homeTeam]]))</f>
        <v>N/A</v>
      </c>
      <c r="AB1011" s="58" t="str" cm="1">
        <f t="array" ref="AB1011">_xlfn._xlws.FILTER(Teams[teamID], Fixtures[[#This Row],[oppTeam]] = Teams[name], "N/A")</f>
        <v>N/A</v>
      </c>
      <c r="AC1011" s="58" t="str" cm="1">
        <f t="array" ref="AC1011">_xlfn._xlws.FILTER(Teams[teamType], Fixtures[[#This Row],[oppTeam]] = Teams[name], "N/A")</f>
        <v>N/A</v>
      </c>
      <c r="AD1011" s="58" t="str">
        <f>IF(ISBLANK(Fixtures[[#This Row],[date]]), "N/A", IF(Fixtures[[#This Row],[userSide]]="H", Fixtures[[#This Row],[homeScore]], Fixtures[[#This Row],[awayScore]]))</f>
        <v>N/A</v>
      </c>
      <c r="AE1011" s="58" t="str">
        <f>IF(ISBLANK(Fixtures[[#This Row],[date]]), "N/A", IF(Fixtures[[#This Row],[userScore]] = Fixtures[[#This Row],[homeScore]], Fixtures[[#This Row],[awayScore]], Fixtures[[#This Row],[homeScore]]))</f>
        <v>N/A</v>
      </c>
      <c r="AF1011" s="58" t="b">
        <f>NOT(AND(ISBLANK(Fixtures[[#This Row],[homePens]]), ISBLANK(Fixtures[[#This Row],[awayPens]])))</f>
        <v>0</v>
      </c>
      <c r="AG1011" s="58" t="str">
        <f>IF(Fixtures[[#This Row],[penalties]], IF(Fixtures[[#This Row],[userSide]]="H", Fixtures[[#This Row],[homePens]], Fixtures[[#This Row],[awayPens]]), "N/A")</f>
        <v>N/A</v>
      </c>
      <c r="AH1011" s="58" t="str">
        <f>IF(Fixtures[[#This Row],[penalties]], IF(Fixtures[[#This Row],[userPens]]=Fixtures[[#This Row],[homePens]],Fixtures[[#This Row],[awayPens]],Fixtures[[#This Row],[homePens]]), "N/A")</f>
        <v>N/A</v>
      </c>
      <c r="AI1011" s="58" t="b">
        <f>COUNTBLANK(Fixtures[[#This Row],[G]:[MOTM]]) = 0</f>
        <v>0</v>
      </c>
      <c r="AJ1011" s="58" t="str">
        <f>IF(Fixtures[[#This Row],[APP]], Fixtures[[#This Row],[G]]+Fixtures[[#This Row],[A]], "N/A")</f>
        <v>N/A</v>
      </c>
      <c r="AK10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2" spans="1:39" ht="13">
      <c r="A1012" s="55"/>
      <c r="B1012" s="61"/>
      <c r="C1012" s="56"/>
      <c r="D1012" s="56"/>
      <c r="E1012" s="56"/>
      <c r="F1012" s="56"/>
      <c r="G1012" s="56"/>
      <c r="H1012" s="56"/>
      <c r="I1012" s="56"/>
      <c r="J1012" s="56"/>
      <c r="K1012" s="56"/>
      <c r="L1012" s="56"/>
      <c r="M1012" s="56"/>
      <c r="N1012" s="56"/>
      <c r="O1012" s="56"/>
      <c r="P1012" s="56"/>
      <c r="Q1012" s="57"/>
      <c r="R1012" s="56"/>
      <c r="S1012" s="58" t="str" cm="1">
        <f t="array" ref="S1012">_xlfn._xlws.FILTER(Competitions[compType], (Fixtures[[#This Row],[competition]] = Competitions[name]), "N/A")</f>
        <v>N/A</v>
      </c>
      <c r="T1012" s="58" t="str" cm="1">
        <f t="array" ref="T1012">_xlfn._xlws.FILTER(Competitions[exhibition], (Fixtures[[#This Row],[competition]] = Competitions[name]), "N/A")</f>
        <v>N/A</v>
      </c>
      <c r="U1012" s="58" t="str" cm="1">
        <f t="array" ref="U1012">_xlfn._xlws.FILTER(Competitions[compID], (Fixtures[[#This Row],[competition]] = Competitions[name]), "N/A")</f>
        <v>N/A</v>
      </c>
      <c r="V10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2" s="58" t="str" cm="1">
        <f t="array" ref="W10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2" s="58" t="str" cm="1">
        <f t="array" ref="X1012">_xlfn._xlws.FILTER(Teams[name], (Fixtures[[#This Row],[userTeamID]] = Teams[teamID]), "N/A")</f>
        <v>N/A</v>
      </c>
      <c r="Y1012" s="58" t="str" cm="1">
        <f t="array" ref="Y1012">_xlfn._xlws.FILTER(Teams[teamType], (Fixtures[[#This Row],[userTeamID]] = Teams[teamID]), "N/A")</f>
        <v>N/A</v>
      </c>
      <c r="Z1012" s="58" t="str" cm="1">
        <f t="array" ref="Z10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2" s="58" t="str">
        <f>IF(Fixtures[[#This Row],[userSide]] = "N/A", "N/A", IF(Fixtures[[#This Row],[userSide]] = "H", Fixtures[[#This Row],[awayTeam]], Fixtures[[#This Row],[homeTeam]]))</f>
        <v>N/A</v>
      </c>
      <c r="AB1012" s="58" t="str" cm="1">
        <f t="array" ref="AB1012">_xlfn._xlws.FILTER(Teams[teamID], Fixtures[[#This Row],[oppTeam]] = Teams[name], "N/A")</f>
        <v>N/A</v>
      </c>
      <c r="AC1012" s="58" t="str" cm="1">
        <f t="array" ref="AC1012">_xlfn._xlws.FILTER(Teams[teamType], Fixtures[[#This Row],[oppTeam]] = Teams[name], "N/A")</f>
        <v>N/A</v>
      </c>
      <c r="AD1012" s="58" t="str">
        <f>IF(ISBLANK(Fixtures[[#This Row],[date]]), "N/A", IF(Fixtures[[#This Row],[userSide]]="H", Fixtures[[#This Row],[homeScore]], Fixtures[[#This Row],[awayScore]]))</f>
        <v>N/A</v>
      </c>
      <c r="AE1012" s="58" t="str">
        <f>IF(ISBLANK(Fixtures[[#This Row],[date]]), "N/A", IF(Fixtures[[#This Row],[userScore]] = Fixtures[[#This Row],[homeScore]], Fixtures[[#This Row],[awayScore]], Fixtures[[#This Row],[homeScore]]))</f>
        <v>N/A</v>
      </c>
      <c r="AF1012" s="58" t="b">
        <f>NOT(AND(ISBLANK(Fixtures[[#This Row],[homePens]]), ISBLANK(Fixtures[[#This Row],[awayPens]])))</f>
        <v>0</v>
      </c>
      <c r="AG1012" s="58" t="str">
        <f>IF(Fixtures[[#This Row],[penalties]], IF(Fixtures[[#This Row],[userSide]]="H", Fixtures[[#This Row],[homePens]], Fixtures[[#This Row],[awayPens]]), "N/A")</f>
        <v>N/A</v>
      </c>
      <c r="AH1012" s="58" t="str">
        <f>IF(Fixtures[[#This Row],[penalties]], IF(Fixtures[[#This Row],[userPens]]=Fixtures[[#This Row],[homePens]],Fixtures[[#This Row],[awayPens]],Fixtures[[#This Row],[homePens]]), "N/A")</f>
        <v>N/A</v>
      </c>
      <c r="AI1012" s="58" t="b">
        <f>COUNTBLANK(Fixtures[[#This Row],[G]:[MOTM]]) = 0</f>
        <v>0</v>
      </c>
      <c r="AJ1012" s="58" t="str">
        <f>IF(Fixtures[[#This Row],[APP]], Fixtures[[#This Row],[G]]+Fixtures[[#This Row],[A]], "N/A")</f>
        <v>N/A</v>
      </c>
      <c r="AK10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3" spans="1:39" ht="13">
      <c r="A1013" s="55"/>
      <c r="B1013" s="61"/>
      <c r="C1013" s="56"/>
      <c r="D1013" s="56"/>
      <c r="E1013" s="56"/>
      <c r="F1013" s="56"/>
      <c r="G1013" s="56"/>
      <c r="H1013" s="56"/>
      <c r="I1013" s="56"/>
      <c r="J1013" s="56"/>
      <c r="K1013" s="56"/>
      <c r="L1013" s="56"/>
      <c r="M1013" s="56"/>
      <c r="N1013" s="56"/>
      <c r="O1013" s="56"/>
      <c r="P1013" s="56"/>
      <c r="Q1013" s="57"/>
      <c r="R1013" s="56"/>
      <c r="S1013" s="58" t="str" cm="1">
        <f t="array" ref="S1013">_xlfn._xlws.FILTER(Competitions[compType], (Fixtures[[#This Row],[competition]] = Competitions[name]), "N/A")</f>
        <v>N/A</v>
      </c>
      <c r="T1013" s="58" t="str" cm="1">
        <f t="array" ref="T1013">_xlfn._xlws.FILTER(Competitions[exhibition], (Fixtures[[#This Row],[competition]] = Competitions[name]), "N/A")</f>
        <v>N/A</v>
      </c>
      <c r="U1013" s="58" t="str" cm="1">
        <f t="array" ref="U1013">_xlfn._xlws.FILTER(Competitions[compID], (Fixtures[[#This Row],[competition]] = Competitions[name]), "N/A")</f>
        <v>N/A</v>
      </c>
      <c r="V10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3" s="58" t="str" cm="1">
        <f t="array" ref="W10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3" s="58" t="str" cm="1">
        <f t="array" ref="X1013">_xlfn._xlws.FILTER(Teams[name], (Fixtures[[#This Row],[userTeamID]] = Teams[teamID]), "N/A")</f>
        <v>N/A</v>
      </c>
      <c r="Y1013" s="58" t="str" cm="1">
        <f t="array" ref="Y1013">_xlfn._xlws.FILTER(Teams[teamType], (Fixtures[[#This Row],[userTeamID]] = Teams[teamID]), "N/A")</f>
        <v>N/A</v>
      </c>
      <c r="Z1013" s="58" t="str" cm="1">
        <f t="array" ref="Z10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3" s="58" t="str">
        <f>IF(Fixtures[[#This Row],[userSide]] = "N/A", "N/A", IF(Fixtures[[#This Row],[userSide]] = "H", Fixtures[[#This Row],[awayTeam]], Fixtures[[#This Row],[homeTeam]]))</f>
        <v>N/A</v>
      </c>
      <c r="AB1013" s="58" t="str" cm="1">
        <f t="array" ref="AB1013">_xlfn._xlws.FILTER(Teams[teamID], Fixtures[[#This Row],[oppTeam]] = Teams[name], "N/A")</f>
        <v>N/A</v>
      </c>
      <c r="AC1013" s="58" t="str" cm="1">
        <f t="array" ref="AC1013">_xlfn._xlws.FILTER(Teams[teamType], Fixtures[[#This Row],[oppTeam]] = Teams[name], "N/A")</f>
        <v>N/A</v>
      </c>
      <c r="AD1013" s="58" t="str">
        <f>IF(ISBLANK(Fixtures[[#This Row],[date]]), "N/A", IF(Fixtures[[#This Row],[userSide]]="H", Fixtures[[#This Row],[homeScore]], Fixtures[[#This Row],[awayScore]]))</f>
        <v>N/A</v>
      </c>
      <c r="AE1013" s="58" t="str">
        <f>IF(ISBLANK(Fixtures[[#This Row],[date]]), "N/A", IF(Fixtures[[#This Row],[userScore]] = Fixtures[[#This Row],[homeScore]], Fixtures[[#This Row],[awayScore]], Fixtures[[#This Row],[homeScore]]))</f>
        <v>N/A</v>
      </c>
      <c r="AF1013" s="58" t="b">
        <f>NOT(AND(ISBLANK(Fixtures[[#This Row],[homePens]]), ISBLANK(Fixtures[[#This Row],[awayPens]])))</f>
        <v>0</v>
      </c>
      <c r="AG1013" s="58" t="str">
        <f>IF(Fixtures[[#This Row],[penalties]], IF(Fixtures[[#This Row],[userSide]]="H", Fixtures[[#This Row],[homePens]], Fixtures[[#This Row],[awayPens]]), "N/A")</f>
        <v>N/A</v>
      </c>
      <c r="AH1013" s="58" t="str">
        <f>IF(Fixtures[[#This Row],[penalties]], IF(Fixtures[[#This Row],[userPens]]=Fixtures[[#This Row],[homePens]],Fixtures[[#This Row],[awayPens]],Fixtures[[#This Row],[homePens]]), "N/A")</f>
        <v>N/A</v>
      </c>
      <c r="AI1013" s="58" t="b">
        <f>COUNTBLANK(Fixtures[[#This Row],[G]:[MOTM]]) = 0</f>
        <v>0</v>
      </c>
      <c r="AJ1013" s="58" t="str">
        <f>IF(Fixtures[[#This Row],[APP]], Fixtures[[#This Row],[G]]+Fixtures[[#This Row],[A]], "N/A")</f>
        <v>N/A</v>
      </c>
      <c r="AK10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4" spans="1:39" ht="13">
      <c r="A1014" s="55"/>
      <c r="B1014" s="61"/>
      <c r="C1014" s="56"/>
      <c r="D1014" s="56"/>
      <c r="E1014" s="56"/>
      <c r="F1014" s="56"/>
      <c r="G1014" s="56"/>
      <c r="H1014" s="56"/>
      <c r="I1014" s="56"/>
      <c r="J1014" s="56"/>
      <c r="K1014" s="56"/>
      <c r="L1014" s="56"/>
      <c r="M1014" s="56"/>
      <c r="N1014" s="56"/>
      <c r="O1014" s="56"/>
      <c r="P1014" s="56"/>
      <c r="Q1014" s="57"/>
      <c r="R1014" s="56"/>
      <c r="S1014" s="58" t="str" cm="1">
        <f t="array" ref="S1014">_xlfn._xlws.FILTER(Competitions[compType], (Fixtures[[#This Row],[competition]] = Competitions[name]), "N/A")</f>
        <v>N/A</v>
      </c>
      <c r="T1014" s="58" t="str" cm="1">
        <f t="array" ref="T1014">_xlfn._xlws.FILTER(Competitions[exhibition], (Fixtures[[#This Row],[competition]] = Competitions[name]), "N/A")</f>
        <v>N/A</v>
      </c>
      <c r="U1014" s="58" t="str" cm="1">
        <f t="array" ref="U1014">_xlfn._xlws.FILTER(Competitions[compID], (Fixtures[[#This Row],[competition]] = Competitions[name]), "N/A")</f>
        <v>N/A</v>
      </c>
      <c r="V10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4" s="58" t="str" cm="1">
        <f t="array" ref="W10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4" s="58" t="str" cm="1">
        <f t="array" ref="X1014">_xlfn._xlws.FILTER(Teams[name], (Fixtures[[#This Row],[userTeamID]] = Teams[teamID]), "N/A")</f>
        <v>N/A</v>
      </c>
      <c r="Y1014" s="58" t="str" cm="1">
        <f t="array" ref="Y1014">_xlfn._xlws.FILTER(Teams[teamType], (Fixtures[[#This Row],[userTeamID]] = Teams[teamID]), "N/A")</f>
        <v>N/A</v>
      </c>
      <c r="Z1014" s="58" t="str" cm="1">
        <f t="array" ref="Z10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4" s="58" t="str">
        <f>IF(Fixtures[[#This Row],[userSide]] = "N/A", "N/A", IF(Fixtures[[#This Row],[userSide]] = "H", Fixtures[[#This Row],[awayTeam]], Fixtures[[#This Row],[homeTeam]]))</f>
        <v>N/A</v>
      </c>
      <c r="AB1014" s="58" t="str" cm="1">
        <f t="array" ref="AB1014">_xlfn._xlws.FILTER(Teams[teamID], Fixtures[[#This Row],[oppTeam]] = Teams[name], "N/A")</f>
        <v>N/A</v>
      </c>
      <c r="AC1014" s="58" t="str" cm="1">
        <f t="array" ref="AC1014">_xlfn._xlws.FILTER(Teams[teamType], Fixtures[[#This Row],[oppTeam]] = Teams[name], "N/A")</f>
        <v>N/A</v>
      </c>
      <c r="AD1014" s="58" t="str">
        <f>IF(ISBLANK(Fixtures[[#This Row],[date]]), "N/A", IF(Fixtures[[#This Row],[userSide]]="H", Fixtures[[#This Row],[homeScore]], Fixtures[[#This Row],[awayScore]]))</f>
        <v>N/A</v>
      </c>
      <c r="AE1014" s="58" t="str">
        <f>IF(ISBLANK(Fixtures[[#This Row],[date]]), "N/A", IF(Fixtures[[#This Row],[userScore]] = Fixtures[[#This Row],[homeScore]], Fixtures[[#This Row],[awayScore]], Fixtures[[#This Row],[homeScore]]))</f>
        <v>N/A</v>
      </c>
      <c r="AF1014" s="58" t="b">
        <f>NOT(AND(ISBLANK(Fixtures[[#This Row],[homePens]]), ISBLANK(Fixtures[[#This Row],[awayPens]])))</f>
        <v>0</v>
      </c>
      <c r="AG1014" s="58" t="str">
        <f>IF(Fixtures[[#This Row],[penalties]], IF(Fixtures[[#This Row],[userSide]]="H", Fixtures[[#This Row],[homePens]], Fixtures[[#This Row],[awayPens]]), "N/A")</f>
        <v>N/A</v>
      </c>
      <c r="AH1014" s="58" t="str">
        <f>IF(Fixtures[[#This Row],[penalties]], IF(Fixtures[[#This Row],[userPens]]=Fixtures[[#This Row],[homePens]],Fixtures[[#This Row],[awayPens]],Fixtures[[#This Row],[homePens]]), "N/A")</f>
        <v>N/A</v>
      </c>
      <c r="AI1014" s="58" t="b">
        <f>COUNTBLANK(Fixtures[[#This Row],[G]:[MOTM]]) = 0</f>
        <v>0</v>
      </c>
      <c r="AJ1014" s="58" t="str">
        <f>IF(Fixtures[[#This Row],[APP]], Fixtures[[#This Row],[G]]+Fixtures[[#This Row],[A]], "N/A")</f>
        <v>N/A</v>
      </c>
      <c r="AK10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5" spans="1:39" ht="13">
      <c r="A1015" s="55"/>
      <c r="B1015" s="61"/>
      <c r="C1015" s="56"/>
      <c r="D1015" s="56"/>
      <c r="E1015" s="56"/>
      <c r="F1015" s="56"/>
      <c r="G1015" s="56"/>
      <c r="H1015" s="56"/>
      <c r="I1015" s="56"/>
      <c r="J1015" s="56"/>
      <c r="K1015" s="56"/>
      <c r="L1015" s="56"/>
      <c r="M1015" s="56"/>
      <c r="N1015" s="56"/>
      <c r="O1015" s="56"/>
      <c r="P1015" s="56"/>
      <c r="Q1015" s="57"/>
      <c r="R1015" s="56"/>
      <c r="S1015" s="58" t="str" cm="1">
        <f t="array" ref="S1015">_xlfn._xlws.FILTER(Competitions[compType], (Fixtures[[#This Row],[competition]] = Competitions[name]), "N/A")</f>
        <v>N/A</v>
      </c>
      <c r="T1015" s="58" t="str" cm="1">
        <f t="array" ref="T1015">_xlfn._xlws.FILTER(Competitions[exhibition], (Fixtures[[#This Row],[competition]] = Competitions[name]), "N/A")</f>
        <v>N/A</v>
      </c>
      <c r="U1015" s="58" t="str" cm="1">
        <f t="array" ref="U1015">_xlfn._xlws.FILTER(Competitions[compID], (Fixtures[[#This Row],[competition]] = Competitions[name]), "N/A")</f>
        <v>N/A</v>
      </c>
      <c r="V10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5" s="58" t="str" cm="1">
        <f t="array" ref="W10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5" s="58" t="str" cm="1">
        <f t="array" ref="X1015">_xlfn._xlws.FILTER(Teams[name], (Fixtures[[#This Row],[userTeamID]] = Teams[teamID]), "N/A")</f>
        <v>N/A</v>
      </c>
      <c r="Y1015" s="58" t="str" cm="1">
        <f t="array" ref="Y1015">_xlfn._xlws.FILTER(Teams[teamType], (Fixtures[[#This Row],[userTeamID]] = Teams[teamID]), "N/A")</f>
        <v>N/A</v>
      </c>
      <c r="Z1015" s="58" t="str" cm="1">
        <f t="array" ref="Z10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5" s="58" t="str">
        <f>IF(Fixtures[[#This Row],[userSide]] = "N/A", "N/A", IF(Fixtures[[#This Row],[userSide]] = "H", Fixtures[[#This Row],[awayTeam]], Fixtures[[#This Row],[homeTeam]]))</f>
        <v>N/A</v>
      </c>
      <c r="AB1015" s="58" t="str" cm="1">
        <f t="array" ref="AB1015">_xlfn._xlws.FILTER(Teams[teamID], Fixtures[[#This Row],[oppTeam]] = Teams[name], "N/A")</f>
        <v>N/A</v>
      </c>
      <c r="AC1015" s="58" t="str" cm="1">
        <f t="array" ref="AC1015">_xlfn._xlws.FILTER(Teams[teamType], Fixtures[[#This Row],[oppTeam]] = Teams[name], "N/A")</f>
        <v>N/A</v>
      </c>
      <c r="AD1015" s="58" t="str">
        <f>IF(ISBLANK(Fixtures[[#This Row],[date]]), "N/A", IF(Fixtures[[#This Row],[userSide]]="H", Fixtures[[#This Row],[homeScore]], Fixtures[[#This Row],[awayScore]]))</f>
        <v>N/A</v>
      </c>
      <c r="AE1015" s="58" t="str">
        <f>IF(ISBLANK(Fixtures[[#This Row],[date]]), "N/A", IF(Fixtures[[#This Row],[userScore]] = Fixtures[[#This Row],[homeScore]], Fixtures[[#This Row],[awayScore]], Fixtures[[#This Row],[homeScore]]))</f>
        <v>N/A</v>
      </c>
      <c r="AF1015" s="58" t="b">
        <f>NOT(AND(ISBLANK(Fixtures[[#This Row],[homePens]]), ISBLANK(Fixtures[[#This Row],[awayPens]])))</f>
        <v>0</v>
      </c>
      <c r="AG1015" s="58" t="str">
        <f>IF(Fixtures[[#This Row],[penalties]], IF(Fixtures[[#This Row],[userSide]]="H", Fixtures[[#This Row],[homePens]], Fixtures[[#This Row],[awayPens]]), "N/A")</f>
        <v>N/A</v>
      </c>
      <c r="AH1015" s="58" t="str">
        <f>IF(Fixtures[[#This Row],[penalties]], IF(Fixtures[[#This Row],[userPens]]=Fixtures[[#This Row],[homePens]],Fixtures[[#This Row],[awayPens]],Fixtures[[#This Row],[homePens]]), "N/A")</f>
        <v>N/A</v>
      </c>
      <c r="AI1015" s="58" t="b">
        <f>COUNTBLANK(Fixtures[[#This Row],[G]:[MOTM]]) = 0</f>
        <v>0</v>
      </c>
      <c r="AJ1015" s="58" t="str">
        <f>IF(Fixtures[[#This Row],[APP]], Fixtures[[#This Row],[G]]+Fixtures[[#This Row],[A]], "N/A")</f>
        <v>N/A</v>
      </c>
      <c r="AK10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6" spans="1:39" ht="13">
      <c r="A1016" s="55"/>
      <c r="B1016" s="61"/>
      <c r="C1016" s="56"/>
      <c r="D1016" s="56"/>
      <c r="E1016" s="56"/>
      <c r="F1016" s="56"/>
      <c r="G1016" s="56"/>
      <c r="H1016" s="56"/>
      <c r="I1016" s="56"/>
      <c r="J1016" s="56"/>
      <c r="K1016" s="56"/>
      <c r="L1016" s="56"/>
      <c r="M1016" s="56"/>
      <c r="N1016" s="56"/>
      <c r="O1016" s="56"/>
      <c r="P1016" s="56"/>
      <c r="Q1016" s="57"/>
      <c r="R1016" s="56"/>
      <c r="S1016" s="58" t="str" cm="1">
        <f t="array" ref="S1016">_xlfn._xlws.FILTER(Competitions[compType], (Fixtures[[#This Row],[competition]] = Competitions[name]), "N/A")</f>
        <v>N/A</v>
      </c>
      <c r="T1016" s="58" t="str" cm="1">
        <f t="array" ref="T1016">_xlfn._xlws.FILTER(Competitions[exhibition], (Fixtures[[#This Row],[competition]] = Competitions[name]), "N/A")</f>
        <v>N/A</v>
      </c>
      <c r="U1016" s="58" t="str" cm="1">
        <f t="array" ref="U1016">_xlfn._xlws.FILTER(Competitions[compID], (Fixtures[[#This Row],[competition]] = Competitions[name]), "N/A")</f>
        <v>N/A</v>
      </c>
      <c r="V10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6" s="58" t="str" cm="1">
        <f t="array" ref="W10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6" s="58" t="str" cm="1">
        <f t="array" ref="X1016">_xlfn._xlws.FILTER(Teams[name], (Fixtures[[#This Row],[userTeamID]] = Teams[teamID]), "N/A")</f>
        <v>N/A</v>
      </c>
      <c r="Y1016" s="58" t="str" cm="1">
        <f t="array" ref="Y1016">_xlfn._xlws.FILTER(Teams[teamType], (Fixtures[[#This Row],[userTeamID]] = Teams[teamID]), "N/A")</f>
        <v>N/A</v>
      </c>
      <c r="Z1016" s="58" t="str" cm="1">
        <f t="array" ref="Z10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6" s="58" t="str">
        <f>IF(Fixtures[[#This Row],[userSide]] = "N/A", "N/A", IF(Fixtures[[#This Row],[userSide]] = "H", Fixtures[[#This Row],[awayTeam]], Fixtures[[#This Row],[homeTeam]]))</f>
        <v>N/A</v>
      </c>
      <c r="AB1016" s="58" t="str" cm="1">
        <f t="array" ref="AB1016">_xlfn._xlws.FILTER(Teams[teamID], Fixtures[[#This Row],[oppTeam]] = Teams[name], "N/A")</f>
        <v>N/A</v>
      </c>
      <c r="AC1016" s="58" t="str" cm="1">
        <f t="array" ref="AC1016">_xlfn._xlws.FILTER(Teams[teamType], Fixtures[[#This Row],[oppTeam]] = Teams[name], "N/A")</f>
        <v>N/A</v>
      </c>
      <c r="AD1016" s="58" t="str">
        <f>IF(ISBLANK(Fixtures[[#This Row],[date]]), "N/A", IF(Fixtures[[#This Row],[userSide]]="H", Fixtures[[#This Row],[homeScore]], Fixtures[[#This Row],[awayScore]]))</f>
        <v>N/A</v>
      </c>
      <c r="AE1016" s="58" t="str">
        <f>IF(ISBLANK(Fixtures[[#This Row],[date]]), "N/A", IF(Fixtures[[#This Row],[userScore]] = Fixtures[[#This Row],[homeScore]], Fixtures[[#This Row],[awayScore]], Fixtures[[#This Row],[homeScore]]))</f>
        <v>N/A</v>
      </c>
      <c r="AF1016" s="58" t="b">
        <f>NOT(AND(ISBLANK(Fixtures[[#This Row],[homePens]]), ISBLANK(Fixtures[[#This Row],[awayPens]])))</f>
        <v>0</v>
      </c>
      <c r="AG1016" s="58" t="str">
        <f>IF(Fixtures[[#This Row],[penalties]], IF(Fixtures[[#This Row],[userSide]]="H", Fixtures[[#This Row],[homePens]], Fixtures[[#This Row],[awayPens]]), "N/A")</f>
        <v>N/A</v>
      </c>
      <c r="AH1016" s="58" t="str">
        <f>IF(Fixtures[[#This Row],[penalties]], IF(Fixtures[[#This Row],[userPens]]=Fixtures[[#This Row],[homePens]],Fixtures[[#This Row],[awayPens]],Fixtures[[#This Row],[homePens]]), "N/A")</f>
        <v>N/A</v>
      </c>
      <c r="AI1016" s="58" t="b">
        <f>COUNTBLANK(Fixtures[[#This Row],[G]:[MOTM]]) = 0</f>
        <v>0</v>
      </c>
      <c r="AJ1016" s="58" t="str">
        <f>IF(Fixtures[[#This Row],[APP]], Fixtures[[#This Row],[G]]+Fixtures[[#This Row],[A]], "N/A")</f>
        <v>N/A</v>
      </c>
      <c r="AK10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7" spans="1:39" ht="13">
      <c r="A1017" s="55"/>
      <c r="B1017" s="61"/>
      <c r="C1017" s="56"/>
      <c r="D1017" s="56"/>
      <c r="E1017" s="56"/>
      <c r="F1017" s="56"/>
      <c r="G1017" s="56"/>
      <c r="H1017" s="56"/>
      <c r="I1017" s="56"/>
      <c r="J1017" s="56"/>
      <c r="K1017" s="56"/>
      <c r="L1017" s="56"/>
      <c r="M1017" s="56"/>
      <c r="N1017" s="56"/>
      <c r="O1017" s="56"/>
      <c r="P1017" s="56"/>
      <c r="Q1017" s="57"/>
      <c r="R1017" s="56"/>
      <c r="S1017" s="58" t="str" cm="1">
        <f t="array" ref="S1017">_xlfn._xlws.FILTER(Competitions[compType], (Fixtures[[#This Row],[competition]] = Competitions[name]), "N/A")</f>
        <v>N/A</v>
      </c>
      <c r="T1017" s="58" t="str" cm="1">
        <f t="array" ref="T1017">_xlfn._xlws.FILTER(Competitions[exhibition], (Fixtures[[#This Row],[competition]] = Competitions[name]), "N/A")</f>
        <v>N/A</v>
      </c>
      <c r="U1017" s="58" t="str" cm="1">
        <f t="array" ref="U1017">_xlfn._xlws.FILTER(Competitions[compID], (Fixtures[[#This Row],[competition]] = Competitions[name]), "N/A")</f>
        <v>N/A</v>
      </c>
      <c r="V10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7" s="58" t="str" cm="1">
        <f t="array" ref="W10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7" s="58" t="str" cm="1">
        <f t="array" ref="X1017">_xlfn._xlws.FILTER(Teams[name], (Fixtures[[#This Row],[userTeamID]] = Teams[teamID]), "N/A")</f>
        <v>N/A</v>
      </c>
      <c r="Y1017" s="58" t="str" cm="1">
        <f t="array" ref="Y1017">_xlfn._xlws.FILTER(Teams[teamType], (Fixtures[[#This Row],[userTeamID]] = Teams[teamID]), "N/A")</f>
        <v>N/A</v>
      </c>
      <c r="Z1017" s="58" t="str" cm="1">
        <f t="array" ref="Z10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7" s="58" t="str">
        <f>IF(Fixtures[[#This Row],[userSide]] = "N/A", "N/A", IF(Fixtures[[#This Row],[userSide]] = "H", Fixtures[[#This Row],[awayTeam]], Fixtures[[#This Row],[homeTeam]]))</f>
        <v>N/A</v>
      </c>
      <c r="AB1017" s="58" t="str" cm="1">
        <f t="array" ref="AB1017">_xlfn._xlws.FILTER(Teams[teamID], Fixtures[[#This Row],[oppTeam]] = Teams[name], "N/A")</f>
        <v>N/A</v>
      </c>
      <c r="AC1017" s="58" t="str" cm="1">
        <f t="array" ref="AC1017">_xlfn._xlws.FILTER(Teams[teamType], Fixtures[[#This Row],[oppTeam]] = Teams[name], "N/A")</f>
        <v>N/A</v>
      </c>
      <c r="AD1017" s="58" t="str">
        <f>IF(ISBLANK(Fixtures[[#This Row],[date]]), "N/A", IF(Fixtures[[#This Row],[userSide]]="H", Fixtures[[#This Row],[homeScore]], Fixtures[[#This Row],[awayScore]]))</f>
        <v>N/A</v>
      </c>
      <c r="AE1017" s="58" t="str">
        <f>IF(ISBLANK(Fixtures[[#This Row],[date]]), "N/A", IF(Fixtures[[#This Row],[userScore]] = Fixtures[[#This Row],[homeScore]], Fixtures[[#This Row],[awayScore]], Fixtures[[#This Row],[homeScore]]))</f>
        <v>N/A</v>
      </c>
      <c r="AF1017" s="58" t="b">
        <f>NOT(AND(ISBLANK(Fixtures[[#This Row],[homePens]]), ISBLANK(Fixtures[[#This Row],[awayPens]])))</f>
        <v>0</v>
      </c>
      <c r="AG1017" s="58" t="str">
        <f>IF(Fixtures[[#This Row],[penalties]], IF(Fixtures[[#This Row],[userSide]]="H", Fixtures[[#This Row],[homePens]], Fixtures[[#This Row],[awayPens]]), "N/A")</f>
        <v>N/A</v>
      </c>
      <c r="AH1017" s="58" t="str">
        <f>IF(Fixtures[[#This Row],[penalties]], IF(Fixtures[[#This Row],[userPens]]=Fixtures[[#This Row],[homePens]],Fixtures[[#This Row],[awayPens]],Fixtures[[#This Row],[homePens]]), "N/A")</f>
        <v>N/A</v>
      </c>
      <c r="AI1017" s="58" t="b">
        <f>COUNTBLANK(Fixtures[[#This Row],[G]:[MOTM]]) = 0</f>
        <v>0</v>
      </c>
      <c r="AJ1017" s="58" t="str">
        <f>IF(Fixtures[[#This Row],[APP]], Fixtures[[#This Row],[G]]+Fixtures[[#This Row],[A]], "N/A")</f>
        <v>N/A</v>
      </c>
      <c r="AK10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8" spans="1:39" ht="13">
      <c r="A1018" s="55"/>
      <c r="B1018" s="61"/>
      <c r="C1018" s="56"/>
      <c r="D1018" s="56"/>
      <c r="E1018" s="56"/>
      <c r="F1018" s="56"/>
      <c r="G1018" s="56"/>
      <c r="H1018" s="56"/>
      <c r="I1018" s="56"/>
      <c r="J1018" s="56"/>
      <c r="K1018" s="56"/>
      <c r="L1018" s="56"/>
      <c r="M1018" s="56"/>
      <c r="N1018" s="56"/>
      <c r="O1018" s="56"/>
      <c r="P1018" s="56"/>
      <c r="Q1018" s="57"/>
      <c r="R1018" s="56"/>
      <c r="S1018" s="58" t="str" cm="1">
        <f t="array" ref="S1018">_xlfn._xlws.FILTER(Competitions[compType], (Fixtures[[#This Row],[competition]] = Competitions[name]), "N/A")</f>
        <v>N/A</v>
      </c>
      <c r="T1018" s="58" t="str" cm="1">
        <f t="array" ref="T1018">_xlfn._xlws.FILTER(Competitions[exhibition], (Fixtures[[#This Row],[competition]] = Competitions[name]), "N/A")</f>
        <v>N/A</v>
      </c>
      <c r="U1018" s="58" t="str" cm="1">
        <f t="array" ref="U1018">_xlfn._xlws.FILTER(Competitions[compID], (Fixtures[[#This Row],[competition]] = Competitions[name]), "N/A")</f>
        <v>N/A</v>
      </c>
      <c r="V10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8" s="58" t="str" cm="1">
        <f t="array" ref="W10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8" s="58" t="str" cm="1">
        <f t="array" ref="X1018">_xlfn._xlws.FILTER(Teams[name], (Fixtures[[#This Row],[userTeamID]] = Teams[teamID]), "N/A")</f>
        <v>N/A</v>
      </c>
      <c r="Y1018" s="58" t="str" cm="1">
        <f t="array" ref="Y1018">_xlfn._xlws.FILTER(Teams[teamType], (Fixtures[[#This Row],[userTeamID]] = Teams[teamID]), "N/A")</f>
        <v>N/A</v>
      </c>
      <c r="Z1018" s="58" t="str" cm="1">
        <f t="array" ref="Z10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8" s="58" t="str">
        <f>IF(Fixtures[[#This Row],[userSide]] = "N/A", "N/A", IF(Fixtures[[#This Row],[userSide]] = "H", Fixtures[[#This Row],[awayTeam]], Fixtures[[#This Row],[homeTeam]]))</f>
        <v>N/A</v>
      </c>
      <c r="AB1018" s="58" t="str" cm="1">
        <f t="array" ref="AB1018">_xlfn._xlws.FILTER(Teams[teamID], Fixtures[[#This Row],[oppTeam]] = Teams[name], "N/A")</f>
        <v>N/A</v>
      </c>
      <c r="AC1018" s="58" t="str" cm="1">
        <f t="array" ref="AC1018">_xlfn._xlws.FILTER(Teams[teamType], Fixtures[[#This Row],[oppTeam]] = Teams[name], "N/A")</f>
        <v>N/A</v>
      </c>
      <c r="AD1018" s="58" t="str">
        <f>IF(ISBLANK(Fixtures[[#This Row],[date]]), "N/A", IF(Fixtures[[#This Row],[userSide]]="H", Fixtures[[#This Row],[homeScore]], Fixtures[[#This Row],[awayScore]]))</f>
        <v>N/A</v>
      </c>
      <c r="AE1018" s="58" t="str">
        <f>IF(ISBLANK(Fixtures[[#This Row],[date]]), "N/A", IF(Fixtures[[#This Row],[userScore]] = Fixtures[[#This Row],[homeScore]], Fixtures[[#This Row],[awayScore]], Fixtures[[#This Row],[homeScore]]))</f>
        <v>N/A</v>
      </c>
      <c r="AF1018" s="58" t="b">
        <f>NOT(AND(ISBLANK(Fixtures[[#This Row],[homePens]]), ISBLANK(Fixtures[[#This Row],[awayPens]])))</f>
        <v>0</v>
      </c>
      <c r="AG1018" s="58" t="str">
        <f>IF(Fixtures[[#This Row],[penalties]], IF(Fixtures[[#This Row],[userSide]]="H", Fixtures[[#This Row],[homePens]], Fixtures[[#This Row],[awayPens]]), "N/A")</f>
        <v>N/A</v>
      </c>
      <c r="AH1018" s="58" t="str">
        <f>IF(Fixtures[[#This Row],[penalties]], IF(Fixtures[[#This Row],[userPens]]=Fixtures[[#This Row],[homePens]],Fixtures[[#This Row],[awayPens]],Fixtures[[#This Row],[homePens]]), "N/A")</f>
        <v>N/A</v>
      </c>
      <c r="AI1018" s="58" t="b">
        <f>COUNTBLANK(Fixtures[[#This Row],[G]:[MOTM]]) = 0</f>
        <v>0</v>
      </c>
      <c r="AJ1018" s="58" t="str">
        <f>IF(Fixtures[[#This Row],[APP]], Fixtures[[#This Row],[G]]+Fixtures[[#This Row],[A]], "N/A")</f>
        <v>N/A</v>
      </c>
      <c r="AK10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19" spans="1:39" ht="13">
      <c r="A1019" s="55"/>
      <c r="B1019" s="61"/>
      <c r="C1019" s="56"/>
      <c r="D1019" s="56"/>
      <c r="E1019" s="56"/>
      <c r="F1019" s="56"/>
      <c r="G1019" s="56"/>
      <c r="H1019" s="56"/>
      <c r="I1019" s="56"/>
      <c r="J1019" s="56"/>
      <c r="K1019" s="56"/>
      <c r="L1019" s="56"/>
      <c r="M1019" s="56"/>
      <c r="N1019" s="56"/>
      <c r="O1019" s="56"/>
      <c r="P1019" s="56"/>
      <c r="Q1019" s="57"/>
      <c r="R1019" s="56"/>
      <c r="S1019" s="58" t="str" cm="1">
        <f t="array" ref="S1019">_xlfn._xlws.FILTER(Competitions[compType], (Fixtures[[#This Row],[competition]] = Competitions[name]), "N/A")</f>
        <v>N/A</v>
      </c>
      <c r="T1019" s="58" t="str" cm="1">
        <f t="array" ref="T1019">_xlfn._xlws.FILTER(Competitions[exhibition], (Fixtures[[#This Row],[competition]] = Competitions[name]), "N/A")</f>
        <v>N/A</v>
      </c>
      <c r="U1019" s="58" t="str" cm="1">
        <f t="array" ref="U1019">_xlfn._xlws.FILTER(Competitions[compID], (Fixtures[[#This Row],[competition]] = Competitions[name]), "N/A")</f>
        <v>N/A</v>
      </c>
      <c r="V10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19" s="58" t="str" cm="1">
        <f t="array" ref="W10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19" s="58" t="str" cm="1">
        <f t="array" ref="X1019">_xlfn._xlws.FILTER(Teams[name], (Fixtures[[#This Row],[userTeamID]] = Teams[teamID]), "N/A")</f>
        <v>N/A</v>
      </c>
      <c r="Y1019" s="58" t="str" cm="1">
        <f t="array" ref="Y1019">_xlfn._xlws.FILTER(Teams[teamType], (Fixtures[[#This Row],[userTeamID]] = Teams[teamID]), "N/A")</f>
        <v>N/A</v>
      </c>
      <c r="Z1019" s="58" t="str" cm="1">
        <f t="array" ref="Z10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19" s="58" t="str">
        <f>IF(Fixtures[[#This Row],[userSide]] = "N/A", "N/A", IF(Fixtures[[#This Row],[userSide]] = "H", Fixtures[[#This Row],[awayTeam]], Fixtures[[#This Row],[homeTeam]]))</f>
        <v>N/A</v>
      </c>
      <c r="AB1019" s="58" t="str" cm="1">
        <f t="array" ref="AB1019">_xlfn._xlws.FILTER(Teams[teamID], Fixtures[[#This Row],[oppTeam]] = Teams[name], "N/A")</f>
        <v>N/A</v>
      </c>
      <c r="AC1019" s="58" t="str" cm="1">
        <f t="array" ref="AC1019">_xlfn._xlws.FILTER(Teams[teamType], Fixtures[[#This Row],[oppTeam]] = Teams[name], "N/A")</f>
        <v>N/A</v>
      </c>
      <c r="AD1019" s="58" t="str">
        <f>IF(ISBLANK(Fixtures[[#This Row],[date]]), "N/A", IF(Fixtures[[#This Row],[userSide]]="H", Fixtures[[#This Row],[homeScore]], Fixtures[[#This Row],[awayScore]]))</f>
        <v>N/A</v>
      </c>
      <c r="AE1019" s="58" t="str">
        <f>IF(ISBLANK(Fixtures[[#This Row],[date]]), "N/A", IF(Fixtures[[#This Row],[userScore]] = Fixtures[[#This Row],[homeScore]], Fixtures[[#This Row],[awayScore]], Fixtures[[#This Row],[homeScore]]))</f>
        <v>N/A</v>
      </c>
      <c r="AF1019" s="58" t="b">
        <f>NOT(AND(ISBLANK(Fixtures[[#This Row],[homePens]]), ISBLANK(Fixtures[[#This Row],[awayPens]])))</f>
        <v>0</v>
      </c>
      <c r="AG1019" s="58" t="str">
        <f>IF(Fixtures[[#This Row],[penalties]], IF(Fixtures[[#This Row],[userSide]]="H", Fixtures[[#This Row],[homePens]], Fixtures[[#This Row],[awayPens]]), "N/A")</f>
        <v>N/A</v>
      </c>
      <c r="AH1019" s="58" t="str">
        <f>IF(Fixtures[[#This Row],[penalties]], IF(Fixtures[[#This Row],[userPens]]=Fixtures[[#This Row],[homePens]],Fixtures[[#This Row],[awayPens]],Fixtures[[#This Row],[homePens]]), "N/A")</f>
        <v>N/A</v>
      </c>
      <c r="AI1019" s="58" t="b">
        <f>COUNTBLANK(Fixtures[[#This Row],[G]:[MOTM]]) = 0</f>
        <v>0</v>
      </c>
      <c r="AJ1019" s="58" t="str">
        <f>IF(Fixtures[[#This Row],[APP]], Fixtures[[#This Row],[G]]+Fixtures[[#This Row],[A]], "N/A")</f>
        <v>N/A</v>
      </c>
      <c r="AK10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0" spans="1:39" ht="13">
      <c r="A1020" s="55"/>
      <c r="B1020" s="61"/>
      <c r="C1020" s="56"/>
      <c r="D1020" s="56"/>
      <c r="E1020" s="56"/>
      <c r="F1020" s="56"/>
      <c r="G1020" s="56"/>
      <c r="H1020" s="56"/>
      <c r="I1020" s="56"/>
      <c r="J1020" s="56"/>
      <c r="K1020" s="56"/>
      <c r="L1020" s="56"/>
      <c r="M1020" s="56"/>
      <c r="N1020" s="56"/>
      <c r="O1020" s="56"/>
      <c r="P1020" s="56"/>
      <c r="Q1020" s="57"/>
      <c r="R1020" s="56"/>
      <c r="S1020" s="58" t="str" cm="1">
        <f t="array" ref="S1020">_xlfn._xlws.FILTER(Competitions[compType], (Fixtures[[#This Row],[competition]] = Competitions[name]), "N/A")</f>
        <v>N/A</v>
      </c>
      <c r="T1020" s="58" t="str" cm="1">
        <f t="array" ref="T1020">_xlfn._xlws.FILTER(Competitions[exhibition], (Fixtures[[#This Row],[competition]] = Competitions[name]), "N/A")</f>
        <v>N/A</v>
      </c>
      <c r="U1020" s="58" t="str" cm="1">
        <f t="array" ref="U1020">_xlfn._xlws.FILTER(Competitions[compID], (Fixtures[[#This Row],[competition]] = Competitions[name]), "N/A")</f>
        <v>N/A</v>
      </c>
      <c r="V10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0" s="58" t="str" cm="1">
        <f t="array" ref="W10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0" s="58" t="str" cm="1">
        <f t="array" ref="X1020">_xlfn._xlws.FILTER(Teams[name], (Fixtures[[#This Row],[userTeamID]] = Teams[teamID]), "N/A")</f>
        <v>N/A</v>
      </c>
      <c r="Y1020" s="58" t="str" cm="1">
        <f t="array" ref="Y1020">_xlfn._xlws.FILTER(Teams[teamType], (Fixtures[[#This Row],[userTeamID]] = Teams[teamID]), "N/A")</f>
        <v>N/A</v>
      </c>
      <c r="Z1020" s="58" t="str" cm="1">
        <f t="array" ref="Z10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0" s="58" t="str">
        <f>IF(Fixtures[[#This Row],[userSide]] = "N/A", "N/A", IF(Fixtures[[#This Row],[userSide]] = "H", Fixtures[[#This Row],[awayTeam]], Fixtures[[#This Row],[homeTeam]]))</f>
        <v>N/A</v>
      </c>
      <c r="AB1020" s="58" t="str" cm="1">
        <f t="array" ref="AB1020">_xlfn._xlws.FILTER(Teams[teamID], Fixtures[[#This Row],[oppTeam]] = Teams[name], "N/A")</f>
        <v>N/A</v>
      </c>
      <c r="AC1020" s="58" t="str" cm="1">
        <f t="array" ref="AC1020">_xlfn._xlws.FILTER(Teams[teamType], Fixtures[[#This Row],[oppTeam]] = Teams[name], "N/A")</f>
        <v>N/A</v>
      </c>
      <c r="AD1020" s="58" t="str">
        <f>IF(ISBLANK(Fixtures[[#This Row],[date]]), "N/A", IF(Fixtures[[#This Row],[userSide]]="H", Fixtures[[#This Row],[homeScore]], Fixtures[[#This Row],[awayScore]]))</f>
        <v>N/A</v>
      </c>
      <c r="AE1020" s="58" t="str">
        <f>IF(ISBLANK(Fixtures[[#This Row],[date]]), "N/A", IF(Fixtures[[#This Row],[userScore]] = Fixtures[[#This Row],[homeScore]], Fixtures[[#This Row],[awayScore]], Fixtures[[#This Row],[homeScore]]))</f>
        <v>N/A</v>
      </c>
      <c r="AF1020" s="58" t="b">
        <f>NOT(AND(ISBLANK(Fixtures[[#This Row],[homePens]]), ISBLANK(Fixtures[[#This Row],[awayPens]])))</f>
        <v>0</v>
      </c>
      <c r="AG1020" s="58" t="str">
        <f>IF(Fixtures[[#This Row],[penalties]], IF(Fixtures[[#This Row],[userSide]]="H", Fixtures[[#This Row],[homePens]], Fixtures[[#This Row],[awayPens]]), "N/A")</f>
        <v>N/A</v>
      </c>
      <c r="AH1020" s="58" t="str">
        <f>IF(Fixtures[[#This Row],[penalties]], IF(Fixtures[[#This Row],[userPens]]=Fixtures[[#This Row],[homePens]],Fixtures[[#This Row],[awayPens]],Fixtures[[#This Row],[homePens]]), "N/A")</f>
        <v>N/A</v>
      </c>
      <c r="AI1020" s="58" t="b">
        <f>COUNTBLANK(Fixtures[[#This Row],[G]:[MOTM]]) = 0</f>
        <v>0</v>
      </c>
      <c r="AJ1020" s="58" t="str">
        <f>IF(Fixtures[[#This Row],[APP]], Fixtures[[#This Row],[G]]+Fixtures[[#This Row],[A]], "N/A")</f>
        <v>N/A</v>
      </c>
      <c r="AK10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1" spans="1:39" ht="13">
      <c r="A1021" s="55"/>
      <c r="B1021" s="61"/>
      <c r="C1021" s="56"/>
      <c r="D1021" s="56"/>
      <c r="E1021" s="56"/>
      <c r="F1021" s="56"/>
      <c r="G1021" s="56"/>
      <c r="H1021" s="56"/>
      <c r="I1021" s="56"/>
      <c r="J1021" s="56"/>
      <c r="K1021" s="56"/>
      <c r="L1021" s="56"/>
      <c r="M1021" s="56"/>
      <c r="N1021" s="56"/>
      <c r="O1021" s="56"/>
      <c r="P1021" s="56"/>
      <c r="Q1021" s="57"/>
      <c r="R1021" s="56"/>
      <c r="S1021" s="58" t="str" cm="1">
        <f t="array" ref="S1021">_xlfn._xlws.FILTER(Competitions[compType], (Fixtures[[#This Row],[competition]] = Competitions[name]), "N/A")</f>
        <v>N/A</v>
      </c>
      <c r="T1021" s="58" t="str" cm="1">
        <f t="array" ref="T1021">_xlfn._xlws.FILTER(Competitions[exhibition], (Fixtures[[#This Row],[competition]] = Competitions[name]), "N/A")</f>
        <v>N/A</v>
      </c>
      <c r="U1021" s="58" t="str" cm="1">
        <f t="array" ref="U1021">_xlfn._xlws.FILTER(Competitions[compID], (Fixtures[[#This Row],[competition]] = Competitions[name]), "N/A")</f>
        <v>N/A</v>
      </c>
      <c r="V10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1" s="58" t="str" cm="1">
        <f t="array" ref="W10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1" s="58" t="str" cm="1">
        <f t="array" ref="X1021">_xlfn._xlws.FILTER(Teams[name], (Fixtures[[#This Row],[userTeamID]] = Teams[teamID]), "N/A")</f>
        <v>N/A</v>
      </c>
      <c r="Y1021" s="58" t="str" cm="1">
        <f t="array" ref="Y1021">_xlfn._xlws.FILTER(Teams[teamType], (Fixtures[[#This Row],[userTeamID]] = Teams[teamID]), "N/A")</f>
        <v>N/A</v>
      </c>
      <c r="Z1021" s="58" t="str" cm="1">
        <f t="array" ref="Z10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1" s="58" t="str">
        <f>IF(Fixtures[[#This Row],[userSide]] = "N/A", "N/A", IF(Fixtures[[#This Row],[userSide]] = "H", Fixtures[[#This Row],[awayTeam]], Fixtures[[#This Row],[homeTeam]]))</f>
        <v>N/A</v>
      </c>
      <c r="AB1021" s="58" t="str" cm="1">
        <f t="array" ref="AB1021">_xlfn._xlws.FILTER(Teams[teamID], Fixtures[[#This Row],[oppTeam]] = Teams[name], "N/A")</f>
        <v>N/A</v>
      </c>
      <c r="AC1021" s="58" t="str" cm="1">
        <f t="array" ref="AC1021">_xlfn._xlws.FILTER(Teams[teamType], Fixtures[[#This Row],[oppTeam]] = Teams[name], "N/A")</f>
        <v>N/A</v>
      </c>
      <c r="AD1021" s="58" t="str">
        <f>IF(ISBLANK(Fixtures[[#This Row],[date]]), "N/A", IF(Fixtures[[#This Row],[userSide]]="H", Fixtures[[#This Row],[homeScore]], Fixtures[[#This Row],[awayScore]]))</f>
        <v>N/A</v>
      </c>
      <c r="AE1021" s="58" t="str">
        <f>IF(ISBLANK(Fixtures[[#This Row],[date]]), "N/A", IF(Fixtures[[#This Row],[userScore]] = Fixtures[[#This Row],[homeScore]], Fixtures[[#This Row],[awayScore]], Fixtures[[#This Row],[homeScore]]))</f>
        <v>N/A</v>
      </c>
      <c r="AF1021" s="58" t="b">
        <f>NOT(AND(ISBLANK(Fixtures[[#This Row],[homePens]]), ISBLANK(Fixtures[[#This Row],[awayPens]])))</f>
        <v>0</v>
      </c>
      <c r="AG1021" s="58" t="str">
        <f>IF(Fixtures[[#This Row],[penalties]], IF(Fixtures[[#This Row],[userSide]]="H", Fixtures[[#This Row],[homePens]], Fixtures[[#This Row],[awayPens]]), "N/A")</f>
        <v>N/A</v>
      </c>
      <c r="AH1021" s="58" t="str">
        <f>IF(Fixtures[[#This Row],[penalties]], IF(Fixtures[[#This Row],[userPens]]=Fixtures[[#This Row],[homePens]],Fixtures[[#This Row],[awayPens]],Fixtures[[#This Row],[homePens]]), "N/A")</f>
        <v>N/A</v>
      </c>
      <c r="AI1021" s="58" t="b">
        <f>COUNTBLANK(Fixtures[[#This Row],[G]:[MOTM]]) = 0</f>
        <v>0</v>
      </c>
      <c r="AJ1021" s="58" t="str">
        <f>IF(Fixtures[[#This Row],[APP]], Fixtures[[#This Row],[G]]+Fixtures[[#This Row],[A]], "N/A")</f>
        <v>N/A</v>
      </c>
      <c r="AK10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2" spans="1:39" ht="13">
      <c r="A1022" s="55"/>
      <c r="B1022" s="61"/>
      <c r="C1022" s="56"/>
      <c r="D1022" s="56"/>
      <c r="E1022" s="56"/>
      <c r="F1022" s="56"/>
      <c r="G1022" s="56"/>
      <c r="H1022" s="56"/>
      <c r="I1022" s="56"/>
      <c r="J1022" s="56"/>
      <c r="K1022" s="56"/>
      <c r="L1022" s="56"/>
      <c r="M1022" s="56"/>
      <c r="N1022" s="56"/>
      <c r="O1022" s="56"/>
      <c r="P1022" s="56"/>
      <c r="Q1022" s="57"/>
      <c r="R1022" s="56"/>
      <c r="S1022" s="58" t="str" cm="1">
        <f t="array" ref="S1022">_xlfn._xlws.FILTER(Competitions[compType], (Fixtures[[#This Row],[competition]] = Competitions[name]), "N/A")</f>
        <v>N/A</v>
      </c>
      <c r="T1022" s="58" t="str" cm="1">
        <f t="array" ref="T1022">_xlfn._xlws.FILTER(Competitions[exhibition], (Fixtures[[#This Row],[competition]] = Competitions[name]), "N/A")</f>
        <v>N/A</v>
      </c>
      <c r="U1022" s="58" t="str" cm="1">
        <f t="array" ref="U1022">_xlfn._xlws.FILTER(Competitions[compID], (Fixtures[[#This Row],[competition]] = Competitions[name]), "N/A")</f>
        <v>N/A</v>
      </c>
      <c r="V10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2" s="58" t="str" cm="1">
        <f t="array" ref="W10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2" s="58" t="str" cm="1">
        <f t="array" ref="X1022">_xlfn._xlws.FILTER(Teams[name], (Fixtures[[#This Row],[userTeamID]] = Teams[teamID]), "N/A")</f>
        <v>N/A</v>
      </c>
      <c r="Y1022" s="58" t="str" cm="1">
        <f t="array" ref="Y1022">_xlfn._xlws.FILTER(Teams[teamType], (Fixtures[[#This Row],[userTeamID]] = Teams[teamID]), "N/A")</f>
        <v>N/A</v>
      </c>
      <c r="Z1022" s="58" t="str" cm="1">
        <f t="array" ref="Z10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2" s="58" t="str">
        <f>IF(Fixtures[[#This Row],[userSide]] = "N/A", "N/A", IF(Fixtures[[#This Row],[userSide]] = "H", Fixtures[[#This Row],[awayTeam]], Fixtures[[#This Row],[homeTeam]]))</f>
        <v>N/A</v>
      </c>
      <c r="AB1022" s="58" t="str" cm="1">
        <f t="array" ref="AB1022">_xlfn._xlws.FILTER(Teams[teamID], Fixtures[[#This Row],[oppTeam]] = Teams[name], "N/A")</f>
        <v>N/A</v>
      </c>
      <c r="AC1022" s="58" t="str" cm="1">
        <f t="array" ref="AC1022">_xlfn._xlws.FILTER(Teams[teamType], Fixtures[[#This Row],[oppTeam]] = Teams[name], "N/A")</f>
        <v>N/A</v>
      </c>
      <c r="AD1022" s="58" t="str">
        <f>IF(ISBLANK(Fixtures[[#This Row],[date]]), "N/A", IF(Fixtures[[#This Row],[userSide]]="H", Fixtures[[#This Row],[homeScore]], Fixtures[[#This Row],[awayScore]]))</f>
        <v>N/A</v>
      </c>
      <c r="AE1022" s="58" t="str">
        <f>IF(ISBLANK(Fixtures[[#This Row],[date]]), "N/A", IF(Fixtures[[#This Row],[userScore]] = Fixtures[[#This Row],[homeScore]], Fixtures[[#This Row],[awayScore]], Fixtures[[#This Row],[homeScore]]))</f>
        <v>N/A</v>
      </c>
      <c r="AF1022" s="58" t="b">
        <f>NOT(AND(ISBLANK(Fixtures[[#This Row],[homePens]]), ISBLANK(Fixtures[[#This Row],[awayPens]])))</f>
        <v>0</v>
      </c>
      <c r="AG1022" s="58" t="str">
        <f>IF(Fixtures[[#This Row],[penalties]], IF(Fixtures[[#This Row],[userSide]]="H", Fixtures[[#This Row],[homePens]], Fixtures[[#This Row],[awayPens]]), "N/A")</f>
        <v>N/A</v>
      </c>
      <c r="AH1022" s="58" t="str">
        <f>IF(Fixtures[[#This Row],[penalties]], IF(Fixtures[[#This Row],[userPens]]=Fixtures[[#This Row],[homePens]],Fixtures[[#This Row],[awayPens]],Fixtures[[#This Row],[homePens]]), "N/A")</f>
        <v>N/A</v>
      </c>
      <c r="AI1022" s="58" t="b">
        <f>COUNTBLANK(Fixtures[[#This Row],[G]:[MOTM]]) = 0</f>
        <v>0</v>
      </c>
      <c r="AJ1022" s="58" t="str">
        <f>IF(Fixtures[[#This Row],[APP]], Fixtures[[#This Row],[G]]+Fixtures[[#This Row],[A]], "N/A")</f>
        <v>N/A</v>
      </c>
      <c r="AK10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3" spans="1:39" ht="13">
      <c r="A1023" s="55"/>
      <c r="B1023" s="61"/>
      <c r="C1023" s="56"/>
      <c r="D1023" s="56"/>
      <c r="E1023" s="56"/>
      <c r="F1023" s="56"/>
      <c r="G1023" s="56"/>
      <c r="H1023" s="56"/>
      <c r="I1023" s="56"/>
      <c r="J1023" s="56"/>
      <c r="K1023" s="56"/>
      <c r="L1023" s="56"/>
      <c r="M1023" s="56"/>
      <c r="N1023" s="56"/>
      <c r="O1023" s="56"/>
      <c r="P1023" s="56"/>
      <c r="Q1023" s="57"/>
      <c r="R1023" s="56"/>
      <c r="S1023" s="58" t="str" cm="1">
        <f t="array" ref="S1023">_xlfn._xlws.FILTER(Competitions[compType], (Fixtures[[#This Row],[competition]] = Competitions[name]), "N/A")</f>
        <v>N/A</v>
      </c>
      <c r="T1023" s="58" t="str" cm="1">
        <f t="array" ref="T1023">_xlfn._xlws.FILTER(Competitions[exhibition], (Fixtures[[#This Row],[competition]] = Competitions[name]), "N/A")</f>
        <v>N/A</v>
      </c>
      <c r="U1023" s="58" t="str" cm="1">
        <f t="array" ref="U1023">_xlfn._xlws.FILTER(Competitions[compID], (Fixtures[[#This Row],[competition]] = Competitions[name]), "N/A")</f>
        <v>N/A</v>
      </c>
      <c r="V10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3" s="58" t="str" cm="1">
        <f t="array" ref="W10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3" s="58" t="str" cm="1">
        <f t="array" ref="X1023">_xlfn._xlws.FILTER(Teams[name], (Fixtures[[#This Row],[userTeamID]] = Teams[teamID]), "N/A")</f>
        <v>N/A</v>
      </c>
      <c r="Y1023" s="58" t="str" cm="1">
        <f t="array" ref="Y1023">_xlfn._xlws.FILTER(Teams[teamType], (Fixtures[[#This Row],[userTeamID]] = Teams[teamID]), "N/A")</f>
        <v>N/A</v>
      </c>
      <c r="Z1023" s="58" t="str" cm="1">
        <f t="array" ref="Z10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3" s="58" t="str">
        <f>IF(Fixtures[[#This Row],[userSide]] = "N/A", "N/A", IF(Fixtures[[#This Row],[userSide]] = "H", Fixtures[[#This Row],[awayTeam]], Fixtures[[#This Row],[homeTeam]]))</f>
        <v>N/A</v>
      </c>
      <c r="AB1023" s="58" t="str" cm="1">
        <f t="array" ref="AB1023">_xlfn._xlws.FILTER(Teams[teamID], Fixtures[[#This Row],[oppTeam]] = Teams[name], "N/A")</f>
        <v>N/A</v>
      </c>
      <c r="AC1023" s="58" t="str" cm="1">
        <f t="array" ref="AC1023">_xlfn._xlws.FILTER(Teams[teamType], Fixtures[[#This Row],[oppTeam]] = Teams[name], "N/A")</f>
        <v>N/A</v>
      </c>
      <c r="AD1023" s="58" t="str">
        <f>IF(ISBLANK(Fixtures[[#This Row],[date]]), "N/A", IF(Fixtures[[#This Row],[userSide]]="H", Fixtures[[#This Row],[homeScore]], Fixtures[[#This Row],[awayScore]]))</f>
        <v>N/A</v>
      </c>
      <c r="AE1023" s="58" t="str">
        <f>IF(ISBLANK(Fixtures[[#This Row],[date]]), "N/A", IF(Fixtures[[#This Row],[userScore]] = Fixtures[[#This Row],[homeScore]], Fixtures[[#This Row],[awayScore]], Fixtures[[#This Row],[homeScore]]))</f>
        <v>N/A</v>
      </c>
      <c r="AF1023" s="58" t="b">
        <f>NOT(AND(ISBLANK(Fixtures[[#This Row],[homePens]]), ISBLANK(Fixtures[[#This Row],[awayPens]])))</f>
        <v>0</v>
      </c>
      <c r="AG1023" s="58" t="str">
        <f>IF(Fixtures[[#This Row],[penalties]], IF(Fixtures[[#This Row],[userSide]]="H", Fixtures[[#This Row],[homePens]], Fixtures[[#This Row],[awayPens]]), "N/A")</f>
        <v>N/A</v>
      </c>
      <c r="AH1023" s="58" t="str">
        <f>IF(Fixtures[[#This Row],[penalties]], IF(Fixtures[[#This Row],[userPens]]=Fixtures[[#This Row],[homePens]],Fixtures[[#This Row],[awayPens]],Fixtures[[#This Row],[homePens]]), "N/A")</f>
        <v>N/A</v>
      </c>
      <c r="AI1023" s="58" t="b">
        <f>COUNTBLANK(Fixtures[[#This Row],[G]:[MOTM]]) = 0</f>
        <v>0</v>
      </c>
      <c r="AJ1023" s="58" t="str">
        <f>IF(Fixtures[[#This Row],[APP]], Fixtures[[#This Row],[G]]+Fixtures[[#This Row],[A]], "N/A")</f>
        <v>N/A</v>
      </c>
      <c r="AK10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4" spans="1:39" ht="13">
      <c r="A1024" s="55"/>
      <c r="B1024" s="61"/>
      <c r="C1024" s="56"/>
      <c r="D1024" s="56"/>
      <c r="E1024" s="56"/>
      <c r="F1024" s="56"/>
      <c r="G1024" s="56"/>
      <c r="H1024" s="56"/>
      <c r="I1024" s="56"/>
      <c r="J1024" s="56"/>
      <c r="K1024" s="56"/>
      <c r="L1024" s="56"/>
      <c r="M1024" s="56"/>
      <c r="N1024" s="56"/>
      <c r="O1024" s="56"/>
      <c r="P1024" s="56"/>
      <c r="Q1024" s="57"/>
      <c r="R1024" s="56"/>
      <c r="S1024" s="58" t="str" cm="1">
        <f t="array" ref="S1024">_xlfn._xlws.FILTER(Competitions[compType], (Fixtures[[#This Row],[competition]] = Competitions[name]), "N/A")</f>
        <v>N/A</v>
      </c>
      <c r="T1024" s="58" t="str" cm="1">
        <f t="array" ref="T1024">_xlfn._xlws.FILTER(Competitions[exhibition], (Fixtures[[#This Row],[competition]] = Competitions[name]), "N/A")</f>
        <v>N/A</v>
      </c>
      <c r="U1024" s="58" t="str" cm="1">
        <f t="array" ref="U1024">_xlfn._xlws.FILTER(Competitions[compID], (Fixtures[[#This Row],[competition]] = Competitions[name]), "N/A")</f>
        <v>N/A</v>
      </c>
      <c r="V10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4" s="58" t="str" cm="1">
        <f t="array" ref="W10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4" s="58" t="str" cm="1">
        <f t="array" ref="X1024">_xlfn._xlws.FILTER(Teams[name], (Fixtures[[#This Row],[userTeamID]] = Teams[teamID]), "N/A")</f>
        <v>N/A</v>
      </c>
      <c r="Y1024" s="58" t="str" cm="1">
        <f t="array" ref="Y1024">_xlfn._xlws.FILTER(Teams[teamType], (Fixtures[[#This Row],[userTeamID]] = Teams[teamID]), "N/A")</f>
        <v>N/A</v>
      </c>
      <c r="Z1024" s="58" t="str" cm="1">
        <f t="array" ref="Z10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4" s="58" t="str">
        <f>IF(Fixtures[[#This Row],[userSide]] = "N/A", "N/A", IF(Fixtures[[#This Row],[userSide]] = "H", Fixtures[[#This Row],[awayTeam]], Fixtures[[#This Row],[homeTeam]]))</f>
        <v>N/A</v>
      </c>
      <c r="AB1024" s="58" t="str" cm="1">
        <f t="array" ref="AB1024">_xlfn._xlws.FILTER(Teams[teamID], Fixtures[[#This Row],[oppTeam]] = Teams[name], "N/A")</f>
        <v>N/A</v>
      </c>
      <c r="AC1024" s="58" t="str" cm="1">
        <f t="array" ref="AC1024">_xlfn._xlws.FILTER(Teams[teamType], Fixtures[[#This Row],[oppTeam]] = Teams[name], "N/A")</f>
        <v>N/A</v>
      </c>
      <c r="AD1024" s="58" t="str">
        <f>IF(ISBLANK(Fixtures[[#This Row],[date]]), "N/A", IF(Fixtures[[#This Row],[userSide]]="H", Fixtures[[#This Row],[homeScore]], Fixtures[[#This Row],[awayScore]]))</f>
        <v>N/A</v>
      </c>
      <c r="AE1024" s="58" t="str">
        <f>IF(ISBLANK(Fixtures[[#This Row],[date]]), "N/A", IF(Fixtures[[#This Row],[userScore]] = Fixtures[[#This Row],[homeScore]], Fixtures[[#This Row],[awayScore]], Fixtures[[#This Row],[homeScore]]))</f>
        <v>N/A</v>
      </c>
      <c r="AF1024" s="58" t="b">
        <f>NOT(AND(ISBLANK(Fixtures[[#This Row],[homePens]]), ISBLANK(Fixtures[[#This Row],[awayPens]])))</f>
        <v>0</v>
      </c>
      <c r="AG1024" s="58" t="str">
        <f>IF(Fixtures[[#This Row],[penalties]], IF(Fixtures[[#This Row],[userSide]]="H", Fixtures[[#This Row],[homePens]], Fixtures[[#This Row],[awayPens]]), "N/A")</f>
        <v>N/A</v>
      </c>
      <c r="AH1024" s="58" t="str">
        <f>IF(Fixtures[[#This Row],[penalties]], IF(Fixtures[[#This Row],[userPens]]=Fixtures[[#This Row],[homePens]],Fixtures[[#This Row],[awayPens]],Fixtures[[#This Row],[homePens]]), "N/A")</f>
        <v>N/A</v>
      </c>
      <c r="AI1024" s="58" t="b">
        <f>COUNTBLANK(Fixtures[[#This Row],[G]:[MOTM]]) = 0</f>
        <v>0</v>
      </c>
      <c r="AJ1024" s="58" t="str">
        <f>IF(Fixtures[[#This Row],[APP]], Fixtures[[#This Row],[G]]+Fixtures[[#This Row],[A]], "N/A")</f>
        <v>N/A</v>
      </c>
      <c r="AK10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5" spans="1:39" ht="13">
      <c r="A1025" s="55"/>
      <c r="B1025" s="61"/>
      <c r="C1025" s="56"/>
      <c r="D1025" s="56"/>
      <c r="E1025" s="56"/>
      <c r="F1025" s="56"/>
      <c r="G1025" s="56"/>
      <c r="H1025" s="56"/>
      <c r="I1025" s="56"/>
      <c r="J1025" s="56"/>
      <c r="K1025" s="56"/>
      <c r="L1025" s="56"/>
      <c r="M1025" s="56"/>
      <c r="N1025" s="56"/>
      <c r="O1025" s="56"/>
      <c r="P1025" s="56"/>
      <c r="Q1025" s="57"/>
      <c r="R1025" s="56"/>
      <c r="S1025" s="58" t="str" cm="1">
        <f t="array" ref="S1025">_xlfn._xlws.FILTER(Competitions[compType], (Fixtures[[#This Row],[competition]] = Competitions[name]), "N/A")</f>
        <v>N/A</v>
      </c>
      <c r="T1025" s="58" t="str" cm="1">
        <f t="array" ref="T1025">_xlfn._xlws.FILTER(Competitions[exhibition], (Fixtures[[#This Row],[competition]] = Competitions[name]), "N/A")</f>
        <v>N/A</v>
      </c>
      <c r="U1025" s="58" t="str" cm="1">
        <f t="array" ref="U1025">_xlfn._xlws.FILTER(Competitions[compID], (Fixtures[[#This Row],[competition]] = Competitions[name]), "N/A")</f>
        <v>N/A</v>
      </c>
      <c r="V10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5" s="58" t="str" cm="1">
        <f t="array" ref="W10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5" s="58" t="str" cm="1">
        <f t="array" ref="X1025">_xlfn._xlws.FILTER(Teams[name], (Fixtures[[#This Row],[userTeamID]] = Teams[teamID]), "N/A")</f>
        <v>N/A</v>
      </c>
      <c r="Y1025" s="58" t="str" cm="1">
        <f t="array" ref="Y1025">_xlfn._xlws.FILTER(Teams[teamType], (Fixtures[[#This Row],[userTeamID]] = Teams[teamID]), "N/A")</f>
        <v>N/A</v>
      </c>
      <c r="Z1025" s="58" t="str" cm="1">
        <f t="array" ref="Z10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5" s="58" t="str">
        <f>IF(Fixtures[[#This Row],[userSide]] = "N/A", "N/A", IF(Fixtures[[#This Row],[userSide]] = "H", Fixtures[[#This Row],[awayTeam]], Fixtures[[#This Row],[homeTeam]]))</f>
        <v>N/A</v>
      </c>
      <c r="AB1025" s="58" t="str" cm="1">
        <f t="array" ref="AB1025">_xlfn._xlws.FILTER(Teams[teamID], Fixtures[[#This Row],[oppTeam]] = Teams[name], "N/A")</f>
        <v>N/A</v>
      </c>
      <c r="AC1025" s="58" t="str" cm="1">
        <f t="array" ref="AC1025">_xlfn._xlws.FILTER(Teams[teamType], Fixtures[[#This Row],[oppTeam]] = Teams[name], "N/A")</f>
        <v>N/A</v>
      </c>
      <c r="AD1025" s="58" t="str">
        <f>IF(ISBLANK(Fixtures[[#This Row],[date]]), "N/A", IF(Fixtures[[#This Row],[userSide]]="H", Fixtures[[#This Row],[homeScore]], Fixtures[[#This Row],[awayScore]]))</f>
        <v>N/A</v>
      </c>
      <c r="AE1025" s="58" t="str">
        <f>IF(ISBLANK(Fixtures[[#This Row],[date]]), "N/A", IF(Fixtures[[#This Row],[userScore]] = Fixtures[[#This Row],[homeScore]], Fixtures[[#This Row],[awayScore]], Fixtures[[#This Row],[homeScore]]))</f>
        <v>N/A</v>
      </c>
      <c r="AF1025" s="58" t="b">
        <f>NOT(AND(ISBLANK(Fixtures[[#This Row],[homePens]]), ISBLANK(Fixtures[[#This Row],[awayPens]])))</f>
        <v>0</v>
      </c>
      <c r="AG1025" s="58" t="str">
        <f>IF(Fixtures[[#This Row],[penalties]], IF(Fixtures[[#This Row],[userSide]]="H", Fixtures[[#This Row],[homePens]], Fixtures[[#This Row],[awayPens]]), "N/A")</f>
        <v>N/A</v>
      </c>
      <c r="AH1025" s="58" t="str">
        <f>IF(Fixtures[[#This Row],[penalties]], IF(Fixtures[[#This Row],[userPens]]=Fixtures[[#This Row],[homePens]],Fixtures[[#This Row],[awayPens]],Fixtures[[#This Row],[homePens]]), "N/A")</f>
        <v>N/A</v>
      </c>
      <c r="AI1025" s="58" t="b">
        <f>COUNTBLANK(Fixtures[[#This Row],[G]:[MOTM]]) = 0</f>
        <v>0</v>
      </c>
      <c r="AJ1025" s="58" t="str">
        <f>IF(Fixtures[[#This Row],[APP]], Fixtures[[#This Row],[G]]+Fixtures[[#This Row],[A]], "N/A")</f>
        <v>N/A</v>
      </c>
      <c r="AK10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6" spans="1:39" ht="13">
      <c r="A1026" s="55"/>
      <c r="B1026" s="61"/>
      <c r="C1026" s="56"/>
      <c r="D1026" s="56"/>
      <c r="E1026" s="56"/>
      <c r="F1026" s="56"/>
      <c r="G1026" s="56"/>
      <c r="H1026" s="56"/>
      <c r="I1026" s="56"/>
      <c r="J1026" s="56"/>
      <c r="K1026" s="56"/>
      <c r="L1026" s="56"/>
      <c r="M1026" s="56"/>
      <c r="N1026" s="56"/>
      <c r="O1026" s="56"/>
      <c r="P1026" s="56"/>
      <c r="Q1026" s="57"/>
      <c r="R1026" s="56"/>
      <c r="S1026" s="58" t="str" cm="1">
        <f t="array" ref="S1026">_xlfn._xlws.FILTER(Competitions[compType], (Fixtures[[#This Row],[competition]] = Competitions[name]), "N/A")</f>
        <v>N/A</v>
      </c>
      <c r="T1026" s="58" t="str" cm="1">
        <f t="array" ref="T1026">_xlfn._xlws.FILTER(Competitions[exhibition], (Fixtures[[#This Row],[competition]] = Competitions[name]), "N/A")</f>
        <v>N/A</v>
      </c>
      <c r="U1026" s="58" t="str" cm="1">
        <f t="array" ref="U1026">_xlfn._xlws.FILTER(Competitions[compID], (Fixtures[[#This Row],[competition]] = Competitions[name]), "N/A")</f>
        <v>N/A</v>
      </c>
      <c r="V10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6" s="58" t="str" cm="1">
        <f t="array" ref="W10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6" s="58" t="str" cm="1">
        <f t="array" ref="X1026">_xlfn._xlws.FILTER(Teams[name], (Fixtures[[#This Row],[userTeamID]] = Teams[teamID]), "N/A")</f>
        <v>N/A</v>
      </c>
      <c r="Y1026" s="58" t="str" cm="1">
        <f t="array" ref="Y1026">_xlfn._xlws.FILTER(Teams[teamType], (Fixtures[[#This Row],[userTeamID]] = Teams[teamID]), "N/A")</f>
        <v>N/A</v>
      </c>
      <c r="Z1026" s="58" t="str" cm="1">
        <f t="array" ref="Z10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6" s="58" t="str">
        <f>IF(Fixtures[[#This Row],[userSide]] = "N/A", "N/A", IF(Fixtures[[#This Row],[userSide]] = "H", Fixtures[[#This Row],[awayTeam]], Fixtures[[#This Row],[homeTeam]]))</f>
        <v>N/A</v>
      </c>
      <c r="AB1026" s="58" t="str" cm="1">
        <f t="array" ref="AB1026">_xlfn._xlws.FILTER(Teams[teamID], Fixtures[[#This Row],[oppTeam]] = Teams[name], "N/A")</f>
        <v>N/A</v>
      </c>
      <c r="AC1026" s="58" t="str" cm="1">
        <f t="array" ref="AC1026">_xlfn._xlws.FILTER(Teams[teamType], Fixtures[[#This Row],[oppTeam]] = Teams[name], "N/A")</f>
        <v>N/A</v>
      </c>
      <c r="AD1026" s="58" t="str">
        <f>IF(ISBLANK(Fixtures[[#This Row],[date]]), "N/A", IF(Fixtures[[#This Row],[userSide]]="H", Fixtures[[#This Row],[homeScore]], Fixtures[[#This Row],[awayScore]]))</f>
        <v>N/A</v>
      </c>
      <c r="AE1026" s="58" t="str">
        <f>IF(ISBLANK(Fixtures[[#This Row],[date]]), "N/A", IF(Fixtures[[#This Row],[userScore]] = Fixtures[[#This Row],[homeScore]], Fixtures[[#This Row],[awayScore]], Fixtures[[#This Row],[homeScore]]))</f>
        <v>N/A</v>
      </c>
      <c r="AF1026" s="58" t="b">
        <f>NOT(AND(ISBLANK(Fixtures[[#This Row],[homePens]]), ISBLANK(Fixtures[[#This Row],[awayPens]])))</f>
        <v>0</v>
      </c>
      <c r="AG1026" s="58" t="str">
        <f>IF(Fixtures[[#This Row],[penalties]], IF(Fixtures[[#This Row],[userSide]]="H", Fixtures[[#This Row],[homePens]], Fixtures[[#This Row],[awayPens]]), "N/A")</f>
        <v>N/A</v>
      </c>
      <c r="AH1026" s="58" t="str">
        <f>IF(Fixtures[[#This Row],[penalties]], IF(Fixtures[[#This Row],[userPens]]=Fixtures[[#This Row],[homePens]],Fixtures[[#This Row],[awayPens]],Fixtures[[#This Row],[homePens]]), "N/A")</f>
        <v>N/A</v>
      </c>
      <c r="AI1026" s="58" t="b">
        <f>COUNTBLANK(Fixtures[[#This Row],[G]:[MOTM]]) = 0</f>
        <v>0</v>
      </c>
      <c r="AJ1026" s="58" t="str">
        <f>IF(Fixtures[[#This Row],[APP]], Fixtures[[#This Row],[G]]+Fixtures[[#This Row],[A]], "N/A")</f>
        <v>N/A</v>
      </c>
      <c r="AK10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7" spans="1:39" ht="13">
      <c r="A1027" s="55"/>
      <c r="B1027" s="61"/>
      <c r="C1027" s="56"/>
      <c r="D1027" s="56"/>
      <c r="E1027" s="56"/>
      <c r="F1027" s="56"/>
      <c r="G1027" s="56"/>
      <c r="H1027" s="56"/>
      <c r="I1027" s="56"/>
      <c r="J1027" s="56"/>
      <c r="K1027" s="56"/>
      <c r="L1027" s="56"/>
      <c r="M1027" s="56"/>
      <c r="N1027" s="56"/>
      <c r="O1027" s="56"/>
      <c r="P1027" s="56"/>
      <c r="Q1027" s="57"/>
      <c r="R1027" s="56"/>
      <c r="S1027" s="58" t="str" cm="1">
        <f t="array" ref="S1027">_xlfn._xlws.FILTER(Competitions[compType], (Fixtures[[#This Row],[competition]] = Competitions[name]), "N/A")</f>
        <v>N/A</v>
      </c>
      <c r="T1027" s="58" t="str" cm="1">
        <f t="array" ref="T1027">_xlfn._xlws.FILTER(Competitions[exhibition], (Fixtures[[#This Row],[competition]] = Competitions[name]), "N/A")</f>
        <v>N/A</v>
      </c>
      <c r="U1027" s="58" t="str" cm="1">
        <f t="array" ref="U1027">_xlfn._xlws.FILTER(Competitions[compID], (Fixtures[[#This Row],[competition]] = Competitions[name]), "N/A")</f>
        <v>N/A</v>
      </c>
      <c r="V10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7" s="58" t="str" cm="1">
        <f t="array" ref="W10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7" s="58" t="str" cm="1">
        <f t="array" ref="X1027">_xlfn._xlws.FILTER(Teams[name], (Fixtures[[#This Row],[userTeamID]] = Teams[teamID]), "N/A")</f>
        <v>N/A</v>
      </c>
      <c r="Y1027" s="58" t="str" cm="1">
        <f t="array" ref="Y1027">_xlfn._xlws.FILTER(Teams[teamType], (Fixtures[[#This Row],[userTeamID]] = Teams[teamID]), "N/A")</f>
        <v>N/A</v>
      </c>
      <c r="Z1027" s="58" t="str" cm="1">
        <f t="array" ref="Z10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7" s="58" t="str">
        <f>IF(Fixtures[[#This Row],[userSide]] = "N/A", "N/A", IF(Fixtures[[#This Row],[userSide]] = "H", Fixtures[[#This Row],[awayTeam]], Fixtures[[#This Row],[homeTeam]]))</f>
        <v>N/A</v>
      </c>
      <c r="AB1027" s="58" t="str" cm="1">
        <f t="array" ref="AB1027">_xlfn._xlws.FILTER(Teams[teamID], Fixtures[[#This Row],[oppTeam]] = Teams[name], "N/A")</f>
        <v>N/A</v>
      </c>
      <c r="AC1027" s="58" t="str" cm="1">
        <f t="array" ref="AC1027">_xlfn._xlws.FILTER(Teams[teamType], Fixtures[[#This Row],[oppTeam]] = Teams[name], "N/A")</f>
        <v>N/A</v>
      </c>
      <c r="AD1027" s="58" t="str">
        <f>IF(ISBLANK(Fixtures[[#This Row],[date]]), "N/A", IF(Fixtures[[#This Row],[userSide]]="H", Fixtures[[#This Row],[homeScore]], Fixtures[[#This Row],[awayScore]]))</f>
        <v>N/A</v>
      </c>
      <c r="AE1027" s="58" t="str">
        <f>IF(ISBLANK(Fixtures[[#This Row],[date]]), "N/A", IF(Fixtures[[#This Row],[userScore]] = Fixtures[[#This Row],[homeScore]], Fixtures[[#This Row],[awayScore]], Fixtures[[#This Row],[homeScore]]))</f>
        <v>N/A</v>
      </c>
      <c r="AF1027" s="58" t="b">
        <f>NOT(AND(ISBLANK(Fixtures[[#This Row],[homePens]]), ISBLANK(Fixtures[[#This Row],[awayPens]])))</f>
        <v>0</v>
      </c>
      <c r="AG1027" s="58" t="str">
        <f>IF(Fixtures[[#This Row],[penalties]], IF(Fixtures[[#This Row],[userSide]]="H", Fixtures[[#This Row],[homePens]], Fixtures[[#This Row],[awayPens]]), "N/A")</f>
        <v>N/A</v>
      </c>
      <c r="AH1027" s="58" t="str">
        <f>IF(Fixtures[[#This Row],[penalties]], IF(Fixtures[[#This Row],[userPens]]=Fixtures[[#This Row],[homePens]],Fixtures[[#This Row],[awayPens]],Fixtures[[#This Row],[homePens]]), "N/A")</f>
        <v>N/A</v>
      </c>
      <c r="AI1027" s="58" t="b">
        <f>COUNTBLANK(Fixtures[[#This Row],[G]:[MOTM]]) = 0</f>
        <v>0</v>
      </c>
      <c r="AJ1027" s="58" t="str">
        <f>IF(Fixtures[[#This Row],[APP]], Fixtures[[#This Row],[G]]+Fixtures[[#This Row],[A]], "N/A")</f>
        <v>N/A</v>
      </c>
      <c r="AK10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8" spans="1:39" ht="13">
      <c r="A1028" s="55"/>
      <c r="B1028" s="61"/>
      <c r="C1028" s="56"/>
      <c r="D1028" s="56"/>
      <c r="E1028" s="56"/>
      <c r="F1028" s="56"/>
      <c r="G1028" s="56"/>
      <c r="H1028" s="56"/>
      <c r="I1028" s="56"/>
      <c r="J1028" s="56"/>
      <c r="K1028" s="56"/>
      <c r="L1028" s="56"/>
      <c r="M1028" s="56"/>
      <c r="N1028" s="56"/>
      <c r="O1028" s="56"/>
      <c r="P1028" s="56"/>
      <c r="Q1028" s="57"/>
      <c r="R1028" s="56"/>
      <c r="S1028" s="58" t="str" cm="1">
        <f t="array" ref="S1028">_xlfn._xlws.FILTER(Competitions[compType], (Fixtures[[#This Row],[competition]] = Competitions[name]), "N/A")</f>
        <v>N/A</v>
      </c>
      <c r="T1028" s="58" t="str" cm="1">
        <f t="array" ref="T1028">_xlfn._xlws.FILTER(Competitions[exhibition], (Fixtures[[#This Row],[competition]] = Competitions[name]), "N/A")</f>
        <v>N/A</v>
      </c>
      <c r="U1028" s="58" t="str" cm="1">
        <f t="array" ref="U1028">_xlfn._xlws.FILTER(Competitions[compID], (Fixtures[[#This Row],[competition]] = Competitions[name]), "N/A")</f>
        <v>N/A</v>
      </c>
      <c r="V10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8" s="58" t="str" cm="1">
        <f t="array" ref="W10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8" s="58" t="str" cm="1">
        <f t="array" ref="X1028">_xlfn._xlws.FILTER(Teams[name], (Fixtures[[#This Row],[userTeamID]] = Teams[teamID]), "N/A")</f>
        <v>N/A</v>
      </c>
      <c r="Y1028" s="58" t="str" cm="1">
        <f t="array" ref="Y1028">_xlfn._xlws.FILTER(Teams[teamType], (Fixtures[[#This Row],[userTeamID]] = Teams[teamID]), "N/A")</f>
        <v>N/A</v>
      </c>
      <c r="Z1028" s="58" t="str" cm="1">
        <f t="array" ref="Z10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8" s="58" t="str">
        <f>IF(Fixtures[[#This Row],[userSide]] = "N/A", "N/A", IF(Fixtures[[#This Row],[userSide]] = "H", Fixtures[[#This Row],[awayTeam]], Fixtures[[#This Row],[homeTeam]]))</f>
        <v>N/A</v>
      </c>
      <c r="AB1028" s="58" t="str" cm="1">
        <f t="array" ref="AB1028">_xlfn._xlws.FILTER(Teams[teamID], Fixtures[[#This Row],[oppTeam]] = Teams[name], "N/A")</f>
        <v>N/A</v>
      </c>
      <c r="AC1028" s="58" t="str" cm="1">
        <f t="array" ref="AC1028">_xlfn._xlws.FILTER(Teams[teamType], Fixtures[[#This Row],[oppTeam]] = Teams[name], "N/A")</f>
        <v>N/A</v>
      </c>
      <c r="AD1028" s="58" t="str">
        <f>IF(ISBLANK(Fixtures[[#This Row],[date]]), "N/A", IF(Fixtures[[#This Row],[userSide]]="H", Fixtures[[#This Row],[homeScore]], Fixtures[[#This Row],[awayScore]]))</f>
        <v>N/A</v>
      </c>
      <c r="AE1028" s="58" t="str">
        <f>IF(ISBLANK(Fixtures[[#This Row],[date]]), "N/A", IF(Fixtures[[#This Row],[userScore]] = Fixtures[[#This Row],[homeScore]], Fixtures[[#This Row],[awayScore]], Fixtures[[#This Row],[homeScore]]))</f>
        <v>N/A</v>
      </c>
      <c r="AF1028" s="58" t="b">
        <f>NOT(AND(ISBLANK(Fixtures[[#This Row],[homePens]]), ISBLANK(Fixtures[[#This Row],[awayPens]])))</f>
        <v>0</v>
      </c>
      <c r="AG1028" s="58" t="str">
        <f>IF(Fixtures[[#This Row],[penalties]], IF(Fixtures[[#This Row],[userSide]]="H", Fixtures[[#This Row],[homePens]], Fixtures[[#This Row],[awayPens]]), "N/A")</f>
        <v>N/A</v>
      </c>
      <c r="AH1028" s="58" t="str">
        <f>IF(Fixtures[[#This Row],[penalties]], IF(Fixtures[[#This Row],[userPens]]=Fixtures[[#This Row],[homePens]],Fixtures[[#This Row],[awayPens]],Fixtures[[#This Row],[homePens]]), "N/A")</f>
        <v>N/A</v>
      </c>
      <c r="AI1028" s="58" t="b">
        <f>COUNTBLANK(Fixtures[[#This Row],[G]:[MOTM]]) = 0</f>
        <v>0</v>
      </c>
      <c r="AJ1028" s="58" t="str">
        <f>IF(Fixtures[[#This Row],[APP]], Fixtures[[#This Row],[G]]+Fixtures[[#This Row],[A]], "N/A")</f>
        <v>N/A</v>
      </c>
      <c r="AK10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29" spans="1:39" ht="13">
      <c r="A1029" s="55"/>
      <c r="B1029" s="61"/>
      <c r="C1029" s="56"/>
      <c r="D1029" s="56"/>
      <c r="E1029" s="56"/>
      <c r="F1029" s="56"/>
      <c r="G1029" s="56"/>
      <c r="H1029" s="56"/>
      <c r="I1029" s="56"/>
      <c r="J1029" s="56"/>
      <c r="K1029" s="56"/>
      <c r="L1029" s="56"/>
      <c r="M1029" s="56"/>
      <c r="N1029" s="56"/>
      <c r="O1029" s="56"/>
      <c r="P1029" s="56"/>
      <c r="Q1029" s="57"/>
      <c r="R1029" s="56"/>
      <c r="S1029" s="58" t="str" cm="1">
        <f t="array" ref="S1029">_xlfn._xlws.FILTER(Competitions[compType], (Fixtures[[#This Row],[competition]] = Competitions[name]), "N/A")</f>
        <v>N/A</v>
      </c>
      <c r="T1029" s="58" t="str" cm="1">
        <f t="array" ref="T1029">_xlfn._xlws.FILTER(Competitions[exhibition], (Fixtures[[#This Row],[competition]] = Competitions[name]), "N/A")</f>
        <v>N/A</v>
      </c>
      <c r="U1029" s="58" t="str" cm="1">
        <f t="array" ref="U1029">_xlfn._xlws.FILTER(Competitions[compID], (Fixtures[[#This Row],[competition]] = Competitions[name]), "N/A")</f>
        <v>N/A</v>
      </c>
      <c r="V10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29" s="58" t="str" cm="1">
        <f t="array" ref="W10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29" s="58" t="str" cm="1">
        <f t="array" ref="X1029">_xlfn._xlws.FILTER(Teams[name], (Fixtures[[#This Row],[userTeamID]] = Teams[teamID]), "N/A")</f>
        <v>N/A</v>
      </c>
      <c r="Y1029" s="58" t="str" cm="1">
        <f t="array" ref="Y1029">_xlfn._xlws.FILTER(Teams[teamType], (Fixtures[[#This Row],[userTeamID]] = Teams[teamID]), "N/A")</f>
        <v>N/A</v>
      </c>
      <c r="Z1029" s="58" t="str" cm="1">
        <f t="array" ref="Z10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29" s="58" t="str">
        <f>IF(Fixtures[[#This Row],[userSide]] = "N/A", "N/A", IF(Fixtures[[#This Row],[userSide]] = "H", Fixtures[[#This Row],[awayTeam]], Fixtures[[#This Row],[homeTeam]]))</f>
        <v>N/A</v>
      </c>
      <c r="AB1029" s="58" t="str" cm="1">
        <f t="array" ref="AB1029">_xlfn._xlws.FILTER(Teams[teamID], Fixtures[[#This Row],[oppTeam]] = Teams[name], "N/A")</f>
        <v>N/A</v>
      </c>
      <c r="AC1029" s="58" t="str" cm="1">
        <f t="array" ref="AC1029">_xlfn._xlws.FILTER(Teams[teamType], Fixtures[[#This Row],[oppTeam]] = Teams[name], "N/A")</f>
        <v>N/A</v>
      </c>
      <c r="AD1029" s="58" t="str">
        <f>IF(ISBLANK(Fixtures[[#This Row],[date]]), "N/A", IF(Fixtures[[#This Row],[userSide]]="H", Fixtures[[#This Row],[homeScore]], Fixtures[[#This Row],[awayScore]]))</f>
        <v>N/A</v>
      </c>
      <c r="AE1029" s="58" t="str">
        <f>IF(ISBLANK(Fixtures[[#This Row],[date]]), "N/A", IF(Fixtures[[#This Row],[userScore]] = Fixtures[[#This Row],[homeScore]], Fixtures[[#This Row],[awayScore]], Fixtures[[#This Row],[homeScore]]))</f>
        <v>N/A</v>
      </c>
      <c r="AF1029" s="58" t="b">
        <f>NOT(AND(ISBLANK(Fixtures[[#This Row],[homePens]]), ISBLANK(Fixtures[[#This Row],[awayPens]])))</f>
        <v>0</v>
      </c>
      <c r="AG1029" s="58" t="str">
        <f>IF(Fixtures[[#This Row],[penalties]], IF(Fixtures[[#This Row],[userSide]]="H", Fixtures[[#This Row],[homePens]], Fixtures[[#This Row],[awayPens]]), "N/A")</f>
        <v>N/A</v>
      </c>
      <c r="AH1029" s="58" t="str">
        <f>IF(Fixtures[[#This Row],[penalties]], IF(Fixtures[[#This Row],[userPens]]=Fixtures[[#This Row],[homePens]],Fixtures[[#This Row],[awayPens]],Fixtures[[#This Row],[homePens]]), "N/A")</f>
        <v>N/A</v>
      </c>
      <c r="AI1029" s="58" t="b">
        <f>COUNTBLANK(Fixtures[[#This Row],[G]:[MOTM]]) = 0</f>
        <v>0</v>
      </c>
      <c r="AJ1029" s="58" t="str">
        <f>IF(Fixtures[[#This Row],[APP]], Fixtures[[#This Row],[G]]+Fixtures[[#This Row],[A]], "N/A")</f>
        <v>N/A</v>
      </c>
      <c r="AK10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0" spans="1:39" ht="13">
      <c r="A1030" s="55"/>
      <c r="B1030" s="61"/>
      <c r="C1030" s="56"/>
      <c r="D1030" s="56"/>
      <c r="E1030" s="56"/>
      <c r="F1030" s="56"/>
      <c r="G1030" s="56"/>
      <c r="H1030" s="56"/>
      <c r="I1030" s="56"/>
      <c r="J1030" s="56"/>
      <c r="K1030" s="56"/>
      <c r="L1030" s="56"/>
      <c r="M1030" s="56"/>
      <c r="N1030" s="56"/>
      <c r="O1030" s="56"/>
      <c r="P1030" s="56"/>
      <c r="Q1030" s="57"/>
      <c r="R1030" s="56"/>
      <c r="S1030" s="58" t="str" cm="1">
        <f t="array" ref="S1030">_xlfn._xlws.FILTER(Competitions[compType], (Fixtures[[#This Row],[competition]] = Competitions[name]), "N/A")</f>
        <v>N/A</v>
      </c>
      <c r="T1030" s="58" t="str" cm="1">
        <f t="array" ref="T1030">_xlfn._xlws.FILTER(Competitions[exhibition], (Fixtures[[#This Row],[competition]] = Competitions[name]), "N/A")</f>
        <v>N/A</v>
      </c>
      <c r="U1030" s="58" t="str" cm="1">
        <f t="array" ref="U1030">_xlfn._xlws.FILTER(Competitions[compID], (Fixtures[[#This Row],[competition]] = Competitions[name]), "N/A")</f>
        <v>N/A</v>
      </c>
      <c r="V10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0" s="58" t="str" cm="1">
        <f t="array" ref="W10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0" s="58" t="str" cm="1">
        <f t="array" ref="X1030">_xlfn._xlws.FILTER(Teams[name], (Fixtures[[#This Row],[userTeamID]] = Teams[teamID]), "N/A")</f>
        <v>N/A</v>
      </c>
      <c r="Y1030" s="58" t="str" cm="1">
        <f t="array" ref="Y1030">_xlfn._xlws.FILTER(Teams[teamType], (Fixtures[[#This Row],[userTeamID]] = Teams[teamID]), "N/A")</f>
        <v>N/A</v>
      </c>
      <c r="Z1030" s="58" t="str" cm="1">
        <f t="array" ref="Z10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0" s="58" t="str">
        <f>IF(Fixtures[[#This Row],[userSide]] = "N/A", "N/A", IF(Fixtures[[#This Row],[userSide]] = "H", Fixtures[[#This Row],[awayTeam]], Fixtures[[#This Row],[homeTeam]]))</f>
        <v>N/A</v>
      </c>
      <c r="AB1030" s="58" t="str" cm="1">
        <f t="array" ref="AB1030">_xlfn._xlws.FILTER(Teams[teamID], Fixtures[[#This Row],[oppTeam]] = Teams[name], "N/A")</f>
        <v>N/A</v>
      </c>
      <c r="AC1030" s="58" t="str" cm="1">
        <f t="array" ref="AC1030">_xlfn._xlws.FILTER(Teams[teamType], Fixtures[[#This Row],[oppTeam]] = Teams[name], "N/A")</f>
        <v>N/A</v>
      </c>
      <c r="AD1030" s="58" t="str">
        <f>IF(ISBLANK(Fixtures[[#This Row],[date]]), "N/A", IF(Fixtures[[#This Row],[userSide]]="H", Fixtures[[#This Row],[homeScore]], Fixtures[[#This Row],[awayScore]]))</f>
        <v>N/A</v>
      </c>
      <c r="AE1030" s="58" t="str">
        <f>IF(ISBLANK(Fixtures[[#This Row],[date]]), "N/A", IF(Fixtures[[#This Row],[userScore]] = Fixtures[[#This Row],[homeScore]], Fixtures[[#This Row],[awayScore]], Fixtures[[#This Row],[homeScore]]))</f>
        <v>N/A</v>
      </c>
      <c r="AF1030" s="58" t="b">
        <f>NOT(AND(ISBLANK(Fixtures[[#This Row],[homePens]]), ISBLANK(Fixtures[[#This Row],[awayPens]])))</f>
        <v>0</v>
      </c>
      <c r="AG1030" s="58" t="str">
        <f>IF(Fixtures[[#This Row],[penalties]], IF(Fixtures[[#This Row],[userSide]]="H", Fixtures[[#This Row],[homePens]], Fixtures[[#This Row],[awayPens]]), "N/A")</f>
        <v>N/A</v>
      </c>
      <c r="AH1030" s="58" t="str">
        <f>IF(Fixtures[[#This Row],[penalties]], IF(Fixtures[[#This Row],[userPens]]=Fixtures[[#This Row],[homePens]],Fixtures[[#This Row],[awayPens]],Fixtures[[#This Row],[homePens]]), "N/A")</f>
        <v>N/A</v>
      </c>
      <c r="AI1030" s="58" t="b">
        <f>COUNTBLANK(Fixtures[[#This Row],[G]:[MOTM]]) = 0</f>
        <v>0</v>
      </c>
      <c r="AJ1030" s="58" t="str">
        <f>IF(Fixtures[[#This Row],[APP]], Fixtures[[#This Row],[G]]+Fixtures[[#This Row],[A]], "N/A")</f>
        <v>N/A</v>
      </c>
      <c r="AK10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1" spans="1:39" ht="13">
      <c r="A1031" s="55"/>
      <c r="B1031" s="61"/>
      <c r="C1031" s="56"/>
      <c r="D1031" s="56"/>
      <c r="E1031" s="56"/>
      <c r="F1031" s="56"/>
      <c r="G1031" s="56"/>
      <c r="H1031" s="56"/>
      <c r="I1031" s="56"/>
      <c r="J1031" s="56"/>
      <c r="K1031" s="56"/>
      <c r="L1031" s="56"/>
      <c r="M1031" s="56"/>
      <c r="N1031" s="56"/>
      <c r="O1031" s="56"/>
      <c r="P1031" s="56"/>
      <c r="Q1031" s="57"/>
      <c r="R1031" s="56"/>
      <c r="S1031" s="58" t="str" cm="1">
        <f t="array" ref="S1031">_xlfn._xlws.FILTER(Competitions[compType], (Fixtures[[#This Row],[competition]] = Competitions[name]), "N/A")</f>
        <v>N/A</v>
      </c>
      <c r="T1031" s="58" t="str" cm="1">
        <f t="array" ref="T1031">_xlfn._xlws.FILTER(Competitions[exhibition], (Fixtures[[#This Row],[competition]] = Competitions[name]), "N/A")</f>
        <v>N/A</v>
      </c>
      <c r="U1031" s="58" t="str" cm="1">
        <f t="array" ref="U1031">_xlfn._xlws.FILTER(Competitions[compID], (Fixtures[[#This Row],[competition]] = Competitions[name]), "N/A")</f>
        <v>N/A</v>
      </c>
      <c r="V10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1" s="58" t="str" cm="1">
        <f t="array" ref="W10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1" s="58" t="str" cm="1">
        <f t="array" ref="X1031">_xlfn._xlws.FILTER(Teams[name], (Fixtures[[#This Row],[userTeamID]] = Teams[teamID]), "N/A")</f>
        <v>N/A</v>
      </c>
      <c r="Y1031" s="58" t="str" cm="1">
        <f t="array" ref="Y1031">_xlfn._xlws.FILTER(Teams[teamType], (Fixtures[[#This Row],[userTeamID]] = Teams[teamID]), "N/A")</f>
        <v>N/A</v>
      </c>
      <c r="Z1031" s="58" t="str" cm="1">
        <f t="array" ref="Z10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1" s="58" t="str">
        <f>IF(Fixtures[[#This Row],[userSide]] = "N/A", "N/A", IF(Fixtures[[#This Row],[userSide]] = "H", Fixtures[[#This Row],[awayTeam]], Fixtures[[#This Row],[homeTeam]]))</f>
        <v>N/A</v>
      </c>
      <c r="AB1031" s="58" t="str" cm="1">
        <f t="array" ref="AB1031">_xlfn._xlws.FILTER(Teams[teamID], Fixtures[[#This Row],[oppTeam]] = Teams[name], "N/A")</f>
        <v>N/A</v>
      </c>
      <c r="AC1031" s="58" t="str" cm="1">
        <f t="array" ref="AC1031">_xlfn._xlws.FILTER(Teams[teamType], Fixtures[[#This Row],[oppTeam]] = Teams[name], "N/A")</f>
        <v>N/A</v>
      </c>
      <c r="AD1031" s="58" t="str">
        <f>IF(ISBLANK(Fixtures[[#This Row],[date]]), "N/A", IF(Fixtures[[#This Row],[userSide]]="H", Fixtures[[#This Row],[homeScore]], Fixtures[[#This Row],[awayScore]]))</f>
        <v>N/A</v>
      </c>
      <c r="AE1031" s="58" t="str">
        <f>IF(ISBLANK(Fixtures[[#This Row],[date]]), "N/A", IF(Fixtures[[#This Row],[userScore]] = Fixtures[[#This Row],[homeScore]], Fixtures[[#This Row],[awayScore]], Fixtures[[#This Row],[homeScore]]))</f>
        <v>N/A</v>
      </c>
      <c r="AF1031" s="58" t="b">
        <f>NOT(AND(ISBLANK(Fixtures[[#This Row],[homePens]]), ISBLANK(Fixtures[[#This Row],[awayPens]])))</f>
        <v>0</v>
      </c>
      <c r="AG1031" s="58" t="str">
        <f>IF(Fixtures[[#This Row],[penalties]], IF(Fixtures[[#This Row],[userSide]]="H", Fixtures[[#This Row],[homePens]], Fixtures[[#This Row],[awayPens]]), "N/A")</f>
        <v>N/A</v>
      </c>
      <c r="AH1031" s="58" t="str">
        <f>IF(Fixtures[[#This Row],[penalties]], IF(Fixtures[[#This Row],[userPens]]=Fixtures[[#This Row],[homePens]],Fixtures[[#This Row],[awayPens]],Fixtures[[#This Row],[homePens]]), "N/A")</f>
        <v>N/A</v>
      </c>
      <c r="AI1031" s="58" t="b">
        <f>COUNTBLANK(Fixtures[[#This Row],[G]:[MOTM]]) = 0</f>
        <v>0</v>
      </c>
      <c r="AJ1031" s="58" t="str">
        <f>IF(Fixtures[[#This Row],[APP]], Fixtures[[#This Row],[G]]+Fixtures[[#This Row],[A]], "N/A")</f>
        <v>N/A</v>
      </c>
      <c r="AK10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2" spans="1:39" ht="13">
      <c r="A1032" s="55"/>
      <c r="B1032" s="61"/>
      <c r="C1032" s="56"/>
      <c r="D1032" s="56"/>
      <c r="E1032" s="56"/>
      <c r="F1032" s="56"/>
      <c r="G1032" s="56"/>
      <c r="H1032" s="56"/>
      <c r="I1032" s="56"/>
      <c r="J1032" s="56"/>
      <c r="K1032" s="56"/>
      <c r="L1032" s="56"/>
      <c r="M1032" s="56"/>
      <c r="N1032" s="56"/>
      <c r="O1032" s="56"/>
      <c r="P1032" s="56"/>
      <c r="Q1032" s="57"/>
      <c r="R1032" s="56"/>
      <c r="S1032" s="58" t="str" cm="1">
        <f t="array" ref="S1032">_xlfn._xlws.FILTER(Competitions[compType], (Fixtures[[#This Row],[competition]] = Competitions[name]), "N/A")</f>
        <v>N/A</v>
      </c>
      <c r="T1032" s="58" t="str" cm="1">
        <f t="array" ref="T1032">_xlfn._xlws.FILTER(Competitions[exhibition], (Fixtures[[#This Row],[competition]] = Competitions[name]), "N/A")</f>
        <v>N/A</v>
      </c>
      <c r="U1032" s="58" t="str" cm="1">
        <f t="array" ref="U1032">_xlfn._xlws.FILTER(Competitions[compID], (Fixtures[[#This Row],[competition]] = Competitions[name]), "N/A")</f>
        <v>N/A</v>
      </c>
      <c r="V10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2" s="58" t="str" cm="1">
        <f t="array" ref="W10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2" s="58" t="str" cm="1">
        <f t="array" ref="X1032">_xlfn._xlws.FILTER(Teams[name], (Fixtures[[#This Row],[userTeamID]] = Teams[teamID]), "N/A")</f>
        <v>N/A</v>
      </c>
      <c r="Y1032" s="58" t="str" cm="1">
        <f t="array" ref="Y1032">_xlfn._xlws.FILTER(Teams[teamType], (Fixtures[[#This Row],[userTeamID]] = Teams[teamID]), "N/A")</f>
        <v>N/A</v>
      </c>
      <c r="Z1032" s="58" t="str" cm="1">
        <f t="array" ref="Z10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2" s="58" t="str">
        <f>IF(Fixtures[[#This Row],[userSide]] = "N/A", "N/A", IF(Fixtures[[#This Row],[userSide]] = "H", Fixtures[[#This Row],[awayTeam]], Fixtures[[#This Row],[homeTeam]]))</f>
        <v>N/A</v>
      </c>
      <c r="AB1032" s="58" t="str" cm="1">
        <f t="array" ref="AB1032">_xlfn._xlws.FILTER(Teams[teamID], Fixtures[[#This Row],[oppTeam]] = Teams[name], "N/A")</f>
        <v>N/A</v>
      </c>
      <c r="AC1032" s="58" t="str" cm="1">
        <f t="array" ref="AC1032">_xlfn._xlws.FILTER(Teams[teamType], Fixtures[[#This Row],[oppTeam]] = Teams[name], "N/A")</f>
        <v>N/A</v>
      </c>
      <c r="AD1032" s="58" t="str">
        <f>IF(ISBLANK(Fixtures[[#This Row],[date]]), "N/A", IF(Fixtures[[#This Row],[userSide]]="H", Fixtures[[#This Row],[homeScore]], Fixtures[[#This Row],[awayScore]]))</f>
        <v>N/A</v>
      </c>
      <c r="AE1032" s="58" t="str">
        <f>IF(ISBLANK(Fixtures[[#This Row],[date]]), "N/A", IF(Fixtures[[#This Row],[userScore]] = Fixtures[[#This Row],[homeScore]], Fixtures[[#This Row],[awayScore]], Fixtures[[#This Row],[homeScore]]))</f>
        <v>N/A</v>
      </c>
      <c r="AF1032" s="58" t="b">
        <f>NOT(AND(ISBLANK(Fixtures[[#This Row],[homePens]]), ISBLANK(Fixtures[[#This Row],[awayPens]])))</f>
        <v>0</v>
      </c>
      <c r="AG1032" s="58" t="str">
        <f>IF(Fixtures[[#This Row],[penalties]], IF(Fixtures[[#This Row],[userSide]]="H", Fixtures[[#This Row],[homePens]], Fixtures[[#This Row],[awayPens]]), "N/A")</f>
        <v>N/A</v>
      </c>
      <c r="AH1032" s="58" t="str">
        <f>IF(Fixtures[[#This Row],[penalties]], IF(Fixtures[[#This Row],[userPens]]=Fixtures[[#This Row],[homePens]],Fixtures[[#This Row],[awayPens]],Fixtures[[#This Row],[homePens]]), "N/A")</f>
        <v>N/A</v>
      </c>
      <c r="AI1032" s="58" t="b">
        <f>COUNTBLANK(Fixtures[[#This Row],[G]:[MOTM]]) = 0</f>
        <v>0</v>
      </c>
      <c r="AJ1032" s="58" t="str">
        <f>IF(Fixtures[[#This Row],[APP]], Fixtures[[#This Row],[G]]+Fixtures[[#This Row],[A]], "N/A")</f>
        <v>N/A</v>
      </c>
      <c r="AK10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3" spans="1:39" ht="13">
      <c r="A1033" s="55"/>
      <c r="B1033" s="61"/>
      <c r="C1033" s="56"/>
      <c r="D1033" s="56"/>
      <c r="E1033" s="56"/>
      <c r="F1033" s="56"/>
      <c r="G1033" s="56"/>
      <c r="H1033" s="56"/>
      <c r="I1033" s="56"/>
      <c r="J1033" s="56"/>
      <c r="K1033" s="56"/>
      <c r="L1033" s="56"/>
      <c r="M1033" s="56"/>
      <c r="N1033" s="56"/>
      <c r="O1033" s="56"/>
      <c r="P1033" s="56"/>
      <c r="Q1033" s="57"/>
      <c r="R1033" s="56"/>
      <c r="S1033" s="58" t="str" cm="1">
        <f t="array" ref="S1033">_xlfn._xlws.FILTER(Competitions[compType], (Fixtures[[#This Row],[competition]] = Competitions[name]), "N/A")</f>
        <v>N/A</v>
      </c>
      <c r="T1033" s="58" t="str" cm="1">
        <f t="array" ref="T1033">_xlfn._xlws.FILTER(Competitions[exhibition], (Fixtures[[#This Row],[competition]] = Competitions[name]), "N/A")</f>
        <v>N/A</v>
      </c>
      <c r="U1033" s="58" t="str" cm="1">
        <f t="array" ref="U1033">_xlfn._xlws.FILTER(Competitions[compID], (Fixtures[[#This Row],[competition]] = Competitions[name]), "N/A")</f>
        <v>N/A</v>
      </c>
      <c r="V10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3" s="58" t="str" cm="1">
        <f t="array" ref="W10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3" s="58" t="str" cm="1">
        <f t="array" ref="X1033">_xlfn._xlws.FILTER(Teams[name], (Fixtures[[#This Row],[userTeamID]] = Teams[teamID]), "N/A")</f>
        <v>N/A</v>
      </c>
      <c r="Y1033" s="58" t="str" cm="1">
        <f t="array" ref="Y1033">_xlfn._xlws.FILTER(Teams[teamType], (Fixtures[[#This Row],[userTeamID]] = Teams[teamID]), "N/A")</f>
        <v>N/A</v>
      </c>
      <c r="Z1033" s="58" t="str" cm="1">
        <f t="array" ref="Z10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3" s="58" t="str">
        <f>IF(Fixtures[[#This Row],[userSide]] = "N/A", "N/A", IF(Fixtures[[#This Row],[userSide]] = "H", Fixtures[[#This Row],[awayTeam]], Fixtures[[#This Row],[homeTeam]]))</f>
        <v>N/A</v>
      </c>
      <c r="AB1033" s="58" t="str" cm="1">
        <f t="array" ref="AB1033">_xlfn._xlws.FILTER(Teams[teamID], Fixtures[[#This Row],[oppTeam]] = Teams[name], "N/A")</f>
        <v>N/A</v>
      </c>
      <c r="AC1033" s="58" t="str" cm="1">
        <f t="array" ref="AC1033">_xlfn._xlws.FILTER(Teams[teamType], Fixtures[[#This Row],[oppTeam]] = Teams[name], "N/A")</f>
        <v>N/A</v>
      </c>
      <c r="AD1033" s="58" t="str">
        <f>IF(ISBLANK(Fixtures[[#This Row],[date]]), "N/A", IF(Fixtures[[#This Row],[userSide]]="H", Fixtures[[#This Row],[homeScore]], Fixtures[[#This Row],[awayScore]]))</f>
        <v>N/A</v>
      </c>
      <c r="AE1033" s="58" t="str">
        <f>IF(ISBLANK(Fixtures[[#This Row],[date]]), "N/A", IF(Fixtures[[#This Row],[userScore]] = Fixtures[[#This Row],[homeScore]], Fixtures[[#This Row],[awayScore]], Fixtures[[#This Row],[homeScore]]))</f>
        <v>N/A</v>
      </c>
      <c r="AF1033" s="58" t="b">
        <f>NOT(AND(ISBLANK(Fixtures[[#This Row],[homePens]]), ISBLANK(Fixtures[[#This Row],[awayPens]])))</f>
        <v>0</v>
      </c>
      <c r="AG1033" s="58" t="str">
        <f>IF(Fixtures[[#This Row],[penalties]], IF(Fixtures[[#This Row],[userSide]]="H", Fixtures[[#This Row],[homePens]], Fixtures[[#This Row],[awayPens]]), "N/A")</f>
        <v>N/A</v>
      </c>
      <c r="AH1033" s="58" t="str">
        <f>IF(Fixtures[[#This Row],[penalties]], IF(Fixtures[[#This Row],[userPens]]=Fixtures[[#This Row],[homePens]],Fixtures[[#This Row],[awayPens]],Fixtures[[#This Row],[homePens]]), "N/A")</f>
        <v>N/A</v>
      </c>
      <c r="AI1033" s="58" t="b">
        <f>COUNTBLANK(Fixtures[[#This Row],[G]:[MOTM]]) = 0</f>
        <v>0</v>
      </c>
      <c r="AJ1033" s="58" t="str">
        <f>IF(Fixtures[[#This Row],[APP]], Fixtures[[#This Row],[G]]+Fixtures[[#This Row],[A]], "N/A")</f>
        <v>N/A</v>
      </c>
      <c r="AK10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4" spans="1:39" ht="13">
      <c r="A1034" s="55"/>
      <c r="B1034" s="61"/>
      <c r="C1034" s="56"/>
      <c r="D1034" s="56"/>
      <c r="E1034" s="56"/>
      <c r="F1034" s="56"/>
      <c r="G1034" s="56"/>
      <c r="H1034" s="56"/>
      <c r="I1034" s="56"/>
      <c r="J1034" s="56"/>
      <c r="K1034" s="56"/>
      <c r="L1034" s="56"/>
      <c r="M1034" s="56"/>
      <c r="N1034" s="56"/>
      <c r="O1034" s="56"/>
      <c r="P1034" s="56"/>
      <c r="Q1034" s="57"/>
      <c r="R1034" s="56"/>
      <c r="S1034" s="58" t="str" cm="1">
        <f t="array" ref="S1034">_xlfn._xlws.FILTER(Competitions[compType], (Fixtures[[#This Row],[competition]] = Competitions[name]), "N/A")</f>
        <v>N/A</v>
      </c>
      <c r="T1034" s="58" t="str" cm="1">
        <f t="array" ref="T1034">_xlfn._xlws.FILTER(Competitions[exhibition], (Fixtures[[#This Row],[competition]] = Competitions[name]), "N/A")</f>
        <v>N/A</v>
      </c>
      <c r="U1034" s="58" t="str" cm="1">
        <f t="array" ref="U1034">_xlfn._xlws.FILTER(Competitions[compID], (Fixtures[[#This Row],[competition]] = Competitions[name]), "N/A")</f>
        <v>N/A</v>
      </c>
      <c r="V10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4" s="58" t="str" cm="1">
        <f t="array" ref="W10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4" s="58" t="str" cm="1">
        <f t="array" ref="X1034">_xlfn._xlws.FILTER(Teams[name], (Fixtures[[#This Row],[userTeamID]] = Teams[teamID]), "N/A")</f>
        <v>N/A</v>
      </c>
      <c r="Y1034" s="58" t="str" cm="1">
        <f t="array" ref="Y1034">_xlfn._xlws.FILTER(Teams[teamType], (Fixtures[[#This Row],[userTeamID]] = Teams[teamID]), "N/A")</f>
        <v>N/A</v>
      </c>
      <c r="Z1034" s="58" t="str" cm="1">
        <f t="array" ref="Z10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4" s="58" t="str">
        <f>IF(Fixtures[[#This Row],[userSide]] = "N/A", "N/A", IF(Fixtures[[#This Row],[userSide]] = "H", Fixtures[[#This Row],[awayTeam]], Fixtures[[#This Row],[homeTeam]]))</f>
        <v>N/A</v>
      </c>
      <c r="AB1034" s="58" t="str" cm="1">
        <f t="array" ref="AB1034">_xlfn._xlws.FILTER(Teams[teamID], Fixtures[[#This Row],[oppTeam]] = Teams[name], "N/A")</f>
        <v>N/A</v>
      </c>
      <c r="AC1034" s="58" t="str" cm="1">
        <f t="array" ref="AC1034">_xlfn._xlws.FILTER(Teams[teamType], Fixtures[[#This Row],[oppTeam]] = Teams[name], "N/A")</f>
        <v>N/A</v>
      </c>
      <c r="AD1034" s="58" t="str">
        <f>IF(ISBLANK(Fixtures[[#This Row],[date]]), "N/A", IF(Fixtures[[#This Row],[userSide]]="H", Fixtures[[#This Row],[homeScore]], Fixtures[[#This Row],[awayScore]]))</f>
        <v>N/A</v>
      </c>
      <c r="AE1034" s="58" t="str">
        <f>IF(ISBLANK(Fixtures[[#This Row],[date]]), "N/A", IF(Fixtures[[#This Row],[userScore]] = Fixtures[[#This Row],[homeScore]], Fixtures[[#This Row],[awayScore]], Fixtures[[#This Row],[homeScore]]))</f>
        <v>N/A</v>
      </c>
      <c r="AF1034" s="58" t="b">
        <f>NOT(AND(ISBLANK(Fixtures[[#This Row],[homePens]]), ISBLANK(Fixtures[[#This Row],[awayPens]])))</f>
        <v>0</v>
      </c>
      <c r="AG1034" s="58" t="str">
        <f>IF(Fixtures[[#This Row],[penalties]], IF(Fixtures[[#This Row],[userSide]]="H", Fixtures[[#This Row],[homePens]], Fixtures[[#This Row],[awayPens]]), "N/A")</f>
        <v>N/A</v>
      </c>
      <c r="AH1034" s="58" t="str">
        <f>IF(Fixtures[[#This Row],[penalties]], IF(Fixtures[[#This Row],[userPens]]=Fixtures[[#This Row],[homePens]],Fixtures[[#This Row],[awayPens]],Fixtures[[#This Row],[homePens]]), "N/A")</f>
        <v>N/A</v>
      </c>
      <c r="AI1034" s="58" t="b">
        <f>COUNTBLANK(Fixtures[[#This Row],[G]:[MOTM]]) = 0</f>
        <v>0</v>
      </c>
      <c r="AJ1034" s="58" t="str">
        <f>IF(Fixtures[[#This Row],[APP]], Fixtures[[#This Row],[G]]+Fixtures[[#This Row],[A]], "N/A")</f>
        <v>N/A</v>
      </c>
      <c r="AK10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5" spans="1:39" ht="13">
      <c r="A1035" s="55"/>
      <c r="B1035" s="61"/>
      <c r="C1035" s="56"/>
      <c r="D1035" s="56"/>
      <c r="E1035" s="56"/>
      <c r="F1035" s="56"/>
      <c r="G1035" s="56"/>
      <c r="H1035" s="56"/>
      <c r="I1035" s="56"/>
      <c r="J1035" s="56"/>
      <c r="K1035" s="56"/>
      <c r="L1035" s="56"/>
      <c r="M1035" s="56"/>
      <c r="N1035" s="56"/>
      <c r="O1035" s="56"/>
      <c r="P1035" s="56"/>
      <c r="Q1035" s="57"/>
      <c r="R1035" s="56"/>
      <c r="S1035" s="58" t="str" cm="1">
        <f t="array" ref="S1035">_xlfn._xlws.FILTER(Competitions[compType], (Fixtures[[#This Row],[competition]] = Competitions[name]), "N/A")</f>
        <v>N/A</v>
      </c>
      <c r="T1035" s="58" t="str" cm="1">
        <f t="array" ref="T1035">_xlfn._xlws.FILTER(Competitions[exhibition], (Fixtures[[#This Row],[competition]] = Competitions[name]), "N/A")</f>
        <v>N/A</v>
      </c>
      <c r="U1035" s="58" t="str" cm="1">
        <f t="array" ref="U1035">_xlfn._xlws.FILTER(Competitions[compID], (Fixtures[[#This Row],[competition]] = Competitions[name]), "N/A")</f>
        <v>N/A</v>
      </c>
      <c r="V10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5" s="58" t="str" cm="1">
        <f t="array" ref="W10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5" s="58" t="str" cm="1">
        <f t="array" ref="X1035">_xlfn._xlws.FILTER(Teams[name], (Fixtures[[#This Row],[userTeamID]] = Teams[teamID]), "N/A")</f>
        <v>N/A</v>
      </c>
      <c r="Y1035" s="58" t="str" cm="1">
        <f t="array" ref="Y1035">_xlfn._xlws.FILTER(Teams[teamType], (Fixtures[[#This Row],[userTeamID]] = Teams[teamID]), "N/A")</f>
        <v>N/A</v>
      </c>
      <c r="Z1035" s="58" t="str" cm="1">
        <f t="array" ref="Z10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5" s="58" t="str">
        <f>IF(Fixtures[[#This Row],[userSide]] = "N/A", "N/A", IF(Fixtures[[#This Row],[userSide]] = "H", Fixtures[[#This Row],[awayTeam]], Fixtures[[#This Row],[homeTeam]]))</f>
        <v>N/A</v>
      </c>
      <c r="AB1035" s="58" t="str" cm="1">
        <f t="array" ref="AB1035">_xlfn._xlws.FILTER(Teams[teamID], Fixtures[[#This Row],[oppTeam]] = Teams[name], "N/A")</f>
        <v>N/A</v>
      </c>
      <c r="AC1035" s="58" t="str" cm="1">
        <f t="array" ref="AC1035">_xlfn._xlws.FILTER(Teams[teamType], Fixtures[[#This Row],[oppTeam]] = Teams[name], "N/A")</f>
        <v>N/A</v>
      </c>
      <c r="AD1035" s="58" t="str">
        <f>IF(ISBLANK(Fixtures[[#This Row],[date]]), "N/A", IF(Fixtures[[#This Row],[userSide]]="H", Fixtures[[#This Row],[homeScore]], Fixtures[[#This Row],[awayScore]]))</f>
        <v>N/A</v>
      </c>
      <c r="AE1035" s="58" t="str">
        <f>IF(ISBLANK(Fixtures[[#This Row],[date]]), "N/A", IF(Fixtures[[#This Row],[userScore]] = Fixtures[[#This Row],[homeScore]], Fixtures[[#This Row],[awayScore]], Fixtures[[#This Row],[homeScore]]))</f>
        <v>N/A</v>
      </c>
      <c r="AF1035" s="58" t="b">
        <f>NOT(AND(ISBLANK(Fixtures[[#This Row],[homePens]]), ISBLANK(Fixtures[[#This Row],[awayPens]])))</f>
        <v>0</v>
      </c>
      <c r="AG1035" s="58" t="str">
        <f>IF(Fixtures[[#This Row],[penalties]], IF(Fixtures[[#This Row],[userSide]]="H", Fixtures[[#This Row],[homePens]], Fixtures[[#This Row],[awayPens]]), "N/A")</f>
        <v>N/A</v>
      </c>
      <c r="AH1035" s="58" t="str">
        <f>IF(Fixtures[[#This Row],[penalties]], IF(Fixtures[[#This Row],[userPens]]=Fixtures[[#This Row],[homePens]],Fixtures[[#This Row],[awayPens]],Fixtures[[#This Row],[homePens]]), "N/A")</f>
        <v>N/A</v>
      </c>
      <c r="AI1035" s="58" t="b">
        <f>COUNTBLANK(Fixtures[[#This Row],[G]:[MOTM]]) = 0</f>
        <v>0</v>
      </c>
      <c r="AJ1035" s="58" t="str">
        <f>IF(Fixtures[[#This Row],[APP]], Fixtures[[#This Row],[G]]+Fixtures[[#This Row],[A]], "N/A")</f>
        <v>N/A</v>
      </c>
      <c r="AK10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6" spans="1:39" ht="13">
      <c r="A1036" s="55"/>
      <c r="B1036" s="61"/>
      <c r="C1036" s="56"/>
      <c r="D1036" s="56"/>
      <c r="E1036" s="56"/>
      <c r="F1036" s="56"/>
      <c r="G1036" s="56"/>
      <c r="H1036" s="56"/>
      <c r="I1036" s="56"/>
      <c r="J1036" s="56"/>
      <c r="K1036" s="56"/>
      <c r="L1036" s="56"/>
      <c r="M1036" s="56"/>
      <c r="N1036" s="56"/>
      <c r="O1036" s="56"/>
      <c r="P1036" s="56"/>
      <c r="Q1036" s="57"/>
      <c r="R1036" s="56"/>
      <c r="S1036" s="58" t="str" cm="1">
        <f t="array" ref="S1036">_xlfn._xlws.FILTER(Competitions[compType], (Fixtures[[#This Row],[competition]] = Competitions[name]), "N/A")</f>
        <v>N/A</v>
      </c>
      <c r="T1036" s="58" t="str" cm="1">
        <f t="array" ref="T1036">_xlfn._xlws.FILTER(Competitions[exhibition], (Fixtures[[#This Row],[competition]] = Competitions[name]), "N/A")</f>
        <v>N/A</v>
      </c>
      <c r="U1036" s="58" t="str" cm="1">
        <f t="array" ref="U1036">_xlfn._xlws.FILTER(Competitions[compID], (Fixtures[[#This Row],[competition]] = Competitions[name]), "N/A")</f>
        <v>N/A</v>
      </c>
      <c r="V10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6" s="58" t="str" cm="1">
        <f t="array" ref="W10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6" s="58" t="str" cm="1">
        <f t="array" ref="X1036">_xlfn._xlws.FILTER(Teams[name], (Fixtures[[#This Row],[userTeamID]] = Teams[teamID]), "N/A")</f>
        <v>N/A</v>
      </c>
      <c r="Y1036" s="58" t="str" cm="1">
        <f t="array" ref="Y1036">_xlfn._xlws.FILTER(Teams[teamType], (Fixtures[[#This Row],[userTeamID]] = Teams[teamID]), "N/A")</f>
        <v>N/A</v>
      </c>
      <c r="Z1036" s="58" t="str" cm="1">
        <f t="array" ref="Z10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6" s="58" t="str">
        <f>IF(Fixtures[[#This Row],[userSide]] = "N/A", "N/A", IF(Fixtures[[#This Row],[userSide]] = "H", Fixtures[[#This Row],[awayTeam]], Fixtures[[#This Row],[homeTeam]]))</f>
        <v>N/A</v>
      </c>
      <c r="AB1036" s="58" t="str" cm="1">
        <f t="array" ref="AB1036">_xlfn._xlws.FILTER(Teams[teamID], Fixtures[[#This Row],[oppTeam]] = Teams[name], "N/A")</f>
        <v>N/A</v>
      </c>
      <c r="AC1036" s="58" t="str" cm="1">
        <f t="array" ref="AC1036">_xlfn._xlws.FILTER(Teams[teamType], Fixtures[[#This Row],[oppTeam]] = Teams[name], "N/A")</f>
        <v>N/A</v>
      </c>
      <c r="AD1036" s="58" t="str">
        <f>IF(ISBLANK(Fixtures[[#This Row],[date]]), "N/A", IF(Fixtures[[#This Row],[userSide]]="H", Fixtures[[#This Row],[homeScore]], Fixtures[[#This Row],[awayScore]]))</f>
        <v>N/A</v>
      </c>
      <c r="AE1036" s="58" t="str">
        <f>IF(ISBLANK(Fixtures[[#This Row],[date]]), "N/A", IF(Fixtures[[#This Row],[userScore]] = Fixtures[[#This Row],[homeScore]], Fixtures[[#This Row],[awayScore]], Fixtures[[#This Row],[homeScore]]))</f>
        <v>N/A</v>
      </c>
      <c r="AF1036" s="58" t="b">
        <f>NOT(AND(ISBLANK(Fixtures[[#This Row],[homePens]]), ISBLANK(Fixtures[[#This Row],[awayPens]])))</f>
        <v>0</v>
      </c>
      <c r="AG1036" s="58" t="str">
        <f>IF(Fixtures[[#This Row],[penalties]], IF(Fixtures[[#This Row],[userSide]]="H", Fixtures[[#This Row],[homePens]], Fixtures[[#This Row],[awayPens]]), "N/A")</f>
        <v>N/A</v>
      </c>
      <c r="AH1036" s="58" t="str">
        <f>IF(Fixtures[[#This Row],[penalties]], IF(Fixtures[[#This Row],[userPens]]=Fixtures[[#This Row],[homePens]],Fixtures[[#This Row],[awayPens]],Fixtures[[#This Row],[homePens]]), "N/A")</f>
        <v>N/A</v>
      </c>
      <c r="AI1036" s="58" t="b">
        <f>COUNTBLANK(Fixtures[[#This Row],[G]:[MOTM]]) = 0</f>
        <v>0</v>
      </c>
      <c r="AJ1036" s="58" t="str">
        <f>IF(Fixtures[[#This Row],[APP]], Fixtures[[#This Row],[G]]+Fixtures[[#This Row],[A]], "N/A")</f>
        <v>N/A</v>
      </c>
      <c r="AK10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7" spans="1:39" ht="13">
      <c r="A1037" s="55"/>
      <c r="B1037" s="61"/>
      <c r="C1037" s="56"/>
      <c r="D1037" s="56"/>
      <c r="E1037" s="56"/>
      <c r="F1037" s="56"/>
      <c r="G1037" s="56"/>
      <c r="H1037" s="56"/>
      <c r="I1037" s="56"/>
      <c r="J1037" s="56"/>
      <c r="K1037" s="56"/>
      <c r="L1037" s="56"/>
      <c r="M1037" s="56"/>
      <c r="N1037" s="56"/>
      <c r="O1037" s="56"/>
      <c r="P1037" s="56"/>
      <c r="Q1037" s="57"/>
      <c r="R1037" s="56"/>
      <c r="S1037" s="58" t="str" cm="1">
        <f t="array" ref="S1037">_xlfn._xlws.FILTER(Competitions[compType], (Fixtures[[#This Row],[competition]] = Competitions[name]), "N/A")</f>
        <v>N/A</v>
      </c>
      <c r="T1037" s="58" t="str" cm="1">
        <f t="array" ref="T1037">_xlfn._xlws.FILTER(Competitions[exhibition], (Fixtures[[#This Row],[competition]] = Competitions[name]), "N/A")</f>
        <v>N/A</v>
      </c>
      <c r="U1037" s="58" t="str" cm="1">
        <f t="array" ref="U1037">_xlfn._xlws.FILTER(Competitions[compID], (Fixtures[[#This Row],[competition]] = Competitions[name]), "N/A")</f>
        <v>N/A</v>
      </c>
      <c r="V10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7" s="58" t="str" cm="1">
        <f t="array" ref="W10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7" s="58" t="str" cm="1">
        <f t="array" ref="X1037">_xlfn._xlws.FILTER(Teams[name], (Fixtures[[#This Row],[userTeamID]] = Teams[teamID]), "N/A")</f>
        <v>N/A</v>
      </c>
      <c r="Y1037" s="58" t="str" cm="1">
        <f t="array" ref="Y1037">_xlfn._xlws.FILTER(Teams[teamType], (Fixtures[[#This Row],[userTeamID]] = Teams[teamID]), "N/A")</f>
        <v>N/A</v>
      </c>
      <c r="Z1037" s="58" t="str" cm="1">
        <f t="array" ref="Z10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7" s="58" t="str">
        <f>IF(Fixtures[[#This Row],[userSide]] = "N/A", "N/A", IF(Fixtures[[#This Row],[userSide]] = "H", Fixtures[[#This Row],[awayTeam]], Fixtures[[#This Row],[homeTeam]]))</f>
        <v>N/A</v>
      </c>
      <c r="AB1037" s="58" t="str" cm="1">
        <f t="array" ref="AB1037">_xlfn._xlws.FILTER(Teams[teamID], Fixtures[[#This Row],[oppTeam]] = Teams[name], "N/A")</f>
        <v>N/A</v>
      </c>
      <c r="AC1037" s="58" t="str" cm="1">
        <f t="array" ref="AC1037">_xlfn._xlws.FILTER(Teams[teamType], Fixtures[[#This Row],[oppTeam]] = Teams[name], "N/A")</f>
        <v>N/A</v>
      </c>
      <c r="AD1037" s="58" t="str">
        <f>IF(ISBLANK(Fixtures[[#This Row],[date]]), "N/A", IF(Fixtures[[#This Row],[userSide]]="H", Fixtures[[#This Row],[homeScore]], Fixtures[[#This Row],[awayScore]]))</f>
        <v>N/A</v>
      </c>
      <c r="AE1037" s="58" t="str">
        <f>IF(ISBLANK(Fixtures[[#This Row],[date]]), "N/A", IF(Fixtures[[#This Row],[userScore]] = Fixtures[[#This Row],[homeScore]], Fixtures[[#This Row],[awayScore]], Fixtures[[#This Row],[homeScore]]))</f>
        <v>N/A</v>
      </c>
      <c r="AF1037" s="58" t="b">
        <f>NOT(AND(ISBLANK(Fixtures[[#This Row],[homePens]]), ISBLANK(Fixtures[[#This Row],[awayPens]])))</f>
        <v>0</v>
      </c>
      <c r="AG1037" s="58" t="str">
        <f>IF(Fixtures[[#This Row],[penalties]], IF(Fixtures[[#This Row],[userSide]]="H", Fixtures[[#This Row],[homePens]], Fixtures[[#This Row],[awayPens]]), "N/A")</f>
        <v>N/A</v>
      </c>
      <c r="AH1037" s="58" t="str">
        <f>IF(Fixtures[[#This Row],[penalties]], IF(Fixtures[[#This Row],[userPens]]=Fixtures[[#This Row],[homePens]],Fixtures[[#This Row],[awayPens]],Fixtures[[#This Row],[homePens]]), "N/A")</f>
        <v>N/A</v>
      </c>
      <c r="AI1037" s="58" t="b">
        <f>COUNTBLANK(Fixtures[[#This Row],[G]:[MOTM]]) = 0</f>
        <v>0</v>
      </c>
      <c r="AJ1037" s="58" t="str">
        <f>IF(Fixtures[[#This Row],[APP]], Fixtures[[#This Row],[G]]+Fixtures[[#This Row],[A]], "N/A")</f>
        <v>N/A</v>
      </c>
      <c r="AK10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8" spans="1:39" ht="13">
      <c r="A1038" s="55"/>
      <c r="B1038" s="61"/>
      <c r="C1038" s="56"/>
      <c r="D1038" s="56"/>
      <c r="E1038" s="56"/>
      <c r="F1038" s="56"/>
      <c r="G1038" s="56"/>
      <c r="H1038" s="56"/>
      <c r="I1038" s="56"/>
      <c r="J1038" s="56"/>
      <c r="K1038" s="56"/>
      <c r="L1038" s="56"/>
      <c r="M1038" s="56"/>
      <c r="N1038" s="56"/>
      <c r="O1038" s="56"/>
      <c r="P1038" s="56"/>
      <c r="Q1038" s="57"/>
      <c r="R1038" s="56"/>
      <c r="S1038" s="58" t="str" cm="1">
        <f t="array" ref="S1038">_xlfn._xlws.FILTER(Competitions[compType], (Fixtures[[#This Row],[competition]] = Competitions[name]), "N/A")</f>
        <v>N/A</v>
      </c>
      <c r="T1038" s="58" t="str" cm="1">
        <f t="array" ref="T1038">_xlfn._xlws.FILTER(Competitions[exhibition], (Fixtures[[#This Row],[competition]] = Competitions[name]), "N/A")</f>
        <v>N/A</v>
      </c>
      <c r="U1038" s="58" t="str" cm="1">
        <f t="array" ref="U1038">_xlfn._xlws.FILTER(Competitions[compID], (Fixtures[[#This Row],[competition]] = Competitions[name]), "N/A")</f>
        <v>N/A</v>
      </c>
      <c r="V10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8" s="58" t="str" cm="1">
        <f t="array" ref="W10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8" s="58" t="str" cm="1">
        <f t="array" ref="X1038">_xlfn._xlws.FILTER(Teams[name], (Fixtures[[#This Row],[userTeamID]] = Teams[teamID]), "N/A")</f>
        <v>N/A</v>
      </c>
      <c r="Y1038" s="58" t="str" cm="1">
        <f t="array" ref="Y1038">_xlfn._xlws.FILTER(Teams[teamType], (Fixtures[[#This Row],[userTeamID]] = Teams[teamID]), "N/A")</f>
        <v>N/A</v>
      </c>
      <c r="Z1038" s="58" t="str" cm="1">
        <f t="array" ref="Z10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8" s="58" t="str">
        <f>IF(Fixtures[[#This Row],[userSide]] = "N/A", "N/A", IF(Fixtures[[#This Row],[userSide]] = "H", Fixtures[[#This Row],[awayTeam]], Fixtures[[#This Row],[homeTeam]]))</f>
        <v>N/A</v>
      </c>
      <c r="AB1038" s="58" t="str" cm="1">
        <f t="array" ref="AB1038">_xlfn._xlws.FILTER(Teams[teamID], Fixtures[[#This Row],[oppTeam]] = Teams[name], "N/A")</f>
        <v>N/A</v>
      </c>
      <c r="AC1038" s="58" t="str" cm="1">
        <f t="array" ref="AC1038">_xlfn._xlws.FILTER(Teams[teamType], Fixtures[[#This Row],[oppTeam]] = Teams[name], "N/A")</f>
        <v>N/A</v>
      </c>
      <c r="AD1038" s="58" t="str">
        <f>IF(ISBLANK(Fixtures[[#This Row],[date]]), "N/A", IF(Fixtures[[#This Row],[userSide]]="H", Fixtures[[#This Row],[homeScore]], Fixtures[[#This Row],[awayScore]]))</f>
        <v>N/A</v>
      </c>
      <c r="AE1038" s="58" t="str">
        <f>IF(ISBLANK(Fixtures[[#This Row],[date]]), "N/A", IF(Fixtures[[#This Row],[userScore]] = Fixtures[[#This Row],[homeScore]], Fixtures[[#This Row],[awayScore]], Fixtures[[#This Row],[homeScore]]))</f>
        <v>N/A</v>
      </c>
      <c r="AF1038" s="58" t="b">
        <f>NOT(AND(ISBLANK(Fixtures[[#This Row],[homePens]]), ISBLANK(Fixtures[[#This Row],[awayPens]])))</f>
        <v>0</v>
      </c>
      <c r="AG1038" s="58" t="str">
        <f>IF(Fixtures[[#This Row],[penalties]], IF(Fixtures[[#This Row],[userSide]]="H", Fixtures[[#This Row],[homePens]], Fixtures[[#This Row],[awayPens]]), "N/A")</f>
        <v>N/A</v>
      </c>
      <c r="AH1038" s="58" t="str">
        <f>IF(Fixtures[[#This Row],[penalties]], IF(Fixtures[[#This Row],[userPens]]=Fixtures[[#This Row],[homePens]],Fixtures[[#This Row],[awayPens]],Fixtures[[#This Row],[homePens]]), "N/A")</f>
        <v>N/A</v>
      </c>
      <c r="AI1038" s="58" t="b">
        <f>COUNTBLANK(Fixtures[[#This Row],[G]:[MOTM]]) = 0</f>
        <v>0</v>
      </c>
      <c r="AJ1038" s="58" t="str">
        <f>IF(Fixtures[[#This Row],[APP]], Fixtures[[#This Row],[G]]+Fixtures[[#This Row],[A]], "N/A")</f>
        <v>N/A</v>
      </c>
      <c r="AK10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39" spans="1:39" ht="13">
      <c r="A1039" s="55"/>
      <c r="B1039" s="61"/>
      <c r="C1039" s="56"/>
      <c r="D1039" s="56"/>
      <c r="E1039" s="56"/>
      <c r="F1039" s="56"/>
      <c r="G1039" s="56"/>
      <c r="H1039" s="56"/>
      <c r="I1039" s="56"/>
      <c r="J1039" s="56"/>
      <c r="K1039" s="56"/>
      <c r="L1039" s="56"/>
      <c r="M1039" s="56"/>
      <c r="N1039" s="56"/>
      <c r="O1039" s="56"/>
      <c r="P1039" s="56"/>
      <c r="Q1039" s="57"/>
      <c r="R1039" s="56"/>
      <c r="S1039" s="58" t="str" cm="1">
        <f t="array" ref="S1039">_xlfn._xlws.FILTER(Competitions[compType], (Fixtures[[#This Row],[competition]] = Competitions[name]), "N/A")</f>
        <v>N/A</v>
      </c>
      <c r="T1039" s="58" t="str" cm="1">
        <f t="array" ref="T1039">_xlfn._xlws.FILTER(Competitions[exhibition], (Fixtures[[#This Row],[competition]] = Competitions[name]), "N/A")</f>
        <v>N/A</v>
      </c>
      <c r="U1039" s="58" t="str" cm="1">
        <f t="array" ref="U1039">_xlfn._xlws.FILTER(Competitions[compID], (Fixtures[[#This Row],[competition]] = Competitions[name]), "N/A")</f>
        <v>N/A</v>
      </c>
      <c r="V10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39" s="58" t="str" cm="1">
        <f t="array" ref="W10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39" s="58" t="str" cm="1">
        <f t="array" ref="X1039">_xlfn._xlws.FILTER(Teams[name], (Fixtures[[#This Row],[userTeamID]] = Teams[teamID]), "N/A")</f>
        <v>N/A</v>
      </c>
      <c r="Y1039" s="58" t="str" cm="1">
        <f t="array" ref="Y1039">_xlfn._xlws.FILTER(Teams[teamType], (Fixtures[[#This Row],[userTeamID]] = Teams[teamID]), "N/A")</f>
        <v>N/A</v>
      </c>
      <c r="Z1039" s="58" t="str" cm="1">
        <f t="array" ref="Z10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39" s="58" t="str">
        <f>IF(Fixtures[[#This Row],[userSide]] = "N/A", "N/A", IF(Fixtures[[#This Row],[userSide]] = "H", Fixtures[[#This Row],[awayTeam]], Fixtures[[#This Row],[homeTeam]]))</f>
        <v>N/A</v>
      </c>
      <c r="AB1039" s="58" t="str" cm="1">
        <f t="array" ref="AB1039">_xlfn._xlws.FILTER(Teams[teamID], Fixtures[[#This Row],[oppTeam]] = Teams[name], "N/A")</f>
        <v>N/A</v>
      </c>
      <c r="AC1039" s="58" t="str" cm="1">
        <f t="array" ref="AC1039">_xlfn._xlws.FILTER(Teams[teamType], Fixtures[[#This Row],[oppTeam]] = Teams[name], "N/A")</f>
        <v>N/A</v>
      </c>
      <c r="AD1039" s="58" t="str">
        <f>IF(ISBLANK(Fixtures[[#This Row],[date]]), "N/A", IF(Fixtures[[#This Row],[userSide]]="H", Fixtures[[#This Row],[homeScore]], Fixtures[[#This Row],[awayScore]]))</f>
        <v>N/A</v>
      </c>
      <c r="AE1039" s="58" t="str">
        <f>IF(ISBLANK(Fixtures[[#This Row],[date]]), "N/A", IF(Fixtures[[#This Row],[userScore]] = Fixtures[[#This Row],[homeScore]], Fixtures[[#This Row],[awayScore]], Fixtures[[#This Row],[homeScore]]))</f>
        <v>N/A</v>
      </c>
      <c r="AF1039" s="58" t="b">
        <f>NOT(AND(ISBLANK(Fixtures[[#This Row],[homePens]]), ISBLANK(Fixtures[[#This Row],[awayPens]])))</f>
        <v>0</v>
      </c>
      <c r="AG1039" s="58" t="str">
        <f>IF(Fixtures[[#This Row],[penalties]], IF(Fixtures[[#This Row],[userSide]]="H", Fixtures[[#This Row],[homePens]], Fixtures[[#This Row],[awayPens]]), "N/A")</f>
        <v>N/A</v>
      </c>
      <c r="AH1039" s="58" t="str">
        <f>IF(Fixtures[[#This Row],[penalties]], IF(Fixtures[[#This Row],[userPens]]=Fixtures[[#This Row],[homePens]],Fixtures[[#This Row],[awayPens]],Fixtures[[#This Row],[homePens]]), "N/A")</f>
        <v>N/A</v>
      </c>
      <c r="AI1039" s="58" t="b">
        <f>COUNTBLANK(Fixtures[[#This Row],[G]:[MOTM]]) = 0</f>
        <v>0</v>
      </c>
      <c r="AJ1039" s="58" t="str">
        <f>IF(Fixtures[[#This Row],[APP]], Fixtures[[#This Row],[G]]+Fixtures[[#This Row],[A]], "N/A")</f>
        <v>N/A</v>
      </c>
      <c r="AK10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0" spans="1:39" ht="13">
      <c r="A1040" s="55"/>
      <c r="B1040" s="61"/>
      <c r="C1040" s="56"/>
      <c r="D1040" s="56"/>
      <c r="E1040" s="56"/>
      <c r="F1040" s="56"/>
      <c r="G1040" s="56"/>
      <c r="H1040" s="56"/>
      <c r="I1040" s="56"/>
      <c r="J1040" s="56"/>
      <c r="K1040" s="56"/>
      <c r="L1040" s="56"/>
      <c r="M1040" s="56"/>
      <c r="N1040" s="56"/>
      <c r="O1040" s="56"/>
      <c r="P1040" s="56"/>
      <c r="Q1040" s="57"/>
      <c r="R1040" s="56"/>
      <c r="S1040" s="58" t="str" cm="1">
        <f t="array" ref="S1040">_xlfn._xlws.FILTER(Competitions[compType], (Fixtures[[#This Row],[competition]] = Competitions[name]), "N/A")</f>
        <v>N/A</v>
      </c>
      <c r="T1040" s="58" t="str" cm="1">
        <f t="array" ref="T1040">_xlfn._xlws.FILTER(Competitions[exhibition], (Fixtures[[#This Row],[competition]] = Competitions[name]), "N/A")</f>
        <v>N/A</v>
      </c>
      <c r="U1040" s="58" t="str" cm="1">
        <f t="array" ref="U1040">_xlfn._xlws.FILTER(Competitions[compID], (Fixtures[[#This Row],[competition]] = Competitions[name]), "N/A")</f>
        <v>N/A</v>
      </c>
      <c r="V10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0" s="58" t="str" cm="1">
        <f t="array" ref="W10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0" s="58" t="str" cm="1">
        <f t="array" ref="X1040">_xlfn._xlws.FILTER(Teams[name], (Fixtures[[#This Row],[userTeamID]] = Teams[teamID]), "N/A")</f>
        <v>N/A</v>
      </c>
      <c r="Y1040" s="58" t="str" cm="1">
        <f t="array" ref="Y1040">_xlfn._xlws.FILTER(Teams[teamType], (Fixtures[[#This Row],[userTeamID]] = Teams[teamID]), "N/A")</f>
        <v>N/A</v>
      </c>
      <c r="Z1040" s="58" t="str" cm="1">
        <f t="array" ref="Z10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0" s="58" t="str">
        <f>IF(Fixtures[[#This Row],[userSide]] = "N/A", "N/A", IF(Fixtures[[#This Row],[userSide]] = "H", Fixtures[[#This Row],[awayTeam]], Fixtures[[#This Row],[homeTeam]]))</f>
        <v>N/A</v>
      </c>
      <c r="AB1040" s="58" t="str" cm="1">
        <f t="array" ref="AB1040">_xlfn._xlws.FILTER(Teams[teamID], Fixtures[[#This Row],[oppTeam]] = Teams[name], "N/A")</f>
        <v>N/A</v>
      </c>
      <c r="AC1040" s="58" t="str" cm="1">
        <f t="array" ref="AC1040">_xlfn._xlws.FILTER(Teams[teamType], Fixtures[[#This Row],[oppTeam]] = Teams[name], "N/A")</f>
        <v>N/A</v>
      </c>
      <c r="AD1040" s="58" t="str">
        <f>IF(ISBLANK(Fixtures[[#This Row],[date]]), "N/A", IF(Fixtures[[#This Row],[userSide]]="H", Fixtures[[#This Row],[homeScore]], Fixtures[[#This Row],[awayScore]]))</f>
        <v>N/A</v>
      </c>
      <c r="AE1040" s="58" t="str">
        <f>IF(ISBLANK(Fixtures[[#This Row],[date]]), "N/A", IF(Fixtures[[#This Row],[userScore]] = Fixtures[[#This Row],[homeScore]], Fixtures[[#This Row],[awayScore]], Fixtures[[#This Row],[homeScore]]))</f>
        <v>N/A</v>
      </c>
      <c r="AF1040" s="58" t="b">
        <f>NOT(AND(ISBLANK(Fixtures[[#This Row],[homePens]]), ISBLANK(Fixtures[[#This Row],[awayPens]])))</f>
        <v>0</v>
      </c>
      <c r="AG1040" s="58" t="str">
        <f>IF(Fixtures[[#This Row],[penalties]], IF(Fixtures[[#This Row],[userSide]]="H", Fixtures[[#This Row],[homePens]], Fixtures[[#This Row],[awayPens]]), "N/A")</f>
        <v>N/A</v>
      </c>
      <c r="AH1040" s="58" t="str">
        <f>IF(Fixtures[[#This Row],[penalties]], IF(Fixtures[[#This Row],[userPens]]=Fixtures[[#This Row],[homePens]],Fixtures[[#This Row],[awayPens]],Fixtures[[#This Row],[homePens]]), "N/A")</f>
        <v>N/A</v>
      </c>
      <c r="AI1040" s="58" t="b">
        <f>COUNTBLANK(Fixtures[[#This Row],[G]:[MOTM]]) = 0</f>
        <v>0</v>
      </c>
      <c r="AJ1040" s="58" t="str">
        <f>IF(Fixtures[[#This Row],[APP]], Fixtures[[#This Row],[G]]+Fixtures[[#This Row],[A]], "N/A")</f>
        <v>N/A</v>
      </c>
      <c r="AK10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1" spans="1:39" ht="13">
      <c r="A1041" s="55"/>
      <c r="B1041" s="61"/>
      <c r="C1041" s="56"/>
      <c r="D1041" s="56"/>
      <c r="E1041" s="56"/>
      <c r="F1041" s="56"/>
      <c r="G1041" s="56"/>
      <c r="H1041" s="56"/>
      <c r="I1041" s="56"/>
      <c r="J1041" s="56"/>
      <c r="K1041" s="56"/>
      <c r="L1041" s="56"/>
      <c r="M1041" s="56"/>
      <c r="N1041" s="56"/>
      <c r="O1041" s="56"/>
      <c r="P1041" s="56"/>
      <c r="Q1041" s="57"/>
      <c r="R1041" s="56"/>
      <c r="S1041" s="58" t="str" cm="1">
        <f t="array" ref="S1041">_xlfn._xlws.FILTER(Competitions[compType], (Fixtures[[#This Row],[competition]] = Competitions[name]), "N/A")</f>
        <v>N/A</v>
      </c>
      <c r="T1041" s="58" t="str" cm="1">
        <f t="array" ref="T1041">_xlfn._xlws.FILTER(Competitions[exhibition], (Fixtures[[#This Row],[competition]] = Competitions[name]), "N/A")</f>
        <v>N/A</v>
      </c>
      <c r="U1041" s="58" t="str" cm="1">
        <f t="array" ref="U1041">_xlfn._xlws.FILTER(Competitions[compID], (Fixtures[[#This Row],[competition]] = Competitions[name]), "N/A")</f>
        <v>N/A</v>
      </c>
      <c r="V10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1" s="58" t="str" cm="1">
        <f t="array" ref="W10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1" s="58" t="str" cm="1">
        <f t="array" ref="X1041">_xlfn._xlws.FILTER(Teams[name], (Fixtures[[#This Row],[userTeamID]] = Teams[teamID]), "N/A")</f>
        <v>N/A</v>
      </c>
      <c r="Y1041" s="58" t="str" cm="1">
        <f t="array" ref="Y1041">_xlfn._xlws.FILTER(Teams[teamType], (Fixtures[[#This Row],[userTeamID]] = Teams[teamID]), "N/A")</f>
        <v>N/A</v>
      </c>
      <c r="Z1041" s="58" t="str" cm="1">
        <f t="array" ref="Z10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1" s="58" t="str">
        <f>IF(Fixtures[[#This Row],[userSide]] = "N/A", "N/A", IF(Fixtures[[#This Row],[userSide]] = "H", Fixtures[[#This Row],[awayTeam]], Fixtures[[#This Row],[homeTeam]]))</f>
        <v>N/A</v>
      </c>
      <c r="AB1041" s="58" t="str" cm="1">
        <f t="array" ref="AB1041">_xlfn._xlws.FILTER(Teams[teamID], Fixtures[[#This Row],[oppTeam]] = Teams[name], "N/A")</f>
        <v>N/A</v>
      </c>
      <c r="AC1041" s="58" t="str" cm="1">
        <f t="array" ref="AC1041">_xlfn._xlws.FILTER(Teams[teamType], Fixtures[[#This Row],[oppTeam]] = Teams[name], "N/A")</f>
        <v>N/A</v>
      </c>
      <c r="AD1041" s="58" t="str">
        <f>IF(ISBLANK(Fixtures[[#This Row],[date]]), "N/A", IF(Fixtures[[#This Row],[userSide]]="H", Fixtures[[#This Row],[homeScore]], Fixtures[[#This Row],[awayScore]]))</f>
        <v>N/A</v>
      </c>
      <c r="AE1041" s="58" t="str">
        <f>IF(ISBLANK(Fixtures[[#This Row],[date]]), "N/A", IF(Fixtures[[#This Row],[userScore]] = Fixtures[[#This Row],[homeScore]], Fixtures[[#This Row],[awayScore]], Fixtures[[#This Row],[homeScore]]))</f>
        <v>N/A</v>
      </c>
      <c r="AF1041" s="58" t="b">
        <f>NOT(AND(ISBLANK(Fixtures[[#This Row],[homePens]]), ISBLANK(Fixtures[[#This Row],[awayPens]])))</f>
        <v>0</v>
      </c>
      <c r="AG1041" s="58" t="str">
        <f>IF(Fixtures[[#This Row],[penalties]], IF(Fixtures[[#This Row],[userSide]]="H", Fixtures[[#This Row],[homePens]], Fixtures[[#This Row],[awayPens]]), "N/A")</f>
        <v>N/A</v>
      </c>
      <c r="AH1041" s="58" t="str">
        <f>IF(Fixtures[[#This Row],[penalties]], IF(Fixtures[[#This Row],[userPens]]=Fixtures[[#This Row],[homePens]],Fixtures[[#This Row],[awayPens]],Fixtures[[#This Row],[homePens]]), "N/A")</f>
        <v>N/A</v>
      </c>
      <c r="AI1041" s="58" t="b">
        <f>COUNTBLANK(Fixtures[[#This Row],[G]:[MOTM]]) = 0</f>
        <v>0</v>
      </c>
      <c r="AJ1041" s="58" t="str">
        <f>IF(Fixtures[[#This Row],[APP]], Fixtures[[#This Row],[G]]+Fixtures[[#This Row],[A]], "N/A")</f>
        <v>N/A</v>
      </c>
      <c r="AK10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2" spans="1:39" ht="13">
      <c r="A1042" s="55"/>
      <c r="B1042" s="61"/>
      <c r="C1042" s="56"/>
      <c r="D1042" s="56"/>
      <c r="E1042" s="56"/>
      <c r="F1042" s="56"/>
      <c r="G1042" s="56"/>
      <c r="H1042" s="56"/>
      <c r="I1042" s="56"/>
      <c r="J1042" s="56"/>
      <c r="K1042" s="56"/>
      <c r="L1042" s="56"/>
      <c r="M1042" s="56"/>
      <c r="N1042" s="56"/>
      <c r="O1042" s="56"/>
      <c r="P1042" s="56"/>
      <c r="Q1042" s="57"/>
      <c r="R1042" s="56"/>
      <c r="S1042" s="58" t="str" cm="1">
        <f t="array" ref="S1042">_xlfn._xlws.FILTER(Competitions[compType], (Fixtures[[#This Row],[competition]] = Competitions[name]), "N/A")</f>
        <v>N/A</v>
      </c>
      <c r="T1042" s="58" t="str" cm="1">
        <f t="array" ref="T1042">_xlfn._xlws.FILTER(Competitions[exhibition], (Fixtures[[#This Row],[competition]] = Competitions[name]), "N/A")</f>
        <v>N/A</v>
      </c>
      <c r="U1042" s="58" t="str" cm="1">
        <f t="array" ref="U1042">_xlfn._xlws.FILTER(Competitions[compID], (Fixtures[[#This Row],[competition]] = Competitions[name]), "N/A")</f>
        <v>N/A</v>
      </c>
      <c r="V10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2" s="58" t="str" cm="1">
        <f t="array" ref="W10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2" s="58" t="str" cm="1">
        <f t="array" ref="X1042">_xlfn._xlws.FILTER(Teams[name], (Fixtures[[#This Row],[userTeamID]] = Teams[teamID]), "N/A")</f>
        <v>N/A</v>
      </c>
      <c r="Y1042" s="58" t="str" cm="1">
        <f t="array" ref="Y1042">_xlfn._xlws.FILTER(Teams[teamType], (Fixtures[[#This Row],[userTeamID]] = Teams[teamID]), "N/A")</f>
        <v>N/A</v>
      </c>
      <c r="Z1042" s="58" t="str" cm="1">
        <f t="array" ref="Z10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2" s="58" t="str">
        <f>IF(Fixtures[[#This Row],[userSide]] = "N/A", "N/A", IF(Fixtures[[#This Row],[userSide]] = "H", Fixtures[[#This Row],[awayTeam]], Fixtures[[#This Row],[homeTeam]]))</f>
        <v>N/A</v>
      </c>
      <c r="AB1042" s="58" t="str" cm="1">
        <f t="array" ref="AB1042">_xlfn._xlws.FILTER(Teams[teamID], Fixtures[[#This Row],[oppTeam]] = Teams[name], "N/A")</f>
        <v>N/A</v>
      </c>
      <c r="AC1042" s="58" t="str" cm="1">
        <f t="array" ref="AC1042">_xlfn._xlws.FILTER(Teams[teamType], Fixtures[[#This Row],[oppTeam]] = Teams[name], "N/A")</f>
        <v>N/A</v>
      </c>
      <c r="AD1042" s="58" t="str">
        <f>IF(ISBLANK(Fixtures[[#This Row],[date]]), "N/A", IF(Fixtures[[#This Row],[userSide]]="H", Fixtures[[#This Row],[homeScore]], Fixtures[[#This Row],[awayScore]]))</f>
        <v>N/A</v>
      </c>
      <c r="AE1042" s="58" t="str">
        <f>IF(ISBLANK(Fixtures[[#This Row],[date]]), "N/A", IF(Fixtures[[#This Row],[userScore]] = Fixtures[[#This Row],[homeScore]], Fixtures[[#This Row],[awayScore]], Fixtures[[#This Row],[homeScore]]))</f>
        <v>N/A</v>
      </c>
      <c r="AF1042" s="58" t="b">
        <f>NOT(AND(ISBLANK(Fixtures[[#This Row],[homePens]]), ISBLANK(Fixtures[[#This Row],[awayPens]])))</f>
        <v>0</v>
      </c>
      <c r="AG1042" s="58" t="str">
        <f>IF(Fixtures[[#This Row],[penalties]], IF(Fixtures[[#This Row],[userSide]]="H", Fixtures[[#This Row],[homePens]], Fixtures[[#This Row],[awayPens]]), "N/A")</f>
        <v>N/A</v>
      </c>
      <c r="AH1042" s="58" t="str">
        <f>IF(Fixtures[[#This Row],[penalties]], IF(Fixtures[[#This Row],[userPens]]=Fixtures[[#This Row],[homePens]],Fixtures[[#This Row],[awayPens]],Fixtures[[#This Row],[homePens]]), "N/A")</f>
        <v>N/A</v>
      </c>
      <c r="AI1042" s="58" t="b">
        <f>COUNTBLANK(Fixtures[[#This Row],[G]:[MOTM]]) = 0</f>
        <v>0</v>
      </c>
      <c r="AJ1042" s="58" t="str">
        <f>IF(Fixtures[[#This Row],[APP]], Fixtures[[#This Row],[G]]+Fixtures[[#This Row],[A]], "N/A")</f>
        <v>N/A</v>
      </c>
      <c r="AK10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3" spans="1:39" ht="13">
      <c r="A1043" s="55"/>
      <c r="B1043" s="61"/>
      <c r="C1043" s="56"/>
      <c r="D1043" s="56"/>
      <c r="E1043" s="56"/>
      <c r="F1043" s="56"/>
      <c r="G1043" s="56"/>
      <c r="H1043" s="56"/>
      <c r="I1043" s="56"/>
      <c r="J1043" s="56"/>
      <c r="K1043" s="56"/>
      <c r="L1043" s="56"/>
      <c r="M1043" s="56"/>
      <c r="N1043" s="56"/>
      <c r="O1043" s="56"/>
      <c r="P1043" s="56"/>
      <c r="Q1043" s="57"/>
      <c r="R1043" s="56"/>
      <c r="S1043" s="58" t="str" cm="1">
        <f t="array" ref="S1043">_xlfn._xlws.FILTER(Competitions[compType], (Fixtures[[#This Row],[competition]] = Competitions[name]), "N/A")</f>
        <v>N/A</v>
      </c>
      <c r="T1043" s="58" t="str" cm="1">
        <f t="array" ref="T1043">_xlfn._xlws.FILTER(Competitions[exhibition], (Fixtures[[#This Row],[competition]] = Competitions[name]), "N/A")</f>
        <v>N/A</v>
      </c>
      <c r="U1043" s="58" t="str" cm="1">
        <f t="array" ref="U1043">_xlfn._xlws.FILTER(Competitions[compID], (Fixtures[[#This Row],[competition]] = Competitions[name]), "N/A")</f>
        <v>N/A</v>
      </c>
      <c r="V10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3" s="58" t="str" cm="1">
        <f t="array" ref="W10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3" s="58" t="str" cm="1">
        <f t="array" ref="X1043">_xlfn._xlws.FILTER(Teams[name], (Fixtures[[#This Row],[userTeamID]] = Teams[teamID]), "N/A")</f>
        <v>N/A</v>
      </c>
      <c r="Y1043" s="58" t="str" cm="1">
        <f t="array" ref="Y1043">_xlfn._xlws.FILTER(Teams[teamType], (Fixtures[[#This Row],[userTeamID]] = Teams[teamID]), "N/A")</f>
        <v>N/A</v>
      </c>
      <c r="Z1043" s="58" t="str" cm="1">
        <f t="array" ref="Z10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3" s="58" t="str">
        <f>IF(Fixtures[[#This Row],[userSide]] = "N/A", "N/A", IF(Fixtures[[#This Row],[userSide]] = "H", Fixtures[[#This Row],[awayTeam]], Fixtures[[#This Row],[homeTeam]]))</f>
        <v>N/A</v>
      </c>
      <c r="AB1043" s="58" t="str" cm="1">
        <f t="array" ref="AB1043">_xlfn._xlws.FILTER(Teams[teamID], Fixtures[[#This Row],[oppTeam]] = Teams[name], "N/A")</f>
        <v>N/A</v>
      </c>
      <c r="AC1043" s="58" t="str" cm="1">
        <f t="array" ref="AC1043">_xlfn._xlws.FILTER(Teams[teamType], Fixtures[[#This Row],[oppTeam]] = Teams[name], "N/A")</f>
        <v>N/A</v>
      </c>
      <c r="AD1043" s="58" t="str">
        <f>IF(ISBLANK(Fixtures[[#This Row],[date]]), "N/A", IF(Fixtures[[#This Row],[userSide]]="H", Fixtures[[#This Row],[homeScore]], Fixtures[[#This Row],[awayScore]]))</f>
        <v>N/A</v>
      </c>
      <c r="AE1043" s="58" t="str">
        <f>IF(ISBLANK(Fixtures[[#This Row],[date]]), "N/A", IF(Fixtures[[#This Row],[userScore]] = Fixtures[[#This Row],[homeScore]], Fixtures[[#This Row],[awayScore]], Fixtures[[#This Row],[homeScore]]))</f>
        <v>N/A</v>
      </c>
      <c r="AF1043" s="58" t="b">
        <f>NOT(AND(ISBLANK(Fixtures[[#This Row],[homePens]]), ISBLANK(Fixtures[[#This Row],[awayPens]])))</f>
        <v>0</v>
      </c>
      <c r="AG1043" s="58" t="str">
        <f>IF(Fixtures[[#This Row],[penalties]], IF(Fixtures[[#This Row],[userSide]]="H", Fixtures[[#This Row],[homePens]], Fixtures[[#This Row],[awayPens]]), "N/A")</f>
        <v>N/A</v>
      </c>
      <c r="AH1043" s="58" t="str">
        <f>IF(Fixtures[[#This Row],[penalties]], IF(Fixtures[[#This Row],[userPens]]=Fixtures[[#This Row],[homePens]],Fixtures[[#This Row],[awayPens]],Fixtures[[#This Row],[homePens]]), "N/A")</f>
        <v>N/A</v>
      </c>
      <c r="AI1043" s="58" t="b">
        <f>COUNTBLANK(Fixtures[[#This Row],[G]:[MOTM]]) = 0</f>
        <v>0</v>
      </c>
      <c r="AJ1043" s="58" t="str">
        <f>IF(Fixtures[[#This Row],[APP]], Fixtures[[#This Row],[G]]+Fixtures[[#This Row],[A]], "N/A")</f>
        <v>N/A</v>
      </c>
      <c r="AK10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4" spans="1:39" ht="13">
      <c r="A1044" s="55"/>
      <c r="B1044" s="61"/>
      <c r="C1044" s="56"/>
      <c r="D1044" s="56"/>
      <c r="E1044" s="56"/>
      <c r="F1044" s="56"/>
      <c r="G1044" s="56"/>
      <c r="H1044" s="56"/>
      <c r="I1044" s="56"/>
      <c r="J1044" s="56"/>
      <c r="K1044" s="56"/>
      <c r="L1044" s="56"/>
      <c r="M1044" s="56"/>
      <c r="N1044" s="56"/>
      <c r="O1044" s="56"/>
      <c r="P1044" s="56"/>
      <c r="Q1044" s="57"/>
      <c r="R1044" s="56"/>
      <c r="S1044" s="58" t="str" cm="1">
        <f t="array" ref="S1044">_xlfn._xlws.FILTER(Competitions[compType], (Fixtures[[#This Row],[competition]] = Competitions[name]), "N/A")</f>
        <v>N/A</v>
      </c>
      <c r="T1044" s="58" t="str" cm="1">
        <f t="array" ref="T1044">_xlfn._xlws.FILTER(Competitions[exhibition], (Fixtures[[#This Row],[competition]] = Competitions[name]), "N/A")</f>
        <v>N/A</v>
      </c>
      <c r="U1044" s="58" t="str" cm="1">
        <f t="array" ref="U1044">_xlfn._xlws.FILTER(Competitions[compID], (Fixtures[[#This Row],[competition]] = Competitions[name]), "N/A")</f>
        <v>N/A</v>
      </c>
      <c r="V10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4" s="58" t="str" cm="1">
        <f t="array" ref="W10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4" s="58" t="str" cm="1">
        <f t="array" ref="X1044">_xlfn._xlws.FILTER(Teams[name], (Fixtures[[#This Row],[userTeamID]] = Teams[teamID]), "N/A")</f>
        <v>N/A</v>
      </c>
      <c r="Y1044" s="58" t="str" cm="1">
        <f t="array" ref="Y1044">_xlfn._xlws.FILTER(Teams[teamType], (Fixtures[[#This Row],[userTeamID]] = Teams[teamID]), "N/A")</f>
        <v>N/A</v>
      </c>
      <c r="Z1044" s="58" t="str" cm="1">
        <f t="array" ref="Z10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4" s="58" t="str">
        <f>IF(Fixtures[[#This Row],[userSide]] = "N/A", "N/A", IF(Fixtures[[#This Row],[userSide]] = "H", Fixtures[[#This Row],[awayTeam]], Fixtures[[#This Row],[homeTeam]]))</f>
        <v>N/A</v>
      </c>
      <c r="AB1044" s="58" t="str" cm="1">
        <f t="array" ref="AB1044">_xlfn._xlws.FILTER(Teams[teamID], Fixtures[[#This Row],[oppTeam]] = Teams[name], "N/A")</f>
        <v>N/A</v>
      </c>
      <c r="AC1044" s="58" t="str" cm="1">
        <f t="array" ref="AC1044">_xlfn._xlws.FILTER(Teams[teamType], Fixtures[[#This Row],[oppTeam]] = Teams[name], "N/A")</f>
        <v>N/A</v>
      </c>
      <c r="AD1044" s="58" t="str">
        <f>IF(ISBLANK(Fixtures[[#This Row],[date]]), "N/A", IF(Fixtures[[#This Row],[userSide]]="H", Fixtures[[#This Row],[homeScore]], Fixtures[[#This Row],[awayScore]]))</f>
        <v>N/A</v>
      </c>
      <c r="AE1044" s="58" t="str">
        <f>IF(ISBLANK(Fixtures[[#This Row],[date]]), "N/A", IF(Fixtures[[#This Row],[userScore]] = Fixtures[[#This Row],[homeScore]], Fixtures[[#This Row],[awayScore]], Fixtures[[#This Row],[homeScore]]))</f>
        <v>N/A</v>
      </c>
      <c r="AF1044" s="58" t="b">
        <f>NOT(AND(ISBLANK(Fixtures[[#This Row],[homePens]]), ISBLANK(Fixtures[[#This Row],[awayPens]])))</f>
        <v>0</v>
      </c>
      <c r="AG1044" s="58" t="str">
        <f>IF(Fixtures[[#This Row],[penalties]], IF(Fixtures[[#This Row],[userSide]]="H", Fixtures[[#This Row],[homePens]], Fixtures[[#This Row],[awayPens]]), "N/A")</f>
        <v>N/A</v>
      </c>
      <c r="AH1044" s="58" t="str">
        <f>IF(Fixtures[[#This Row],[penalties]], IF(Fixtures[[#This Row],[userPens]]=Fixtures[[#This Row],[homePens]],Fixtures[[#This Row],[awayPens]],Fixtures[[#This Row],[homePens]]), "N/A")</f>
        <v>N/A</v>
      </c>
      <c r="AI1044" s="58" t="b">
        <f>COUNTBLANK(Fixtures[[#This Row],[G]:[MOTM]]) = 0</f>
        <v>0</v>
      </c>
      <c r="AJ1044" s="58" t="str">
        <f>IF(Fixtures[[#This Row],[APP]], Fixtures[[#This Row],[G]]+Fixtures[[#This Row],[A]], "N/A")</f>
        <v>N/A</v>
      </c>
      <c r="AK10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5" spans="1:39" ht="13">
      <c r="A1045" s="55"/>
      <c r="B1045" s="61"/>
      <c r="C1045" s="56"/>
      <c r="D1045" s="56"/>
      <c r="E1045" s="56"/>
      <c r="F1045" s="56"/>
      <c r="G1045" s="56"/>
      <c r="H1045" s="56"/>
      <c r="I1045" s="56"/>
      <c r="J1045" s="56"/>
      <c r="K1045" s="56"/>
      <c r="L1045" s="56"/>
      <c r="M1045" s="56"/>
      <c r="N1045" s="56"/>
      <c r="O1045" s="56"/>
      <c r="P1045" s="56"/>
      <c r="Q1045" s="57"/>
      <c r="R1045" s="56"/>
      <c r="S1045" s="58" t="str" cm="1">
        <f t="array" ref="S1045">_xlfn._xlws.FILTER(Competitions[compType], (Fixtures[[#This Row],[competition]] = Competitions[name]), "N/A")</f>
        <v>N/A</v>
      </c>
      <c r="T1045" s="58" t="str" cm="1">
        <f t="array" ref="T1045">_xlfn._xlws.FILTER(Competitions[exhibition], (Fixtures[[#This Row],[competition]] = Competitions[name]), "N/A")</f>
        <v>N/A</v>
      </c>
      <c r="U1045" s="58" t="str" cm="1">
        <f t="array" ref="U1045">_xlfn._xlws.FILTER(Competitions[compID], (Fixtures[[#This Row],[competition]] = Competitions[name]), "N/A")</f>
        <v>N/A</v>
      </c>
      <c r="V10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5" s="58" t="str" cm="1">
        <f t="array" ref="W10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5" s="58" t="str" cm="1">
        <f t="array" ref="X1045">_xlfn._xlws.FILTER(Teams[name], (Fixtures[[#This Row],[userTeamID]] = Teams[teamID]), "N/A")</f>
        <v>N/A</v>
      </c>
      <c r="Y1045" s="58" t="str" cm="1">
        <f t="array" ref="Y1045">_xlfn._xlws.FILTER(Teams[teamType], (Fixtures[[#This Row],[userTeamID]] = Teams[teamID]), "N/A")</f>
        <v>N/A</v>
      </c>
      <c r="Z1045" s="58" t="str" cm="1">
        <f t="array" ref="Z10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5" s="58" t="str">
        <f>IF(Fixtures[[#This Row],[userSide]] = "N/A", "N/A", IF(Fixtures[[#This Row],[userSide]] = "H", Fixtures[[#This Row],[awayTeam]], Fixtures[[#This Row],[homeTeam]]))</f>
        <v>N/A</v>
      </c>
      <c r="AB1045" s="58" t="str" cm="1">
        <f t="array" ref="AB1045">_xlfn._xlws.FILTER(Teams[teamID], Fixtures[[#This Row],[oppTeam]] = Teams[name], "N/A")</f>
        <v>N/A</v>
      </c>
      <c r="AC1045" s="58" t="str" cm="1">
        <f t="array" ref="AC1045">_xlfn._xlws.FILTER(Teams[teamType], Fixtures[[#This Row],[oppTeam]] = Teams[name], "N/A")</f>
        <v>N/A</v>
      </c>
      <c r="AD1045" s="58" t="str">
        <f>IF(ISBLANK(Fixtures[[#This Row],[date]]), "N/A", IF(Fixtures[[#This Row],[userSide]]="H", Fixtures[[#This Row],[homeScore]], Fixtures[[#This Row],[awayScore]]))</f>
        <v>N/A</v>
      </c>
      <c r="AE1045" s="58" t="str">
        <f>IF(ISBLANK(Fixtures[[#This Row],[date]]), "N/A", IF(Fixtures[[#This Row],[userScore]] = Fixtures[[#This Row],[homeScore]], Fixtures[[#This Row],[awayScore]], Fixtures[[#This Row],[homeScore]]))</f>
        <v>N/A</v>
      </c>
      <c r="AF1045" s="58" t="b">
        <f>NOT(AND(ISBLANK(Fixtures[[#This Row],[homePens]]), ISBLANK(Fixtures[[#This Row],[awayPens]])))</f>
        <v>0</v>
      </c>
      <c r="AG1045" s="58" t="str">
        <f>IF(Fixtures[[#This Row],[penalties]], IF(Fixtures[[#This Row],[userSide]]="H", Fixtures[[#This Row],[homePens]], Fixtures[[#This Row],[awayPens]]), "N/A")</f>
        <v>N/A</v>
      </c>
      <c r="AH1045" s="58" t="str">
        <f>IF(Fixtures[[#This Row],[penalties]], IF(Fixtures[[#This Row],[userPens]]=Fixtures[[#This Row],[homePens]],Fixtures[[#This Row],[awayPens]],Fixtures[[#This Row],[homePens]]), "N/A")</f>
        <v>N/A</v>
      </c>
      <c r="AI1045" s="58" t="b">
        <f>COUNTBLANK(Fixtures[[#This Row],[G]:[MOTM]]) = 0</f>
        <v>0</v>
      </c>
      <c r="AJ1045" s="58" t="str">
        <f>IF(Fixtures[[#This Row],[APP]], Fixtures[[#This Row],[G]]+Fixtures[[#This Row],[A]], "N/A")</f>
        <v>N/A</v>
      </c>
      <c r="AK10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6" spans="1:39" ht="13">
      <c r="A1046" s="55"/>
      <c r="B1046" s="61"/>
      <c r="C1046" s="56"/>
      <c r="D1046" s="56"/>
      <c r="E1046" s="56"/>
      <c r="F1046" s="56"/>
      <c r="G1046" s="56"/>
      <c r="H1046" s="56"/>
      <c r="I1046" s="56"/>
      <c r="J1046" s="56"/>
      <c r="K1046" s="56"/>
      <c r="L1046" s="56"/>
      <c r="M1046" s="56"/>
      <c r="N1046" s="56"/>
      <c r="O1046" s="56"/>
      <c r="P1046" s="56"/>
      <c r="Q1046" s="57"/>
      <c r="R1046" s="56"/>
      <c r="S1046" s="58" t="str" cm="1">
        <f t="array" ref="S1046">_xlfn._xlws.FILTER(Competitions[compType], (Fixtures[[#This Row],[competition]] = Competitions[name]), "N/A")</f>
        <v>N/A</v>
      </c>
      <c r="T1046" s="58" t="str" cm="1">
        <f t="array" ref="T1046">_xlfn._xlws.FILTER(Competitions[exhibition], (Fixtures[[#This Row],[competition]] = Competitions[name]), "N/A")</f>
        <v>N/A</v>
      </c>
      <c r="U1046" s="58" t="str" cm="1">
        <f t="array" ref="U1046">_xlfn._xlws.FILTER(Competitions[compID], (Fixtures[[#This Row],[competition]] = Competitions[name]), "N/A")</f>
        <v>N/A</v>
      </c>
      <c r="V10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6" s="58" t="str" cm="1">
        <f t="array" ref="W10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6" s="58" t="str" cm="1">
        <f t="array" ref="X1046">_xlfn._xlws.FILTER(Teams[name], (Fixtures[[#This Row],[userTeamID]] = Teams[teamID]), "N/A")</f>
        <v>N/A</v>
      </c>
      <c r="Y1046" s="58" t="str" cm="1">
        <f t="array" ref="Y1046">_xlfn._xlws.FILTER(Teams[teamType], (Fixtures[[#This Row],[userTeamID]] = Teams[teamID]), "N/A")</f>
        <v>N/A</v>
      </c>
      <c r="Z1046" s="58" t="str" cm="1">
        <f t="array" ref="Z10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6" s="58" t="str">
        <f>IF(Fixtures[[#This Row],[userSide]] = "N/A", "N/A", IF(Fixtures[[#This Row],[userSide]] = "H", Fixtures[[#This Row],[awayTeam]], Fixtures[[#This Row],[homeTeam]]))</f>
        <v>N/A</v>
      </c>
      <c r="AB1046" s="58" t="str" cm="1">
        <f t="array" ref="AB1046">_xlfn._xlws.FILTER(Teams[teamID], Fixtures[[#This Row],[oppTeam]] = Teams[name], "N/A")</f>
        <v>N/A</v>
      </c>
      <c r="AC1046" s="58" t="str" cm="1">
        <f t="array" ref="AC1046">_xlfn._xlws.FILTER(Teams[teamType], Fixtures[[#This Row],[oppTeam]] = Teams[name], "N/A")</f>
        <v>N/A</v>
      </c>
      <c r="AD1046" s="58" t="str">
        <f>IF(ISBLANK(Fixtures[[#This Row],[date]]), "N/A", IF(Fixtures[[#This Row],[userSide]]="H", Fixtures[[#This Row],[homeScore]], Fixtures[[#This Row],[awayScore]]))</f>
        <v>N/A</v>
      </c>
      <c r="AE1046" s="58" t="str">
        <f>IF(ISBLANK(Fixtures[[#This Row],[date]]), "N/A", IF(Fixtures[[#This Row],[userScore]] = Fixtures[[#This Row],[homeScore]], Fixtures[[#This Row],[awayScore]], Fixtures[[#This Row],[homeScore]]))</f>
        <v>N/A</v>
      </c>
      <c r="AF1046" s="58" t="b">
        <f>NOT(AND(ISBLANK(Fixtures[[#This Row],[homePens]]), ISBLANK(Fixtures[[#This Row],[awayPens]])))</f>
        <v>0</v>
      </c>
      <c r="AG1046" s="58" t="str">
        <f>IF(Fixtures[[#This Row],[penalties]], IF(Fixtures[[#This Row],[userSide]]="H", Fixtures[[#This Row],[homePens]], Fixtures[[#This Row],[awayPens]]), "N/A")</f>
        <v>N/A</v>
      </c>
      <c r="AH1046" s="58" t="str">
        <f>IF(Fixtures[[#This Row],[penalties]], IF(Fixtures[[#This Row],[userPens]]=Fixtures[[#This Row],[homePens]],Fixtures[[#This Row],[awayPens]],Fixtures[[#This Row],[homePens]]), "N/A")</f>
        <v>N/A</v>
      </c>
      <c r="AI1046" s="58" t="b">
        <f>COUNTBLANK(Fixtures[[#This Row],[G]:[MOTM]]) = 0</f>
        <v>0</v>
      </c>
      <c r="AJ1046" s="58" t="str">
        <f>IF(Fixtures[[#This Row],[APP]], Fixtures[[#This Row],[G]]+Fixtures[[#This Row],[A]], "N/A")</f>
        <v>N/A</v>
      </c>
      <c r="AK10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7" spans="1:39" ht="13">
      <c r="A1047" s="55"/>
      <c r="B1047" s="61"/>
      <c r="C1047" s="56"/>
      <c r="D1047" s="56"/>
      <c r="E1047" s="56"/>
      <c r="F1047" s="56"/>
      <c r="G1047" s="56"/>
      <c r="H1047" s="56"/>
      <c r="I1047" s="56"/>
      <c r="J1047" s="56"/>
      <c r="K1047" s="56"/>
      <c r="L1047" s="56"/>
      <c r="M1047" s="56"/>
      <c r="N1047" s="56"/>
      <c r="O1047" s="56"/>
      <c r="P1047" s="56"/>
      <c r="Q1047" s="57"/>
      <c r="R1047" s="56"/>
      <c r="S1047" s="58" t="str" cm="1">
        <f t="array" ref="S1047">_xlfn._xlws.FILTER(Competitions[compType], (Fixtures[[#This Row],[competition]] = Competitions[name]), "N/A")</f>
        <v>N/A</v>
      </c>
      <c r="T1047" s="58" t="str" cm="1">
        <f t="array" ref="T1047">_xlfn._xlws.FILTER(Competitions[exhibition], (Fixtures[[#This Row],[competition]] = Competitions[name]), "N/A")</f>
        <v>N/A</v>
      </c>
      <c r="U1047" s="58" t="str" cm="1">
        <f t="array" ref="U1047">_xlfn._xlws.FILTER(Competitions[compID], (Fixtures[[#This Row],[competition]] = Competitions[name]), "N/A")</f>
        <v>N/A</v>
      </c>
      <c r="V10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7" s="58" t="str" cm="1">
        <f t="array" ref="W10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7" s="58" t="str" cm="1">
        <f t="array" ref="X1047">_xlfn._xlws.FILTER(Teams[name], (Fixtures[[#This Row],[userTeamID]] = Teams[teamID]), "N/A")</f>
        <v>N/A</v>
      </c>
      <c r="Y1047" s="58" t="str" cm="1">
        <f t="array" ref="Y1047">_xlfn._xlws.FILTER(Teams[teamType], (Fixtures[[#This Row],[userTeamID]] = Teams[teamID]), "N/A")</f>
        <v>N/A</v>
      </c>
      <c r="Z1047" s="58" t="str" cm="1">
        <f t="array" ref="Z10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7" s="58" t="str">
        <f>IF(Fixtures[[#This Row],[userSide]] = "N/A", "N/A", IF(Fixtures[[#This Row],[userSide]] = "H", Fixtures[[#This Row],[awayTeam]], Fixtures[[#This Row],[homeTeam]]))</f>
        <v>N/A</v>
      </c>
      <c r="AB1047" s="58" t="str" cm="1">
        <f t="array" ref="AB1047">_xlfn._xlws.FILTER(Teams[teamID], Fixtures[[#This Row],[oppTeam]] = Teams[name], "N/A")</f>
        <v>N/A</v>
      </c>
      <c r="AC1047" s="58" t="str" cm="1">
        <f t="array" ref="AC1047">_xlfn._xlws.FILTER(Teams[teamType], Fixtures[[#This Row],[oppTeam]] = Teams[name], "N/A")</f>
        <v>N/A</v>
      </c>
      <c r="AD1047" s="58" t="str">
        <f>IF(ISBLANK(Fixtures[[#This Row],[date]]), "N/A", IF(Fixtures[[#This Row],[userSide]]="H", Fixtures[[#This Row],[homeScore]], Fixtures[[#This Row],[awayScore]]))</f>
        <v>N/A</v>
      </c>
      <c r="AE1047" s="58" t="str">
        <f>IF(ISBLANK(Fixtures[[#This Row],[date]]), "N/A", IF(Fixtures[[#This Row],[userScore]] = Fixtures[[#This Row],[homeScore]], Fixtures[[#This Row],[awayScore]], Fixtures[[#This Row],[homeScore]]))</f>
        <v>N/A</v>
      </c>
      <c r="AF1047" s="58" t="b">
        <f>NOT(AND(ISBLANK(Fixtures[[#This Row],[homePens]]), ISBLANK(Fixtures[[#This Row],[awayPens]])))</f>
        <v>0</v>
      </c>
      <c r="AG1047" s="58" t="str">
        <f>IF(Fixtures[[#This Row],[penalties]], IF(Fixtures[[#This Row],[userSide]]="H", Fixtures[[#This Row],[homePens]], Fixtures[[#This Row],[awayPens]]), "N/A")</f>
        <v>N/A</v>
      </c>
      <c r="AH1047" s="58" t="str">
        <f>IF(Fixtures[[#This Row],[penalties]], IF(Fixtures[[#This Row],[userPens]]=Fixtures[[#This Row],[homePens]],Fixtures[[#This Row],[awayPens]],Fixtures[[#This Row],[homePens]]), "N/A")</f>
        <v>N/A</v>
      </c>
      <c r="AI1047" s="58" t="b">
        <f>COUNTBLANK(Fixtures[[#This Row],[G]:[MOTM]]) = 0</f>
        <v>0</v>
      </c>
      <c r="AJ1047" s="58" t="str">
        <f>IF(Fixtures[[#This Row],[APP]], Fixtures[[#This Row],[G]]+Fixtures[[#This Row],[A]], "N/A")</f>
        <v>N/A</v>
      </c>
      <c r="AK10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8" spans="1:39" ht="13">
      <c r="A1048" s="55"/>
      <c r="B1048" s="61"/>
      <c r="C1048" s="56"/>
      <c r="D1048" s="56"/>
      <c r="E1048" s="56"/>
      <c r="F1048" s="56"/>
      <c r="G1048" s="56"/>
      <c r="H1048" s="56"/>
      <c r="I1048" s="56"/>
      <c r="J1048" s="56"/>
      <c r="K1048" s="56"/>
      <c r="L1048" s="56"/>
      <c r="M1048" s="56"/>
      <c r="N1048" s="56"/>
      <c r="O1048" s="56"/>
      <c r="P1048" s="56"/>
      <c r="Q1048" s="57"/>
      <c r="R1048" s="56"/>
      <c r="S1048" s="58" t="str" cm="1">
        <f t="array" ref="S1048">_xlfn._xlws.FILTER(Competitions[compType], (Fixtures[[#This Row],[competition]] = Competitions[name]), "N/A")</f>
        <v>N/A</v>
      </c>
      <c r="T1048" s="58" t="str" cm="1">
        <f t="array" ref="T1048">_xlfn._xlws.FILTER(Competitions[exhibition], (Fixtures[[#This Row],[competition]] = Competitions[name]), "N/A")</f>
        <v>N/A</v>
      </c>
      <c r="U1048" s="58" t="str" cm="1">
        <f t="array" ref="U1048">_xlfn._xlws.FILTER(Competitions[compID], (Fixtures[[#This Row],[competition]] = Competitions[name]), "N/A")</f>
        <v>N/A</v>
      </c>
      <c r="V10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8" s="58" t="str" cm="1">
        <f t="array" ref="W10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8" s="58" t="str" cm="1">
        <f t="array" ref="X1048">_xlfn._xlws.FILTER(Teams[name], (Fixtures[[#This Row],[userTeamID]] = Teams[teamID]), "N/A")</f>
        <v>N/A</v>
      </c>
      <c r="Y1048" s="58" t="str" cm="1">
        <f t="array" ref="Y1048">_xlfn._xlws.FILTER(Teams[teamType], (Fixtures[[#This Row],[userTeamID]] = Teams[teamID]), "N/A")</f>
        <v>N/A</v>
      </c>
      <c r="Z1048" s="58" t="str" cm="1">
        <f t="array" ref="Z10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8" s="58" t="str">
        <f>IF(Fixtures[[#This Row],[userSide]] = "N/A", "N/A", IF(Fixtures[[#This Row],[userSide]] = "H", Fixtures[[#This Row],[awayTeam]], Fixtures[[#This Row],[homeTeam]]))</f>
        <v>N/A</v>
      </c>
      <c r="AB1048" s="58" t="str" cm="1">
        <f t="array" ref="AB1048">_xlfn._xlws.FILTER(Teams[teamID], Fixtures[[#This Row],[oppTeam]] = Teams[name], "N/A")</f>
        <v>N/A</v>
      </c>
      <c r="AC1048" s="58" t="str" cm="1">
        <f t="array" ref="AC1048">_xlfn._xlws.FILTER(Teams[teamType], Fixtures[[#This Row],[oppTeam]] = Teams[name], "N/A")</f>
        <v>N/A</v>
      </c>
      <c r="AD1048" s="58" t="str">
        <f>IF(ISBLANK(Fixtures[[#This Row],[date]]), "N/A", IF(Fixtures[[#This Row],[userSide]]="H", Fixtures[[#This Row],[homeScore]], Fixtures[[#This Row],[awayScore]]))</f>
        <v>N/A</v>
      </c>
      <c r="AE1048" s="58" t="str">
        <f>IF(ISBLANK(Fixtures[[#This Row],[date]]), "N/A", IF(Fixtures[[#This Row],[userScore]] = Fixtures[[#This Row],[homeScore]], Fixtures[[#This Row],[awayScore]], Fixtures[[#This Row],[homeScore]]))</f>
        <v>N/A</v>
      </c>
      <c r="AF1048" s="58" t="b">
        <f>NOT(AND(ISBLANK(Fixtures[[#This Row],[homePens]]), ISBLANK(Fixtures[[#This Row],[awayPens]])))</f>
        <v>0</v>
      </c>
      <c r="AG1048" s="58" t="str">
        <f>IF(Fixtures[[#This Row],[penalties]], IF(Fixtures[[#This Row],[userSide]]="H", Fixtures[[#This Row],[homePens]], Fixtures[[#This Row],[awayPens]]), "N/A")</f>
        <v>N/A</v>
      </c>
      <c r="AH1048" s="58" t="str">
        <f>IF(Fixtures[[#This Row],[penalties]], IF(Fixtures[[#This Row],[userPens]]=Fixtures[[#This Row],[homePens]],Fixtures[[#This Row],[awayPens]],Fixtures[[#This Row],[homePens]]), "N/A")</f>
        <v>N/A</v>
      </c>
      <c r="AI1048" s="58" t="b">
        <f>COUNTBLANK(Fixtures[[#This Row],[G]:[MOTM]]) = 0</f>
        <v>0</v>
      </c>
      <c r="AJ1048" s="58" t="str">
        <f>IF(Fixtures[[#This Row],[APP]], Fixtures[[#This Row],[G]]+Fixtures[[#This Row],[A]], "N/A")</f>
        <v>N/A</v>
      </c>
      <c r="AK10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49" spans="1:39" ht="13">
      <c r="A1049" s="55"/>
      <c r="B1049" s="61"/>
      <c r="C1049" s="56"/>
      <c r="D1049" s="56"/>
      <c r="E1049" s="56"/>
      <c r="F1049" s="56"/>
      <c r="G1049" s="56"/>
      <c r="H1049" s="56"/>
      <c r="I1049" s="56"/>
      <c r="J1049" s="56"/>
      <c r="K1049" s="56"/>
      <c r="L1049" s="56"/>
      <c r="M1049" s="56"/>
      <c r="N1049" s="56"/>
      <c r="O1049" s="56"/>
      <c r="P1049" s="56"/>
      <c r="Q1049" s="57"/>
      <c r="R1049" s="56"/>
      <c r="S1049" s="58" t="str" cm="1">
        <f t="array" ref="S1049">_xlfn._xlws.FILTER(Competitions[compType], (Fixtures[[#This Row],[competition]] = Competitions[name]), "N/A")</f>
        <v>N/A</v>
      </c>
      <c r="T1049" s="58" t="str" cm="1">
        <f t="array" ref="T1049">_xlfn._xlws.FILTER(Competitions[exhibition], (Fixtures[[#This Row],[competition]] = Competitions[name]), "N/A")</f>
        <v>N/A</v>
      </c>
      <c r="U1049" s="58" t="str" cm="1">
        <f t="array" ref="U1049">_xlfn._xlws.FILTER(Competitions[compID], (Fixtures[[#This Row],[competition]] = Competitions[name]), "N/A")</f>
        <v>N/A</v>
      </c>
      <c r="V10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49" s="58" t="str" cm="1">
        <f t="array" ref="W10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49" s="58" t="str" cm="1">
        <f t="array" ref="X1049">_xlfn._xlws.FILTER(Teams[name], (Fixtures[[#This Row],[userTeamID]] = Teams[teamID]), "N/A")</f>
        <v>N/A</v>
      </c>
      <c r="Y1049" s="58" t="str" cm="1">
        <f t="array" ref="Y1049">_xlfn._xlws.FILTER(Teams[teamType], (Fixtures[[#This Row],[userTeamID]] = Teams[teamID]), "N/A")</f>
        <v>N/A</v>
      </c>
      <c r="Z1049" s="58" t="str" cm="1">
        <f t="array" ref="Z10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49" s="58" t="str">
        <f>IF(Fixtures[[#This Row],[userSide]] = "N/A", "N/A", IF(Fixtures[[#This Row],[userSide]] = "H", Fixtures[[#This Row],[awayTeam]], Fixtures[[#This Row],[homeTeam]]))</f>
        <v>N/A</v>
      </c>
      <c r="AB1049" s="58" t="str" cm="1">
        <f t="array" ref="AB1049">_xlfn._xlws.FILTER(Teams[teamID], Fixtures[[#This Row],[oppTeam]] = Teams[name], "N/A")</f>
        <v>N/A</v>
      </c>
      <c r="AC1049" s="58" t="str" cm="1">
        <f t="array" ref="AC1049">_xlfn._xlws.FILTER(Teams[teamType], Fixtures[[#This Row],[oppTeam]] = Teams[name], "N/A")</f>
        <v>N/A</v>
      </c>
      <c r="AD1049" s="58" t="str">
        <f>IF(ISBLANK(Fixtures[[#This Row],[date]]), "N/A", IF(Fixtures[[#This Row],[userSide]]="H", Fixtures[[#This Row],[homeScore]], Fixtures[[#This Row],[awayScore]]))</f>
        <v>N/A</v>
      </c>
      <c r="AE1049" s="58" t="str">
        <f>IF(ISBLANK(Fixtures[[#This Row],[date]]), "N/A", IF(Fixtures[[#This Row],[userScore]] = Fixtures[[#This Row],[homeScore]], Fixtures[[#This Row],[awayScore]], Fixtures[[#This Row],[homeScore]]))</f>
        <v>N/A</v>
      </c>
      <c r="AF1049" s="58" t="b">
        <f>NOT(AND(ISBLANK(Fixtures[[#This Row],[homePens]]), ISBLANK(Fixtures[[#This Row],[awayPens]])))</f>
        <v>0</v>
      </c>
      <c r="AG1049" s="58" t="str">
        <f>IF(Fixtures[[#This Row],[penalties]], IF(Fixtures[[#This Row],[userSide]]="H", Fixtures[[#This Row],[homePens]], Fixtures[[#This Row],[awayPens]]), "N/A")</f>
        <v>N/A</v>
      </c>
      <c r="AH1049" s="58" t="str">
        <f>IF(Fixtures[[#This Row],[penalties]], IF(Fixtures[[#This Row],[userPens]]=Fixtures[[#This Row],[homePens]],Fixtures[[#This Row],[awayPens]],Fixtures[[#This Row],[homePens]]), "N/A")</f>
        <v>N/A</v>
      </c>
      <c r="AI1049" s="58" t="b">
        <f>COUNTBLANK(Fixtures[[#This Row],[G]:[MOTM]]) = 0</f>
        <v>0</v>
      </c>
      <c r="AJ1049" s="58" t="str">
        <f>IF(Fixtures[[#This Row],[APP]], Fixtures[[#This Row],[G]]+Fixtures[[#This Row],[A]], "N/A")</f>
        <v>N/A</v>
      </c>
      <c r="AK10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0" spans="1:39" ht="13">
      <c r="A1050" s="55"/>
      <c r="B1050" s="61"/>
      <c r="C1050" s="56"/>
      <c r="D1050" s="56"/>
      <c r="E1050" s="56"/>
      <c r="F1050" s="56"/>
      <c r="G1050" s="56"/>
      <c r="H1050" s="56"/>
      <c r="I1050" s="56"/>
      <c r="J1050" s="56"/>
      <c r="K1050" s="56"/>
      <c r="L1050" s="56"/>
      <c r="M1050" s="56"/>
      <c r="N1050" s="56"/>
      <c r="O1050" s="56"/>
      <c r="P1050" s="56"/>
      <c r="Q1050" s="57"/>
      <c r="R1050" s="56"/>
      <c r="S1050" s="58" t="str" cm="1">
        <f t="array" ref="S1050">_xlfn._xlws.FILTER(Competitions[compType], (Fixtures[[#This Row],[competition]] = Competitions[name]), "N/A")</f>
        <v>N/A</v>
      </c>
      <c r="T1050" s="58" t="str" cm="1">
        <f t="array" ref="T1050">_xlfn._xlws.FILTER(Competitions[exhibition], (Fixtures[[#This Row],[competition]] = Competitions[name]), "N/A")</f>
        <v>N/A</v>
      </c>
      <c r="U1050" s="58" t="str" cm="1">
        <f t="array" ref="U1050">_xlfn._xlws.FILTER(Competitions[compID], (Fixtures[[#This Row],[competition]] = Competitions[name]), "N/A")</f>
        <v>N/A</v>
      </c>
      <c r="V10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0" s="58" t="str" cm="1">
        <f t="array" ref="W10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0" s="58" t="str" cm="1">
        <f t="array" ref="X1050">_xlfn._xlws.FILTER(Teams[name], (Fixtures[[#This Row],[userTeamID]] = Teams[teamID]), "N/A")</f>
        <v>N/A</v>
      </c>
      <c r="Y1050" s="58" t="str" cm="1">
        <f t="array" ref="Y1050">_xlfn._xlws.FILTER(Teams[teamType], (Fixtures[[#This Row],[userTeamID]] = Teams[teamID]), "N/A")</f>
        <v>N/A</v>
      </c>
      <c r="Z1050" s="58" t="str" cm="1">
        <f t="array" ref="Z10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0" s="58" t="str">
        <f>IF(Fixtures[[#This Row],[userSide]] = "N/A", "N/A", IF(Fixtures[[#This Row],[userSide]] = "H", Fixtures[[#This Row],[awayTeam]], Fixtures[[#This Row],[homeTeam]]))</f>
        <v>N/A</v>
      </c>
      <c r="AB1050" s="58" t="str" cm="1">
        <f t="array" ref="AB1050">_xlfn._xlws.FILTER(Teams[teamID], Fixtures[[#This Row],[oppTeam]] = Teams[name], "N/A")</f>
        <v>N/A</v>
      </c>
      <c r="AC1050" s="58" t="str" cm="1">
        <f t="array" ref="AC1050">_xlfn._xlws.FILTER(Teams[teamType], Fixtures[[#This Row],[oppTeam]] = Teams[name], "N/A")</f>
        <v>N/A</v>
      </c>
      <c r="AD1050" s="58" t="str">
        <f>IF(ISBLANK(Fixtures[[#This Row],[date]]), "N/A", IF(Fixtures[[#This Row],[userSide]]="H", Fixtures[[#This Row],[homeScore]], Fixtures[[#This Row],[awayScore]]))</f>
        <v>N/A</v>
      </c>
      <c r="AE1050" s="58" t="str">
        <f>IF(ISBLANK(Fixtures[[#This Row],[date]]), "N/A", IF(Fixtures[[#This Row],[userScore]] = Fixtures[[#This Row],[homeScore]], Fixtures[[#This Row],[awayScore]], Fixtures[[#This Row],[homeScore]]))</f>
        <v>N/A</v>
      </c>
      <c r="AF1050" s="58" t="b">
        <f>NOT(AND(ISBLANK(Fixtures[[#This Row],[homePens]]), ISBLANK(Fixtures[[#This Row],[awayPens]])))</f>
        <v>0</v>
      </c>
      <c r="AG1050" s="58" t="str">
        <f>IF(Fixtures[[#This Row],[penalties]], IF(Fixtures[[#This Row],[userSide]]="H", Fixtures[[#This Row],[homePens]], Fixtures[[#This Row],[awayPens]]), "N/A")</f>
        <v>N/A</v>
      </c>
      <c r="AH1050" s="58" t="str">
        <f>IF(Fixtures[[#This Row],[penalties]], IF(Fixtures[[#This Row],[userPens]]=Fixtures[[#This Row],[homePens]],Fixtures[[#This Row],[awayPens]],Fixtures[[#This Row],[homePens]]), "N/A")</f>
        <v>N/A</v>
      </c>
      <c r="AI1050" s="58" t="b">
        <f>COUNTBLANK(Fixtures[[#This Row],[G]:[MOTM]]) = 0</f>
        <v>0</v>
      </c>
      <c r="AJ1050" s="58" t="str">
        <f>IF(Fixtures[[#This Row],[APP]], Fixtures[[#This Row],[G]]+Fixtures[[#This Row],[A]], "N/A")</f>
        <v>N/A</v>
      </c>
      <c r="AK10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1" spans="1:39" ht="13">
      <c r="A1051" s="55"/>
      <c r="B1051" s="61"/>
      <c r="C1051" s="56"/>
      <c r="D1051" s="56"/>
      <c r="E1051" s="56"/>
      <c r="F1051" s="56"/>
      <c r="G1051" s="56"/>
      <c r="H1051" s="56"/>
      <c r="I1051" s="56"/>
      <c r="J1051" s="56"/>
      <c r="K1051" s="56"/>
      <c r="L1051" s="56"/>
      <c r="M1051" s="56"/>
      <c r="N1051" s="56"/>
      <c r="O1051" s="56"/>
      <c r="P1051" s="56"/>
      <c r="Q1051" s="57"/>
      <c r="R1051" s="56"/>
      <c r="S1051" s="58" t="str" cm="1">
        <f t="array" ref="S1051">_xlfn._xlws.FILTER(Competitions[compType], (Fixtures[[#This Row],[competition]] = Competitions[name]), "N/A")</f>
        <v>N/A</v>
      </c>
      <c r="T1051" s="58" t="str" cm="1">
        <f t="array" ref="T1051">_xlfn._xlws.FILTER(Competitions[exhibition], (Fixtures[[#This Row],[competition]] = Competitions[name]), "N/A")</f>
        <v>N/A</v>
      </c>
      <c r="U1051" s="58" t="str" cm="1">
        <f t="array" ref="U1051">_xlfn._xlws.FILTER(Competitions[compID], (Fixtures[[#This Row],[competition]] = Competitions[name]), "N/A")</f>
        <v>N/A</v>
      </c>
      <c r="V10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1" s="58" t="str" cm="1">
        <f t="array" ref="W10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1" s="58" t="str" cm="1">
        <f t="array" ref="X1051">_xlfn._xlws.FILTER(Teams[name], (Fixtures[[#This Row],[userTeamID]] = Teams[teamID]), "N/A")</f>
        <v>N/A</v>
      </c>
      <c r="Y1051" s="58" t="str" cm="1">
        <f t="array" ref="Y1051">_xlfn._xlws.FILTER(Teams[teamType], (Fixtures[[#This Row],[userTeamID]] = Teams[teamID]), "N/A")</f>
        <v>N/A</v>
      </c>
      <c r="Z1051" s="58" t="str" cm="1">
        <f t="array" ref="Z10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1" s="58" t="str">
        <f>IF(Fixtures[[#This Row],[userSide]] = "N/A", "N/A", IF(Fixtures[[#This Row],[userSide]] = "H", Fixtures[[#This Row],[awayTeam]], Fixtures[[#This Row],[homeTeam]]))</f>
        <v>N/A</v>
      </c>
      <c r="AB1051" s="58" t="str" cm="1">
        <f t="array" ref="AB1051">_xlfn._xlws.FILTER(Teams[teamID], Fixtures[[#This Row],[oppTeam]] = Teams[name], "N/A")</f>
        <v>N/A</v>
      </c>
      <c r="AC1051" s="58" t="str" cm="1">
        <f t="array" ref="AC1051">_xlfn._xlws.FILTER(Teams[teamType], Fixtures[[#This Row],[oppTeam]] = Teams[name], "N/A")</f>
        <v>N/A</v>
      </c>
      <c r="AD1051" s="58" t="str">
        <f>IF(ISBLANK(Fixtures[[#This Row],[date]]), "N/A", IF(Fixtures[[#This Row],[userSide]]="H", Fixtures[[#This Row],[homeScore]], Fixtures[[#This Row],[awayScore]]))</f>
        <v>N/A</v>
      </c>
      <c r="AE1051" s="58" t="str">
        <f>IF(ISBLANK(Fixtures[[#This Row],[date]]), "N/A", IF(Fixtures[[#This Row],[userScore]] = Fixtures[[#This Row],[homeScore]], Fixtures[[#This Row],[awayScore]], Fixtures[[#This Row],[homeScore]]))</f>
        <v>N/A</v>
      </c>
      <c r="AF1051" s="58" t="b">
        <f>NOT(AND(ISBLANK(Fixtures[[#This Row],[homePens]]), ISBLANK(Fixtures[[#This Row],[awayPens]])))</f>
        <v>0</v>
      </c>
      <c r="AG1051" s="58" t="str">
        <f>IF(Fixtures[[#This Row],[penalties]], IF(Fixtures[[#This Row],[userSide]]="H", Fixtures[[#This Row],[homePens]], Fixtures[[#This Row],[awayPens]]), "N/A")</f>
        <v>N/A</v>
      </c>
      <c r="AH1051" s="58" t="str">
        <f>IF(Fixtures[[#This Row],[penalties]], IF(Fixtures[[#This Row],[userPens]]=Fixtures[[#This Row],[homePens]],Fixtures[[#This Row],[awayPens]],Fixtures[[#This Row],[homePens]]), "N/A")</f>
        <v>N/A</v>
      </c>
      <c r="AI1051" s="58" t="b">
        <f>COUNTBLANK(Fixtures[[#This Row],[G]:[MOTM]]) = 0</f>
        <v>0</v>
      </c>
      <c r="AJ1051" s="58" t="str">
        <f>IF(Fixtures[[#This Row],[APP]], Fixtures[[#This Row],[G]]+Fixtures[[#This Row],[A]], "N/A")</f>
        <v>N/A</v>
      </c>
      <c r="AK10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2" spans="1:39" ht="13">
      <c r="A1052" s="55"/>
      <c r="B1052" s="61"/>
      <c r="C1052" s="56"/>
      <c r="D1052" s="56"/>
      <c r="E1052" s="56"/>
      <c r="F1052" s="56"/>
      <c r="G1052" s="56"/>
      <c r="H1052" s="56"/>
      <c r="I1052" s="56"/>
      <c r="J1052" s="56"/>
      <c r="K1052" s="56"/>
      <c r="L1052" s="56"/>
      <c r="M1052" s="56"/>
      <c r="N1052" s="56"/>
      <c r="O1052" s="56"/>
      <c r="P1052" s="56"/>
      <c r="Q1052" s="57"/>
      <c r="R1052" s="56"/>
      <c r="S1052" s="58" t="str" cm="1">
        <f t="array" ref="S1052">_xlfn._xlws.FILTER(Competitions[compType], (Fixtures[[#This Row],[competition]] = Competitions[name]), "N/A")</f>
        <v>N/A</v>
      </c>
      <c r="T1052" s="58" t="str" cm="1">
        <f t="array" ref="T1052">_xlfn._xlws.FILTER(Competitions[exhibition], (Fixtures[[#This Row],[competition]] = Competitions[name]), "N/A")</f>
        <v>N/A</v>
      </c>
      <c r="U1052" s="58" t="str" cm="1">
        <f t="array" ref="U1052">_xlfn._xlws.FILTER(Competitions[compID], (Fixtures[[#This Row],[competition]] = Competitions[name]), "N/A")</f>
        <v>N/A</v>
      </c>
      <c r="V10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2" s="58" t="str" cm="1">
        <f t="array" ref="W10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2" s="58" t="str" cm="1">
        <f t="array" ref="X1052">_xlfn._xlws.FILTER(Teams[name], (Fixtures[[#This Row],[userTeamID]] = Teams[teamID]), "N/A")</f>
        <v>N/A</v>
      </c>
      <c r="Y1052" s="58" t="str" cm="1">
        <f t="array" ref="Y1052">_xlfn._xlws.FILTER(Teams[teamType], (Fixtures[[#This Row],[userTeamID]] = Teams[teamID]), "N/A")</f>
        <v>N/A</v>
      </c>
      <c r="Z1052" s="58" t="str" cm="1">
        <f t="array" ref="Z10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2" s="58" t="str">
        <f>IF(Fixtures[[#This Row],[userSide]] = "N/A", "N/A", IF(Fixtures[[#This Row],[userSide]] = "H", Fixtures[[#This Row],[awayTeam]], Fixtures[[#This Row],[homeTeam]]))</f>
        <v>N/A</v>
      </c>
      <c r="AB1052" s="58" t="str" cm="1">
        <f t="array" ref="AB1052">_xlfn._xlws.FILTER(Teams[teamID], Fixtures[[#This Row],[oppTeam]] = Teams[name], "N/A")</f>
        <v>N/A</v>
      </c>
      <c r="AC1052" s="58" t="str" cm="1">
        <f t="array" ref="AC1052">_xlfn._xlws.FILTER(Teams[teamType], Fixtures[[#This Row],[oppTeam]] = Teams[name], "N/A")</f>
        <v>N/A</v>
      </c>
      <c r="AD1052" s="58" t="str">
        <f>IF(ISBLANK(Fixtures[[#This Row],[date]]), "N/A", IF(Fixtures[[#This Row],[userSide]]="H", Fixtures[[#This Row],[homeScore]], Fixtures[[#This Row],[awayScore]]))</f>
        <v>N/A</v>
      </c>
      <c r="AE1052" s="58" t="str">
        <f>IF(ISBLANK(Fixtures[[#This Row],[date]]), "N/A", IF(Fixtures[[#This Row],[userScore]] = Fixtures[[#This Row],[homeScore]], Fixtures[[#This Row],[awayScore]], Fixtures[[#This Row],[homeScore]]))</f>
        <v>N/A</v>
      </c>
      <c r="AF1052" s="58" t="b">
        <f>NOT(AND(ISBLANK(Fixtures[[#This Row],[homePens]]), ISBLANK(Fixtures[[#This Row],[awayPens]])))</f>
        <v>0</v>
      </c>
      <c r="AG1052" s="58" t="str">
        <f>IF(Fixtures[[#This Row],[penalties]], IF(Fixtures[[#This Row],[userSide]]="H", Fixtures[[#This Row],[homePens]], Fixtures[[#This Row],[awayPens]]), "N/A")</f>
        <v>N/A</v>
      </c>
      <c r="AH1052" s="58" t="str">
        <f>IF(Fixtures[[#This Row],[penalties]], IF(Fixtures[[#This Row],[userPens]]=Fixtures[[#This Row],[homePens]],Fixtures[[#This Row],[awayPens]],Fixtures[[#This Row],[homePens]]), "N/A")</f>
        <v>N/A</v>
      </c>
      <c r="AI1052" s="58" t="b">
        <f>COUNTBLANK(Fixtures[[#This Row],[G]:[MOTM]]) = 0</f>
        <v>0</v>
      </c>
      <c r="AJ1052" s="58" t="str">
        <f>IF(Fixtures[[#This Row],[APP]], Fixtures[[#This Row],[G]]+Fixtures[[#This Row],[A]], "N/A")</f>
        <v>N/A</v>
      </c>
      <c r="AK10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3" spans="1:39" ht="13">
      <c r="A1053" s="55"/>
      <c r="B1053" s="61"/>
      <c r="C1053" s="56"/>
      <c r="D1053" s="56"/>
      <c r="E1053" s="56"/>
      <c r="F1053" s="56"/>
      <c r="G1053" s="56"/>
      <c r="H1053" s="56"/>
      <c r="I1053" s="56"/>
      <c r="J1053" s="56"/>
      <c r="K1053" s="56"/>
      <c r="L1053" s="56"/>
      <c r="M1053" s="56"/>
      <c r="N1053" s="56"/>
      <c r="O1053" s="56"/>
      <c r="P1053" s="56"/>
      <c r="Q1053" s="57"/>
      <c r="R1053" s="56"/>
      <c r="S1053" s="58" t="str" cm="1">
        <f t="array" ref="S1053">_xlfn._xlws.FILTER(Competitions[compType], (Fixtures[[#This Row],[competition]] = Competitions[name]), "N/A")</f>
        <v>N/A</v>
      </c>
      <c r="T1053" s="58" t="str" cm="1">
        <f t="array" ref="T1053">_xlfn._xlws.FILTER(Competitions[exhibition], (Fixtures[[#This Row],[competition]] = Competitions[name]), "N/A")</f>
        <v>N/A</v>
      </c>
      <c r="U1053" s="58" t="str" cm="1">
        <f t="array" ref="U1053">_xlfn._xlws.FILTER(Competitions[compID], (Fixtures[[#This Row],[competition]] = Competitions[name]), "N/A")</f>
        <v>N/A</v>
      </c>
      <c r="V10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3" s="58" t="str" cm="1">
        <f t="array" ref="W10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3" s="58" t="str" cm="1">
        <f t="array" ref="X1053">_xlfn._xlws.FILTER(Teams[name], (Fixtures[[#This Row],[userTeamID]] = Teams[teamID]), "N/A")</f>
        <v>N/A</v>
      </c>
      <c r="Y1053" s="58" t="str" cm="1">
        <f t="array" ref="Y1053">_xlfn._xlws.FILTER(Teams[teamType], (Fixtures[[#This Row],[userTeamID]] = Teams[teamID]), "N/A")</f>
        <v>N/A</v>
      </c>
      <c r="Z1053" s="58" t="str" cm="1">
        <f t="array" ref="Z10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3" s="58" t="str">
        <f>IF(Fixtures[[#This Row],[userSide]] = "N/A", "N/A", IF(Fixtures[[#This Row],[userSide]] = "H", Fixtures[[#This Row],[awayTeam]], Fixtures[[#This Row],[homeTeam]]))</f>
        <v>N/A</v>
      </c>
      <c r="AB1053" s="58" t="str" cm="1">
        <f t="array" ref="AB1053">_xlfn._xlws.FILTER(Teams[teamID], Fixtures[[#This Row],[oppTeam]] = Teams[name], "N/A")</f>
        <v>N/A</v>
      </c>
      <c r="AC1053" s="58" t="str" cm="1">
        <f t="array" ref="AC1053">_xlfn._xlws.FILTER(Teams[teamType], Fixtures[[#This Row],[oppTeam]] = Teams[name], "N/A")</f>
        <v>N/A</v>
      </c>
      <c r="AD1053" s="58" t="str">
        <f>IF(ISBLANK(Fixtures[[#This Row],[date]]), "N/A", IF(Fixtures[[#This Row],[userSide]]="H", Fixtures[[#This Row],[homeScore]], Fixtures[[#This Row],[awayScore]]))</f>
        <v>N/A</v>
      </c>
      <c r="AE1053" s="58" t="str">
        <f>IF(ISBLANK(Fixtures[[#This Row],[date]]), "N/A", IF(Fixtures[[#This Row],[userScore]] = Fixtures[[#This Row],[homeScore]], Fixtures[[#This Row],[awayScore]], Fixtures[[#This Row],[homeScore]]))</f>
        <v>N/A</v>
      </c>
      <c r="AF1053" s="58" t="b">
        <f>NOT(AND(ISBLANK(Fixtures[[#This Row],[homePens]]), ISBLANK(Fixtures[[#This Row],[awayPens]])))</f>
        <v>0</v>
      </c>
      <c r="AG1053" s="58" t="str">
        <f>IF(Fixtures[[#This Row],[penalties]], IF(Fixtures[[#This Row],[userSide]]="H", Fixtures[[#This Row],[homePens]], Fixtures[[#This Row],[awayPens]]), "N/A")</f>
        <v>N/A</v>
      </c>
      <c r="AH1053" s="58" t="str">
        <f>IF(Fixtures[[#This Row],[penalties]], IF(Fixtures[[#This Row],[userPens]]=Fixtures[[#This Row],[homePens]],Fixtures[[#This Row],[awayPens]],Fixtures[[#This Row],[homePens]]), "N/A")</f>
        <v>N/A</v>
      </c>
      <c r="AI1053" s="58" t="b">
        <f>COUNTBLANK(Fixtures[[#This Row],[G]:[MOTM]]) = 0</f>
        <v>0</v>
      </c>
      <c r="AJ1053" s="58" t="str">
        <f>IF(Fixtures[[#This Row],[APP]], Fixtures[[#This Row],[G]]+Fixtures[[#This Row],[A]], "N/A")</f>
        <v>N/A</v>
      </c>
      <c r="AK10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4" spans="1:39" ht="13">
      <c r="A1054" s="55"/>
      <c r="B1054" s="61"/>
      <c r="C1054" s="56"/>
      <c r="D1054" s="56"/>
      <c r="E1054" s="56"/>
      <c r="F1054" s="56"/>
      <c r="G1054" s="56"/>
      <c r="H1054" s="56"/>
      <c r="I1054" s="56"/>
      <c r="J1054" s="56"/>
      <c r="K1054" s="56"/>
      <c r="L1054" s="56"/>
      <c r="M1054" s="56"/>
      <c r="N1054" s="56"/>
      <c r="O1054" s="56"/>
      <c r="P1054" s="56"/>
      <c r="Q1054" s="57"/>
      <c r="R1054" s="56"/>
      <c r="S1054" s="58" t="str" cm="1">
        <f t="array" ref="S1054">_xlfn._xlws.FILTER(Competitions[compType], (Fixtures[[#This Row],[competition]] = Competitions[name]), "N/A")</f>
        <v>N/A</v>
      </c>
      <c r="T1054" s="58" t="str" cm="1">
        <f t="array" ref="T1054">_xlfn._xlws.FILTER(Competitions[exhibition], (Fixtures[[#This Row],[competition]] = Competitions[name]), "N/A")</f>
        <v>N/A</v>
      </c>
      <c r="U1054" s="58" t="str" cm="1">
        <f t="array" ref="U1054">_xlfn._xlws.FILTER(Competitions[compID], (Fixtures[[#This Row],[competition]] = Competitions[name]), "N/A")</f>
        <v>N/A</v>
      </c>
      <c r="V10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4" s="58" t="str" cm="1">
        <f t="array" ref="W10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4" s="58" t="str" cm="1">
        <f t="array" ref="X1054">_xlfn._xlws.FILTER(Teams[name], (Fixtures[[#This Row],[userTeamID]] = Teams[teamID]), "N/A")</f>
        <v>N/A</v>
      </c>
      <c r="Y1054" s="58" t="str" cm="1">
        <f t="array" ref="Y1054">_xlfn._xlws.FILTER(Teams[teamType], (Fixtures[[#This Row],[userTeamID]] = Teams[teamID]), "N/A")</f>
        <v>N/A</v>
      </c>
      <c r="Z1054" s="58" t="str" cm="1">
        <f t="array" ref="Z10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4" s="58" t="str">
        <f>IF(Fixtures[[#This Row],[userSide]] = "N/A", "N/A", IF(Fixtures[[#This Row],[userSide]] = "H", Fixtures[[#This Row],[awayTeam]], Fixtures[[#This Row],[homeTeam]]))</f>
        <v>N/A</v>
      </c>
      <c r="AB1054" s="58" t="str" cm="1">
        <f t="array" ref="AB1054">_xlfn._xlws.FILTER(Teams[teamID], Fixtures[[#This Row],[oppTeam]] = Teams[name], "N/A")</f>
        <v>N/A</v>
      </c>
      <c r="AC1054" s="58" t="str" cm="1">
        <f t="array" ref="AC1054">_xlfn._xlws.FILTER(Teams[teamType], Fixtures[[#This Row],[oppTeam]] = Teams[name], "N/A")</f>
        <v>N/A</v>
      </c>
      <c r="AD1054" s="58" t="str">
        <f>IF(ISBLANK(Fixtures[[#This Row],[date]]), "N/A", IF(Fixtures[[#This Row],[userSide]]="H", Fixtures[[#This Row],[homeScore]], Fixtures[[#This Row],[awayScore]]))</f>
        <v>N/A</v>
      </c>
      <c r="AE1054" s="58" t="str">
        <f>IF(ISBLANK(Fixtures[[#This Row],[date]]), "N/A", IF(Fixtures[[#This Row],[userScore]] = Fixtures[[#This Row],[homeScore]], Fixtures[[#This Row],[awayScore]], Fixtures[[#This Row],[homeScore]]))</f>
        <v>N/A</v>
      </c>
      <c r="AF1054" s="58" t="b">
        <f>NOT(AND(ISBLANK(Fixtures[[#This Row],[homePens]]), ISBLANK(Fixtures[[#This Row],[awayPens]])))</f>
        <v>0</v>
      </c>
      <c r="AG1054" s="58" t="str">
        <f>IF(Fixtures[[#This Row],[penalties]], IF(Fixtures[[#This Row],[userSide]]="H", Fixtures[[#This Row],[homePens]], Fixtures[[#This Row],[awayPens]]), "N/A")</f>
        <v>N/A</v>
      </c>
      <c r="AH1054" s="58" t="str">
        <f>IF(Fixtures[[#This Row],[penalties]], IF(Fixtures[[#This Row],[userPens]]=Fixtures[[#This Row],[homePens]],Fixtures[[#This Row],[awayPens]],Fixtures[[#This Row],[homePens]]), "N/A")</f>
        <v>N/A</v>
      </c>
      <c r="AI1054" s="58" t="b">
        <f>COUNTBLANK(Fixtures[[#This Row],[G]:[MOTM]]) = 0</f>
        <v>0</v>
      </c>
      <c r="AJ1054" s="58" t="str">
        <f>IF(Fixtures[[#This Row],[APP]], Fixtures[[#This Row],[G]]+Fixtures[[#This Row],[A]], "N/A")</f>
        <v>N/A</v>
      </c>
      <c r="AK10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5" spans="1:39" ht="13">
      <c r="A1055" s="55"/>
      <c r="B1055" s="61"/>
      <c r="C1055" s="56"/>
      <c r="D1055" s="56"/>
      <c r="E1055" s="56"/>
      <c r="F1055" s="56"/>
      <c r="G1055" s="56"/>
      <c r="H1055" s="56"/>
      <c r="I1055" s="56"/>
      <c r="J1055" s="56"/>
      <c r="K1055" s="56"/>
      <c r="L1055" s="56"/>
      <c r="M1055" s="56"/>
      <c r="N1055" s="56"/>
      <c r="O1055" s="56"/>
      <c r="P1055" s="56"/>
      <c r="Q1055" s="57"/>
      <c r="R1055" s="56"/>
      <c r="S1055" s="58" t="str" cm="1">
        <f t="array" ref="S1055">_xlfn._xlws.FILTER(Competitions[compType], (Fixtures[[#This Row],[competition]] = Competitions[name]), "N/A")</f>
        <v>N/A</v>
      </c>
      <c r="T1055" s="58" t="str" cm="1">
        <f t="array" ref="T1055">_xlfn._xlws.FILTER(Competitions[exhibition], (Fixtures[[#This Row],[competition]] = Competitions[name]), "N/A")</f>
        <v>N/A</v>
      </c>
      <c r="U1055" s="58" t="str" cm="1">
        <f t="array" ref="U1055">_xlfn._xlws.FILTER(Competitions[compID], (Fixtures[[#This Row],[competition]] = Competitions[name]), "N/A")</f>
        <v>N/A</v>
      </c>
      <c r="V10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5" s="58" t="str" cm="1">
        <f t="array" ref="W10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5" s="58" t="str" cm="1">
        <f t="array" ref="X1055">_xlfn._xlws.FILTER(Teams[name], (Fixtures[[#This Row],[userTeamID]] = Teams[teamID]), "N/A")</f>
        <v>N/A</v>
      </c>
      <c r="Y1055" s="58" t="str" cm="1">
        <f t="array" ref="Y1055">_xlfn._xlws.FILTER(Teams[teamType], (Fixtures[[#This Row],[userTeamID]] = Teams[teamID]), "N/A")</f>
        <v>N/A</v>
      </c>
      <c r="Z1055" s="58" t="str" cm="1">
        <f t="array" ref="Z10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5" s="58" t="str">
        <f>IF(Fixtures[[#This Row],[userSide]] = "N/A", "N/A", IF(Fixtures[[#This Row],[userSide]] = "H", Fixtures[[#This Row],[awayTeam]], Fixtures[[#This Row],[homeTeam]]))</f>
        <v>N/A</v>
      </c>
      <c r="AB1055" s="58" t="str" cm="1">
        <f t="array" ref="AB1055">_xlfn._xlws.FILTER(Teams[teamID], Fixtures[[#This Row],[oppTeam]] = Teams[name], "N/A")</f>
        <v>N/A</v>
      </c>
      <c r="AC1055" s="58" t="str" cm="1">
        <f t="array" ref="AC1055">_xlfn._xlws.FILTER(Teams[teamType], Fixtures[[#This Row],[oppTeam]] = Teams[name], "N/A")</f>
        <v>N/A</v>
      </c>
      <c r="AD1055" s="58" t="str">
        <f>IF(ISBLANK(Fixtures[[#This Row],[date]]), "N/A", IF(Fixtures[[#This Row],[userSide]]="H", Fixtures[[#This Row],[homeScore]], Fixtures[[#This Row],[awayScore]]))</f>
        <v>N/A</v>
      </c>
      <c r="AE1055" s="58" t="str">
        <f>IF(ISBLANK(Fixtures[[#This Row],[date]]), "N/A", IF(Fixtures[[#This Row],[userScore]] = Fixtures[[#This Row],[homeScore]], Fixtures[[#This Row],[awayScore]], Fixtures[[#This Row],[homeScore]]))</f>
        <v>N/A</v>
      </c>
      <c r="AF1055" s="58" t="b">
        <f>NOT(AND(ISBLANK(Fixtures[[#This Row],[homePens]]), ISBLANK(Fixtures[[#This Row],[awayPens]])))</f>
        <v>0</v>
      </c>
      <c r="AG1055" s="58" t="str">
        <f>IF(Fixtures[[#This Row],[penalties]], IF(Fixtures[[#This Row],[userSide]]="H", Fixtures[[#This Row],[homePens]], Fixtures[[#This Row],[awayPens]]), "N/A")</f>
        <v>N/A</v>
      </c>
      <c r="AH1055" s="58" t="str">
        <f>IF(Fixtures[[#This Row],[penalties]], IF(Fixtures[[#This Row],[userPens]]=Fixtures[[#This Row],[homePens]],Fixtures[[#This Row],[awayPens]],Fixtures[[#This Row],[homePens]]), "N/A")</f>
        <v>N/A</v>
      </c>
      <c r="AI1055" s="58" t="b">
        <f>COUNTBLANK(Fixtures[[#This Row],[G]:[MOTM]]) = 0</f>
        <v>0</v>
      </c>
      <c r="AJ1055" s="58" t="str">
        <f>IF(Fixtures[[#This Row],[APP]], Fixtures[[#This Row],[G]]+Fixtures[[#This Row],[A]], "N/A")</f>
        <v>N/A</v>
      </c>
      <c r="AK10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6" spans="1:39" ht="13">
      <c r="A1056" s="55"/>
      <c r="B1056" s="61"/>
      <c r="C1056" s="56"/>
      <c r="D1056" s="56"/>
      <c r="E1056" s="56"/>
      <c r="F1056" s="56"/>
      <c r="G1056" s="56"/>
      <c r="H1056" s="56"/>
      <c r="I1056" s="56"/>
      <c r="J1056" s="56"/>
      <c r="K1056" s="56"/>
      <c r="L1056" s="56"/>
      <c r="M1056" s="56"/>
      <c r="N1056" s="56"/>
      <c r="O1056" s="56"/>
      <c r="P1056" s="56"/>
      <c r="Q1056" s="57"/>
      <c r="R1056" s="56"/>
      <c r="S1056" s="58" t="str" cm="1">
        <f t="array" ref="S1056">_xlfn._xlws.FILTER(Competitions[compType], (Fixtures[[#This Row],[competition]] = Competitions[name]), "N/A")</f>
        <v>N/A</v>
      </c>
      <c r="T1056" s="58" t="str" cm="1">
        <f t="array" ref="T1056">_xlfn._xlws.FILTER(Competitions[exhibition], (Fixtures[[#This Row],[competition]] = Competitions[name]), "N/A")</f>
        <v>N/A</v>
      </c>
      <c r="U1056" s="58" t="str" cm="1">
        <f t="array" ref="U1056">_xlfn._xlws.FILTER(Competitions[compID], (Fixtures[[#This Row],[competition]] = Competitions[name]), "N/A")</f>
        <v>N/A</v>
      </c>
      <c r="V10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6" s="58" t="str" cm="1">
        <f t="array" ref="W10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6" s="58" t="str" cm="1">
        <f t="array" ref="X1056">_xlfn._xlws.FILTER(Teams[name], (Fixtures[[#This Row],[userTeamID]] = Teams[teamID]), "N/A")</f>
        <v>N/A</v>
      </c>
      <c r="Y1056" s="58" t="str" cm="1">
        <f t="array" ref="Y1056">_xlfn._xlws.FILTER(Teams[teamType], (Fixtures[[#This Row],[userTeamID]] = Teams[teamID]), "N/A")</f>
        <v>N/A</v>
      </c>
      <c r="Z1056" s="58" t="str" cm="1">
        <f t="array" ref="Z10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6" s="58" t="str">
        <f>IF(Fixtures[[#This Row],[userSide]] = "N/A", "N/A", IF(Fixtures[[#This Row],[userSide]] = "H", Fixtures[[#This Row],[awayTeam]], Fixtures[[#This Row],[homeTeam]]))</f>
        <v>N/A</v>
      </c>
      <c r="AB1056" s="58" t="str" cm="1">
        <f t="array" ref="AB1056">_xlfn._xlws.FILTER(Teams[teamID], Fixtures[[#This Row],[oppTeam]] = Teams[name], "N/A")</f>
        <v>N/A</v>
      </c>
      <c r="AC1056" s="58" t="str" cm="1">
        <f t="array" ref="AC1056">_xlfn._xlws.FILTER(Teams[teamType], Fixtures[[#This Row],[oppTeam]] = Teams[name], "N/A")</f>
        <v>N/A</v>
      </c>
      <c r="AD1056" s="58" t="str">
        <f>IF(ISBLANK(Fixtures[[#This Row],[date]]), "N/A", IF(Fixtures[[#This Row],[userSide]]="H", Fixtures[[#This Row],[homeScore]], Fixtures[[#This Row],[awayScore]]))</f>
        <v>N/A</v>
      </c>
      <c r="AE1056" s="58" t="str">
        <f>IF(ISBLANK(Fixtures[[#This Row],[date]]), "N/A", IF(Fixtures[[#This Row],[userScore]] = Fixtures[[#This Row],[homeScore]], Fixtures[[#This Row],[awayScore]], Fixtures[[#This Row],[homeScore]]))</f>
        <v>N/A</v>
      </c>
      <c r="AF1056" s="58" t="b">
        <f>NOT(AND(ISBLANK(Fixtures[[#This Row],[homePens]]), ISBLANK(Fixtures[[#This Row],[awayPens]])))</f>
        <v>0</v>
      </c>
      <c r="AG1056" s="58" t="str">
        <f>IF(Fixtures[[#This Row],[penalties]], IF(Fixtures[[#This Row],[userSide]]="H", Fixtures[[#This Row],[homePens]], Fixtures[[#This Row],[awayPens]]), "N/A")</f>
        <v>N/A</v>
      </c>
      <c r="AH1056" s="58" t="str">
        <f>IF(Fixtures[[#This Row],[penalties]], IF(Fixtures[[#This Row],[userPens]]=Fixtures[[#This Row],[homePens]],Fixtures[[#This Row],[awayPens]],Fixtures[[#This Row],[homePens]]), "N/A")</f>
        <v>N/A</v>
      </c>
      <c r="AI1056" s="58" t="b">
        <f>COUNTBLANK(Fixtures[[#This Row],[G]:[MOTM]]) = 0</f>
        <v>0</v>
      </c>
      <c r="AJ1056" s="58" t="str">
        <f>IF(Fixtures[[#This Row],[APP]], Fixtures[[#This Row],[G]]+Fixtures[[#This Row],[A]], "N/A")</f>
        <v>N/A</v>
      </c>
      <c r="AK10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7" spans="1:39" ht="13">
      <c r="A1057" s="55"/>
      <c r="B1057" s="61"/>
      <c r="C1057" s="56"/>
      <c r="D1057" s="56"/>
      <c r="E1057" s="56"/>
      <c r="F1057" s="56"/>
      <c r="G1057" s="56"/>
      <c r="H1057" s="56"/>
      <c r="I1057" s="56"/>
      <c r="J1057" s="56"/>
      <c r="K1057" s="56"/>
      <c r="L1057" s="56"/>
      <c r="M1057" s="56"/>
      <c r="N1057" s="56"/>
      <c r="O1057" s="56"/>
      <c r="P1057" s="56"/>
      <c r="Q1057" s="57"/>
      <c r="R1057" s="56"/>
      <c r="S1057" s="58" t="str" cm="1">
        <f t="array" ref="S1057">_xlfn._xlws.FILTER(Competitions[compType], (Fixtures[[#This Row],[competition]] = Competitions[name]), "N/A")</f>
        <v>N/A</v>
      </c>
      <c r="T1057" s="58" t="str" cm="1">
        <f t="array" ref="T1057">_xlfn._xlws.FILTER(Competitions[exhibition], (Fixtures[[#This Row],[competition]] = Competitions[name]), "N/A")</f>
        <v>N/A</v>
      </c>
      <c r="U1057" s="58" t="str" cm="1">
        <f t="array" ref="U1057">_xlfn._xlws.FILTER(Competitions[compID], (Fixtures[[#This Row],[competition]] = Competitions[name]), "N/A")</f>
        <v>N/A</v>
      </c>
      <c r="V10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7" s="58" t="str" cm="1">
        <f t="array" ref="W10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7" s="58" t="str" cm="1">
        <f t="array" ref="X1057">_xlfn._xlws.FILTER(Teams[name], (Fixtures[[#This Row],[userTeamID]] = Teams[teamID]), "N/A")</f>
        <v>N/A</v>
      </c>
      <c r="Y1057" s="58" t="str" cm="1">
        <f t="array" ref="Y1057">_xlfn._xlws.FILTER(Teams[teamType], (Fixtures[[#This Row],[userTeamID]] = Teams[teamID]), "N/A")</f>
        <v>N/A</v>
      </c>
      <c r="Z1057" s="58" t="str" cm="1">
        <f t="array" ref="Z10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7" s="58" t="str">
        <f>IF(Fixtures[[#This Row],[userSide]] = "N/A", "N/A", IF(Fixtures[[#This Row],[userSide]] = "H", Fixtures[[#This Row],[awayTeam]], Fixtures[[#This Row],[homeTeam]]))</f>
        <v>N/A</v>
      </c>
      <c r="AB1057" s="58" t="str" cm="1">
        <f t="array" ref="AB1057">_xlfn._xlws.FILTER(Teams[teamID], Fixtures[[#This Row],[oppTeam]] = Teams[name], "N/A")</f>
        <v>N/A</v>
      </c>
      <c r="AC1057" s="58" t="str" cm="1">
        <f t="array" ref="AC1057">_xlfn._xlws.FILTER(Teams[teamType], Fixtures[[#This Row],[oppTeam]] = Teams[name], "N/A")</f>
        <v>N/A</v>
      </c>
      <c r="AD1057" s="58" t="str">
        <f>IF(ISBLANK(Fixtures[[#This Row],[date]]), "N/A", IF(Fixtures[[#This Row],[userSide]]="H", Fixtures[[#This Row],[homeScore]], Fixtures[[#This Row],[awayScore]]))</f>
        <v>N/A</v>
      </c>
      <c r="AE1057" s="58" t="str">
        <f>IF(ISBLANK(Fixtures[[#This Row],[date]]), "N/A", IF(Fixtures[[#This Row],[userScore]] = Fixtures[[#This Row],[homeScore]], Fixtures[[#This Row],[awayScore]], Fixtures[[#This Row],[homeScore]]))</f>
        <v>N/A</v>
      </c>
      <c r="AF1057" s="58" t="b">
        <f>NOT(AND(ISBLANK(Fixtures[[#This Row],[homePens]]), ISBLANK(Fixtures[[#This Row],[awayPens]])))</f>
        <v>0</v>
      </c>
      <c r="AG1057" s="58" t="str">
        <f>IF(Fixtures[[#This Row],[penalties]], IF(Fixtures[[#This Row],[userSide]]="H", Fixtures[[#This Row],[homePens]], Fixtures[[#This Row],[awayPens]]), "N/A")</f>
        <v>N/A</v>
      </c>
      <c r="AH1057" s="58" t="str">
        <f>IF(Fixtures[[#This Row],[penalties]], IF(Fixtures[[#This Row],[userPens]]=Fixtures[[#This Row],[homePens]],Fixtures[[#This Row],[awayPens]],Fixtures[[#This Row],[homePens]]), "N/A")</f>
        <v>N/A</v>
      </c>
      <c r="AI1057" s="58" t="b">
        <f>COUNTBLANK(Fixtures[[#This Row],[G]:[MOTM]]) = 0</f>
        <v>0</v>
      </c>
      <c r="AJ1057" s="58" t="str">
        <f>IF(Fixtures[[#This Row],[APP]], Fixtures[[#This Row],[G]]+Fixtures[[#This Row],[A]], "N/A")</f>
        <v>N/A</v>
      </c>
      <c r="AK10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8" spans="1:39" ht="13">
      <c r="A1058" s="55"/>
      <c r="B1058" s="61"/>
      <c r="C1058" s="56"/>
      <c r="D1058" s="56"/>
      <c r="E1058" s="56"/>
      <c r="F1058" s="56"/>
      <c r="G1058" s="56"/>
      <c r="H1058" s="56"/>
      <c r="I1058" s="56"/>
      <c r="J1058" s="56"/>
      <c r="K1058" s="56"/>
      <c r="L1058" s="56"/>
      <c r="M1058" s="56"/>
      <c r="N1058" s="56"/>
      <c r="O1058" s="56"/>
      <c r="P1058" s="56"/>
      <c r="Q1058" s="57"/>
      <c r="R1058" s="56"/>
      <c r="S1058" s="58" t="str" cm="1">
        <f t="array" ref="S1058">_xlfn._xlws.FILTER(Competitions[compType], (Fixtures[[#This Row],[competition]] = Competitions[name]), "N/A")</f>
        <v>N/A</v>
      </c>
      <c r="T1058" s="58" t="str" cm="1">
        <f t="array" ref="T1058">_xlfn._xlws.FILTER(Competitions[exhibition], (Fixtures[[#This Row],[competition]] = Competitions[name]), "N/A")</f>
        <v>N/A</v>
      </c>
      <c r="U1058" s="58" t="str" cm="1">
        <f t="array" ref="U1058">_xlfn._xlws.FILTER(Competitions[compID], (Fixtures[[#This Row],[competition]] = Competitions[name]), "N/A")</f>
        <v>N/A</v>
      </c>
      <c r="V10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8" s="58" t="str" cm="1">
        <f t="array" ref="W10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8" s="58" t="str" cm="1">
        <f t="array" ref="X1058">_xlfn._xlws.FILTER(Teams[name], (Fixtures[[#This Row],[userTeamID]] = Teams[teamID]), "N/A")</f>
        <v>N/A</v>
      </c>
      <c r="Y1058" s="58" t="str" cm="1">
        <f t="array" ref="Y1058">_xlfn._xlws.FILTER(Teams[teamType], (Fixtures[[#This Row],[userTeamID]] = Teams[teamID]), "N/A")</f>
        <v>N/A</v>
      </c>
      <c r="Z1058" s="58" t="str" cm="1">
        <f t="array" ref="Z10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8" s="58" t="str">
        <f>IF(Fixtures[[#This Row],[userSide]] = "N/A", "N/A", IF(Fixtures[[#This Row],[userSide]] = "H", Fixtures[[#This Row],[awayTeam]], Fixtures[[#This Row],[homeTeam]]))</f>
        <v>N/A</v>
      </c>
      <c r="AB1058" s="58" t="str" cm="1">
        <f t="array" ref="AB1058">_xlfn._xlws.FILTER(Teams[teamID], Fixtures[[#This Row],[oppTeam]] = Teams[name], "N/A")</f>
        <v>N/A</v>
      </c>
      <c r="AC1058" s="58" t="str" cm="1">
        <f t="array" ref="AC1058">_xlfn._xlws.FILTER(Teams[teamType], Fixtures[[#This Row],[oppTeam]] = Teams[name], "N/A")</f>
        <v>N/A</v>
      </c>
      <c r="AD1058" s="58" t="str">
        <f>IF(ISBLANK(Fixtures[[#This Row],[date]]), "N/A", IF(Fixtures[[#This Row],[userSide]]="H", Fixtures[[#This Row],[homeScore]], Fixtures[[#This Row],[awayScore]]))</f>
        <v>N/A</v>
      </c>
      <c r="AE1058" s="58" t="str">
        <f>IF(ISBLANK(Fixtures[[#This Row],[date]]), "N/A", IF(Fixtures[[#This Row],[userScore]] = Fixtures[[#This Row],[homeScore]], Fixtures[[#This Row],[awayScore]], Fixtures[[#This Row],[homeScore]]))</f>
        <v>N/A</v>
      </c>
      <c r="AF1058" s="58" t="b">
        <f>NOT(AND(ISBLANK(Fixtures[[#This Row],[homePens]]), ISBLANK(Fixtures[[#This Row],[awayPens]])))</f>
        <v>0</v>
      </c>
      <c r="AG1058" s="58" t="str">
        <f>IF(Fixtures[[#This Row],[penalties]], IF(Fixtures[[#This Row],[userSide]]="H", Fixtures[[#This Row],[homePens]], Fixtures[[#This Row],[awayPens]]), "N/A")</f>
        <v>N/A</v>
      </c>
      <c r="AH1058" s="58" t="str">
        <f>IF(Fixtures[[#This Row],[penalties]], IF(Fixtures[[#This Row],[userPens]]=Fixtures[[#This Row],[homePens]],Fixtures[[#This Row],[awayPens]],Fixtures[[#This Row],[homePens]]), "N/A")</f>
        <v>N/A</v>
      </c>
      <c r="AI1058" s="58" t="b">
        <f>COUNTBLANK(Fixtures[[#This Row],[G]:[MOTM]]) = 0</f>
        <v>0</v>
      </c>
      <c r="AJ1058" s="58" t="str">
        <f>IF(Fixtures[[#This Row],[APP]], Fixtures[[#This Row],[G]]+Fixtures[[#This Row],[A]], "N/A")</f>
        <v>N/A</v>
      </c>
      <c r="AK10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59" spans="1:39" ht="13">
      <c r="A1059" s="55"/>
      <c r="B1059" s="61"/>
      <c r="C1059" s="56"/>
      <c r="D1059" s="56"/>
      <c r="E1059" s="56"/>
      <c r="F1059" s="56"/>
      <c r="G1059" s="56"/>
      <c r="H1059" s="56"/>
      <c r="I1059" s="56"/>
      <c r="J1059" s="56"/>
      <c r="K1059" s="56"/>
      <c r="L1059" s="56"/>
      <c r="M1059" s="56"/>
      <c r="N1059" s="56"/>
      <c r="O1059" s="56"/>
      <c r="P1059" s="56"/>
      <c r="Q1059" s="57"/>
      <c r="R1059" s="56"/>
      <c r="S1059" s="58" t="str" cm="1">
        <f t="array" ref="S1059">_xlfn._xlws.FILTER(Competitions[compType], (Fixtures[[#This Row],[competition]] = Competitions[name]), "N/A")</f>
        <v>N/A</v>
      </c>
      <c r="T1059" s="58" t="str" cm="1">
        <f t="array" ref="T1059">_xlfn._xlws.FILTER(Competitions[exhibition], (Fixtures[[#This Row],[competition]] = Competitions[name]), "N/A")</f>
        <v>N/A</v>
      </c>
      <c r="U1059" s="58" t="str" cm="1">
        <f t="array" ref="U1059">_xlfn._xlws.FILTER(Competitions[compID], (Fixtures[[#This Row],[competition]] = Competitions[name]), "N/A")</f>
        <v>N/A</v>
      </c>
      <c r="V10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59" s="58" t="str" cm="1">
        <f t="array" ref="W10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59" s="58" t="str" cm="1">
        <f t="array" ref="X1059">_xlfn._xlws.FILTER(Teams[name], (Fixtures[[#This Row],[userTeamID]] = Teams[teamID]), "N/A")</f>
        <v>N/A</v>
      </c>
      <c r="Y1059" s="58" t="str" cm="1">
        <f t="array" ref="Y1059">_xlfn._xlws.FILTER(Teams[teamType], (Fixtures[[#This Row],[userTeamID]] = Teams[teamID]), "N/A")</f>
        <v>N/A</v>
      </c>
      <c r="Z1059" s="58" t="str" cm="1">
        <f t="array" ref="Z10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59" s="58" t="str">
        <f>IF(Fixtures[[#This Row],[userSide]] = "N/A", "N/A", IF(Fixtures[[#This Row],[userSide]] = "H", Fixtures[[#This Row],[awayTeam]], Fixtures[[#This Row],[homeTeam]]))</f>
        <v>N/A</v>
      </c>
      <c r="AB1059" s="58" t="str" cm="1">
        <f t="array" ref="AB1059">_xlfn._xlws.FILTER(Teams[teamID], Fixtures[[#This Row],[oppTeam]] = Teams[name], "N/A")</f>
        <v>N/A</v>
      </c>
      <c r="AC1059" s="58" t="str" cm="1">
        <f t="array" ref="AC1059">_xlfn._xlws.FILTER(Teams[teamType], Fixtures[[#This Row],[oppTeam]] = Teams[name], "N/A")</f>
        <v>N/A</v>
      </c>
      <c r="AD1059" s="58" t="str">
        <f>IF(ISBLANK(Fixtures[[#This Row],[date]]), "N/A", IF(Fixtures[[#This Row],[userSide]]="H", Fixtures[[#This Row],[homeScore]], Fixtures[[#This Row],[awayScore]]))</f>
        <v>N/A</v>
      </c>
      <c r="AE1059" s="58" t="str">
        <f>IF(ISBLANK(Fixtures[[#This Row],[date]]), "N/A", IF(Fixtures[[#This Row],[userScore]] = Fixtures[[#This Row],[homeScore]], Fixtures[[#This Row],[awayScore]], Fixtures[[#This Row],[homeScore]]))</f>
        <v>N/A</v>
      </c>
      <c r="AF1059" s="58" t="b">
        <f>NOT(AND(ISBLANK(Fixtures[[#This Row],[homePens]]), ISBLANK(Fixtures[[#This Row],[awayPens]])))</f>
        <v>0</v>
      </c>
      <c r="AG1059" s="58" t="str">
        <f>IF(Fixtures[[#This Row],[penalties]], IF(Fixtures[[#This Row],[userSide]]="H", Fixtures[[#This Row],[homePens]], Fixtures[[#This Row],[awayPens]]), "N/A")</f>
        <v>N/A</v>
      </c>
      <c r="AH1059" s="58" t="str">
        <f>IF(Fixtures[[#This Row],[penalties]], IF(Fixtures[[#This Row],[userPens]]=Fixtures[[#This Row],[homePens]],Fixtures[[#This Row],[awayPens]],Fixtures[[#This Row],[homePens]]), "N/A")</f>
        <v>N/A</v>
      </c>
      <c r="AI1059" s="58" t="b">
        <f>COUNTBLANK(Fixtures[[#This Row],[G]:[MOTM]]) = 0</f>
        <v>0</v>
      </c>
      <c r="AJ1059" s="58" t="str">
        <f>IF(Fixtures[[#This Row],[APP]], Fixtures[[#This Row],[G]]+Fixtures[[#This Row],[A]], "N/A")</f>
        <v>N/A</v>
      </c>
      <c r="AK10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0" spans="1:39" ht="13">
      <c r="A1060" s="55"/>
      <c r="B1060" s="61"/>
      <c r="C1060" s="56"/>
      <c r="D1060" s="56"/>
      <c r="E1060" s="56"/>
      <c r="F1060" s="56"/>
      <c r="G1060" s="56"/>
      <c r="H1060" s="56"/>
      <c r="I1060" s="56"/>
      <c r="J1060" s="56"/>
      <c r="K1060" s="56"/>
      <c r="L1060" s="56"/>
      <c r="M1060" s="56"/>
      <c r="N1060" s="56"/>
      <c r="O1060" s="56"/>
      <c r="P1060" s="56"/>
      <c r="Q1060" s="57"/>
      <c r="R1060" s="56"/>
      <c r="S1060" s="58" t="str" cm="1">
        <f t="array" ref="S1060">_xlfn._xlws.FILTER(Competitions[compType], (Fixtures[[#This Row],[competition]] = Competitions[name]), "N/A")</f>
        <v>N/A</v>
      </c>
      <c r="T1060" s="58" t="str" cm="1">
        <f t="array" ref="T1060">_xlfn._xlws.FILTER(Competitions[exhibition], (Fixtures[[#This Row],[competition]] = Competitions[name]), "N/A")</f>
        <v>N/A</v>
      </c>
      <c r="U1060" s="58" t="str" cm="1">
        <f t="array" ref="U1060">_xlfn._xlws.FILTER(Competitions[compID], (Fixtures[[#This Row],[competition]] = Competitions[name]), "N/A")</f>
        <v>N/A</v>
      </c>
      <c r="V10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0" s="58" t="str" cm="1">
        <f t="array" ref="W10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0" s="58" t="str" cm="1">
        <f t="array" ref="X1060">_xlfn._xlws.FILTER(Teams[name], (Fixtures[[#This Row],[userTeamID]] = Teams[teamID]), "N/A")</f>
        <v>N/A</v>
      </c>
      <c r="Y1060" s="58" t="str" cm="1">
        <f t="array" ref="Y1060">_xlfn._xlws.FILTER(Teams[teamType], (Fixtures[[#This Row],[userTeamID]] = Teams[teamID]), "N/A")</f>
        <v>N/A</v>
      </c>
      <c r="Z1060" s="58" t="str" cm="1">
        <f t="array" ref="Z10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0" s="58" t="str">
        <f>IF(Fixtures[[#This Row],[userSide]] = "N/A", "N/A", IF(Fixtures[[#This Row],[userSide]] = "H", Fixtures[[#This Row],[awayTeam]], Fixtures[[#This Row],[homeTeam]]))</f>
        <v>N/A</v>
      </c>
      <c r="AB1060" s="58" t="str" cm="1">
        <f t="array" ref="AB1060">_xlfn._xlws.FILTER(Teams[teamID], Fixtures[[#This Row],[oppTeam]] = Teams[name], "N/A")</f>
        <v>N/A</v>
      </c>
      <c r="AC1060" s="58" t="str" cm="1">
        <f t="array" ref="AC1060">_xlfn._xlws.FILTER(Teams[teamType], Fixtures[[#This Row],[oppTeam]] = Teams[name], "N/A")</f>
        <v>N/A</v>
      </c>
      <c r="AD1060" s="58" t="str">
        <f>IF(ISBLANK(Fixtures[[#This Row],[date]]), "N/A", IF(Fixtures[[#This Row],[userSide]]="H", Fixtures[[#This Row],[homeScore]], Fixtures[[#This Row],[awayScore]]))</f>
        <v>N/A</v>
      </c>
      <c r="AE1060" s="58" t="str">
        <f>IF(ISBLANK(Fixtures[[#This Row],[date]]), "N/A", IF(Fixtures[[#This Row],[userScore]] = Fixtures[[#This Row],[homeScore]], Fixtures[[#This Row],[awayScore]], Fixtures[[#This Row],[homeScore]]))</f>
        <v>N/A</v>
      </c>
      <c r="AF1060" s="58" t="b">
        <f>NOT(AND(ISBLANK(Fixtures[[#This Row],[homePens]]), ISBLANK(Fixtures[[#This Row],[awayPens]])))</f>
        <v>0</v>
      </c>
      <c r="AG1060" s="58" t="str">
        <f>IF(Fixtures[[#This Row],[penalties]], IF(Fixtures[[#This Row],[userSide]]="H", Fixtures[[#This Row],[homePens]], Fixtures[[#This Row],[awayPens]]), "N/A")</f>
        <v>N/A</v>
      </c>
      <c r="AH1060" s="58" t="str">
        <f>IF(Fixtures[[#This Row],[penalties]], IF(Fixtures[[#This Row],[userPens]]=Fixtures[[#This Row],[homePens]],Fixtures[[#This Row],[awayPens]],Fixtures[[#This Row],[homePens]]), "N/A")</f>
        <v>N/A</v>
      </c>
      <c r="AI1060" s="58" t="b">
        <f>COUNTBLANK(Fixtures[[#This Row],[G]:[MOTM]]) = 0</f>
        <v>0</v>
      </c>
      <c r="AJ1060" s="58" t="str">
        <f>IF(Fixtures[[#This Row],[APP]], Fixtures[[#This Row],[G]]+Fixtures[[#This Row],[A]], "N/A")</f>
        <v>N/A</v>
      </c>
      <c r="AK10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1" spans="1:39" ht="13">
      <c r="A1061" s="55"/>
      <c r="B1061" s="61"/>
      <c r="C1061" s="56"/>
      <c r="D1061" s="56"/>
      <c r="E1061" s="56"/>
      <c r="F1061" s="56"/>
      <c r="G1061" s="56"/>
      <c r="H1061" s="56"/>
      <c r="I1061" s="56"/>
      <c r="J1061" s="56"/>
      <c r="K1061" s="56"/>
      <c r="L1061" s="56"/>
      <c r="M1061" s="56"/>
      <c r="N1061" s="56"/>
      <c r="O1061" s="56"/>
      <c r="P1061" s="56"/>
      <c r="Q1061" s="57"/>
      <c r="R1061" s="56"/>
      <c r="S1061" s="58" t="str" cm="1">
        <f t="array" ref="S1061">_xlfn._xlws.FILTER(Competitions[compType], (Fixtures[[#This Row],[competition]] = Competitions[name]), "N/A")</f>
        <v>N/A</v>
      </c>
      <c r="T1061" s="58" t="str" cm="1">
        <f t="array" ref="T1061">_xlfn._xlws.FILTER(Competitions[exhibition], (Fixtures[[#This Row],[competition]] = Competitions[name]), "N/A")</f>
        <v>N/A</v>
      </c>
      <c r="U1061" s="58" t="str" cm="1">
        <f t="array" ref="U1061">_xlfn._xlws.FILTER(Competitions[compID], (Fixtures[[#This Row],[competition]] = Competitions[name]), "N/A")</f>
        <v>N/A</v>
      </c>
      <c r="V10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1" s="58" t="str" cm="1">
        <f t="array" ref="W10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1" s="58" t="str" cm="1">
        <f t="array" ref="X1061">_xlfn._xlws.FILTER(Teams[name], (Fixtures[[#This Row],[userTeamID]] = Teams[teamID]), "N/A")</f>
        <v>N/A</v>
      </c>
      <c r="Y1061" s="58" t="str" cm="1">
        <f t="array" ref="Y1061">_xlfn._xlws.FILTER(Teams[teamType], (Fixtures[[#This Row],[userTeamID]] = Teams[teamID]), "N/A")</f>
        <v>N/A</v>
      </c>
      <c r="Z1061" s="58" t="str" cm="1">
        <f t="array" ref="Z10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1" s="58" t="str">
        <f>IF(Fixtures[[#This Row],[userSide]] = "N/A", "N/A", IF(Fixtures[[#This Row],[userSide]] = "H", Fixtures[[#This Row],[awayTeam]], Fixtures[[#This Row],[homeTeam]]))</f>
        <v>N/A</v>
      </c>
      <c r="AB1061" s="58" t="str" cm="1">
        <f t="array" ref="AB1061">_xlfn._xlws.FILTER(Teams[teamID], Fixtures[[#This Row],[oppTeam]] = Teams[name], "N/A")</f>
        <v>N/A</v>
      </c>
      <c r="AC1061" s="58" t="str" cm="1">
        <f t="array" ref="AC1061">_xlfn._xlws.FILTER(Teams[teamType], Fixtures[[#This Row],[oppTeam]] = Teams[name], "N/A")</f>
        <v>N/A</v>
      </c>
      <c r="AD1061" s="58" t="str">
        <f>IF(ISBLANK(Fixtures[[#This Row],[date]]), "N/A", IF(Fixtures[[#This Row],[userSide]]="H", Fixtures[[#This Row],[homeScore]], Fixtures[[#This Row],[awayScore]]))</f>
        <v>N/A</v>
      </c>
      <c r="AE1061" s="58" t="str">
        <f>IF(ISBLANK(Fixtures[[#This Row],[date]]), "N/A", IF(Fixtures[[#This Row],[userScore]] = Fixtures[[#This Row],[homeScore]], Fixtures[[#This Row],[awayScore]], Fixtures[[#This Row],[homeScore]]))</f>
        <v>N/A</v>
      </c>
      <c r="AF1061" s="58" t="b">
        <f>NOT(AND(ISBLANK(Fixtures[[#This Row],[homePens]]), ISBLANK(Fixtures[[#This Row],[awayPens]])))</f>
        <v>0</v>
      </c>
      <c r="AG1061" s="58" t="str">
        <f>IF(Fixtures[[#This Row],[penalties]], IF(Fixtures[[#This Row],[userSide]]="H", Fixtures[[#This Row],[homePens]], Fixtures[[#This Row],[awayPens]]), "N/A")</f>
        <v>N/A</v>
      </c>
      <c r="AH1061" s="58" t="str">
        <f>IF(Fixtures[[#This Row],[penalties]], IF(Fixtures[[#This Row],[userPens]]=Fixtures[[#This Row],[homePens]],Fixtures[[#This Row],[awayPens]],Fixtures[[#This Row],[homePens]]), "N/A")</f>
        <v>N/A</v>
      </c>
      <c r="AI1061" s="58" t="b">
        <f>COUNTBLANK(Fixtures[[#This Row],[G]:[MOTM]]) = 0</f>
        <v>0</v>
      </c>
      <c r="AJ1061" s="58" t="str">
        <f>IF(Fixtures[[#This Row],[APP]], Fixtures[[#This Row],[G]]+Fixtures[[#This Row],[A]], "N/A")</f>
        <v>N/A</v>
      </c>
      <c r="AK10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2" spans="1:39" ht="13">
      <c r="A1062" s="55"/>
      <c r="B1062" s="61"/>
      <c r="C1062" s="56"/>
      <c r="D1062" s="56"/>
      <c r="E1062" s="56"/>
      <c r="F1062" s="56"/>
      <c r="G1062" s="56"/>
      <c r="H1062" s="56"/>
      <c r="I1062" s="56"/>
      <c r="J1062" s="56"/>
      <c r="K1062" s="56"/>
      <c r="L1062" s="56"/>
      <c r="M1062" s="56"/>
      <c r="N1062" s="56"/>
      <c r="O1062" s="56"/>
      <c r="P1062" s="56"/>
      <c r="Q1062" s="57"/>
      <c r="R1062" s="56"/>
      <c r="S1062" s="58" t="str" cm="1">
        <f t="array" ref="S1062">_xlfn._xlws.FILTER(Competitions[compType], (Fixtures[[#This Row],[competition]] = Competitions[name]), "N/A")</f>
        <v>N/A</v>
      </c>
      <c r="T1062" s="58" t="str" cm="1">
        <f t="array" ref="T1062">_xlfn._xlws.FILTER(Competitions[exhibition], (Fixtures[[#This Row],[competition]] = Competitions[name]), "N/A")</f>
        <v>N/A</v>
      </c>
      <c r="U1062" s="58" t="str" cm="1">
        <f t="array" ref="U1062">_xlfn._xlws.FILTER(Competitions[compID], (Fixtures[[#This Row],[competition]] = Competitions[name]), "N/A")</f>
        <v>N/A</v>
      </c>
      <c r="V10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2" s="58" t="str" cm="1">
        <f t="array" ref="W10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2" s="58" t="str" cm="1">
        <f t="array" ref="X1062">_xlfn._xlws.FILTER(Teams[name], (Fixtures[[#This Row],[userTeamID]] = Teams[teamID]), "N/A")</f>
        <v>N/A</v>
      </c>
      <c r="Y1062" s="58" t="str" cm="1">
        <f t="array" ref="Y1062">_xlfn._xlws.FILTER(Teams[teamType], (Fixtures[[#This Row],[userTeamID]] = Teams[teamID]), "N/A")</f>
        <v>N/A</v>
      </c>
      <c r="Z1062" s="58" t="str" cm="1">
        <f t="array" ref="Z10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2" s="58" t="str">
        <f>IF(Fixtures[[#This Row],[userSide]] = "N/A", "N/A", IF(Fixtures[[#This Row],[userSide]] = "H", Fixtures[[#This Row],[awayTeam]], Fixtures[[#This Row],[homeTeam]]))</f>
        <v>N/A</v>
      </c>
      <c r="AB1062" s="58" t="str" cm="1">
        <f t="array" ref="AB1062">_xlfn._xlws.FILTER(Teams[teamID], Fixtures[[#This Row],[oppTeam]] = Teams[name], "N/A")</f>
        <v>N/A</v>
      </c>
      <c r="AC1062" s="58" t="str" cm="1">
        <f t="array" ref="AC1062">_xlfn._xlws.FILTER(Teams[teamType], Fixtures[[#This Row],[oppTeam]] = Teams[name], "N/A")</f>
        <v>N/A</v>
      </c>
      <c r="AD1062" s="58" t="str">
        <f>IF(ISBLANK(Fixtures[[#This Row],[date]]), "N/A", IF(Fixtures[[#This Row],[userSide]]="H", Fixtures[[#This Row],[homeScore]], Fixtures[[#This Row],[awayScore]]))</f>
        <v>N/A</v>
      </c>
      <c r="AE1062" s="58" t="str">
        <f>IF(ISBLANK(Fixtures[[#This Row],[date]]), "N/A", IF(Fixtures[[#This Row],[userScore]] = Fixtures[[#This Row],[homeScore]], Fixtures[[#This Row],[awayScore]], Fixtures[[#This Row],[homeScore]]))</f>
        <v>N/A</v>
      </c>
      <c r="AF1062" s="58" t="b">
        <f>NOT(AND(ISBLANK(Fixtures[[#This Row],[homePens]]), ISBLANK(Fixtures[[#This Row],[awayPens]])))</f>
        <v>0</v>
      </c>
      <c r="AG1062" s="58" t="str">
        <f>IF(Fixtures[[#This Row],[penalties]], IF(Fixtures[[#This Row],[userSide]]="H", Fixtures[[#This Row],[homePens]], Fixtures[[#This Row],[awayPens]]), "N/A")</f>
        <v>N/A</v>
      </c>
      <c r="AH1062" s="58" t="str">
        <f>IF(Fixtures[[#This Row],[penalties]], IF(Fixtures[[#This Row],[userPens]]=Fixtures[[#This Row],[homePens]],Fixtures[[#This Row],[awayPens]],Fixtures[[#This Row],[homePens]]), "N/A")</f>
        <v>N/A</v>
      </c>
      <c r="AI1062" s="58" t="b">
        <f>COUNTBLANK(Fixtures[[#This Row],[G]:[MOTM]]) = 0</f>
        <v>0</v>
      </c>
      <c r="AJ1062" s="58" t="str">
        <f>IF(Fixtures[[#This Row],[APP]], Fixtures[[#This Row],[G]]+Fixtures[[#This Row],[A]], "N/A")</f>
        <v>N/A</v>
      </c>
      <c r="AK10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3" spans="1:39" ht="13">
      <c r="A1063" s="55"/>
      <c r="B1063" s="61"/>
      <c r="C1063" s="56"/>
      <c r="D1063" s="56"/>
      <c r="E1063" s="56"/>
      <c r="F1063" s="56"/>
      <c r="G1063" s="56"/>
      <c r="H1063" s="56"/>
      <c r="I1063" s="56"/>
      <c r="J1063" s="56"/>
      <c r="K1063" s="56"/>
      <c r="L1063" s="56"/>
      <c r="M1063" s="56"/>
      <c r="N1063" s="56"/>
      <c r="O1063" s="56"/>
      <c r="P1063" s="56"/>
      <c r="Q1063" s="57"/>
      <c r="R1063" s="56"/>
      <c r="S1063" s="58" t="str" cm="1">
        <f t="array" ref="S1063">_xlfn._xlws.FILTER(Competitions[compType], (Fixtures[[#This Row],[competition]] = Competitions[name]), "N/A")</f>
        <v>N/A</v>
      </c>
      <c r="T1063" s="58" t="str" cm="1">
        <f t="array" ref="T1063">_xlfn._xlws.FILTER(Competitions[exhibition], (Fixtures[[#This Row],[competition]] = Competitions[name]), "N/A")</f>
        <v>N/A</v>
      </c>
      <c r="U1063" s="58" t="str" cm="1">
        <f t="array" ref="U1063">_xlfn._xlws.FILTER(Competitions[compID], (Fixtures[[#This Row],[competition]] = Competitions[name]), "N/A")</f>
        <v>N/A</v>
      </c>
      <c r="V10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3" s="58" t="str" cm="1">
        <f t="array" ref="W10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3" s="58" t="str" cm="1">
        <f t="array" ref="X1063">_xlfn._xlws.FILTER(Teams[name], (Fixtures[[#This Row],[userTeamID]] = Teams[teamID]), "N/A")</f>
        <v>N/A</v>
      </c>
      <c r="Y1063" s="58" t="str" cm="1">
        <f t="array" ref="Y1063">_xlfn._xlws.FILTER(Teams[teamType], (Fixtures[[#This Row],[userTeamID]] = Teams[teamID]), "N/A")</f>
        <v>N/A</v>
      </c>
      <c r="Z1063" s="58" t="str" cm="1">
        <f t="array" ref="Z10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3" s="58" t="str">
        <f>IF(Fixtures[[#This Row],[userSide]] = "N/A", "N/A", IF(Fixtures[[#This Row],[userSide]] = "H", Fixtures[[#This Row],[awayTeam]], Fixtures[[#This Row],[homeTeam]]))</f>
        <v>N/A</v>
      </c>
      <c r="AB1063" s="58" t="str" cm="1">
        <f t="array" ref="AB1063">_xlfn._xlws.FILTER(Teams[teamID], Fixtures[[#This Row],[oppTeam]] = Teams[name], "N/A")</f>
        <v>N/A</v>
      </c>
      <c r="AC1063" s="58" t="str" cm="1">
        <f t="array" ref="AC1063">_xlfn._xlws.FILTER(Teams[teamType], Fixtures[[#This Row],[oppTeam]] = Teams[name], "N/A")</f>
        <v>N/A</v>
      </c>
      <c r="AD1063" s="58" t="str">
        <f>IF(ISBLANK(Fixtures[[#This Row],[date]]), "N/A", IF(Fixtures[[#This Row],[userSide]]="H", Fixtures[[#This Row],[homeScore]], Fixtures[[#This Row],[awayScore]]))</f>
        <v>N/A</v>
      </c>
      <c r="AE1063" s="58" t="str">
        <f>IF(ISBLANK(Fixtures[[#This Row],[date]]), "N/A", IF(Fixtures[[#This Row],[userScore]] = Fixtures[[#This Row],[homeScore]], Fixtures[[#This Row],[awayScore]], Fixtures[[#This Row],[homeScore]]))</f>
        <v>N/A</v>
      </c>
      <c r="AF1063" s="58" t="b">
        <f>NOT(AND(ISBLANK(Fixtures[[#This Row],[homePens]]), ISBLANK(Fixtures[[#This Row],[awayPens]])))</f>
        <v>0</v>
      </c>
      <c r="AG1063" s="58" t="str">
        <f>IF(Fixtures[[#This Row],[penalties]], IF(Fixtures[[#This Row],[userSide]]="H", Fixtures[[#This Row],[homePens]], Fixtures[[#This Row],[awayPens]]), "N/A")</f>
        <v>N/A</v>
      </c>
      <c r="AH1063" s="58" t="str">
        <f>IF(Fixtures[[#This Row],[penalties]], IF(Fixtures[[#This Row],[userPens]]=Fixtures[[#This Row],[homePens]],Fixtures[[#This Row],[awayPens]],Fixtures[[#This Row],[homePens]]), "N/A")</f>
        <v>N/A</v>
      </c>
      <c r="AI1063" s="58" t="b">
        <f>COUNTBLANK(Fixtures[[#This Row],[G]:[MOTM]]) = 0</f>
        <v>0</v>
      </c>
      <c r="AJ1063" s="58" t="str">
        <f>IF(Fixtures[[#This Row],[APP]], Fixtures[[#This Row],[G]]+Fixtures[[#This Row],[A]], "N/A")</f>
        <v>N/A</v>
      </c>
      <c r="AK10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4" spans="1:39" ht="13">
      <c r="A1064" s="55"/>
      <c r="B1064" s="61"/>
      <c r="C1064" s="56"/>
      <c r="D1064" s="56"/>
      <c r="E1064" s="56"/>
      <c r="F1064" s="56"/>
      <c r="G1064" s="56"/>
      <c r="H1064" s="56"/>
      <c r="I1064" s="56"/>
      <c r="J1064" s="56"/>
      <c r="K1064" s="56"/>
      <c r="L1064" s="56"/>
      <c r="M1064" s="56"/>
      <c r="N1064" s="56"/>
      <c r="O1064" s="56"/>
      <c r="P1064" s="56"/>
      <c r="Q1064" s="57"/>
      <c r="R1064" s="56"/>
      <c r="S1064" s="58" t="str" cm="1">
        <f t="array" ref="S1064">_xlfn._xlws.FILTER(Competitions[compType], (Fixtures[[#This Row],[competition]] = Competitions[name]), "N/A")</f>
        <v>N/A</v>
      </c>
      <c r="T1064" s="58" t="str" cm="1">
        <f t="array" ref="T1064">_xlfn._xlws.FILTER(Competitions[exhibition], (Fixtures[[#This Row],[competition]] = Competitions[name]), "N/A")</f>
        <v>N/A</v>
      </c>
      <c r="U1064" s="58" t="str" cm="1">
        <f t="array" ref="U1064">_xlfn._xlws.FILTER(Competitions[compID], (Fixtures[[#This Row],[competition]] = Competitions[name]), "N/A")</f>
        <v>N/A</v>
      </c>
      <c r="V10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4" s="58" t="str" cm="1">
        <f t="array" ref="W10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4" s="58" t="str" cm="1">
        <f t="array" ref="X1064">_xlfn._xlws.FILTER(Teams[name], (Fixtures[[#This Row],[userTeamID]] = Teams[teamID]), "N/A")</f>
        <v>N/A</v>
      </c>
      <c r="Y1064" s="58" t="str" cm="1">
        <f t="array" ref="Y1064">_xlfn._xlws.FILTER(Teams[teamType], (Fixtures[[#This Row],[userTeamID]] = Teams[teamID]), "N/A")</f>
        <v>N/A</v>
      </c>
      <c r="Z1064" s="58" t="str" cm="1">
        <f t="array" ref="Z10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4" s="58" t="str">
        <f>IF(Fixtures[[#This Row],[userSide]] = "N/A", "N/A", IF(Fixtures[[#This Row],[userSide]] = "H", Fixtures[[#This Row],[awayTeam]], Fixtures[[#This Row],[homeTeam]]))</f>
        <v>N/A</v>
      </c>
      <c r="AB1064" s="58" t="str" cm="1">
        <f t="array" ref="AB1064">_xlfn._xlws.FILTER(Teams[teamID], Fixtures[[#This Row],[oppTeam]] = Teams[name], "N/A")</f>
        <v>N/A</v>
      </c>
      <c r="AC1064" s="58" t="str" cm="1">
        <f t="array" ref="AC1064">_xlfn._xlws.FILTER(Teams[teamType], Fixtures[[#This Row],[oppTeam]] = Teams[name], "N/A")</f>
        <v>N/A</v>
      </c>
      <c r="AD1064" s="58" t="str">
        <f>IF(ISBLANK(Fixtures[[#This Row],[date]]), "N/A", IF(Fixtures[[#This Row],[userSide]]="H", Fixtures[[#This Row],[homeScore]], Fixtures[[#This Row],[awayScore]]))</f>
        <v>N/A</v>
      </c>
      <c r="AE1064" s="58" t="str">
        <f>IF(ISBLANK(Fixtures[[#This Row],[date]]), "N/A", IF(Fixtures[[#This Row],[userScore]] = Fixtures[[#This Row],[homeScore]], Fixtures[[#This Row],[awayScore]], Fixtures[[#This Row],[homeScore]]))</f>
        <v>N/A</v>
      </c>
      <c r="AF1064" s="58" t="b">
        <f>NOT(AND(ISBLANK(Fixtures[[#This Row],[homePens]]), ISBLANK(Fixtures[[#This Row],[awayPens]])))</f>
        <v>0</v>
      </c>
      <c r="AG1064" s="58" t="str">
        <f>IF(Fixtures[[#This Row],[penalties]], IF(Fixtures[[#This Row],[userSide]]="H", Fixtures[[#This Row],[homePens]], Fixtures[[#This Row],[awayPens]]), "N/A")</f>
        <v>N/A</v>
      </c>
      <c r="AH1064" s="58" t="str">
        <f>IF(Fixtures[[#This Row],[penalties]], IF(Fixtures[[#This Row],[userPens]]=Fixtures[[#This Row],[homePens]],Fixtures[[#This Row],[awayPens]],Fixtures[[#This Row],[homePens]]), "N/A")</f>
        <v>N/A</v>
      </c>
      <c r="AI1064" s="58" t="b">
        <f>COUNTBLANK(Fixtures[[#This Row],[G]:[MOTM]]) = 0</f>
        <v>0</v>
      </c>
      <c r="AJ1064" s="58" t="str">
        <f>IF(Fixtures[[#This Row],[APP]], Fixtures[[#This Row],[G]]+Fixtures[[#This Row],[A]], "N/A")</f>
        <v>N/A</v>
      </c>
      <c r="AK10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5" spans="1:39" ht="13">
      <c r="A1065" s="55"/>
      <c r="B1065" s="61"/>
      <c r="C1065" s="56"/>
      <c r="D1065" s="56"/>
      <c r="E1065" s="56"/>
      <c r="F1065" s="56"/>
      <c r="G1065" s="56"/>
      <c r="H1065" s="56"/>
      <c r="I1065" s="56"/>
      <c r="J1065" s="56"/>
      <c r="K1065" s="56"/>
      <c r="L1065" s="56"/>
      <c r="M1065" s="56"/>
      <c r="N1065" s="56"/>
      <c r="O1065" s="56"/>
      <c r="P1065" s="56"/>
      <c r="Q1065" s="57"/>
      <c r="R1065" s="56"/>
      <c r="S1065" s="58" t="str" cm="1">
        <f t="array" ref="S1065">_xlfn._xlws.FILTER(Competitions[compType], (Fixtures[[#This Row],[competition]] = Competitions[name]), "N/A")</f>
        <v>N/A</v>
      </c>
      <c r="T1065" s="58" t="str" cm="1">
        <f t="array" ref="T1065">_xlfn._xlws.FILTER(Competitions[exhibition], (Fixtures[[#This Row],[competition]] = Competitions[name]), "N/A")</f>
        <v>N/A</v>
      </c>
      <c r="U1065" s="58" t="str" cm="1">
        <f t="array" ref="U1065">_xlfn._xlws.FILTER(Competitions[compID], (Fixtures[[#This Row],[competition]] = Competitions[name]), "N/A")</f>
        <v>N/A</v>
      </c>
      <c r="V10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5" s="58" t="str" cm="1">
        <f t="array" ref="W10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5" s="58" t="str" cm="1">
        <f t="array" ref="X1065">_xlfn._xlws.FILTER(Teams[name], (Fixtures[[#This Row],[userTeamID]] = Teams[teamID]), "N/A")</f>
        <v>N/A</v>
      </c>
      <c r="Y1065" s="58" t="str" cm="1">
        <f t="array" ref="Y1065">_xlfn._xlws.FILTER(Teams[teamType], (Fixtures[[#This Row],[userTeamID]] = Teams[teamID]), "N/A")</f>
        <v>N/A</v>
      </c>
      <c r="Z1065" s="58" t="str" cm="1">
        <f t="array" ref="Z10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5" s="58" t="str">
        <f>IF(Fixtures[[#This Row],[userSide]] = "N/A", "N/A", IF(Fixtures[[#This Row],[userSide]] = "H", Fixtures[[#This Row],[awayTeam]], Fixtures[[#This Row],[homeTeam]]))</f>
        <v>N/A</v>
      </c>
      <c r="AB1065" s="58" t="str" cm="1">
        <f t="array" ref="AB1065">_xlfn._xlws.FILTER(Teams[teamID], Fixtures[[#This Row],[oppTeam]] = Teams[name], "N/A")</f>
        <v>N/A</v>
      </c>
      <c r="AC1065" s="58" t="str" cm="1">
        <f t="array" ref="AC1065">_xlfn._xlws.FILTER(Teams[teamType], Fixtures[[#This Row],[oppTeam]] = Teams[name], "N/A")</f>
        <v>N/A</v>
      </c>
      <c r="AD1065" s="58" t="str">
        <f>IF(ISBLANK(Fixtures[[#This Row],[date]]), "N/A", IF(Fixtures[[#This Row],[userSide]]="H", Fixtures[[#This Row],[homeScore]], Fixtures[[#This Row],[awayScore]]))</f>
        <v>N/A</v>
      </c>
      <c r="AE1065" s="58" t="str">
        <f>IF(ISBLANK(Fixtures[[#This Row],[date]]), "N/A", IF(Fixtures[[#This Row],[userScore]] = Fixtures[[#This Row],[homeScore]], Fixtures[[#This Row],[awayScore]], Fixtures[[#This Row],[homeScore]]))</f>
        <v>N/A</v>
      </c>
      <c r="AF1065" s="58" t="b">
        <f>NOT(AND(ISBLANK(Fixtures[[#This Row],[homePens]]), ISBLANK(Fixtures[[#This Row],[awayPens]])))</f>
        <v>0</v>
      </c>
      <c r="AG1065" s="58" t="str">
        <f>IF(Fixtures[[#This Row],[penalties]], IF(Fixtures[[#This Row],[userSide]]="H", Fixtures[[#This Row],[homePens]], Fixtures[[#This Row],[awayPens]]), "N/A")</f>
        <v>N/A</v>
      </c>
      <c r="AH1065" s="58" t="str">
        <f>IF(Fixtures[[#This Row],[penalties]], IF(Fixtures[[#This Row],[userPens]]=Fixtures[[#This Row],[homePens]],Fixtures[[#This Row],[awayPens]],Fixtures[[#This Row],[homePens]]), "N/A")</f>
        <v>N/A</v>
      </c>
      <c r="AI1065" s="58" t="b">
        <f>COUNTBLANK(Fixtures[[#This Row],[G]:[MOTM]]) = 0</f>
        <v>0</v>
      </c>
      <c r="AJ1065" s="58" t="str">
        <f>IF(Fixtures[[#This Row],[APP]], Fixtures[[#This Row],[G]]+Fixtures[[#This Row],[A]], "N/A")</f>
        <v>N/A</v>
      </c>
      <c r="AK10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6" spans="1:39" ht="13">
      <c r="A1066" s="55"/>
      <c r="B1066" s="61"/>
      <c r="C1066" s="56"/>
      <c r="D1066" s="56"/>
      <c r="E1066" s="56"/>
      <c r="F1066" s="56"/>
      <c r="G1066" s="56"/>
      <c r="H1066" s="56"/>
      <c r="I1066" s="56"/>
      <c r="J1066" s="56"/>
      <c r="K1066" s="56"/>
      <c r="L1066" s="56"/>
      <c r="M1066" s="56"/>
      <c r="N1066" s="56"/>
      <c r="O1066" s="56"/>
      <c r="P1066" s="56"/>
      <c r="Q1066" s="57"/>
      <c r="R1066" s="56"/>
      <c r="S1066" s="58" t="str" cm="1">
        <f t="array" ref="S1066">_xlfn._xlws.FILTER(Competitions[compType], (Fixtures[[#This Row],[competition]] = Competitions[name]), "N/A")</f>
        <v>N/A</v>
      </c>
      <c r="T1066" s="58" t="str" cm="1">
        <f t="array" ref="T1066">_xlfn._xlws.FILTER(Competitions[exhibition], (Fixtures[[#This Row],[competition]] = Competitions[name]), "N/A")</f>
        <v>N/A</v>
      </c>
      <c r="U1066" s="58" t="str" cm="1">
        <f t="array" ref="U1066">_xlfn._xlws.FILTER(Competitions[compID], (Fixtures[[#This Row],[competition]] = Competitions[name]), "N/A")</f>
        <v>N/A</v>
      </c>
      <c r="V10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6" s="58" t="str" cm="1">
        <f t="array" ref="W10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6" s="58" t="str" cm="1">
        <f t="array" ref="X1066">_xlfn._xlws.FILTER(Teams[name], (Fixtures[[#This Row],[userTeamID]] = Teams[teamID]), "N/A")</f>
        <v>N/A</v>
      </c>
      <c r="Y1066" s="58" t="str" cm="1">
        <f t="array" ref="Y1066">_xlfn._xlws.FILTER(Teams[teamType], (Fixtures[[#This Row],[userTeamID]] = Teams[teamID]), "N/A")</f>
        <v>N/A</v>
      </c>
      <c r="Z1066" s="58" t="str" cm="1">
        <f t="array" ref="Z10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6" s="58" t="str">
        <f>IF(Fixtures[[#This Row],[userSide]] = "N/A", "N/A", IF(Fixtures[[#This Row],[userSide]] = "H", Fixtures[[#This Row],[awayTeam]], Fixtures[[#This Row],[homeTeam]]))</f>
        <v>N/A</v>
      </c>
      <c r="AB1066" s="58" t="str" cm="1">
        <f t="array" ref="AB1066">_xlfn._xlws.FILTER(Teams[teamID], Fixtures[[#This Row],[oppTeam]] = Teams[name], "N/A")</f>
        <v>N/A</v>
      </c>
      <c r="AC1066" s="58" t="str" cm="1">
        <f t="array" ref="AC1066">_xlfn._xlws.FILTER(Teams[teamType], Fixtures[[#This Row],[oppTeam]] = Teams[name], "N/A")</f>
        <v>N/A</v>
      </c>
      <c r="AD1066" s="58" t="str">
        <f>IF(ISBLANK(Fixtures[[#This Row],[date]]), "N/A", IF(Fixtures[[#This Row],[userSide]]="H", Fixtures[[#This Row],[homeScore]], Fixtures[[#This Row],[awayScore]]))</f>
        <v>N/A</v>
      </c>
      <c r="AE1066" s="58" t="str">
        <f>IF(ISBLANK(Fixtures[[#This Row],[date]]), "N/A", IF(Fixtures[[#This Row],[userScore]] = Fixtures[[#This Row],[homeScore]], Fixtures[[#This Row],[awayScore]], Fixtures[[#This Row],[homeScore]]))</f>
        <v>N/A</v>
      </c>
      <c r="AF1066" s="58" t="b">
        <f>NOT(AND(ISBLANK(Fixtures[[#This Row],[homePens]]), ISBLANK(Fixtures[[#This Row],[awayPens]])))</f>
        <v>0</v>
      </c>
      <c r="AG1066" s="58" t="str">
        <f>IF(Fixtures[[#This Row],[penalties]], IF(Fixtures[[#This Row],[userSide]]="H", Fixtures[[#This Row],[homePens]], Fixtures[[#This Row],[awayPens]]), "N/A")</f>
        <v>N/A</v>
      </c>
      <c r="AH1066" s="58" t="str">
        <f>IF(Fixtures[[#This Row],[penalties]], IF(Fixtures[[#This Row],[userPens]]=Fixtures[[#This Row],[homePens]],Fixtures[[#This Row],[awayPens]],Fixtures[[#This Row],[homePens]]), "N/A")</f>
        <v>N/A</v>
      </c>
      <c r="AI1066" s="58" t="b">
        <f>COUNTBLANK(Fixtures[[#This Row],[G]:[MOTM]]) = 0</f>
        <v>0</v>
      </c>
      <c r="AJ1066" s="58" t="str">
        <f>IF(Fixtures[[#This Row],[APP]], Fixtures[[#This Row],[G]]+Fixtures[[#This Row],[A]], "N/A")</f>
        <v>N/A</v>
      </c>
      <c r="AK10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7" spans="1:39" ht="13">
      <c r="A1067" s="55"/>
      <c r="B1067" s="61"/>
      <c r="C1067" s="56"/>
      <c r="D1067" s="56"/>
      <c r="E1067" s="56"/>
      <c r="F1067" s="56"/>
      <c r="G1067" s="56"/>
      <c r="H1067" s="56"/>
      <c r="I1067" s="56"/>
      <c r="J1067" s="56"/>
      <c r="K1067" s="56"/>
      <c r="L1067" s="56"/>
      <c r="M1067" s="56"/>
      <c r="N1067" s="56"/>
      <c r="O1067" s="56"/>
      <c r="P1067" s="56"/>
      <c r="Q1067" s="57"/>
      <c r="R1067" s="56"/>
      <c r="S1067" s="58" t="str" cm="1">
        <f t="array" ref="S1067">_xlfn._xlws.FILTER(Competitions[compType], (Fixtures[[#This Row],[competition]] = Competitions[name]), "N/A")</f>
        <v>N/A</v>
      </c>
      <c r="T1067" s="58" t="str" cm="1">
        <f t="array" ref="T1067">_xlfn._xlws.FILTER(Competitions[exhibition], (Fixtures[[#This Row],[competition]] = Competitions[name]), "N/A")</f>
        <v>N/A</v>
      </c>
      <c r="U1067" s="58" t="str" cm="1">
        <f t="array" ref="U1067">_xlfn._xlws.FILTER(Competitions[compID], (Fixtures[[#This Row],[competition]] = Competitions[name]), "N/A")</f>
        <v>N/A</v>
      </c>
      <c r="V10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7" s="58" t="str" cm="1">
        <f t="array" ref="W10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7" s="58" t="str" cm="1">
        <f t="array" ref="X1067">_xlfn._xlws.FILTER(Teams[name], (Fixtures[[#This Row],[userTeamID]] = Teams[teamID]), "N/A")</f>
        <v>N/A</v>
      </c>
      <c r="Y1067" s="58" t="str" cm="1">
        <f t="array" ref="Y1067">_xlfn._xlws.FILTER(Teams[teamType], (Fixtures[[#This Row],[userTeamID]] = Teams[teamID]), "N/A")</f>
        <v>N/A</v>
      </c>
      <c r="Z1067" s="58" t="str" cm="1">
        <f t="array" ref="Z10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7" s="58" t="str">
        <f>IF(Fixtures[[#This Row],[userSide]] = "N/A", "N/A", IF(Fixtures[[#This Row],[userSide]] = "H", Fixtures[[#This Row],[awayTeam]], Fixtures[[#This Row],[homeTeam]]))</f>
        <v>N/A</v>
      </c>
      <c r="AB1067" s="58" t="str" cm="1">
        <f t="array" ref="AB1067">_xlfn._xlws.FILTER(Teams[teamID], Fixtures[[#This Row],[oppTeam]] = Teams[name], "N/A")</f>
        <v>N/A</v>
      </c>
      <c r="AC1067" s="58" t="str" cm="1">
        <f t="array" ref="AC1067">_xlfn._xlws.FILTER(Teams[teamType], Fixtures[[#This Row],[oppTeam]] = Teams[name], "N/A")</f>
        <v>N/A</v>
      </c>
      <c r="AD1067" s="58" t="str">
        <f>IF(ISBLANK(Fixtures[[#This Row],[date]]), "N/A", IF(Fixtures[[#This Row],[userSide]]="H", Fixtures[[#This Row],[homeScore]], Fixtures[[#This Row],[awayScore]]))</f>
        <v>N/A</v>
      </c>
      <c r="AE1067" s="58" t="str">
        <f>IF(ISBLANK(Fixtures[[#This Row],[date]]), "N/A", IF(Fixtures[[#This Row],[userScore]] = Fixtures[[#This Row],[homeScore]], Fixtures[[#This Row],[awayScore]], Fixtures[[#This Row],[homeScore]]))</f>
        <v>N/A</v>
      </c>
      <c r="AF1067" s="58" t="b">
        <f>NOT(AND(ISBLANK(Fixtures[[#This Row],[homePens]]), ISBLANK(Fixtures[[#This Row],[awayPens]])))</f>
        <v>0</v>
      </c>
      <c r="AG1067" s="58" t="str">
        <f>IF(Fixtures[[#This Row],[penalties]], IF(Fixtures[[#This Row],[userSide]]="H", Fixtures[[#This Row],[homePens]], Fixtures[[#This Row],[awayPens]]), "N/A")</f>
        <v>N/A</v>
      </c>
      <c r="AH1067" s="58" t="str">
        <f>IF(Fixtures[[#This Row],[penalties]], IF(Fixtures[[#This Row],[userPens]]=Fixtures[[#This Row],[homePens]],Fixtures[[#This Row],[awayPens]],Fixtures[[#This Row],[homePens]]), "N/A")</f>
        <v>N/A</v>
      </c>
      <c r="AI1067" s="58" t="b">
        <f>COUNTBLANK(Fixtures[[#This Row],[G]:[MOTM]]) = 0</f>
        <v>0</v>
      </c>
      <c r="AJ1067" s="58" t="str">
        <f>IF(Fixtures[[#This Row],[APP]], Fixtures[[#This Row],[G]]+Fixtures[[#This Row],[A]], "N/A")</f>
        <v>N/A</v>
      </c>
      <c r="AK10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8" spans="1:39" ht="13">
      <c r="A1068" s="55"/>
      <c r="B1068" s="61"/>
      <c r="C1068" s="56"/>
      <c r="D1068" s="56"/>
      <c r="E1068" s="56"/>
      <c r="F1068" s="56"/>
      <c r="G1068" s="56"/>
      <c r="H1068" s="56"/>
      <c r="I1068" s="56"/>
      <c r="J1068" s="56"/>
      <c r="K1068" s="56"/>
      <c r="L1068" s="56"/>
      <c r="M1068" s="56"/>
      <c r="N1068" s="56"/>
      <c r="O1068" s="56"/>
      <c r="P1068" s="56"/>
      <c r="Q1068" s="57"/>
      <c r="R1068" s="56"/>
      <c r="S1068" s="58" t="str" cm="1">
        <f t="array" ref="S1068">_xlfn._xlws.FILTER(Competitions[compType], (Fixtures[[#This Row],[competition]] = Competitions[name]), "N/A")</f>
        <v>N/A</v>
      </c>
      <c r="T1068" s="58" t="str" cm="1">
        <f t="array" ref="T1068">_xlfn._xlws.FILTER(Competitions[exhibition], (Fixtures[[#This Row],[competition]] = Competitions[name]), "N/A")</f>
        <v>N/A</v>
      </c>
      <c r="U1068" s="58" t="str" cm="1">
        <f t="array" ref="U1068">_xlfn._xlws.FILTER(Competitions[compID], (Fixtures[[#This Row],[competition]] = Competitions[name]), "N/A")</f>
        <v>N/A</v>
      </c>
      <c r="V10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8" s="58" t="str" cm="1">
        <f t="array" ref="W10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8" s="58" t="str" cm="1">
        <f t="array" ref="X1068">_xlfn._xlws.FILTER(Teams[name], (Fixtures[[#This Row],[userTeamID]] = Teams[teamID]), "N/A")</f>
        <v>N/A</v>
      </c>
      <c r="Y1068" s="58" t="str" cm="1">
        <f t="array" ref="Y1068">_xlfn._xlws.FILTER(Teams[teamType], (Fixtures[[#This Row],[userTeamID]] = Teams[teamID]), "N/A")</f>
        <v>N/A</v>
      </c>
      <c r="Z1068" s="58" t="str" cm="1">
        <f t="array" ref="Z10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8" s="58" t="str">
        <f>IF(Fixtures[[#This Row],[userSide]] = "N/A", "N/A", IF(Fixtures[[#This Row],[userSide]] = "H", Fixtures[[#This Row],[awayTeam]], Fixtures[[#This Row],[homeTeam]]))</f>
        <v>N/A</v>
      </c>
      <c r="AB1068" s="58" t="str" cm="1">
        <f t="array" ref="AB1068">_xlfn._xlws.FILTER(Teams[teamID], Fixtures[[#This Row],[oppTeam]] = Teams[name], "N/A")</f>
        <v>N/A</v>
      </c>
      <c r="AC1068" s="58" t="str" cm="1">
        <f t="array" ref="AC1068">_xlfn._xlws.FILTER(Teams[teamType], Fixtures[[#This Row],[oppTeam]] = Teams[name], "N/A")</f>
        <v>N/A</v>
      </c>
      <c r="AD1068" s="58" t="str">
        <f>IF(ISBLANK(Fixtures[[#This Row],[date]]), "N/A", IF(Fixtures[[#This Row],[userSide]]="H", Fixtures[[#This Row],[homeScore]], Fixtures[[#This Row],[awayScore]]))</f>
        <v>N/A</v>
      </c>
      <c r="AE1068" s="58" t="str">
        <f>IF(ISBLANK(Fixtures[[#This Row],[date]]), "N/A", IF(Fixtures[[#This Row],[userScore]] = Fixtures[[#This Row],[homeScore]], Fixtures[[#This Row],[awayScore]], Fixtures[[#This Row],[homeScore]]))</f>
        <v>N/A</v>
      </c>
      <c r="AF1068" s="58" t="b">
        <f>NOT(AND(ISBLANK(Fixtures[[#This Row],[homePens]]), ISBLANK(Fixtures[[#This Row],[awayPens]])))</f>
        <v>0</v>
      </c>
      <c r="AG1068" s="58" t="str">
        <f>IF(Fixtures[[#This Row],[penalties]], IF(Fixtures[[#This Row],[userSide]]="H", Fixtures[[#This Row],[homePens]], Fixtures[[#This Row],[awayPens]]), "N/A")</f>
        <v>N/A</v>
      </c>
      <c r="AH1068" s="58" t="str">
        <f>IF(Fixtures[[#This Row],[penalties]], IF(Fixtures[[#This Row],[userPens]]=Fixtures[[#This Row],[homePens]],Fixtures[[#This Row],[awayPens]],Fixtures[[#This Row],[homePens]]), "N/A")</f>
        <v>N/A</v>
      </c>
      <c r="AI1068" s="58" t="b">
        <f>COUNTBLANK(Fixtures[[#This Row],[G]:[MOTM]]) = 0</f>
        <v>0</v>
      </c>
      <c r="AJ1068" s="58" t="str">
        <f>IF(Fixtures[[#This Row],[APP]], Fixtures[[#This Row],[G]]+Fixtures[[#This Row],[A]], "N/A")</f>
        <v>N/A</v>
      </c>
      <c r="AK10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69" spans="1:39" ht="13">
      <c r="A1069" s="55"/>
      <c r="B1069" s="61"/>
      <c r="C1069" s="56"/>
      <c r="D1069" s="56"/>
      <c r="E1069" s="56"/>
      <c r="F1069" s="56"/>
      <c r="G1069" s="56"/>
      <c r="H1069" s="56"/>
      <c r="I1069" s="56"/>
      <c r="J1069" s="56"/>
      <c r="K1069" s="56"/>
      <c r="L1069" s="56"/>
      <c r="M1069" s="56"/>
      <c r="N1069" s="56"/>
      <c r="O1069" s="56"/>
      <c r="P1069" s="56"/>
      <c r="Q1069" s="57"/>
      <c r="R1069" s="56"/>
      <c r="S1069" s="58" t="str" cm="1">
        <f t="array" ref="S1069">_xlfn._xlws.FILTER(Competitions[compType], (Fixtures[[#This Row],[competition]] = Competitions[name]), "N/A")</f>
        <v>N/A</v>
      </c>
      <c r="T1069" s="58" t="str" cm="1">
        <f t="array" ref="T1069">_xlfn._xlws.FILTER(Competitions[exhibition], (Fixtures[[#This Row],[competition]] = Competitions[name]), "N/A")</f>
        <v>N/A</v>
      </c>
      <c r="U1069" s="58" t="str" cm="1">
        <f t="array" ref="U1069">_xlfn._xlws.FILTER(Competitions[compID], (Fixtures[[#This Row],[competition]] = Competitions[name]), "N/A")</f>
        <v>N/A</v>
      </c>
      <c r="V10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69" s="58" t="str" cm="1">
        <f t="array" ref="W10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69" s="58" t="str" cm="1">
        <f t="array" ref="X1069">_xlfn._xlws.FILTER(Teams[name], (Fixtures[[#This Row],[userTeamID]] = Teams[teamID]), "N/A")</f>
        <v>N/A</v>
      </c>
      <c r="Y1069" s="58" t="str" cm="1">
        <f t="array" ref="Y1069">_xlfn._xlws.FILTER(Teams[teamType], (Fixtures[[#This Row],[userTeamID]] = Teams[teamID]), "N/A")</f>
        <v>N/A</v>
      </c>
      <c r="Z1069" s="58" t="str" cm="1">
        <f t="array" ref="Z10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69" s="58" t="str">
        <f>IF(Fixtures[[#This Row],[userSide]] = "N/A", "N/A", IF(Fixtures[[#This Row],[userSide]] = "H", Fixtures[[#This Row],[awayTeam]], Fixtures[[#This Row],[homeTeam]]))</f>
        <v>N/A</v>
      </c>
      <c r="AB1069" s="58" t="str" cm="1">
        <f t="array" ref="AB1069">_xlfn._xlws.FILTER(Teams[teamID], Fixtures[[#This Row],[oppTeam]] = Teams[name], "N/A")</f>
        <v>N/A</v>
      </c>
      <c r="AC1069" s="58" t="str" cm="1">
        <f t="array" ref="AC1069">_xlfn._xlws.FILTER(Teams[teamType], Fixtures[[#This Row],[oppTeam]] = Teams[name], "N/A")</f>
        <v>N/A</v>
      </c>
      <c r="AD1069" s="58" t="str">
        <f>IF(ISBLANK(Fixtures[[#This Row],[date]]), "N/A", IF(Fixtures[[#This Row],[userSide]]="H", Fixtures[[#This Row],[homeScore]], Fixtures[[#This Row],[awayScore]]))</f>
        <v>N/A</v>
      </c>
      <c r="AE1069" s="58" t="str">
        <f>IF(ISBLANK(Fixtures[[#This Row],[date]]), "N/A", IF(Fixtures[[#This Row],[userScore]] = Fixtures[[#This Row],[homeScore]], Fixtures[[#This Row],[awayScore]], Fixtures[[#This Row],[homeScore]]))</f>
        <v>N/A</v>
      </c>
      <c r="AF1069" s="58" t="b">
        <f>NOT(AND(ISBLANK(Fixtures[[#This Row],[homePens]]), ISBLANK(Fixtures[[#This Row],[awayPens]])))</f>
        <v>0</v>
      </c>
      <c r="AG1069" s="58" t="str">
        <f>IF(Fixtures[[#This Row],[penalties]], IF(Fixtures[[#This Row],[userSide]]="H", Fixtures[[#This Row],[homePens]], Fixtures[[#This Row],[awayPens]]), "N/A")</f>
        <v>N/A</v>
      </c>
      <c r="AH1069" s="58" t="str">
        <f>IF(Fixtures[[#This Row],[penalties]], IF(Fixtures[[#This Row],[userPens]]=Fixtures[[#This Row],[homePens]],Fixtures[[#This Row],[awayPens]],Fixtures[[#This Row],[homePens]]), "N/A")</f>
        <v>N/A</v>
      </c>
      <c r="AI1069" s="58" t="b">
        <f>COUNTBLANK(Fixtures[[#This Row],[G]:[MOTM]]) = 0</f>
        <v>0</v>
      </c>
      <c r="AJ1069" s="58" t="str">
        <f>IF(Fixtures[[#This Row],[APP]], Fixtures[[#This Row],[G]]+Fixtures[[#This Row],[A]], "N/A")</f>
        <v>N/A</v>
      </c>
      <c r="AK10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0" spans="1:39" ht="13">
      <c r="A1070" s="55"/>
      <c r="B1070" s="61"/>
      <c r="C1070" s="56"/>
      <c r="D1070" s="56"/>
      <c r="E1070" s="56"/>
      <c r="F1070" s="56"/>
      <c r="G1070" s="56"/>
      <c r="H1070" s="56"/>
      <c r="I1070" s="56"/>
      <c r="J1070" s="56"/>
      <c r="K1070" s="56"/>
      <c r="L1070" s="56"/>
      <c r="M1070" s="56"/>
      <c r="N1070" s="56"/>
      <c r="O1070" s="56"/>
      <c r="P1070" s="56"/>
      <c r="Q1070" s="57"/>
      <c r="R1070" s="56"/>
      <c r="S1070" s="58" t="str" cm="1">
        <f t="array" ref="S1070">_xlfn._xlws.FILTER(Competitions[compType], (Fixtures[[#This Row],[competition]] = Competitions[name]), "N/A")</f>
        <v>N/A</v>
      </c>
      <c r="T1070" s="58" t="str" cm="1">
        <f t="array" ref="T1070">_xlfn._xlws.FILTER(Competitions[exhibition], (Fixtures[[#This Row],[competition]] = Competitions[name]), "N/A")</f>
        <v>N/A</v>
      </c>
      <c r="U1070" s="58" t="str" cm="1">
        <f t="array" ref="U1070">_xlfn._xlws.FILTER(Competitions[compID], (Fixtures[[#This Row],[competition]] = Competitions[name]), "N/A")</f>
        <v>N/A</v>
      </c>
      <c r="V10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0" s="58" t="str" cm="1">
        <f t="array" ref="W10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0" s="58" t="str" cm="1">
        <f t="array" ref="X1070">_xlfn._xlws.FILTER(Teams[name], (Fixtures[[#This Row],[userTeamID]] = Teams[teamID]), "N/A")</f>
        <v>N/A</v>
      </c>
      <c r="Y1070" s="58" t="str" cm="1">
        <f t="array" ref="Y1070">_xlfn._xlws.FILTER(Teams[teamType], (Fixtures[[#This Row],[userTeamID]] = Teams[teamID]), "N/A")</f>
        <v>N/A</v>
      </c>
      <c r="Z1070" s="58" t="str" cm="1">
        <f t="array" ref="Z10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0" s="58" t="str">
        <f>IF(Fixtures[[#This Row],[userSide]] = "N/A", "N/A", IF(Fixtures[[#This Row],[userSide]] = "H", Fixtures[[#This Row],[awayTeam]], Fixtures[[#This Row],[homeTeam]]))</f>
        <v>N/A</v>
      </c>
      <c r="AB1070" s="58" t="str" cm="1">
        <f t="array" ref="AB1070">_xlfn._xlws.FILTER(Teams[teamID], Fixtures[[#This Row],[oppTeam]] = Teams[name], "N/A")</f>
        <v>N/A</v>
      </c>
      <c r="AC1070" s="58" t="str" cm="1">
        <f t="array" ref="AC1070">_xlfn._xlws.FILTER(Teams[teamType], Fixtures[[#This Row],[oppTeam]] = Teams[name], "N/A")</f>
        <v>N/A</v>
      </c>
      <c r="AD1070" s="58" t="str">
        <f>IF(ISBLANK(Fixtures[[#This Row],[date]]), "N/A", IF(Fixtures[[#This Row],[userSide]]="H", Fixtures[[#This Row],[homeScore]], Fixtures[[#This Row],[awayScore]]))</f>
        <v>N/A</v>
      </c>
      <c r="AE1070" s="58" t="str">
        <f>IF(ISBLANK(Fixtures[[#This Row],[date]]), "N/A", IF(Fixtures[[#This Row],[userScore]] = Fixtures[[#This Row],[homeScore]], Fixtures[[#This Row],[awayScore]], Fixtures[[#This Row],[homeScore]]))</f>
        <v>N/A</v>
      </c>
      <c r="AF1070" s="58" t="b">
        <f>NOT(AND(ISBLANK(Fixtures[[#This Row],[homePens]]), ISBLANK(Fixtures[[#This Row],[awayPens]])))</f>
        <v>0</v>
      </c>
      <c r="AG1070" s="58" t="str">
        <f>IF(Fixtures[[#This Row],[penalties]], IF(Fixtures[[#This Row],[userSide]]="H", Fixtures[[#This Row],[homePens]], Fixtures[[#This Row],[awayPens]]), "N/A")</f>
        <v>N/A</v>
      </c>
      <c r="AH1070" s="58" t="str">
        <f>IF(Fixtures[[#This Row],[penalties]], IF(Fixtures[[#This Row],[userPens]]=Fixtures[[#This Row],[homePens]],Fixtures[[#This Row],[awayPens]],Fixtures[[#This Row],[homePens]]), "N/A")</f>
        <v>N/A</v>
      </c>
      <c r="AI1070" s="58" t="b">
        <f>COUNTBLANK(Fixtures[[#This Row],[G]:[MOTM]]) = 0</f>
        <v>0</v>
      </c>
      <c r="AJ1070" s="58" t="str">
        <f>IF(Fixtures[[#This Row],[APP]], Fixtures[[#This Row],[G]]+Fixtures[[#This Row],[A]], "N/A")</f>
        <v>N/A</v>
      </c>
      <c r="AK10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1" spans="1:39" ht="13">
      <c r="A1071" s="55"/>
      <c r="B1071" s="61"/>
      <c r="C1071" s="56"/>
      <c r="D1071" s="56"/>
      <c r="E1071" s="56"/>
      <c r="F1071" s="56"/>
      <c r="G1071" s="56"/>
      <c r="H1071" s="56"/>
      <c r="I1071" s="56"/>
      <c r="J1071" s="56"/>
      <c r="K1071" s="56"/>
      <c r="L1071" s="56"/>
      <c r="M1071" s="56"/>
      <c r="N1071" s="56"/>
      <c r="O1071" s="56"/>
      <c r="P1071" s="56"/>
      <c r="Q1071" s="57"/>
      <c r="R1071" s="56"/>
      <c r="S1071" s="58" t="str" cm="1">
        <f t="array" ref="S1071">_xlfn._xlws.FILTER(Competitions[compType], (Fixtures[[#This Row],[competition]] = Competitions[name]), "N/A")</f>
        <v>N/A</v>
      </c>
      <c r="T1071" s="58" t="str" cm="1">
        <f t="array" ref="T1071">_xlfn._xlws.FILTER(Competitions[exhibition], (Fixtures[[#This Row],[competition]] = Competitions[name]), "N/A")</f>
        <v>N/A</v>
      </c>
      <c r="U1071" s="58" t="str" cm="1">
        <f t="array" ref="U1071">_xlfn._xlws.FILTER(Competitions[compID], (Fixtures[[#This Row],[competition]] = Competitions[name]), "N/A")</f>
        <v>N/A</v>
      </c>
      <c r="V10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1" s="58" t="str" cm="1">
        <f t="array" ref="W10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1" s="58" t="str" cm="1">
        <f t="array" ref="X1071">_xlfn._xlws.FILTER(Teams[name], (Fixtures[[#This Row],[userTeamID]] = Teams[teamID]), "N/A")</f>
        <v>N/A</v>
      </c>
      <c r="Y1071" s="58" t="str" cm="1">
        <f t="array" ref="Y1071">_xlfn._xlws.FILTER(Teams[teamType], (Fixtures[[#This Row],[userTeamID]] = Teams[teamID]), "N/A")</f>
        <v>N/A</v>
      </c>
      <c r="Z1071" s="58" t="str" cm="1">
        <f t="array" ref="Z10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1" s="58" t="str">
        <f>IF(Fixtures[[#This Row],[userSide]] = "N/A", "N/A", IF(Fixtures[[#This Row],[userSide]] = "H", Fixtures[[#This Row],[awayTeam]], Fixtures[[#This Row],[homeTeam]]))</f>
        <v>N/A</v>
      </c>
      <c r="AB1071" s="58" t="str" cm="1">
        <f t="array" ref="AB1071">_xlfn._xlws.FILTER(Teams[teamID], Fixtures[[#This Row],[oppTeam]] = Teams[name], "N/A")</f>
        <v>N/A</v>
      </c>
      <c r="AC1071" s="58" t="str" cm="1">
        <f t="array" ref="AC1071">_xlfn._xlws.FILTER(Teams[teamType], Fixtures[[#This Row],[oppTeam]] = Teams[name], "N/A")</f>
        <v>N/A</v>
      </c>
      <c r="AD1071" s="58" t="str">
        <f>IF(ISBLANK(Fixtures[[#This Row],[date]]), "N/A", IF(Fixtures[[#This Row],[userSide]]="H", Fixtures[[#This Row],[homeScore]], Fixtures[[#This Row],[awayScore]]))</f>
        <v>N/A</v>
      </c>
      <c r="AE1071" s="58" t="str">
        <f>IF(ISBLANK(Fixtures[[#This Row],[date]]), "N/A", IF(Fixtures[[#This Row],[userScore]] = Fixtures[[#This Row],[homeScore]], Fixtures[[#This Row],[awayScore]], Fixtures[[#This Row],[homeScore]]))</f>
        <v>N/A</v>
      </c>
      <c r="AF1071" s="58" t="b">
        <f>NOT(AND(ISBLANK(Fixtures[[#This Row],[homePens]]), ISBLANK(Fixtures[[#This Row],[awayPens]])))</f>
        <v>0</v>
      </c>
      <c r="AG1071" s="58" t="str">
        <f>IF(Fixtures[[#This Row],[penalties]], IF(Fixtures[[#This Row],[userSide]]="H", Fixtures[[#This Row],[homePens]], Fixtures[[#This Row],[awayPens]]), "N/A")</f>
        <v>N/A</v>
      </c>
      <c r="AH1071" s="58" t="str">
        <f>IF(Fixtures[[#This Row],[penalties]], IF(Fixtures[[#This Row],[userPens]]=Fixtures[[#This Row],[homePens]],Fixtures[[#This Row],[awayPens]],Fixtures[[#This Row],[homePens]]), "N/A")</f>
        <v>N/A</v>
      </c>
      <c r="AI1071" s="58" t="b">
        <f>COUNTBLANK(Fixtures[[#This Row],[G]:[MOTM]]) = 0</f>
        <v>0</v>
      </c>
      <c r="AJ1071" s="58" t="str">
        <f>IF(Fixtures[[#This Row],[APP]], Fixtures[[#This Row],[G]]+Fixtures[[#This Row],[A]], "N/A")</f>
        <v>N/A</v>
      </c>
      <c r="AK10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2" spans="1:39" ht="13">
      <c r="A1072" s="55"/>
      <c r="B1072" s="61"/>
      <c r="C1072" s="56"/>
      <c r="D1072" s="56"/>
      <c r="E1072" s="56"/>
      <c r="F1072" s="56"/>
      <c r="G1072" s="56"/>
      <c r="H1072" s="56"/>
      <c r="I1072" s="56"/>
      <c r="J1072" s="56"/>
      <c r="K1072" s="56"/>
      <c r="L1072" s="56"/>
      <c r="M1072" s="56"/>
      <c r="N1072" s="56"/>
      <c r="O1072" s="56"/>
      <c r="P1072" s="56"/>
      <c r="Q1072" s="57"/>
      <c r="R1072" s="56"/>
      <c r="S1072" s="58" t="str" cm="1">
        <f t="array" ref="S1072">_xlfn._xlws.FILTER(Competitions[compType], (Fixtures[[#This Row],[competition]] = Competitions[name]), "N/A")</f>
        <v>N/A</v>
      </c>
      <c r="T1072" s="58" t="str" cm="1">
        <f t="array" ref="T1072">_xlfn._xlws.FILTER(Competitions[exhibition], (Fixtures[[#This Row],[competition]] = Competitions[name]), "N/A")</f>
        <v>N/A</v>
      </c>
      <c r="U1072" s="58" t="str" cm="1">
        <f t="array" ref="U1072">_xlfn._xlws.FILTER(Competitions[compID], (Fixtures[[#This Row],[competition]] = Competitions[name]), "N/A")</f>
        <v>N/A</v>
      </c>
      <c r="V10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2" s="58" t="str" cm="1">
        <f t="array" ref="W10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2" s="58" t="str" cm="1">
        <f t="array" ref="X1072">_xlfn._xlws.FILTER(Teams[name], (Fixtures[[#This Row],[userTeamID]] = Teams[teamID]), "N/A")</f>
        <v>N/A</v>
      </c>
      <c r="Y1072" s="58" t="str" cm="1">
        <f t="array" ref="Y1072">_xlfn._xlws.FILTER(Teams[teamType], (Fixtures[[#This Row],[userTeamID]] = Teams[teamID]), "N/A")</f>
        <v>N/A</v>
      </c>
      <c r="Z1072" s="58" t="str" cm="1">
        <f t="array" ref="Z10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2" s="58" t="str">
        <f>IF(Fixtures[[#This Row],[userSide]] = "N/A", "N/A", IF(Fixtures[[#This Row],[userSide]] = "H", Fixtures[[#This Row],[awayTeam]], Fixtures[[#This Row],[homeTeam]]))</f>
        <v>N/A</v>
      </c>
      <c r="AB1072" s="58" t="str" cm="1">
        <f t="array" ref="AB1072">_xlfn._xlws.FILTER(Teams[teamID], Fixtures[[#This Row],[oppTeam]] = Teams[name], "N/A")</f>
        <v>N/A</v>
      </c>
      <c r="AC1072" s="58" t="str" cm="1">
        <f t="array" ref="AC1072">_xlfn._xlws.FILTER(Teams[teamType], Fixtures[[#This Row],[oppTeam]] = Teams[name], "N/A")</f>
        <v>N/A</v>
      </c>
      <c r="AD1072" s="58" t="str">
        <f>IF(ISBLANK(Fixtures[[#This Row],[date]]), "N/A", IF(Fixtures[[#This Row],[userSide]]="H", Fixtures[[#This Row],[homeScore]], Fixtures[[#This Row],[awayScore]]))</f>
        <v>N/A</v>
      </c>
      <c r="AE1072" s="58" t="str">
        <f>IF(ISBLANK(Fixtures[[#This Row],[date]]), "N/A", IF(Fixtures[[#This Row],[userScore]] = Fixtures[[#This Row],[homeScore]], Fixtures[[#This Row],[awayScore]], Fixtures[[#This Row],[homeScore]]))</f>
        <v>N/A</v>
      </c>
      <c r="AF1072" s="58" t="b">
        <f>NOT(AND(ISBLANK(Fixtures[[#This Row],[homePens]]), ISBLANK(Fixtures[[#This Row],[awayPens]])))</f>
        <v>0</v>
      </c>
      <c r="AG1072" s="58" t="str">
        <f>IF(Fixtures[[#This Row],[penalties]], IF(Fixtures[[#This Row],[userSide]]="H", Fixtures[[#This Row],[homePens]], Fixtures[[#This Row],[awayPens]]), "N/A")</f>
        <v>N/A</v>
      </c>
      <c r="AH1072" s="58" t="str">
        <f>IF(Fixtures[[#This Row],[penalties]], IF(Fixtures[[#This Row],[userPens]]=Fixtures[[#This Row],[homePens]],Fixtures[[#This Row],[awayPens]],Fixtures[[#This Row],[homePens]]), "N/A")</f>
        <v>N/A</v>
      </c>
      <c r="AI1072" s="58" t="b">
        <f>COUNTBLANK(Fixtures[[#This Row],[G]:[MOTM]]) = 0</f>
        <v>0</v>
      </c>
      <c r="AJ1072" s="58" t="str">
        <f>IF(Fixtures[[#This Row],[APP]], Fixtures[[#This Row],[G]]+Fixtures[[#This Row],[A]], "N/A")</f>
        <v>N/A</v>
      </c>
      <c r="AK10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3" spans="1:39" ht="13">
      <c r="A1073" s="55"/>
      <c r="B1073" s="61"/>
      <c r="C1073" s="56"/>
      <c r="D1073" s="56"/>
      <c r="E1073" s="56"/>
      <c r="F1073" s="56"/>
      <c r="G1073" s="56"/>
      <c r="H1073" s="56"/>
      <c r="I1073" s="56"/>
      <c r="J1073" s="56"/>
      <c r="K1073" s="56"/>
      <c r="L1073" s="56"/>
      <c r="M1073" s="56"/>
      <c r="N1073" s="56"/>
      <c r="O1073" s="56"/>
      <c r="P1073" s="56"/>
      <c r="Q1073" s="57"/>
      <c r="R1073" s="56"/>
      <c r="S1073" s="58" t="str" cm="1">
        <f t="array" ref="S1073">_xlfn._xlws.FILTER(Competitions[compType], (Fixtures[[#This Row],[competition]] = Competitions[name]), "N/A")</f>
        <v>N/A</v>
      </c>
      <c r="T1073" s="58" t="str" cm="1">
        <f t="array" ref="T1073">_xlfn._xlws.FILTER(Competitions[exhibition], (Fixtures[[#This Row],[competition]] = Competitions[name]), "N/A")</f>
        <v>N/A</v>
      </c>
      <c r="U1073" s="58" t="str" cm="1">
        <f t="array" ref="U1073">_xlfn._xlws.FILTER(Competitions[compID], (Fixtures[[#This Row],[competition]] = Competitions[name]), "N/A")</f>
        <v>N/A</v>
      </c>
      <c r="V10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3" s="58" t="str" cm="1">
        <f t="array" ref="W10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3" s="58" t="str" cm="1">
        <f t="array" ref="X1073">_xlfn._xlws.FILTER(Teams[name], (Fixtures[[#This Row],[userTeamID]] = Teams[teamID]), "N/A")</f>
        <v>N/A</v>
      </c>
      <c r="Y1073" s="58" t="str" cm="1">
        <f t="array" ref="Y1073">_xlfn._xlws.FILTER(Teams[teamType], (Fixtures[[#This Row],[userTeamID]] = Teams[teamID]), "N/A")</f>
        <v>N/A</v>
      </c>
      <c r="Z1073" s="58" t="str" cm="1">
        <f t="array" ref="Z10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3" s="58" t="str">
        <f>IF(Fixtures[[#This Row],[userSide]] = "N/A", "N/A", IF(Fixtures[[#This Row],[userSide]] = "H", Fixtures[[#This Row],[awayTeam]], Fixtures[[#This Row],[homeTeam]]))</f>
        <v>N/A</v>
      </c>
      <c r="AB1073" s="58" t="str" cm="1">
        <f t="array" ref="AB1073">_xlfn._xlws.FILTER(Teams[teamID], Fixtures[[#This Row],[oppTeam]] = Teams[name], "N/A")</f>
        <v>N/A</v>
      </c>
      <c r="AC1073" s="58" t="str" cm="1">
        <f t="array" ref="AC1073">_xlfn._xlws.FILTER(Teams[teamType], Fixtures[[#This Row],[oppTeam]] = Teams[name], "N/A")</f>
        <v>N/A</v>
      </c>
      <c r="AD1073" s="58" t="str">
        <f>IF(ISBLANK(Fixtures[[#This Row],[date]]), "N/A", IF(Fixtures[[#This Row],[userSide]]="H", Fixtures[[#This Row],[homeScore]], Fixtures[[#This Row],[awayScore]]))</f>
        <v>N/A</v>
      </c>
      <c r="AE1073" s="58" t="str">
        <f>IF(ISBLANK(Fixtures[[#This Row],[date]]), "N/A", IF(Fixtures[[#This Row],[userScore]] = Fixtures[[#This Row],[homeScore]], Fixtures[[#This Row],[awayScore]], Fixtures[[#This Row],[homeScore]]))</f>
        <v>N/A</v>
      </c>
      <c r="AF1073" s="58" t="b">
        <f>NOT(AND(ISBLANK(Fixtures[[#This Row],[homePens]]), ISBLANK(Fixtures[[#This Row],[awayPens]])))</f>
        <v>0</v>
      </c>
      <c r="AG1073" s="58" t="str">
        <f>IF(Fixtures[[#This Row],[penalties]], IF(Fixtures[[#This Row],[userSide]]="H", Fixtures[[#This Row],[homePens]], Fixtures[[#This Row],[awayPens]]), "N/A")</f>
        <v>N/A</v>
      </c>
      <c r="AH1073" s="58" t="str">
        <f>IF(Fixtures[[#This Row],[penalties]], IF(Fixtures[[#This Row],[userPens]]=Fixtures[[#This Row],[homePens]],Fixtures[[#This Row],[awayPens]],Fixtures[[#This Row],[homePens]]), "N/A")</f>
        <v>N/A</v>
      </c>
      <c r="AI1073" s="58" t="b">
        <f>COUNTBLANK(Fixtures[[#This Row],[G]:[MOTM]]) = 0</f>
        <v>0</v>
      </c>
      <c r="AJ1073" s="58" t="str">
        <f>IF(Fixtures[[#This Row],[APP]], Fixtures[[#This Row],[G]]+Fixtures[[#This Row],[A]], "N/A")</f>
        <v>N/A</v>
      </c>
      <c r="AK10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4" spans="1:39" ht="13">
      <c r="A1074" s="55"/>
      <c r="B1074" s="61"/>
      <c r="C1074" s="56"/>
      <c r="D1074" s="56"/>
      <c r="E1074" s="56"/>
      <c r="F1074" s="56"/>
      <c r="G1074" s="56"/>
      <c r="H1074" s="56"/>
      <c r="I1074" s="56"/>
      <c r="J1074" s="56"/>
      <c r="K1074" s="56"/>
      <c r="L1074" s="56"/>
      <c r="M1074" s="56"/>
      <c r="N1074" s="56"/>
      <c r="O1074" s="56"/>
      <c r="P1074" s="56"/>
      <c r="Q1074" s="57"/>
      <c r="R1074" s="56"/>
      <c r="S1074" s="58" t="str" cm="1">
        <f t="array" ref="S1074">_xlfn._xlws.FILTER(Competitions[compType], (Fixtures[[#This Row],[competition]] = Competitions[name]), "N/A")</f>
        <v>N/A</v>
      </c>
      <c r="T1074" s="58" t="str" cm="1">
        <f t="array" ref="T1074">_xlfn._xlws.FILTER(Competitions[exhibition], (Fixtures[[#This Row],[competition]] = Competitions[name]), "N/A")</f>
        <v>N/A</v>
      </c>
      <c r="U1074" s="58" t="str" cm="1">
        <f t="array" ref="U1074">_xlfn._xlws.FILTER(Competitions[compID], (Fixtures[[#This Row],[competition]] = Competitions[name]), "N/A")</f>
        <v>N/A</v>
      </c>
      <c r="V10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4" s="58" t="str" cm="1">
        <f t="array" ref="W10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4" s="58" t="str" cm="1">
        <f t="array" ref="X1074">_xlfn._xlws.FILTER(Teams[name], (Fixtures[[#This Row],[userTeamID]] = Teams[teamID]), "N/A")</f>
        <v>N/A</v>
      </c>
      <c r="Y1074" s="58" t="str" cm="1">
        <f t="array" ref="Y1074">_xlfn._xlws.FILTER(Teams[teamType], (Fixtures[[#This Row],[userTeamID]] = Teams[teamID]), "N/A")</f>
        <v>N/A</v>
      </c>
      <c r="Z1074" s="58" t="str" cm="1">
        <f t="array" ref="Z10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4" s="58" t="str">
        <f>IF(Fixtures[[#This Row],[userSide]] = "N/A", "N/A", IF(Fixtures[[#This Row],[userSide]] = "H", Fixtures[[#This Row],[awayTeam]], Fixtures[[#This Row],[homeTeam]]))</f>
        <v>N/A</v>
      </c>
      <c r="AB1074" s="58" t="str" cm="1">
        <f t="array" ref="AB1074">_xlfn._xlws.FILTER(Teams[teamID], Fixtures[[#This Row],[oppTeam]] = Teams[name], "N/A")</f>
        <v>N/A</v>
      </c>
      <c r="AC1074" s="58" t="str" cm="1">
        <f t="array" ref="AC1074">_xlfn._xlws.FILTER(Teams[teamType], Fixtures[[#This Row],[oppTeam]] = Teams[name], "N/A")</f>
        <v>N/A</v>
      </c>
      <c r="AD1074" s="58" t="str">
        <f>IF(ISBLANK(Fixtures[[#This Row],[date]]), "N/A", IF(Fixtures[[#This Row],[userSide]]="H", Fixtures[[#This Row],[homeScore]], Fixtures[[#This Row],[awayScore]]))</f>
        <v>N/A</v>
      </c>
      <c r="AE1074" s="58" t="str">
        <f>IF(ISBLANK(Fixtures[[#This Row],[date]]), "N/A", IF(Fixtures[[#This Row],[userScore]] = Fixtures[[#This Row],[homeScore]], Fixtures[[#This Row],[awayScore]], Fixtures[[#This Row],[homeScore]]))</f>
        <v>N/A</v>
      </c>
      <c r="AF1074" s="58" t="b">
        <f>NOT(AND(ISBLANK(Fixtures[[#This Row],[homePens]]), ISBLANK(Fixtures[[#This Row],[awayPens]])))</f>
        <v>0</v>
      </c>
      <c r="AG1074" s="58" t="str">
        <f>IF(Fixtures[[#This Row],[penalties]], IF(Fixtures[[#This Row],[userSide]]="H", Fixtures[[#This Row],[homePens]], Fixtures[[#This Row],[awayPens]]), "N/A")</f>
        <v>N/A</v>
      </c>
      <c r="AH1074" s="58" t="str">
        <f>IF(Fixtures[[#This Row],[penalties]], IF(Fixtures[[#This Row],[userPens]]=Fixtures[[#This Row],[homePens]],Fixtures[[#This Row],[awayPens]],Fixtures[[#This Row],[homePens]]), "N/A")</f>
        <v>N/A</v>
      </c>
      <c r="AI1074" s="58" t="b">
        <f>COUNTBLANK(Fixtures[[#This Row],[G]:[MOTM]]) = 0</f>
        <v>0</v>
      </c>
      <c r="AJ1074" s="58" t="str">
        <f>IF(Fixtures[[#This Row],[APP]], Fixtures[[#This Row],[G]]+Fixtures[[#This Row],[A]], "N/A")</f>
        <v>N/A</v>
      </c>
      <c r="AK10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5" spans="1:39" ht="13">
      <c r="A1075" s="55"/>
      <c r="B1075" s="61"/>
      <c r="C1075" s="56"/>
      <c r="D1075" s="56"/>
      <c r="E1075" s="56"/>
      <c r="F1075" s="56"/>
      <c r="G1075" s="56"/>
      <c r="H1075" s="56"/>
      <c r="I1075" s="56"/>
      <c r="J1075" s="56"/>
      <c r="K1075" s="56"/>
      <c r="L1075" s="56"/>
      <c r="M1075" s="56"/>
      <c r="N1075" s="56"/>
      <c r="O1075" s="56"/>
      <c r="P1075" s="56"/>
      <c r="Q1075" s="57"/>
      <c r="R1075" s="56"/>
      <c r="S1075" s="58" t="str" cm="1">
        <f t="array" ref="S1075">_xlfn._xlws.FILTER(Competitions[compType], (Fixtures[[#This Row],[competition]] = Competitions[name]), "N/A")</f>
        <v>N/A</v>
      </c>
      <c r="T1075" s="58" t="str" cm="1">
        <f t="array" ref="T1075">_xlfn._xlws.FILTER(Competitions[exhibition], (Fixtures[[#This Row],[competition]] = Competitions[name]), "N/A")</f>
        <v>N/A</v>
      </c>
      <c r="U1075" s="58" t="str" cm="1">
        <f t="array" ref="U1075">_xlfn._xlws.FILTER(Competitions[compID], (Fixtures[[#This Row],[competition]] = Competitions[name]), "N/A")</f>
        <v>N/A</v>
      </c>
      <c r="V10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5" s="58" t="str" cm="1">
        <f t="array" ref="W10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5" s="58" t="str" cm="1">
        <f t="array" ref="X1075">_xlfn._xlws.FILTER(Teams[name], (Fixtures[[#This Row],[userTeamID]] = Teams[teamID]), "N/A")</f>
        <v>N/A</v>
      </c>
      <c r="Y1075" s="58" t="str" cm="1">
        <f t="array" ref="Y1075">_xlfn._xlws.FILTER(Teams[teamType], (Fixtures[[#This Row],[userTeamID]] = Teams[teamID]), "N/A")</f>
        <v>N/A</v>
      </c>
      <c r="Z1075" s="58" t="str" cm="1">
        <f t="array" ref="Z10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5" s="58" t="str">
        <f>IF(Fixtures[[#This Row],[userSide]] = "N/A", "N/A", IF(Fixtures[[#This Row],[userSide]] = "H", Fixtures[[#This Row],[awayTeam]], Fixtures[[#This Row],[homeTeam]]))</f>
        <v>N/A</v>
      </c>
      <c r="AB1075" s="58" t="str" cm="1">
        <f t="array" ref="AB1075">_xlfn._xlws.FILTER(Teams[teamID], Fixtures[[#This Row],[oppTeam]] = Teams[name], "N/A")</f>
        <v>N/A</v>
      </c>
      <c r="AC1075" s="58" t="str" cm="1">
        <f t="array" ref="AC1075">_xlfn._xlws.FILTER(Teams[teamType], Fixtures[[#This Row],[oppTeam]] = Teams[name], "N/A")</f>
        <v>N/A</v>
      </c>
      <c r="AD1075" s="58" t="str">
        <f>IF(ISBLANK(Fixtures[[#This Row],[date]]), "N/A", IF(Fixtures[[#This Row],[userSide]]="H", Fixtures[[#This Row],[homeScore]], Fixtures[[#This Row],[awayScore]]))</f>
        <v>N/A</v>
      </c>
      <c r="AE1075" s="58" t="str">
        <f>IF(ISBLANK(Fixtures[[#This Row],[date]]), "N/A", IF(Fixtures[[#This Row],[userScore]] = Fixtures[[#This Row],[homeScore]], Fixtures[[#This Row],[awayScore]], Fixtures[[#This Row],[homeScore]]))</f>
        <v>N/A</v>
      </c>
      <c r="AF1075" s="58" t="b">
        <f>NOT(AND(ISBLANK(Fixtures[[#This Row],[homePens]]), ISBLANK(Fixtures[[#This Row],[awayPens]])))</f>
        <v>0</v>
      </c>
      <c r="AG1075" s="58" t="str">
        <f>IF(Fixtures[[#This Row],[penalties]], IF(Fixtures[[#This Row],[userSide]]="H", Fixtures[[#This Row],[homePens]], Fixtures[[#This Row],[awayPens]]), "N/A")</f>
        <v>N/A</v>
      </c>
      <c r="AH1075" s="58" t="str">
        <f>IF(Fixtures[[#This Row],[penalties]], IF(Fixtures[[#This Row],[userPens]]=Fixtures[[#This Row],[homePens]],Fixtures[[#This Row],[awayPens]],Fixtures[[#This Row],[homePens]]), "N/A")</f>
        <v>N/A</v>
      </c>
      <c r="AI1075" s="58" t="b">
        <f>COUNTBLANK(Fixtures[[#This Row],[G]:[MOTM]]) = 0</f>
        <v>0</v>
      </c>
      <c r="AJ1075" s="58" t="str">
        <f>IF(Fixtures[[#This Row],[APP]], Fixtures[[#This Row],[G]]+Fixtures[[#This Row],[A]], "N/A")</f>
        <v>N/A</v>
      </c>
      <c r="AK10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6" spans="1:39" ht="13">
      <c r="A1076" s="55"/>
      <c r="B1076" s="61"/>
      <c r="C1076" s="56"/>
      <c r="D1076" s="56"/>
      <c r="E1076" s="56"/>
      <c r="F1076" s="56"/>
      <c r="G1076" s="56"/>
      <c r="H1076" s="56"/>
      <c r="I1076" s="56"/>
      <c r="J1076" s="56"/>
      <c r="K1076" s="56"/>
      <c r="L1076" s="56"/>
      <c r="M1076" s="56"/>
      <c r="N1076" s="56"/>
      <c r="O1076" s="56"/>
      <c r="P1076" s="56"/>
      <c r="Q1076" s="57"/>
      <c r="R1076" s="56"/>
      <c r="S1076" s="58" t="str" cm="1">
        <f t="array" ref="S1076">_xlfn._xlws.FILTER(Competitions[compType], (Fixtures[[#This Row],[competition]] = Competitions[name]), "N/A")</f>
        <v>N/A</v>
      </c>
      <c r="T1076" s="58" t="str" cm="1">
        <f t="array" ref="T1076">_xlfn._xlws.FILTER(Competitions[exhibition], (Fixtures[[#This Row],[competition]] = Competitions[name]), "N/A")</f>
        <v>N/A</v>
      </c>
      <c r="U1076" s="58" t="str" cm="1">
        <f t="array" ref="U1076">_xlfn._xlws.FILTER(Competitions[compID], (Fixtures[[#This Row],[competition]] = Competitions[name]), "N/A")</f>
        <v>N/A</v>
      </c>
      <c r="V10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6" s="58" t="str" cm="1">
        <f t="array" ref="W10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6" s="58" t="str" cm="1">
        <f t="array" ref="X1076">_xlfn._xlws.FILTER(Teams[name], (Fixtures[[#This Row],[userTeamID]] = Teams[teamID]), "N/A")</f>
        <v>N/A</v>
      </c>
      <c r="Y1076" s="58" t="str" cm="1">
        <f t="array" ref="Y1076">_xlfn._xlws.FILTER(Teams[teamType], (Fixtures[[#This Row],[userTeamID]] = Teams[teamID]), "N/A")</f>
        <v>N/A</v>
      </c>
      <c r="Z1076" s="58" t="str" cm="1">
        <f t="array" ref="Z10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6" s="58" t="str">
        <f>IF(Fixtures[[#This Row],[userSide]] = "N/A", "N/A", IF(Fixtures[[#This Row],[userSide]] = "H", Fixtures[[#This Row],[awayTeam]], Fixtures[[#This Row],[homeTeam]]))</f>
        <v>N/A</v>
      </c>
      <c r="AB1076" s="58" t="str" cm="1">
        <f t="array" ref="AB1076">_xlfn._xlws.FILTER(Teams[teamID], Fixtures[[#This Row],[oppTeam]] = Teams[name], "N/A")</f>
        <v>N/A</v>
      </c>
      <c r="AC1076" s="58" t="str" cm="1">
        <f t="array" ref="AC1076">_xlfn._xlws.FILTER(Teams[teamType], Fixtures[[#This Row],[oppTeam]] = Teams[name], "N/A")</f>
        <v>N/A</v>
      </c>
      <c r="AD1076" s="58" t="str">
        <f>IF(ISBLANK(Fixtures[[#This Row],[date]]), "N/A", IF(Fixtures[[#This Row],[userSide]]="H", Fixtures[[#This Row],[homeScore]], Fixtures[[#This Row],[awayScore]]))</f>
        <v>N/A</v>
      </c>
      <c r="AE1076" s="58" t="str">
        <f>IF(ISBLANK(Fixtures[[#This Row],[date]]), "N/A", IF(Fixtures[[#This Row],[userScore]] = Fixtures[[#This Row],[homeScore]], Fixtures[[#This Row],[awayScore]], Fixtures[[#This Row],[homeScore]]))</f>
        <v>N/A</v>
      </c>
      <c r="AF1076" s="58" t="b">
        <f>NOT(AND(ISBLANK(Fixtures[[#This Row],[homePens]]), ISBLANK(Fixtures[[#This Row],[awayPens]])))</f>
        <v>0</v>
      </c>
      <c r="AG1076" s="58" t="str">
        <f>IF(Fixtures[[#This Row],[penalties]], IF(Fixtures[[#This Row],[userSide]]="H", Fixtures[[#This Row],[homePens]], Fixtures[[#This Row],[awayPens]]), "N/A")</f>
        <v>N/A</v>
      </c>
      <c r="AH1076" s="58" t="str">
        <f>IF(Fixtures[[#This Row],[penalties]], IF(Fixtures[[#This Row],[userPens]]=Fixtures[[#This Row],[homePens]],Fixtures[[#This Row],[awayPens]],Fixtures[[#This Row],[homePens]]), "N/A")</f>
        <v>N/A</v>
      </c>
      <c r="AI1076" s="58" t="b">
        <f>COUNTBLANK(Fixtures[[#This Row],[G]:[MOTM]]) = 0</f>
        <v>0</v>
      </c>
      <c r="AJ1076" s="58" t="str">
        <f>IF(Fixtures[[#This Row],[APP]], Fixtures[[#This Row],[G]]+Fixtures[[#This Row],[A]], "N/A")</f>
        <v>N/A</v>
      </c>
      <c r="AK10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7" spans="1:39" ht="13">
      <c r="A1077" s="55"/>
      <c r="B1077" s="61"/>
      <c r="C1077" s="56"/>
      <c r="D1077" s="56"/>
      <c r="E1077" s="56"/>
      <c r="F1077" s="56"/>
      <c r="G1077" s="56"/>
      <c r="H1077" s="56"/>
      <c r="I1077" s="56"/>
      <c r="J1077" s="56"/>
      <c r="K1077" s="56"/>
      <c r="L1077" s="56"/>
      <c r="M1077" s="56"/>
      <c r="N1077" s="56"/>
      <c r="O1077" s="56"/>
      <c r="P1077" s="56"/>
      <c r="Q1077" s="57"/>
      <c r="R1077" s="56"/>
      <c r="S1077" s="58" t="str" cm="1">
        <f t="array" ref="S1077">_xlfn._xlws.FILTER(Competitions[compType], (Fixtures[[#This Row],[competition]] = Competitions[name]), "N/A")</f>
        <v>N/A</v>
      </c>
      <c r="T1077" s="58" t="str" cm="1">
        <f t="array" ref="T1077">_xlfn._xlws.FILTER(Competitions[exhibition], (Fixtures[[#This Row],[competition]] = Competitions[name]), "N/A")</f>
        <v>N/A</v>
      </c>
      <c r="U1077" s="58" t="str" cm="1">
        <f t="array" ref="U1077">_xlfn._xlws.FILTER(Competitions[compID], (Fixtures[[#This Row],[competition]] = Competitions[name]), "N/A")</f>
        <v>N/A</v>
      </c>
      <c r="V10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7" s="58" t="str" cm="1">
        <f t="array" ref="W10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7" s="58" t="str" cm="1">
        <f t="array" ref="X1077">_xlfn._xlws.FILTER(Teams[name], (Fixtures[[#This Row],[userTeamID]] = Teams[teamID]), "N/A")</f>
        <v>N/A</v>
      </c>
      <c r="Y1077" s="58" t="str" cm="1">
        <f t="array" ref="Y1077">_xlfn._xlws.FILTER(Teams[teamType], (Fixtures[[#This Row],[userTeamID]] = Teams[teamID]), "N/A")</f>
        <v>N/A</v>
      </c>
      <c r="Z1077" s="58" t="str" cm="1">
        <f t="array" ref="Z10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7" s="58" t="str">
        <f>IF(Fixtures[[#This Row],[userSide]] = "N/A", "N/A", IF(Fixtures[[#This Row],[userSide]] = "H", Fixtures[[#This Row],[awayTeam]], Fixtures[[#This Row],[homeTeam]]))</f>
        <v>N/A</v>
      </c>
      <c r="AB1077" s="58" t="str" cm="1">
        <f t="array" ref="AB1077">_xlfn._xlws.FILTER(Teams[teamID], Fixtures[[#This Row],[oppTeam]] = Teams[name], "N/A")</f>
        <v>N/A</v>
      </c>
      <c r="AC1077" s="58" t="str" cm="1">
        <f t="array" ref="AC1077">_xlfn._xlws.FILTER(Teams[teamType], Fixtures[[#This Row],[oppTeam]] = Teams[name], "N/A")</f>
        <v>N/A</v>
      </c>
      <c r="AD1077" s="58" t="str">
        <f>IF(ISBLANK(Fixtures[[#This Row],[date]]), "N/A", IF(Fixtures[[#This Row],[userSide]]="H", Fixtures[[#This Row],[homeScore]], Fixtures[[#This Row],[awayScore]]))</f>
        <v>N/A</v>
      </c>
      <c r="AE1077" s="58" t="str">
        <f>IF(ISBLANK(Fixtures[[#This Row],[date]]), "N/A", IF(Fixtures[[#This Row],[userScore]] = Fixtures[[#This Row],[homeScore]], Fixtures[[#This Row],[awayScore]], Fixtures[[#This Row],[homeScore]]))</f>
        <v>N/A</v>
      </c>
      <c r="AF1077" s="58" t="b">
        <f>NOT(AND(ISBLANK(Fixtures[[#This Row],[homePens]]), ISBLANK(Fixtures[[#This Row],[awayPens]])))</f>
        <v>0</v>
      </c>
      <c r="AG1077" s="58" t="str">
        <f>IF(Fixtures[[#This Row],[penalties]], IF(Fixtures[[#This Row],[userSide]]="H", Fixtures[[#This Row],[homePens]], Fixtures[[#This Row],[awayPens]]), "N/A")</f>
        <v>N/A</v>
      </c>
      <c r="AH1077" s="58" t="str">
        <f>IF(Fixtures[[#This Row],[penalties]], IF(Fixtures[[#This Row],[userPens]]=Fixtures[[#This Row],[homePens]],Fixtures[[#This Row],[awayPens]],Fixtures[[#This Row],[homePens]]), "N/A")</f>
        <v>N/A</v>
      </c>
      <c r="AI1077" s="58" t="b">
        <f>COUNTBLANK(Fixtures[[#This Row],[G]:[MOTM]]) = 0</f>
        <v>0</v>
      </c>
      <c r="AJ1077" s="58" t="str">
        <f>IF(Fixtures[[#This Row],[APP]], Fixtures[[#This Row],[G]]+Fixtures[[#This Row],[A]], "N/A")</f>
        <v>N/A</v>
      </c>
      <c r="AK10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8" spans="1:39" ht="13">
      <c r="A1078" s="55"/>
      <c r="B1078" s="61"/>
      <c r="C1078" s="56"/>
      <c r="D1078" s="56"/>
      <c r="E1078" s="56"/>
      <c r="F1078" s="56"/>
      <c r="G1078" s="56"/>
      <c r="H1078" s="56"/>
      <c r="I1078" s="56"/>
      <c r="J1078" s="56"/>
      <c r="K1078" s="56"/>
      <c r="L1078" s="56"/>
      <c r="M1078" s="56"/>
      <c r="N1078" s="56"/>
      <c r="O1078" s="56"/>
      <c r="P1078" s="56"/>
      <c r="Q1078" s="57"/>
      <c r="R1078" s="56"/>
      <c r="S1078" s="58" t="str" cm="1">
        <f t="array" ref="S1078">_xlfn._xlws.FILTER(Competitions[compType], (Fixtures[[#This Row],[competition]] = Competitions[name]), "N/A")</f>
        <v>N/A</v>
      </c>
      <c r="T1078" s="58" t="str" cm="1">
        <f t="array" ref="T1078">_xlfn._xlws.FILTER(Competitions[exhibition], (Fixtures[[#This Row],[competition]] = Competitions[name]), "N/A")</f>
        <v>N/A</v>
      </c>
      <c r="U1078" s="58" t="str" cm="1">
        <f t="array" ref="U1078">_xlfn._xlws.FILTER(Competitions[compID], (Fixtures[[#This Row],[competition]] = Competitions[name]), "N/A")</f>
        <v>N/A</v>
      </c>
      <c r="V10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8" s="58" t="str" cm="1">
        <f t="array" ref="W10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8" s="58" t="str" cm="1">
        <f t="array" ref="X1078">_xlfn._xlws.FILTER(Teams[name], (Fixtures[[#This Row],[userTeamID]] = Teams[teamID]), "N/A")</f>
        <v>N/A</v>
      </c>
      <c r="Y1078" s="58" t="str" cm="1">
        <f t="array" ref="Y1078">_xlfn._xlws.FILTER(Teams[teamType], (Fixtures[[#This Row],[userTeamID]] = Teams[teamID]), "N/A")</f>
        <v>N/A</v>
      </c>
      <c r="Z1078" s="58" t="str" cm="1">
        <f t="array" ref="Z10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8" s="58" t="str">
        <f>IF(Fixtures[[#This Row],[userSide]] = "N/A", "N/A", IF(Fixtures[[#This Row],[userSide]] = "H", Fixtures[[#This Row],[awayTeam]], Fixtures[[#This Row],[homeTeam]]))</f>
        <v>N/A</v>
      </c>
      <c r="AB1078" s="58" t="str" cm="1">
        <f t="array" ref="AB1078">_xlfn._xlws.FILTER(Teams[teamID], Fixtures[[#This Row],[oppTeam]] = Teams[name], "N/A")</f>
        <v>N/A</v>
      </c>
      <c r="AC1078" s="58" t="str" cm="1">
        <f t="array" ref="AC1078">_xlfn._xlws.FILTER(Teams[teamType], Fixtures[[#This Row],[oppTeam]] = Teams[name], "N/A")</f>
        <v>N/A</v>
      </c>
      <c r="AD1078" s="58" t="str">
        <f>IF(ISBLANK(Fixtures[[#This Row],[date]]), "N/A", IF(Fixtures[[#This Row],[userSide]]="H", Fixtures[[#This Row],[homeScore]], Fixtures[[#This Row],[awayScore]]))</f>
        <v>N/A</v>
      </c>
      <c r="AE1078" s="58" t="str">
        <f>IF(ISBLANK(Fixtures[[#This Row],[date]]), "N/A", IF(Fixtures[[#This Row],[userScore]] = Fixtures[[#This Row],[homeScore]], Fixtures[[#This Row],[awayScore]], Fixtures[[#This Row],[homeScore]]))</f>
        <v>N/A</v>
      </c>
      <c r="AF1078" s="58" t="b">
        <f>NOT(AND(ISBLANK(Fixtures[[#This Row],[homePens]]), ISBLANK(Fixtures[[#This Row],[awayPens]])))</f>
        <v>0</v>
      </c>
      <c r="AG1078" s="58" t="str">
        <f>IF(Fixtures[[#This Row],[penalties]], IF(Fixtures[[#This Row],[userSide]]="H", Fixtures[[#This Row],[homePens]], Fixtures[[#This Row],[awayPens]]), "N/A")</f>
        <v>N/A</v>
      </c>
      <c r="AH1078" s="58" t="str">
        <f>IF(Fixtures[[#This Row],[penalties]], IF(Fixtures[[#This Row],[userPens]]=Fixtures[[#This Row],[homePens]],Fixtures[[#This Row],[awayPens]],Fixtures[[#This Row],[homePens]]), "N/A")</f>
        <v>N/A</v>
      </c>
      <c r="AI1078" s="58" t="b">
        <f>COUNTBLANK(Fixtures[[#This Row],[G]:[MOTM]]) = 0</f>
        <v>0</v>
      </c>
      <c r="AJ1078" s="58" t="str">
        <f>IF(Fixtures[[#This Row],[APP]], Fixtures[[#This Row],[G]]+Fixtures[[#This Row],[A]], "N/A")</f>
        <v>N/A</v>
      </c>
      <c r="AK10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79" spans="1:39" ht="13">
      <c r="A1079" s="55"/>
      <c r="B1079" s="61"/>
      <c r="C1079" s="56"/>
      <c r="D1079" s="56"/>
      <c r="E1079" s="56"/>
      <c r="F1079" s="56"/>
      <c r="G1079" s="56"/>
      <c r="H1079" s="56"/>
      <c r="I1079" s="56"/>
      <c r="J1079" s="56"/>
      <c r="K1079" s="56"/>
      <c r="L1079" s="56"/>
      <c r="M1079" s="56"/>
      <c r="N1079" s="56"/>
      <c r="O1079" s="56"/>
      <c r="P1079" s="56"/>
      <c r="Q1079" s="57"/>
      <c r="R1079" s="56"/>
      <c r="S1079" s="58" t="str" cm="1">
        <f t="array" ref="S1079">_xlfn._xlws.FILTER(Competitions[compType], (Fixtures[[#This Row],[competition]] = Competitions[name]), "N/A")</f>
        <v>N/A</v>
      </c>
      <c r="T1079" s="58" t="str" cm="1">
        <f t="array" ref="T1079">_xlfn._xlws.FILTER(Competitions[exhibition], (Fixtures[[#This Row],[competition]] = Competitions[name]), "N/A")</f>
        <v>N/A</v>
      </c>
      <c r="U1079" s="58" t="str" cm="1">
        <f t="array" ref="U1079">_xlfn._xlws.FILTER(Competitions[compID], (Fixtures[[#This Row],[competition]] = Competitions[name]), "N/A")</f>
        <v>N/A</v>
      </c>
      <c r="V10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79" s="58" t="str" cm="1">
        <f t="array" ref="W10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79" s="58" t="str" cm="1">
        <f t="array" ref="X1079">_xlfn._xlws.FILTER(Teams[name], (Fixtures[[#This Row],[userTeamID]] = Teams[teamID]), "N/A")</f>
        <v>N/A</v>
      </c>
      <c r="Y1079" s="58" t="str" cm="1">
        <f t="array" ref="Y1079">_xlfn._xlws.FILTER(Teams[teamType], (Fixtures[[#This Row],[userTeamID]] = Teams[teamID]), "N/A")</f>
        <v>N/A</v>
      </c>
      <c r="Z1079" s="58" t="str" cm="1">
        <f t="array" ref="Z10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79" s="58" t="str">
        <f>IF(Fixtures[[#This Row],[userSide]] = "N/A", "N/A", IF(Fixtures[[#This Row],[userSide]] = "H", Fixtures[[#This Row],[awayTeam]], Fixtures[[#This Row],[homeTeam]]))</f>
        <v>N/A</v>
      </c>
      <c r="AB1079" s="58" t="str" cm="1">
        <f t="array" ref="AB1079">_xlfn._xlws.FILTER(Teams[teamID], Fixtures[[#This Row],[oppTeam]] = Teams[name], "N/A")</f>
        <v>N/A</v>
      </c>
      <c r="AC1079" s="58" t="str" cm="1">
        <f t="array" ref="AC1079">_xlfn._xlws.FILTER(Teams[teamType], Fixtures[[#This Row],[oppTeam]] = Teams[name], "N/A")</f>
        <v>N/A</v>
      </c>
      <c r="AD1079" s="58" t="str">
        <f>IF(ISBLANK(Fixtures[[#This Row],[date]]), "N/A", IF(Fixtures[[#This Row],[userSide]]="H", Fixtures[[#This Row],[homeScore]], Fixtures[[#This Row],[awayScore]]))</f>
        <v>N/A</v>
      </c>
      <c r="AE1079" s="58" t="str">
        <f>IF(ISBLANK(Fixtures[[#This Row],[date]]), "N/A", IF(Fixtures[[#This Row],[userScore]] = Fixtures[[#This Row],[homeScore]], Fixtures[[#This Row],[awayScore]], Fixtures[[#This Row],[homeScore]]))</f>
        <v>N/A</v>
      </c>
      <c r="AF1079" s="58" t="b">
        <f>NOT(AND(ISBLANK(Fixtures[[#This Row],[homePens]]), ISBLANK(Fixtures[[#This Row],[awayPens]])))</f>
        <v>0</v>
      </c>
      <c r="AG1079" s="58" t="str">
        <f>IF(Fixtures[[#This Row],[penalties]], IF(Fixtures[[#This Row],[userSide]]="H", Fixtures[[#This Row],[homePens]], Fixtures[[#This Row],[awayPens]]), "N/A")</f>
        <v>N/A</v>
      </c>
      <c r="AH1079" s="58" t="str">
        <f>IF(Fixtures[[#This Row],[penalties]], IF(Fixtures[[#This Row],[userPens]]=Fixtures[[#This Row],[homePens]],Fixtures[[#This Row],[awayPens]],Fixtures[[#This Row],[homePens]]), "N/A")</f>
        <v>N/A</v>
      </c>
      <c r="AI1079" s="58" t="b">
        <f>COUNTBLANK(Fixtures[[#This Row],[G]:[MOTM]]) = 0</f>
        <v>0</v>
      </c>
      <c r="AJ1079" s="58" t="str">
        <f>IF(Fixtures[[#This Row],[APP]], Fixtures[[#This Row],[G]]+Fixtures[[#This Row],[A]], "N/A")</f>
        <v>N/A</v>
      </c>
      <c r="AK10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0" spans="1:39" ht="13">
      <c r="A1080" s="55"/>
      <c r="B1080" s="61"/>
      <c r="C1080" s="56"/>
      <c r="D1080" s="56"/>
      <c r="E1080" s="56"/>
      <c r="F1080" s="56"/>
      <c r="G1080" s="56"/>
      <c r="H1080" s="56"/>
      <c r="I1080" s="56"/>
      <c r="J1080" s="56"/>
      <c r="K1080" s="56"/>
      <c r="L1080" s="56"/>
      <c r="M1080" s="56"/>
      <c r="N1080" s="56"/>
      <c r="O1080" s="56"/>
      <c r="P1080" s="56"/>
      <c r="Q1080" s="57"/>
      <c r="R1080" s="56"/>
      <c r="S1080" s="58" t="str" cm="1">
        <f t="array" ref="S1080">_xlfn._xlws.FILTER(Competitions[compType], (Fixtures[[#This Row],[competition]] = Competitions[name]), "N/A")</f>
        <v>N/A</v>
      </c>
      <c r="T1080" s="58" t="str" cm="1">
        <f t="array" ref="T1080">_xlfn._xlws.FILTER(Competitions[exhibition], (Fixtures[[#This Row],[competition]] = Competitions[name]), "N/A")</f>
        <v>N/A</v>
      </c>
      <c r="U1080" s="58" t="str" cm="1">
        <f t="array" ref="U1080">_xlfn._xlws.FILTER(Competitions[compID], (Fixtures[[#This Row],[competition]] = Competitions[name]), "N/A")</f>
        <v>N/A</v>
      </c>
      <c r="V10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0" s="58" t="str" cm="1">
        <f t="array" ref="W10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0" s="58" t="str" cm="1">
        <f t="array" ref="X1080">_xlfn._xlws.FILTER(Teams[name], (Fixtures[[#This Row],[userTeamID]] = Teams[teamID]), "N/A")</f>
        <v>N/A</v>
      </c>
      <c r="Y1080" s="58" t="str" cm="1">
        <f t="array" ref="Y1080">_xlfn._xlws.FILTER(Teams[teamType], (Fixtures[[#This Row],[userTeamID]] = Teams[teamID]), "N/A")</f>
        <v>N/A</v>
      </c>
      <c r="Z1080" s="58" t="str" cm="1">
        <f t="array" ref="Z10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0" s="58" t="str">
        <f>IF(Fixtures[[#This Row],[userSide]] = "N/A", "N/A", IF(Fixtures[[#This Row],[userSide]] = "H", Fixtures[[#This Row],[awayTeam]], Fixtures[[#This Row],[homeTeam]]))</f>
        <v>N/A</v>
      </c>
      <c r="AB1080" s="58" t="str" cm="1">
        <f t="array" ref="AB1080">_xlfn._xlws.FILTER(Teams[teamID], Fixtures[[#This Row],[oppTeam]] = Teams[name], "N/A")</f>
        <v>N/A</v>
      </c>
      <c r="AC1080" s="58" t="str" cm="1">
        <f t="array" ref="AC1080">_xlfn._xlws.FILTER(Teams[teamType], Fixtures[[#This Row],[oppTeam]] = Teams[name], "N/A")</f>
        <v>N/A</v>
      </c>
      <c r="AD1080" s="58" t="str">
        <f>IF(ISBLANK(Fixtures[[#This Row],[date]]), "N/A", IF(Fixtures[[#This Row],[userSide]]="H", Fixtures[[#This Row],[homeScore]], Fixtures[[#This Row],[awayScore]]))</f>
        <v>N/A</v>
      </c>
      <c r="AE1080" s="58" t="str">
        <f>IF(ISBLANK(Fixtures[[#This Row],[date]]), "N/A", IF(Fixtures[[#This Row],[userScore]] = Fixtures[[#This Row],[homeScore]], Fixtures[[#This Row],[awayScore]], Fixtures[[#This Row],[homeScore]]))</f>
        <v>N/A</v>
      </c>
      <c r="AF1080" s="58" t="b">
        <f>NOT(AND(ISBLANK(Fixtures[[#This Row],[homePens]]), ISBLANK(Fixtures[[#This Row],[awayPens]])))</f>
        <v>0</v>
      </c>
      <c r="AG1080" s="58" t="str">
        <f>IF(Fixtures[[#This Row],[penalties]], IF(Fixtures[[#This Row],[userSide]]="H", Fixtures[[#This Row],[homePens]], Fixtures[[#This Row],[awayPens]]), "N/A")</f>
        <v>N/A</v>
      </c>
      <c r="AH1080" s="58" t="str">
        <f>IF(Fixtures[[#This Row],[penalties]], IF(Fixtures[[#This Row],[userPens]]=Fixtures[[#This Row],[homePens]],Fixtures[[#This Row],[awayPens]],Fixtures[[#This Row],[homePens]]), "N/A")</f>
        <v>N/A</v>
      </c>
      <c r="AI1080" s="58" t="b">
        <f>COUNTBLANK(Fixtures[[#This Row],[G]:[MOTM]]) = 0</f>
        <v>0</v>
      </c>
      <c r="AJ1080" s="58" t="str">
        <f>IF(Fixtures[[#This Row],[APP]], Fixtures[[#This Row],[G]]+Fixtures[[#This Row],[A]], "N/A")</f>
        <v>N/A</v>
      </c>
      <c r="AK10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1" spans="1:39" ht="13">
      <c r="A1081" s="55"/>
      <c r="B1081" s="61"/>
      <c r="C1081" s="56"/>
      <c r="D1081" s="56"/>
      <c r="E1081" s="56"/>
      <c r="F1081" s="56"/>
      <c r="G1081" s="56"/>
      <c r="H1081" s="56"/>
      <c r="I1081" s="56"/>
      <c r="J1081" s="56"/>
      <c r="K1081" s="56"/>
      <c r="L1081" s="56"/>
      <c r="M1081" s="56"/>
      <c r="N1081" s="56"/>
      <c r="O1081" s="56"/>
      <c r="P1081" s="56"/>
      <c r="Q1081" s="57"/>
      <c r="R1081" s="56"/>
      <c r="S1081" s="58" t="str" cm="1">
        <f t="array" ref="S1081">_xlfn._xlws.FILTER(Competitions[compType], (Fixtures[[#This Row],[competition]] = Competitions[name]), "N/A")</f>
        <v>N/A</v>
      </c>
      <c r="T1081" s="58" t="str" cm="1">
        <f t="array" ref="T1081">_xlfn._xlws.FILTER(Competitions[exhibition], (Fixtures[[#This Row],[competition]] = Competitions[name]), "N/A")</f>
        <v>N/A</v>
      </c>
      <c r="U1081" s="58" t="str" cm="1">
        <f t="array" ref="U1081">_xlfn._xlws.FILTER(Competitions[compID], (Fixtures[[#This Row],[competition]] = Competitions[name]), "N/A")</f>
        <v>N/A</v>
      </c>
      <c r="V10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1" s="58" t="str" cm="1">
        <f t="array" ref="W10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1" s="58" t="str" cm="1">
        <f t="array" ref="X1081">_xlfn._xlws.FILTER(Teams[name], (Fixtures[[#This Row],[userTeamID]] = Teams[teamID]), "N/A")</f>
        <v>N/A</v>
      </c>
      <c r="Y1081" s="58" t="str" cm="1">
        <f t="array" ref="Y1081">_xlfn._xlws.FILTER(Teams[teamType], (Fixtures[[#This Row],[userTeamID]] = Teams[teamID]), "N/A")</f>
        <v>N/A</v>
      </c>
      <c r="Z1081" s="58" t="str" cm="1">
        <f t="array" ref="Z10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1" s="58" t="str">
        <f>IF(Fixtures[[#This Row],[userSide]] = "N/A", "N/A", IF(Fixtures[[#This Row],[userSide]] = "H", Fixtures[[#This Row],[awayTeam]], Fixtures[[#This Row],[homeTeam]]))</f>
        <v>N/A</v>
      </c>
      <c r="AB1081" s="58" t="str" cm="1">
        <f t="array" ref="AB1081">_xlfn._xlws.FILTER(Teams[teamID], Fixtures[[#This Row],[oppTeam]] = Teams[name], "N/A")</f>
        <v>N/A</v>
      </c>
      <c r="AC1081" s="58" t="str" cm="1">
        <f t="array" ref="AC1081">_xlfn._xlws.FILTER(Teams[teamType], Fixtures[[#This Row],[oppTeam]] = Teams[name], "N/A")</f>
        <v>N/A</v>
      </c>
      <c r="AD1081" s="58" t="str">
        <f>IF(ISBLANK(Fixtures[[#This Row],[date]]), "N/A", IF(Fixtures[[#This Row],[userSide]]="H", Fixtures[[#This Row],[homeScore]], Fixtures[[#This Row],[awayScore]]))</f>
        <v>N/A</v>
      </c>
      <c r="AE1081" s="58" t="str">
        <f>IF(ISBLANK(Fixtures[[#This Row],[date]]), "N/A", IF(Fixtures[[#This Row],[userScore]] = Fixtures[[#This Row],[homeScore]], Fixtures[[#This Row],[awayScore]], Fixtures[[#This Row],[homeScore]]))</f>
        <v>N/A</v>
      </c>
      <c r="AF1081" s="58" t="b">
        <f>NOT(AND(ISBLANK(Fixtures[[#This Row],[homePens]]), ISBLANK(Fixtures[[#This Row],[awayPens]])))</f>
        <v>0</v>
      </c>
      <c r="AG1081" s="58" t="str">
        <f>IF(Fixtures[[#This Row],[penalties]], IF(Fixtures[[#This Row],[userSide]]="H", Fixtures[[#This Row],[homePens]], Fixtures[[#This Row],[awayPens]]), "N/A")</f>
        <v>N/A</v>
      </c>
      <c r="AH1081" s="58" t="str">
        <f>IF(Fixtures[[#This Row],[penalties]], IF(Fixtures[[#This Row],[userPens]]=Fixtures[[#This Row],[homePens]],Fixtures[[#This Row],[awayPens]],Fixtures[[#This Row],[homePens]]), "N/A")</f>
        <v>N/A</v>
      </c>
      <c r="AI1081" s="58" t="b">
        <f>COUNTBLANK(Fixtures[[#This Row],[G]:[MOTM]]) = 0</f>
        <v>0</v>
      </c>
      <c r="AJ1081" s="58" t="str">
        <f>IF(Fixtures[[#This Row],[APP]], Fixtures[[#This Row],[G]]+Fixtures[[#This Row],[A]], "N/A")</f>
        <v>N/A</v>
      </c>
      <c r="AK10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2" spans="1:39" ht="13">
      <c r="A1082" s="55"/>
      <c r="B1082" s="61"/>
      <c r="C1082" s="56"/>
      <c r="D1082" s="56"/>
      <c r="E1082" s="56"/>
      <c r="F1082" s="56"/>
      <c r="G1082" s="56"/>
      <c r="H1082" s="56"/>
      <c r="I1082" s="56"/>
      <c r="J1082" s="56"/>
      <c r="K1082" s="56"/>
      <c r="L1082" s="56"/>
      <c r="M1082" s="56"/>
      <c r="N1082" s="56"/>
      <c r="O1082" s="56"/>
      <c r="P1082" s="56"/>
      <c r="Q1082" s="57"/>
      <c r="R1082" s="56"/>
      <c r="S1082" s="58" t="str" cm="1">
        <f t="array" ref="S1082">_xlfn._xlws.FILTER(Competitions[compType], (Fixtures[[#This Row],[competition]] = Competitions[name]), "N/A")</f>
        <v>N/A</v>
      </c>
      <c r="T1082" s="58" t="str" cm="1">
        <f t="array" ref="T1082">_xlfn._xlws.FILTER(Competitions[exhibition], (Fixtures[[#This Row],[competition]] = Competitions[name]), "N/A")</f>
        <v>N/A</v>
      </c>
      <c r="U1082" s="58" t="str" cm="1">
        <f t="array" ref="U1082">_xlfn._xlws.FILTER(Competitions[compID], (Fixtures[[#This Row],[competition]] = Competitions[name]), "N/A")</f>
        <v>N/A</v>
      </c>
      <c r="V10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2" s="58" t="str" cm="1">
        <f t="array" ref="W10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2" s="58" t="str" cm="1">
        <f t="array" ref="X1082">_xlfn._xlws.FILTER(Teams[name], (Fixtures[[#This Row],[userTeamID]] = Teams[teamID]), "N/A")</f>
        <v>N/A</v>
      </c>
      <c r="Y1082" s="58" t="str" cm="1">
        <f t="array" ref="Y1082">_xlfn._xlws.FILTER(Teams[teamType], (Fixtures[[#This Row],[userTeamID]] = Teams[teamID]), "N/A")</f>
        <v>N/A</v>
      </c>
      <c r="Z1082" s="58" t="str" cm="1">
        <f t="array" ref="Z10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2" s="58" t="str">
        <f>IF(Fixtures[[#This Row],[userSide]] = "N/A", "N/A", IF(Fixtures[[#This Row],[userSide]] = "H", Fixtures[[#This Row],[awayTeam]], Fixtures[[#This Row],[homeTeam]]))</f>
        <v>N/A</v>
      </c>
      <c r="AB1082" s="58" t="str" cm="1">
        <f t="array" ref="AB1082">_xlfn._xlws.FILTER(Teams[teamID], Fixtures[[#This Row],[oppTeam]] = Teams[name], "N/A")</f>
        <v>N/A</v>
      </c>
      <c r="AC1082" s="58" t="str" cm="1">
        <f t="array" ref="AC1082">_xlfn._xlws.FILTER(Teams[teamType], Fixtures[[#This Row],[oppTeam]] = Teams[name], "N/A")</f>
        <v>N/A</v>
      </c>
      <c r="AD1082" s="58" t="str">
        <f>IF(ISBLANK(Fixtures[[#This Row],[date]]), "N/A", IF(Fixtures[[#This Row],[userSide]]="H", Fixtures[[#This Row],[homeScore]], Fixtures[[#This Row],[awayScore]]))</f>
        <v>N/A</v>
      </c>
      <c r="AE1082" s="58" t="str">
        <f>IF(ISBLANK(Fixtures[[#This Row],[date]]), "N/A", IF(Fixtures[[#This Row],[userScore]] = Fixtures[[#This Row],[homeScore]], Fixtures[[#This Row],[awayScore]], Fixtures[[#This Row],[homeScore]]))</f>
        <v>N/A</v>
      </c>
      <c r="AF1082" s="58" t="b">
        <f>NOT(AND(ISBLANK(Fixtures[[#This Row],[homePens]]), ISBLANK(Fixtures[[#This Row],[awayPens]])))</f>
        <v>0</v>
      </c>
      <c r="AG1082" s="58" t="str">
        <f>IF(Fixtures[[#This Row],[penalties]], IF(Fixtures[[#This Row],[userSide]]="H", Fixtures[[#This Row],[homePens]], Fixtures[[#This Row],[awayPens]]), "N/A")</f>
        <v>N/A</v>
      </c>
      <c r="AH1082" s="58" t="str">
        <f>IF(Fixtures[[#This Row],[penalties]], IF(Fixtures[[#This Row],[userPens]]=Fixtures[[#This Row],[homePens]],Fixtures[[#This Row],[awayPens]],Fixtures[[#This Row],[homePens]]), "N/A")</f>
        <v>N/A</v>
      </c>
      <c r="AI1082" s="58" t="b">
        <f>COUNTBLANK(Fixtures[[#This Row],[G]:[MOTM]]) = 0</f>
        <v>0</v>
      </c>
      <c r="AJ1082" s="58" t="str">
        <f>IF(Fixtures[[#This Row],[APP]], Fixtures[[#This Row],[G]]+Fixtures[[#This Row],[A]], "N/A")</f>
        <v>N/A</v>
      </c>
      <c r="AK10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3" spans="1:39" ht="13">
      <c r="A1083" s="55"/>
      <c r="B1083" s="61"/>
      <c r="C1083" s="56"/>
      <c r="D1083" s="56"/>
      <c r="E1083" s="56"/>
      <c r="F1083" s="56"/>
      <c r="G1083" s="56"/>
      <c r="H1083" s="56"/>
      <c r="I1083" s="56"/>
      <c r="J1083" s="56"/>
      <c r="K1083" s="56"/>
      <c r="L1083" s="56"/>
      <c r="M1083" s="56"/>
      <c r="N1083" s="56"/>
      <c r="O1083" s="56"/>
      <c r="P1083" s="56"/>
      <c r="Q1083" s="57"/>
      <c r="R1083" s="56"/>
      <c r="S1083" s="58" t="str" cm="1">
        <f t="array" ref="S1083">_xlfn._xlws.FILTER(Competitions[compType], (Fixtures[[#This Row],[competition]] = Competitions[name]), "N/A")</f>
        <v>N/A</v>
      </c>
      <c r="T1083" s="58" t="str" cm="1">
        <f t="array" ref="T1083">_xlfn._xlws.FILTER(Competitions[exhibition], (Fixtures[[#This Row],[competition]] = Competitions[name]), "N/A")</f>
        <v>N/A</v>
      </c>
      <c r="U1083" s="58" t="str" cm="1">
        <f t="array" ref="U1083">_xlfn._xlws.FILTER(Competitions[compID], (Fixtures[[#This Row],[competition]] = Competitions[name]), "N/A")</f>
        <v>N/A</v>
      </c>
      <c r="V10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3" s="58" t="str" cm="1">
        <f t="array" ref="W10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3" s="58" t="str" cm="1">
        <f t="array" ref="X1083">_xlfn._xlws.FILTER(Teams[name], (Fixtures[[#This Row],[userTeamID]] = Teams[teamID]), "N/A")</f>
        <v>N/A</v>
      </c>
      <c r="Y1083" s="58" t="str" cm="1">
        <f t="array" ref="Y1083">_xlfn._xlws.FILTER(Teams[teamType], (Fixtures[[#This Row],[userTeamID]] = Teams[teamID]), "N/A")</f>
        <v>N/A</v>
      </c>
      <c r="Z1083" s="58" t="str" cm="1">
        <f t="array" ref="Z10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3" s="58" t="str">
        <f>IF(Fixtures[[#This Row],[userSide]] = "N/A", "N/A", IF(Fixtures[[#This Row],[userSide]] = "H", Fixtures[[#This Row],[awayTeam]], Fixtures[[#This Row],[homeTeam]]))</f>
        <v>N/A</v>
      </c>
      <c r="AB1083" s="58" t="str" cm="1">
        <f t="array" ref="AB1083">_xlfn._xlws.FILTER(Teams[teamID], Fixtures[[#This Row],[oppTeam]] = Teams[name], "N/A")</f>
        <v>N/A</v>
      </c>
      <c r="AC1083" s="58" t="str" cm="1">
        <f t="array" ref="AC1083">_xlfn._xlws.FILTER(Teams[teamType], Fixtures[[#This Row],[oppTeam]] = Teams[name], "N/A")</f>
        <v>N/A</v>
      </c>
      <c r="AD1083" s="58" t="str">
        <f>IF(ISBLANK(Fixtures[[#This Row],[date]]), "N/A", IF(Fixtures[[#This Row],[userSide]]="H", Fixtures[[#This Row],[homeScore]], Fixtures[[#This Row],[awayScore]]))</f>
        <v>N/A</v>
      </c>
      <c r="AE1083" s="58" t="str">
        <f>IF(ISBLANK(Fixtures[[#This Row],[date]]), "N/A", IF(Fixtures[[#This Row],[userScore]] = Fixtures[[#This Row],[homeScore]], Fixtures[[#This Row],[awayScore]], Fixtures[[#This Row],[homeScore]]))</f>
        <v>N/A</v>
      </c>
      <c r="AF1083" s="58" t="b">
        <f>NOT(AND(ISBLANK(Fixtures[[#This Row],[homePens]]), ISBLANK(Fixtures[[#This Row],[awayPens]])))</f>
        <v>0</v>
      </c>
      <c r="AG1083" s="58" t="str">
        <f>IF(Fixtures[[#This Row],[penalties]], IF(Fixtures[[#This Row],[userSide]]="H", Fixtures[[#This Row],[homePens]], Fixtures[[#This Row],[awayPens]]), "N/A")</f>
        <v>N/A</v>
      </c>
      <c r="AH1083" s="58" t="str">
        <f>IF(Fixtures[[#This Row],[penalties]], IF(Fixtures[[#This Row],[userPens]]=Fixtures[[#This Row],[homePens]],Fixtures[[#This Row],[awayPens]],Fixtures[[#This Row],[homePens]]), "N/A")</f>
        <v>N/A</v>
      </c>
      <c r="AI1083" s="58" t="b">
        <f>COUNTBLANK(Fixtures[[#This Row],[G]:[MOTM]]) = 0</f>
        <v>0</v>
      </c>
      <c r="AJ1083" s="58" t="str">
        <f>IF(Fixtures[[#This Row],[APP]], Fixtures[[#This Row],[G]]+Fixtures[[#This Row],[A]], "N/A")</f>
        <v>N/A</v>
      </c>
      <c r="AK10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4" spans="1:39" ht="13">
      <c r="A1084" s="55"/>
      <c r="B1084" s="61"/>
      <c r="C1084" s="56"/>
      <c r="D1084" s="56"/>
      <c r="E1084" s="56"/>
      <c r="F1084" s="56"/>
      <c r="G1084" s="56"/>
      <c r="H1084" s="56"/>
      <c r="I1084" s="56"/>
      <c r="J1084" s="56"/>
      <c r="K1084" s="56"/>
      <c r="L1084" s="56"/>
      <c r="M1084" s="56"/>
      <c r="N1084" s="56"/>
      <c r="O1084" s="56"/>
      <c r="P1084" s="56"/>
      <c r="Q1084" s="57"/>
      <c r="R1084" s="56"/>
      <c r="S1084" s="58" t="str" cm="1">
        <f t="array" ref="S1084">_xlfn._xlws.FILTER(Competitions[compType], (Fixtures[[#This Row],[competition]] = Competitions[name]), "N/A")</f>
        <v>N/A</v>
      </c>
      <c r="T1084" s="58" t="str" cm="1">
        <f t="array" ref="T1084">_xlfn._xlws.FILTER(Competitions[exhibition], (Fixtures[[#This Row],[competition]] = Competitions[name]), "N/A")</f>
        <v>N/A</v>
      </c>
      <c r="U1084" s="58" t="str" cm="1">
        <f t="array" ref="U1084">_xlfn._xlws.FILTER(Competitions[compID], (Fixtures[[#This Row],[competition]] = Competitions[name]), "N/A")</f>
        <v>N/A</v>
      </c>
      <c r="V10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4" s="58" t="str" cm="1">
        <f t="array" ref="W10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4" s="58" t="str" cm="1">
        <f t="array" ref="X1084">_xlfn._xlws.FILTER(Teams[name], (Fixtures[[#This Row],[userTeamID]] = Teams[teamID]), "N/A")</f>
        <v>N/A</v>
      </c>
      <c r="Y1084" s="58" t="str" cm="1">
        <f t="array" ref="Y1084">_xlfn._xlws.FILTER(Teams[teamType], (Fixtures[[#This Row],[userTeamID]] = Teams[teamID]), "N/A")</f>
        <v>N/A</v>
      </c>
      <c r="Z1084" s="58" t="str" cm="1">
        <f t="array" ref="Z10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4" s="58" t="str">
        <f>IF(Fixtures[[#This Row],[userSide]] = "N/A", "N/A", IF(Fixtures[[#This Row],[userSide]] = "H", Fixtures[[#This Row],[awayTeam]], Fixtures[[#This Row],[homeTeam]]))</f>
        <v>N/A</v>
      </c>
      <c r="AB1084" s="58" t="str" cm="1">
        <f t="array" ref="AB1084">_xlfn._xlws.FILTER(Teams[teamID], Fixtures[[#This Row],[oppTeam]] = Teams[name], "N/A")</f>
        <v>N/A</v>
      </c>
      <c r="AC1084" s="58" t="str" cm="1">
        <f t="array" ref="AC1084">_xlfn._xlws.FILTER(Teams[teamType], Fixtures[[#This Row],[oppTeam]] = Teams[name], "N/A")</f>
        <v>N/A</v>
      </c>
      <c r="AD1084" s="58" t="str">
        <f>IF(ISBLANK(Fixtures[[#This Row],[date]]), "N/A", IF(Fixtures[[#This Row],[userSide]]="H", Fixtures[[#This Row],[homeScore]], Fixtures[[#This Row],[awayScore]]))</f>
        <v>N/A</v>
      </c>
      <c r="AE1084" s="58" t="str">
        <f>IF(ISBLANK(Fixtures[[#This Row],[date]]), "N/A", IF(Fixtures[[#This Row],[userScore]] = Fixtures[[#This Row],[homeScore]], Fixtures[[#This Row],[awayScore]], Fixtures[[#This Row],[homeScore]]))</f>
        <v>N/A</v>
      </c>
      <c r="AF1084" s="58" t="b">
        <f>NOT(AND(ISBLANK(Fixtures[[#This Row],[homePens]]), ISBLANK(Fixtures[[#This Row],[awayPens]])))</f>
        <v>0</v>
      </c>
      <c r="AG1084" s="58" t="str">
        <f>IF(Fixtures[[#This Row],[penalties]], IF(Fixtures[[#This Row],[userSide]]="H", Fixtures[[#This Row],[homePens]], Fixtures[[#This Row],[awayPens]]), "N/A")</f>
        <v>N/A</v>
      </c>
      <c r="AH1084" s="58" t="str">
        <f>IF(Fixtures[[#This Row],[penalties]], IF(Fixtures[[#This Row],[userPens]]=Fixtures[[#This Row],[homePens]],Fixtures[[#This Row],[awayPens]],Fixtures[[#This Row],[homePens]]), "N/A")</f>
        <v>N/A</v>
      </c>
      <c r="AI1084" s="58" t="b">
        <f>COUNTBLANK(Fixtures[[#This Row],[G]:[MOTM]]) = 0</f>
        <v>0</v>
      </c>
      <c r="AJ1084" s="58" t="str">
        <f>IF(Fixtures[[#This Row],[APP]], Fixtures[[#This Row],[G]]+Fixtures[[#This Row],[A]], "N/A")</f>
        <v>N/A</v>
      </c>
      <c r="AK10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5" spans="1:39" ht="13">
      <c r="A1085" s="55"/>
      <c r="B1085" s="61"/>
      <c r="C1085" s="56"/>
      <c r="D1085" s="56"/>
      <c r="E1085" s="56"/>
      <c r="F1085" s="56"/>
      <c r="G1085" s="56"/>
      <c r="H1085" s="56"/>
      <c r="I1085" s="56"/>
      <c r="J1085" s="56"/>
      <c r="K1085" s="56"/>
      <c r="L1085" s="56"/>
      <c r="M1085" s="56"/>
      <c r="N1085" s="56"/>
      <c r="O1085" s="56"/>
      <c r="P1085" s="56"/>
      <c r="Q1085" s="57"/>
      <c r="R1085" s="56"/>
      <c r="S1085" s="58" t="str" cm="1">
        <f t="array" ref="S1085">_xlfn._xlws.FILTER(Competitions[compType], (Fixtures[[#This Row],[competition]] = Competitions[name]), "N/A")</f>
        <v>N/A</v>
      </c>
      <c r="T1085" s="58" t="str" cm="1">
        <f t="array" ref="T1085">_xlfn._xlws.FILTER(Competitions[exhibition], (Fixtures[[#This Row],[competition]] = Competitions[name]), "N/A")</f>
        <v>N/A</v>
      </c>
      <c r="U1085" s="58" t="str" cm="1">
        <f t="array" ref="U1085">_xlfn._xlws.FILTER(Competitions[compID], (Fixtures[[#This Row],[competition]] = Competitions[name]), "N/A")</f>
        <v>N/A</v>
      </c>
      <c r="V10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5" s="58" t="str" cm="1">
        <f t="array" ref="W10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5" s="58" t="str" cm="1">
        <f t="array" ref="X1085">_xlfn._xlws.FILTER(Teams[name], (Fixtures[[#This Row],[userTeamID]] = Teams[teamID]), "N/A")</f>
        <v>N/A</v>
      </c>
      <c r="Y1085" s="58" t="str" cm="1">
        <f t="array" ref="Y1085">_xlfn._xlws.FILTER(Teams[teamType], (Fixtures[[#This Row],[userTeamID]] = Teams[teamID]), "N/A")</f>
        <v>N/A</v>
      </c>
      <c r="Z1085" s="58" t="str" cm="1">
        <f t="array" ref="Z10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5" s="58" t="str">
        <f>IF(Fixtures[[#This Row],[userSide]] = "N/A", "N/A", IF(Fixtures[[#This Row],[userSide]] = "H", Fixtures[[#This Row],[awayTeam]], Fixtures[[#This Row],[homeTeam]]))</f>
        <v>N/A</v>
      </c>
      <c r="AB1085" s="58" t="str" cm="1">
        <f t="array" ref="AB1085">_xlfn._xlws.FILTER(Teams[teamID], Fixtures[[#This Row],[oppTeam]] = Teams[name], "N/A")</f>
        <v>N/A</v>
      </c>
      <c r="AC1085" s="58" t="str" cm="1">
        <f t="array" ref="AC1085">_xlfn._xlws.FILTER(Teams[teamType], Fixtures[[#This Row],[oppTeam]] = Teams[name], "N/A")</f>
        <v>N/A</v>
      </c>
      <c r="AD1085" s="58" t="str">
        <f>IF(ISBLANK(Fixtures[[#This Row],[date]]), "N/A", IF(Fixtures[[#This Row],[userSide]]="H", Fixtures[[#This Row],[homeScore]], Fixtures[[#This Row],[awayScore]]))</f>
        <v>N/A</v>
      </c>
      <c r="AE1085" s="58" t="str">
        <f>IF(ISBLANK(Fixtures[[#This Row],[date]]), "N/A", IF(Fixtures[[#This Row],[userScore]] = Fixtures[[#This Row],[homeScore]], Fixtures[[#This Row],[awayScore]], Fixtures[[#This Row],[homeScore]]))</f>
        <v>N/A</v>
      </c>
      <c r="AF1085" s="58" t="b">
        <f>NOT(AND(ISBLANK(Fixtures[[#This Row],[homePens]]), ISBLANK(Fixtures[[#This Row],[awayPens]])))</f>
        <v>0</v>
      </c>
      <c r="AG1085" s="58" t="str">
        <f>IF(Fixtures[[#This Row],[penalties]], IF(Fixtures[[#This Row],[userSide]]="H", Fixtures[[#This Row],[homePens]], Fixtures[[#This Row],[awayPens]]), "N/A")</f>
        <v>N/A</v>
      </c>
      <c r="AH1085" s="58" t="str">
        <f>IF(Fixtures[[#This Row],[penalties]], IF(Fixtures[[#This Row],[userPens]]=Fixtures[[#This Row],[homePens]],Fixtures[[#This Row],[awayPens]],Fixtures[[#This Row],[homePens]]), "N/A")</f>
        <v>N/A</v>
      </c>
      <c r="AI1085" s="58" t="b">
        <f>COUNTBLANK(Fixtures[[#This Row],[G]:[MOTM]]) = 0</f>
        <v>0</v>
      </c>
      <c r="AJ1085" s="58" t="str">
        <f>IF(Fixtures[[#This Row],[APP]], Fixtures[[#This Row],[G]]+Fixtures[[#This Row],[A]], "N/A")</f>
        <v>N/A</v>
      </c>
      <c r="AK10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6" spans="1:39" ht="13">
      <c r="A1086" s="55"/>
      <c r="B1086" s="61"/>
      <c r="C1086" s="56"/>
      <c r="D1086" s="56"/>
      <c r="E1086" s="56"/>
      <c r="F1086" s="56"/>
      <c r="G1086" s="56"/>
      <c r="H1086" s="56"/>
      <c r="I1086" s="56"/>
      <c r="J1086" s="56"/>
      <c r="K1086" s="56"/>
      <c r="L1086" s="56"/>
      <c r="M1086" s="56"/>
      <c r="N1086" s="56"/>
      <c r="O1086" s="56"/>
      <c r="P1086" s="56"/>
      <c r="Q1086" s="57"/>
      <c r="R1086" s="56"/>
      <c r="S1086" s="58" t="str" cm="1">
        <f t="array" ref="S1086">_xlfn._xlws.FILTER(Competitions[compType], (Fixtures[[#This Row],[competition]] = Competitions[name]), "N/A")</f>
        <v>N/A</v>
      </c>
      <c r="T1086" s="58" t="str" cm="1">
        <f t="array" ref="T1086">_xlfn._xlws.FILTER(Competitions[exhibition], (Fixtures[[#This Row],[competition]] = Competitions[name]), "N/A")</f>
        <v>N/A</v>
      </c>
      <c r="U1086" s="58" t="str" cm="1">
        <f t="array" ref="U1086">_xlfn._xlws.FILTER(Competitions[compID], (Fixtures[[#This Row],[competition]] = Competitions[name]), "N/A")</f>
        <v>N/A</v>
      </c>
      <c r="V10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6" s="58" t="str" cm="1">
        <f t="array" ref="W10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6" s="58" t="str" cm="1">
        <f t="array" ref="X1086">_xlfn._xlws.FILTER(Teams[name], (Fixtures[[#This Row],[userTeamID]] = Teams[teamID]), "N/A")</f>
        <v>N/A</v>
      </c>
      <c r="Y1086" s="58" t="str" cm="1">
        <f t="array" ref="Y1086">_xlfn._xlws.FILTER(Teams[teamType], (Fixtures[[#This Row],[userTeamID]] = Teams[teamID]), "N/A")</f>
        <v>N/A</v>
      </c>
      <c r="Z1086" s="58" t="str" cm="1">
        <f t="array" ref="Z10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6" s="58" t="str">
        <f>IF(Fixtures[[#This Row],[userSide]] = "N/A", "N/A", IF(Fixtures[[#This Row],[userSide]] = "H", Fixtures[[#This Row],[awayTeam]], Fixtures[[#This Row],[homeTeam]]))</f>
        <v>N/A</v>
      </c>
      <c r="AB1086" s="58" t="str" cm="1">
        <f t="array" ref="AB1086">_xlfn._xlws.FILTER(Teams[teamID], Fixtures[[#This Row],[oppTeam]] = Teams[name], "N/A")</f>
        <v>N/A</v>
      </c>
      <c r="AC1086" s="58" t="str" cm="1">
        <f t="array" ref="AC1086">_xlfn._xlws.FILTER(Teams[teamType], Fixtures[[#This Row],[oppTeam]] = Teams[name], "N/A")</f>
        <v>N/A</v>
      </c>
      <c r="AD1086" s="58" t="str">
        <f>IF(ISBLANK(Fixtures[[#This Row],[date]]), "N/A", IF(Fixtures[[#This Row],[userSide]]="H", Fixtures[[#This Row],[homeScore]], Fixtures[[#This Row],[awayScore]]))</f>
        <v>N/A</v>
      </c>
      <c r="AE1086" s="58" t="str">
        <f>IF(ISBLANK(Fixtures[[#This Row],[date]]), "N/A", IF(Fixtures[[#This Row],[userScore]] = Fixtures[[#This Row],[homeScore]], Fixtures[[#This Row],[awayScore]], Fixtures[[#This Row],[homeScore]]))</f>
        <v>N/A</v>
      </c>
      <c r="AF1086" s="58" t="b">
        <f>NOT(AND(ISBLANK(Fixtures[[#This Row],[homePens]]), ISBLANK(Fixtures[[#This Row],[awayPens]])))</f>
        <v>0</v>
      </c>
      <c r="AG1086" s="58" t="str">
        <f>IF(Fixtures[[#This Row],[penalties]], IF(Fixtures[[#This Row],[userSide]]="H", Fixtures[[#This Row],[homePens]], Fixtures[[#This Row],[awayPens]]), "N/A")</f>
        <v>N/A</v>
      </c>
      <c r="AH1086" s="58" t="str">
        <f>IF(Fixtures[[#This Row],[penalties]], IF(Fixtures[[#This Row],[userPens]]=Fixtures[[#This Row],[homePens]],Fixtures[[#This Row],[awayPens]],Fixtures[[#This Row],[homePens]]), "N/A")</f>
        <v>N/A</v>
      </c>
      <c r="AI1086" s="58" t="b">
        <f>COUNTBLANK(Fixtures[[#This Row],[G]:[MOTM]]) = 0</f>
        <v>0</v>
      </c>
      <c r="AJ1086" s="58" t="str">
        <f>IF(Fixtures[[#This Row],[APP]], Fixtures[[#This Row],[G]]+Fixtures[[#This Row],[A]], "N/A")</f>
        <v>N/A</v>
      </c>
      <c r="AK10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7" spans="1:39" ht="13">
      <c r="A1087" s="55"/>
      <c r="B1087" s="61"/>
      <c r="C1087" s="56"/>
      <c r="D1087" s="56"/>
      <c r="E1087" s="56"/>
      <c r="F1087" s="56"/>
      <c r="G1087" s="56"/>
      <c r="H1087" s="56"/>
      <c r="I1087" s="56"/>
      <c r="J1087" s="56"/>
      <c r="K1087" s="56"/>
      <c r="L1087" s="56"/>
      <c r="M1087" s="56"/>
      <c r="N1087" s="56"/>
      <c r="O1087" s="56"/>
      <c r="P1087" s="56"/>
      <c r="Q1087" s="57"/>
      <c r="R1087" s="56"/>
      <c r="S1087" s="58" t="str" cm="1">
        <f t="array" ref="S1087">_xlfn._xlws.FILTER(Competitions[compType], (Fixtures[[#This Row],[competition]] = Competitions[name]), "N/A")</f>
        <v>N/A</v>
      </c>
      <c r="T1087" s="58" t="str" cm="1">
        <f t="array" ref="T1087">_xlfn._xlws.FILTER(Competitions[exhibition], (Fixtures[[#This Row],[competition]] = Competitions[name]), "N/A")</f>
        <v>N/A</v>
      </c>
      <c r="U1087" s="58" t="str" cm="1">
        <f t="array" ref="U1087">_xlfn._xlws.FILTER(Competitions[compID], (Fixtures[[#This Row],[competition]] = Competitions[name]), "N/A")</f>
        <v>N/A</v>
      </c>
      <c r="V10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7" s="58" t="str" cm="1">
        <f t="array" ref="W10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7" s="58" t="str" cm="1">
        <f t="array" ref="X1087">_xlfn._xlws.FILTER(Teams[name], (Fixtures[[#This Row],[userTeamID]] = Teams[teamID]), "N/A")</f>
        <v>N/A</v>
      </c>
      <c r="Y1087" s="58" t="str" cm="1">
        <f t="array" ref="Y1087">_xlfn._xlws.FILTER(Teams[teamType], (Fixtures[[#This Row],[userTeamID]] = Teams[teamID]), "N/A")</f>
        <v>N/A</v>
      </c>
      <c r="Z1087" s="58" t="str" cm="1">
        <f t="array" ref="Z10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7" s="58" t="str">
        <f>IF(Fixtures[[#This Row],[userSide]] = "N/A", "N/A", IF(Fixtures[[#This Row],[userSide]] = "H", Fixtures[[#This Row],[awayTeam]], Fixtures[[#This Row],[homeTeam]]))</f>
        <v>N/A</v>
      </c>
      <c r="AB1087" s="58" t="str" cm="1">
        <f t="array" ref="AB1087">_xlfn._xlws.FILTER(Teams[teamID], Fixtures[[#This Row],[oppTeam]] = Teams[name], "N/A")</f>
        <v>N/A</v>
      </c>
      <c r="AC1087" s="58" t="str" cm="1">
        <f t="array" ref="AC1087">_xlfn._xlws.FILTER(Teams[teamType], Fixtures[[#This Row],[oppTeam]] = Teams[name], "N/A")</f>
        <v>N/A</v>
      </c>
      <c r="AD1087" s="58" t="str">
        <f>IF(ISBLANK(Fixtures[[#This Row],[date]]), "N/A", IF(Fixtures[[#This Row],[userSide]]="H", Fixtures[[#This Row],[homeScore]], Fixtures[[#This Row],[awayScore]]))</f>
        <v>N/A</v>
      </c>
      <c r="AE1087" s="58" t="str">
        <f>IF(ISBLANK(Fixtures[[#This Row],[date]]), "N/A", IF(Fixtures[[#This Row],[userScore]] = Fixtures[[#This Row],[homeScore]], Fixtures[[#This Row],[awayScore]], Fixtures[[#This Row],[homeScore]]))</f>
        <v>N/A</v>
      </c>
      <c r="AF1087" s="58" t="b">
        <f>NOT(AND(ISBLANK(Fixtures[[#This Row],[homePens]]), ISBLANK(Fixtures[[#This Row],[awayPens]])))</f>
        <v>0</v>
      </c>
      <c r="AG1087" s="58" t="str">
        <f>IF(Fixtures[[#This Row],[penalties]], IF(Fixtures[[#This Row],[userSide]]="H", Fixtures[[#This Row],[homePens]], Fixtures[[#This Row],[awayPens]]), "N/A")</f>
        <v>N/A</v>
      </c>
      <c r="AH1087" s="58" t="str">
        <f>IF(Fixtures[[#This Row],[penalties]], IF(Fixtures[[#This Row],[userPens]]=Fixtures[[#This Row],[homePens]],Fixtures[[#This Row],[awayPens]],Fixtures[[#This Row],[homePens]]), "N/A")</f>
        <v>N/A</v>
      </c>
      <c r="AI1087" s="58" t="b">
        <f>COUNTBLANK(Fixtures[[#This Row],[G]:[MOTM]]) = 0</f>
        <v>0</v>
      </c>
      <c r="AJ1087" s="58" t="str">
        <f>IF(Fixtures[[#This Row],[APP]], Fixtures[[#This Row],[G]]+Fixtures[[#This Row],[A]], "N/A")</f>
        <v>N/A</v>
      </c>
      <c r="AK10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8" spans="1:39" ht="13">
      <c r="A1088" s="55"/>
      <c r="B1088" s="61"/>
      <c r="C1088" s="56"/>
      <c r="D1088" s="56"/>
      <c r="E1088" s="56"/>
      <c r="F1088" s="56"/>
      <c r="G1088" s="56"/>
      <c r="H1088" s="56"/>
      <c r="I1088" s="56"/>
      <c r="J1088" s="56"/>
      <c r="K1088" s="56"/>
      <c r="L1088" s="56"/>
      <c r="M1088" s="56"/>
      <c r="N1088" s="56"/>
      <c r="O1088" s="56"/>
      <c r="P1088" s="56"/>
      <c r="Q1088" s="57"/>
      <c r="R1088" s="56"/>
      <c r="S1088" s="58" t="str" cm="1">
        <f t="array" ref="S1088">_xlfn._xlws.FILTER(Competitions[compType], (Fixtures[[#This Row],[competition]] = Competitions[name]), "N/A")</f>
        <v>N/A</v>
      </c>
      <c r="T1088" s="58" t="str" cm="1">
        <f t="array" ref="T1088">_xlfn._xlws.FILTER(Competitions[exhibition], (Fixtures[[#This Row],[competition]] = Competitions[name]), "N/A")</f>
        <v>N/A</v>
      </c>
      <c r="U1088" s="58" t="str" cm="1">
        <f t="array" ref="U1088">_xlfn._xlws.FILTER(Competitions[compID], (Fixtures[[#This Row],[competition]] = Competitions[name]), "N/A")</f>
        <v>N/A</v>
      </c>
      <c r="V10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8" s="58" t="str" cm="1">
        <f t="array" ref="W10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8" s="58" t="str" cm="1">
        <f t="array" ref="X1088">_xlfn._xlws.FILTER(Teams[name], (Fixtures[[#This Row],[userTeamID]] = Teams[teamID]), "N/A")</f>
        <v>N/A</v>
      </c>
      <c r="Y1088" s="58" t="str" cm="1">
        <f t="array" ref="Y1088">_xlfn._xlws.FILTER(Teams[teamType], (Fixtures[[#This Row],[userTeamID]] = Teams[teamID]), "N/A")</f>
        <v>N/A</v>
      </c>
      <c r="Z1088" s="58" t="str" cm="1">
        <f t="array" ref="Z10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8" s="58" t="str">
        <f>IF(Fixtures[[#This Row],[userSide]] = "N/A", "N/A", IF(Fixtures[[#This Row],[userSide]] = "H", Fixtures[[#This Row],[awayTeam]], Fixtures[[#This Row],[homeTeam]]))</f>
        <v>N/A</v>
      </c>
      <c r="AB1088" s="58" t="str" cm="1">
        <f t="array" ref="AB1088">_xlfn._xlws.FILTER(Teams[teamID], Fixtures[[#This Row],[oppTeam]] = Teams[name], "N/A")</f>
        <v>N/A</v>
      </c>
      <c r="AC1088" s="58" t="str" cm="1">
        <f t="array" ref="AC1088">_xlfn._xlws.FILTER(Teams[teamType], Fixtures[[#This Row],[oppTeam]] = Teams[name], "N/A")</f>
        <v>N/A</v>
      </c>
      <c r="AD1088" s="58" t="str">
        <f>IF(ISBLANK(Fixtures[[#This Row],[date]]), "N/A", IF(Fixtures[[#This Row],[userSide]]="H", Fixtures[[#This Row],[homeScore]], Fixtures[[#This Row],[awayScore]]))</f>
        <v>N/A</v>
      </c>
      <c r="AE1088" s="58" t="str">
        <f>IF(ISBLANK(Fixtures[[#This Row],[date]]), "N/A", IF(Fixtures[[#This Row],[userScore]] = Fixtures[[#This Row],[homeScore]], Fixtures[[#This Row],[awayScore]], Fixtures[[#This Row],[homeScore]]))</f>
        <v>N/A</v>
      </c>
      <c r="AF1088" s="58" t="b">
        <f>NOT(AND(ISBLANK(Fixtures[[#This Row],[homePens]]), ISBLANK(Fixtures[[#This Row],[awayPens]])))</f>
        <v>0</v>
      </c>
      <c r="AG1088" s="58" t="str">
        <f>IF(Fixtures[[#This Row],[penalties]], IF(Fixtures[[#This Row],[userSide]]="H", Fixtures[[#This Row],[homePens]], Fixtures[[#This Row],[awayPens]]), "N/A")</f>
        <v>N/A</v>
      </c>
      <c r="AH1088" s="58" t="str">
        <f>IF(Fixtures[[#This Row],[penalties]], IF(Fixtures[[#This Row],[userPens]]=Fixtures[[#This Row],[homePens]],Fixtures[[#This Row],[awayPens]],Fixtures[[#This Row],[homePens]]), "N/A")</f>
        <v>N/A</v>
      </c>
      <c r="AI1088" s="58" t="b">
        <f>COUNTBLANK(Fixtures[[#This Row],[G]:[MOTM]]) = 0</f>
        <v>0</v>
      </c>
      <c r="AJ1088" s="58" t="str">
        <f>IF(Fixtures[[#This Row],[APP]], Fixtures[[#This Row],[G]]+Fixtures[[#This Row],[A]], "N/A")</f>
        <v>N/A</v>
      </c>
      <c r="AK10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89" spans="1:39" ht="13">
      <c r="A1089" s="55"/>
      <c r="B1089" s="61"/>
      <c r="C1089" s="56"/>
      <c r="D1089" s="56"/>
      <c r="E1089" s="56"/>
      <c r="F1089" s="56"/>
      <c r="G1089" s="56"/>
      <c r="H1089" s="56"/>
      <c r="I1089" s="56"/>
      <c r="J1089" s="56"/>
      <c r="K1089" s="56"/>
      <c r="L1089" s="56"/>
      <c r="M1089" s="56"/>
      <c r="N1089" s="56"/>
      <c r="O1089" s="56"/>
      <c r="P1089" s="56"/>
      <c r="Q1089" s="57"/>
      <c r="R1089" s="56"/>
      <c r="S1089" s="58" t="str" cm="1">
        <f t="array" ref="S1089">_xlfn._xlws.FILTER(Competitions[compType], (Fixtures[[#This Row],[competition]] = Competitions[name]), "N/A")</f>
        <v>N/A</v>
      </c>
      <c r="T1089" s="58" t="str" cm="1">
        <f t="array" ref="T1089">_xlfn._xlws.FILTER(Competitions[exhibition], (Fixtures[[#This Row],[competition]] = Competitions[name]), "N/A")</f>
        <v>N/A</v>
      </c>
      <c r="U1089" s="58" t="str" cm="1">
        <f t="array" ref="U1089">_xlfn._xlws.FILTER(Competitions[compID], (Fixtures[[#This Row],[competition]] = Competitions[name]), "N/A")</f>
        <v>N/A</v>
      </c>
      <c r="V10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89" s="58" t="str" cm="1">
        <f t="array" ref="W10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89" s="58" t="str" cm="1">
        <f t="array" ref="X1089">_xlfn._xlws.FILTER(Teams[name], (Fixtures[[#This Row],[userTeamID]] = Teams[teamID]), "N/A")</f>
        <v>N/A</v>
      </c>
      <c r="Y1089" s="58" t="str" cm="1">
        <f t="array" ref="Y1089">_xlfn._xlws.FILTER(Teams[teamType], (Fixtures[[#This Row],[userTeamID]] = Teams[teamID]), "N/A")</f>
        <v>N/A</v>
      </c>
      <c r="Z1089" s="58" t="str" cm="1">
        <f t="array" ref="Z10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89" s="58" t="str">
        <f>IF(Fixtures[[#This Row],[userSide]] = "N/A", "N/A", IF(Fixtures[[#This Row],[userSide]] = "H", Fixtures[[#This Row],[awayTeam]], Fixtures[[#This Row],[homeTeam]]))</f>
        <v>N/A</v>
      </c>
      <c r="AB1089" s="58" t="str" cm="1">
        <f t="array" ref="AB1089">_xlfn._xlws.FILTER(Teams[teamID], Fixtures[[#This Row],[oppTeam]] = Teams[name], "N/A")</f>
        <v>N/A</v>
      </c>
      <c r="AC1089" s="58" t="str" cm="1">
        <f t="array" ref="AC1089">_xlfn._xlws.FILTER(Teams[teamType], Fixtures[[#This Row],[oppTeam]] = Teams[name], "N/A")</f>
        <v>N/A</v>
      </c>
      <c r="AD1089" s="58" t="str">
        <f>IF(ISBLANK(Fixtures[[#This Row],[date]]), "N/A", IF(Fixtures[[#This Row],[userSide]]="H", Fixtures[[#This Row],[homeScore]], Fixtures[[#This Row],[awayScore]]))</f>
        <v>N/A</v>
      </c>
      <c r="AE1089" s="58" t="str">
        <f>IF(ISBLANK(Fixtures[[#This Row],[date]]), "N/A", IF(Fixtures[[#This Row],[userScore]] = Fixtures[[#This Row],[homeScore]], Fixtures[[#This Row],[awayScore]], Fixtures[[#This Row],[homeScore]]))</f>
        <v>N/A</v>
      </c>
      <c r="AF1089" s="58" t="b">
        <f>NOT(AND(ISBLANK(Fixtures[[#This Row],[homePens]]), ISBLANK(Fixtures[[#This Row],[awayPens]])))</f>
        <v>0</v>
      </c>
      <c r="AG1089" s="58" t="str">
        <f>IF(Fixtures[[#This Row],[penalties]], IF(Fixtures[[#This Row],[userSide]]="H", Fixtures[[#This Row],[homePens]], Fixtures[[#This Row],[awayPens]]), "N/A")</f>
        <v>N/A</v>
      </c>
      <c r="AH1089" s="58" t="str">
        <f>IF(Fixtures[[#This Row],[penalties]], IF(Fixtures[[#This Row],[userPens]]=Fixtures[[#This Row],[homePens]],Fixtures[[#This Row],[awayPens]],Fixtures[[#This Row],[homePens]]), "N/A")</f>
        <v>N/A</v>
      </c>
      <c r="AI1089" s="58" t="b">
        <f>COUNTBLANK(Fixtures[[#This Row],[G]:[MOTM]]) = 0</f>
        <v>0</v>
      </c>
      <c r="AJ1089" s="58" t="str">
        <f>IF(Fixtures[[#This Row],[APP]], Fixtures[[#This Row],[G]]+Fixtures[[#This Row],[A]], "N/A")</f>
        <v>N/A</v>
      </c>
      <c r="AK10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0" spans="1:39" ht="13">
      <c r="A1090" s="55"/>
      <c r="B1090" s="61"/>
      <c r="C1090" s="56"/>
      <c r="D1090" s="56"/>
      <c r="E1090" s="56"/>
      <c r="F1090" s="56"/>
      <c r="G1090" s="56"/>
      <c r="H1090" s="56"/>
      <c r="I1090" s="56"/>
      <c r="J1090" s="56"/>
      <c r="K1090" s="56"/>
      <c r="L1090" s="56"/>
      <c r="M1090" s="56"/>
      <c r="N1090" s="56"/>
      <c r="O1090" s="56"/>
      <c r="P1090" s="56"/>
      <c r="Q1090" s="57"/>
      <c r="R1090" s="56"/>
      <c r="S1090" s="58" t="str" cm="1">
        <f t="array" ref="S1090">_xlfn._xlws.FILTER(Competitions[compType], (Fixtures[[#This Row],[competition]] = Competitions[name]), "N/A")</f>
        <v>N/A</v>
      </c>
      <c r="T1090" s="58" t="str" cm="1">
        <f t="array" ref="T1090">_xlfn._xlws.FILTER(Competitions[exhibition], (Fixtures[[#This Row],[competition]] = Competitions[name]), "N/A")</f>
        <v>N/A</v>
      </c>
      <c r="U1090" s="58" t="str" cm="1">
        <f t="array" ref="U1090">_xlfn._xlws.FILTER(Competitions[compID], (Fixtures[[#This Row],[competition]] = Competitions[name]), "N/A")</f>
        <v>N/A</v>
      </c>
      <c r="V10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0" s="58" t="str" cm="1">
        <f t="array" ref="W10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0" s="58" t="str" cm="1">
        <f t="array" ref="X1090">_xlfn._xlws.FILTER(Teams[name], (Fixtures[[#This Row],[userTeamID]] = Teams[teamID]), "N/A")</f>
        <v>N/A</v>
      </c>
      <c r="Y1090" s="58" t="str" cm="1">
        <f t="array" ref="Y1090">_xlfn._xlws.FILTER(Teams[teamType], (Fixtures[[#This Row],[userTeamID]] = Teams[teamID]), "N/A")</f>
        <v>N/A</v>
      </c>
      <c r="Z1090" s="58" t="str" cm="1">
        <f t="array" ref="Z10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0" s="58" t="str">
        <f>IF(Fixtures[[#This Row],[userSide]] = "N/A", "N/A", IF(Fixtures[[#This Row],[userSide]] = "H", Fixtures[[#This Row],[awayTeam]], Fixtures[[#This Row],[homeTeam]]))</f>
        <v>N/A</v>
      </c>
      <c r="AB1090" s="58" t="str" cm="1">
        <f t="array" ref="AB1090">_xlfn._xlws.FILTER(Teams[teamID], Fixtures[[#This Row],[oppTeam]] = Teams[name], "N/A")</f>
        <v>N/A</v>
      </c>
      <c r="AC1090" s="58" t="str" cm="1">
        <f t="array" ref="AC1090">_xlfn._xlws.FILTER(Teams[teamType], Fixtures[[#This Row],[oppTeam]] = Teams[name], "N/A")</f>
        <v>N/A</v>
      </c>
      <c r="AD1090" s="58" t="str">
        <f>IF(ISBLANK(Fixtures[[#This Row],[date]]), "N/A", IF(Fixtures[[#This Row],[userSide]]="H", Fixtures[[#This Row],[homeScore]], Fixtures[[#This Row],[awayScore]]))</f>
        <v>N/A</v>
      </c>
      <c r="AE1090" s="58" t="str">
        <f>IF(ISBLANK(Fixtures[[#This Row],[date]]), "N/A", IF(Fixtures[[#This Row],[userScore]] = Fixtures[[#This Row],[homeScore]], Fixtures[[#This Row],[awayScore]], Fixtures[[#This Row],[homeScore]]))</f>
        <v>N/A</v>
      </c>
      <c r="AF1090" s="58" t="b">
        <f>NOT(AND(ISBLANK(Fixtures[[#This Row],[homePens]]), ISBLANK(Fixtures[[#This Row],[awayPens]])))</f>
        <v>0</v>
      </c>
      <c r="AG1090" s="58" t="str">
        <f>IF(Fixtures[[#This Row],[penalties]], IF(Fixtures[[#This Row],[userSide]]="H", Fixtures[[#This Row],[homePens]], Fixtures[[#This Row],[awayPens]]), "N/A")</f>
        <v>N/A</v>
      </c>
      <c r="AH1090" s="58" t="str">
        <f>IF(Fixtures[[#This Row],[penalties]], IF(Fixtures[[#This Row],[userPens]]=Fixtures[[#This Row],[homePens]],Fixtures[[#This Row],[awayPens]],Fixtures[[#This Row],[homePens]]), "N/A")</f>
        <v>N/A</v>
      </c>
      <c r="AI1090" s="58" t="b">
        <f>COUNTBLANK(Fixtures[[#This Row],[G]:[MOTM]]) = 0</f>
        <v>0</v>
      </c>
      <c r="AJ1090" s="58" t="str">
        <f>IF(Fixtures[[#This Row],[APP]], Fixtures[[#This Row],[G]]+Fixtures[[#This Row],[A]], "N/A")</f>
        <v>N/A</v>
      </c>
      <c r="AK10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1" spans="1:39" ht="13">
      <c r="A1091" s="55"/>
      <c r="B1091" s="61"/>
      <c r="C1091" s="56"/>
      <c r="D1091" s="56"/>
      <c r="E1091" s="56"/>
      <c r="F1091" s="56"/>
      <c r="G1091" s="56"/>
      <c r="H1091" s="56"/>
      <c r="I1091" s="56"/>
      <c r="J1091" s="56"/>
      <c r="K1091" s="56"/>
      <c r="L1091" s="56"/>
      <c r="M1091" s="56"/>
      <c r="N1091" s="56"/>
      <c r="O1091" s="56"/>
      <c r="P1091" s="56"/>
      <c r="Q1091" s="57"/>
      <c r="R1091" s="56"/>
      <c r="S1091" s="58" t="str" cm="1">
        <f t="array" ref="S1091">_xlfn._xlws.FILTER(Competitions[compType], (Fixtures[[#This Row],[competition]] = Competitions[name]), "N/A")</f>
        <v>N/A</v>
      </c>
      <c r="T1091" s="58" t="str" cm="1">
        <f t="array" ref="T1091">_xlfn._xlws.FILTER(Competitions[exhibition], (Fixtures[[#This Row],[competition]] = Competitions[name]), "N/A")</f>
        <v>N/A</v>
      </c>
      <c r="U1091" s="58" t="str" cm="1">
        <f t="array" ref="U1091">_xlfn._xlws.FILTER(Competitions[compID], (Fixtures[[#This Row],[competition]] = Competitions[name]), "N/A")</f>
        <v>N/A</v>
      </c>
      <c r="V10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1" s="58" t="str" cm="1">
        <f t="array" ref="W10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1" s="58" t="str" cm="1">
        <f t="array" ref="X1091">_xlfn._xlws.FILTER(Teams[name], (Fixtures[[#This Row],[userTeamID]] = Teams[teamID]), "N/A")</f>
        <v>N/A</v>
      </c>
      <c r="Y1091" s="58" t="str" cm="1">
        <f t="array" ref="Y1091">_xlfn._xlws.FILTER(Teams[teamType], (Fixtures[[#This Row],[userTeamID]] = Teams[teamID]), "N/A")</f>
        <v>N/A</v>
      </c>
      <c r="Z1091" s="58" t="str" cm="1">
        <f t="array" ref="Z10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1" s="58" t="str">
        <f>IF(Fixtures[[#This Row],[userSide]] = "N/A", "N/A", IF(Fixtures[[#This Row],[userSide]] = "H", Fixtures[[#This Row],[awayTeam]], Fixtures[[#This Row],[homeTeam]]))</f>
        <v>N/A</v>
      </c>
      <c r="AB1091" s="58" t="str" cm="1">
        <f t="array" ref="AB1091">_xlfn._xlws.FILTER(Teams[teamID], Fixtures[[#This Row],[oppTeam]] = Teams[name], "N/A")</f>
        <v>N/A</v>
      </c>
      <c r="AC1091" s="58" t="str" cm="1">
        <f t="array" ref="AC1091">_xlfn._xlws.FILTER(Teams[teamType], Fixtures[[#This Row],[oppTeam]] = Teams[name], "N/A")</f>
        <v>N/A</v>
      </c>
      <c r="AD1091" s="58" t="str">
        <f>IF(ISBLANK(Fixtures[[#This Row],[date]]), "N/A", IF(Fixtures[[#This Row],[userSide]]="H", Fixtures[[#This Row],[homeScore]], Fixtures[[#This Row],[awayScore]]))</f>
        <v>N/A</v>
      </c>
      <c r="AE1091" s="58" t="str">
        <f>IF(ISBLANK(Fixtures[[#This Row],[date]]), "N/A", IF(Fixtures[[#This Row],[userScore]] = Fixtures[[#This Row],[homeScore]], Fixtures[[#This Row],[awayScore]], Fixtures[[#This Row],[homeScore]]))</f>
        <v>N/A</v>
      </c>
      <c r="AF1091" s="58" t="b">
        <f>NOT(AND(ISBLANK(Fixtures[[#This Row],[homePens]]), ISBLANK(Fixtures[[#This Row],[awayPens]])))</f>
        <v>0</v>
      </c>
      <c r="AG1091" s="58" t="str">
        <f>IF(Fixtures[[#This Row],[penalties]], IF(Fixtures[[#This Row],[userSide]]="H", Fixtures[[#This Row],[homePens]], Fixtures[[#This Row],[awayPens]]), "N/A")</f>
        <v>N/A</v>
      </c>
      <c r="AH1091" s="58" t="str">
        <f>IF(Fixtures[[#This Row],[penalties]], IF(Fixtures[[#This Row],[userPens]]=Fixtures[[#This Row],[homePens]],Fixtures[[#This Row],[awayPens]],Fixtures[[#This Row],[homePens]]), "N/A")</f>
        <v>N/A</v>
      </c>
      <c r="AI1091" s="58" t="b">
        <f>COUNTBLANK(Fixtures[[#This Row],[G]:[MOTM]]) = 0</f>
        <v>0</v>
      </c>
      <c r="AJ1091" s="58" t="str">
        <f>IF(Fixtures[[#This Row],[APP]], Fixtures[[#This Row],[G]]+Fixtures[[#This Row],[A]], "N/A")</f>
        <v>N/A</v>
      </c>
      <c r="AK10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2" spans="1:39" ht="13">
      <c r="A1092" s="55"/>
      <c r="B1092" s="61"/>
      <c r="C1092" s="56"/>
      <c r="D1092" s="56"/>
      <c r="E1092" s="56"/>
      <c r="F1092" s="56"/>
      <c r="G1092" s="56"/>
      <c r="H1092" s="56"/>
      <c r="I1092" s="56"/>
      <c r="J1092" s="56"/>
      <c r="K1092" s="56"/>
      <c r="L1092" s="56"/>
      <c r="M1092" s="56"/>
      <c r="N1092" s="56"/>
      <c r="O1092" s="56"/>
      <c r="P1092" s="56"/>
      <c r="Q1092" s="57"/>
      <c r="R1092" s="56"/>
      <c r="S1092" s="58" t="str" cm="1">
        <f t="array" ref="S1092">_xlfn._xlws.FILTER(Competitions[compType], (Fixtures[[#This Row],[competition]] = Competitions[name]), "N/A")</f>
        <v>N/A</v>
      </c>
      <c r="T1092" s="58" t="str" cm="1">
        <f t="array" ref="T1092">_xlfn._xlws.FILTER(Competitions[exhibition], (Fixtures[[#This Row],[competition]] = Competitions[name]), "N/A")</f>
        <v>N/A</v>
      </c>
      <c r="U1092" s="58" t="str" cm="1">
        <f t="array" ref="U1092">_xlfn._xlws.FILTER(Competitions[compID], (Fixtures[[#This Row],[competition]] = Competitions[name]), "N/A")</f>
        <v>N/A</v>
      </c>
      <c r="V10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2" s="58" t="str" cm="1">
        <f t="array" ref="W10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2" s="58" t="str" cm="1">
        <f t="array" ref="X1092">_xlfn._xlws.FILTER(Teams[name], (Fixtures[[#This Row],[userTeamID]] = Teams[teamID]), "N/A")</f>
        <v>N/A</v>
      </c>
      <c r="Y1092" s="58" t="str" cm="1">
        <f t="array" ref="Y1092">_xlfn._xlws.FILTER(Teams[teamType], (Fixtures[[#This Row],[userTeamID]] = Teams[teamID]), "N/A")</f>
        <v>N/A</v>
      </c>
      <c r="Z1092" s="58" t="str" cm="1">
        <f t="array" ref="Z10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2" s="58" t="str">
        <f>IF(Fixtures[[#This Row],[userSide]] = "N/A", "N/A", IF(Fixtures[[#This Row],[userSide]] = "H", Fixtures[[#This Row],[awayTeam]], Fixtures[[#This Row],[homeTeam]]))</f>
        <v>N/A</v>
      </c>
      <c r="AB1092" s="58" t="str" cm="1">
        <f t="array" ref="AB1092">_xlfn._xlws.FILTER(Teams[teamID], Fixtures[[#This Row],[oppTeam]] = Teams[name], "N/A")</f>
        <v>N/A</v>
      </c>
      <c r="AC1092" s="58" t="str" cm="1">
        <f t="array" ref="AC1092">_xlfn._xlws.FILTER(Teams[teamType], Fixtures[[#This Row],[oppTeam]] = Teams[name], "N/A")</f>
        <v>N/A</v>
      </c>
      <c r="AD1092" s="58" t="str">
        <f>IF(ISBLANK(Fixtures[[#This Row],[date]]), "N/A", IF(Fixtures[[#This Row],[userSide]]="H", Fixtures[[#This Row],[homeScore]], Fixtures[[#This Row],[awayScore]]))</f>
        <v>N/A</v>
      </c>
      <c r="AE1092" s="58" t="str">
        <f>IF(ISBLANK(Fixtures[[#This Row],[date]]), "N/A", IF(Fixtures[[#This Row],[userScore]] = Fixtures[[#This Row],[homeScore]], Fixtures[[#This Row],[awayScore]], Fixtures[[#This Row],[homeScore]]))</f>
        <v>N/A</v>
      </c>
      <c r="AF1092" s="58" t="b">
        <f>NOT(AND(ISBLANK(Fixtures[[#This Row],[homePens]]), ISBLANK(Fixtures[[#This Row],[awayPens]])))</f>
        <v>0</v>
      </c>
      <c r="AG1092" s="58" t="str">
        <f>IF(Fixtures[[#This Row],[penalties]], IF(Fixtures[[#This Row],[userSide]]="H", Fixtures[[#This Row],[homePens]], Fixtures[[#This Row],[awayPens]]), "N/A")</f>
        <v>N/A</v>
      </c>
      <c r="AH1092" s="58" t="str">
        <f>IF(Fixtures[[#This Row],[penalties]], IF(Fixtures[[#This Row],[userPens]]=Fixtures[[#This Row],[homePens]],Fixtures[[#This Row],[awayPens]],Fixtures[[#This Row],[homePens]]), "N/A")</f>
        <v>N/A</v>
      </c>
      <c r="AI1092" s="58" t="b">
        <f>COUNTBLANK(Fixtures[[#This Row],[G]:[MOTM]]) = 0</f>
        <v>0</v>
      </c>
      <c r="AJ1092" s="58" t="str">
        <f>IF(Fixtures[[#This Row],[APP]], Fixtures[[#This Row],[G]]+Fixtures[[#This Row],[A]], "N/A")</f>
        <v>N/A</v>
      </c>
      <c r="AK10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3" spans="1:39" ht="13">
      <c r="A1093" s="55"/>
      <c r="B1093" s="61"/>
      <c r="C1093" s="56"/>
      <c r="D1093" s="56"/>
      <c r="E1093" s="56"/>
      <c r="F1093" s="56"/>
      <c r="G1093" s="56"/>
      <c r="H1093" s="56"/>
      <c r="I1093" s="56"/>
      <c r="J1093" s="56"/>
      <c r="K1093" s="56"/>
      <c r="L1093" s="56"/>
      <c r="M1093" s="56"/>
      <c r="N1093" s="56"/>
      <c r="O1093" s="56"/>
      <c r="P1093" s="56"/>
      <c r="Q1093" s="57"/>
      <c r="R1093" s="56"/>
      <c r="S1093" s="58" t="str" cm="1">
        <f t="array" ref="S1093">_xlfn._xlws.FILTER(Competitions[compType], (Fixtures[[#This Row],[competition]] = Competitions[name]), "N/A")</f>
        <v>N/A</v>
      </c>
      <c r="T1093" s="58" t="str" cm="1">
        <f t="array" ref="T1093">_xlfn._xlws.FILTER(Competitions[exhibition], (Fixtures[[#This Row],[competition]] = Competitions[name]), "N/A")</f>
        <v>N/A</v>
      </c>
      <c r="U1093" s="58" t="str" cm="1">
        <f t="array" ref="U1093">_xlfn._xlws.FILTER(Competitions[compID], (Fixtures[[#This Row],[competition]] = Competitions[name]), "N/A")</f>
        <v>N/A</v>
      </c>
      <c r="V10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3" s="58" t="str" cm="1">
        <f t="array" ref="W10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3" s="58" t="str" cm="1">
        <f t="array" ref="X1093">_xlfn._xlws.FILTER(Teams[name], (Fixtures[[#This Row],[userTeamID]] = Teams[teamID]), "N/A")</f>
        <v>N/A</v>
      </c>
      <c r="Y1093" s="58" t="str" cm="1">
        <f t="array" ref="Y1093">_xlfn._xlws.FILTER(Teams[teamType], (Fixtures[[#This Row],[userTeamID]] = Teams[teamID]), "N/A")</f>
        <v>N/A</v>
      </c>
      <c r="Z1093" s="58" t="str" cm="1">
        <f t="array" ref="Z10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3" s="58" t="str">
        <f>IF(Fixtures[[#This Row],[userSide]] = "N/A", "N/A", IF(Fixtures[[#This Row],[userSide]] = "H", Fixtures[[#This Row],[awayTeam]], Fixtures[[#This Row],[homeTeam]]))</f>
        <v>N/A</v>
      </c>
      <c r="AB1093" s="58" t="str" cm="1">
        <f t="array" ref="AB1093">_xlfn._xlws.FILTER(Teams[teamID], Fixtures[[#This Row],[oppTeam]] = Teams[name], "N/A")</f>
        <v>N/A</v>
      </c>
      <c r="AC1093" s="58" t="str" cm="1">
        <f t="array" ref="AC1093">_xlfn._xlws.FILTER(Teams[teamType], Fixtures[[#This Row],[oppTeam]] = Teams[name], "N/A")</f>
        <v>N/A</v>
      </c>
      <c r="AD1093" s="58" t="str">
        <f>IF(ISBLANK(Fixtures[[#This Row],[date]]), "N/A", IF(Fixtures[[#This Row],[userSide]]="H", Fixtures[[#This Row],[homeScore]], Fixtures[[#This Row],[awayScore]]))</f>
        <v>N/A</v>
      </c>
      <c r="AE1093" s="58" t="str">
        <f>IF(ISBLANK(Fixtures[[#This Row],[date]]), "N/A", IF(Fixtures[[#This Row],[userScore]] = Fixtures[[#This Row],[homeScore]], Fixtures[[#This Row],[awayScore]], Fixtures[[#This Row],[homeScore]]))</f>
        <v>N/A</v>
      </c>
      <c r="AF1093" s="58" t="b">
        <f>NOT(AND(ISBLANK(Fixtures[[#This Row],[homePens]]), ISBLANK(Fixtures[[#This Row],[awayPens]])))</f>
        <v>0</v>
      </c>
      <c r="AG1093" s="58" t="str">
        <f>IF(Fixtures[[#This Row],[penalties]], IF(Fixtures[[#This Row],[userSide]]="H", Fixtures[[#This Row],[homePens]], Fixtures[[#This Row],[awayPens]]), "N/A")</f>
        <v>N/A</v>
      </c>
      <c r="AH1093" s="58" t="str">
        <f>IF(Fixtures[[#This Row],[penalties]], IF(Fixtures[[#This Row],[userPens]]=Fixtures[[#This Row],[homePens]],Fixtures[[#This Row],[awayPens]],Fixtures[[#This Row],[homePens]]), "N/A")</f>
        <v>N/A</v>
      </c>
      <c r="AI1093" s="58" t="b">
        <f>COUNTBLANK(Fixtures[[#This Row],[G]:[MOTM]]) = 0</f>
        <v>0</v>
      </c>
      <c r="AJ1093" s="58" t="str">
        <f>IF(Fixtures[[#This Row],[APP]], Fixtures[[#This Row],[G]]+Fixtures[[#This Row],[A]], "N/A")</f>
        <v>N/A</v>
      </c>
      <c r="AK10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4" spans="1:39" ht="13">
      <c r="A1094" s="55"/>
      <c r="B1094" s="61"/>
      <c r="C1094" s="56"/>
      <c r="D1094" s="56"/>
      <c r="E1094" s="56"/>
      <c r="F1094" s="56"/>
      <c r="G1094" s="56"/>
      <c r="H1094" s="56"/>
      <c r="I1094" s="56"/>
      <c r="J1094" s="56"/>
      <c r="K1094" s="56"/>
      <c r="L1094" s="56"/>
      <c r="M1094" s="56"/>
      <c r="N1094" s="56"/>
      <c r="O1094" s="56"/>
      <c r="P1094" s="56"/>
      <c r="Q1094" s="57"/>
      <c r="R1094" s="56"/>
      <c r="S1094" s="58" t="str" cm="1">
        <f t="array" ref="S1094">_xlfn._xlws.FILTER(Competitions[compType], (Fixtures[[#This Row],[competition]] = Competitions[name]), "N/A")</f>
        <v>N/A</v>
      </c>
      <c r="T1094" s="58" t="str" cm="1">
        <f t="array" ref="T1094">_xlfn._xlws.FILTER(Competitions[exhibition], (Fixtures[[#This Row],[competition]] = Competitions[name]), "N/A")</f>
        <v>N/A</v>
      </c>
      <c r="U1094" s="58" t="str" cm="1">
        <f t="array" ref="U1094">_xlfn._xlws.FILTER(Competitions[compID], (Fixtures[[#This Row],[competition]] = Competitions[name]), "N/A")</f>
        <v>N/A</v>
      </c>
      <c r="V10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4" s="58" t="str" cm="1">
        <f t="array" ref="W10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4" s="58" t="str" cm="1">
        <f t="array" ref="X1094">_xlfn._xlws.FILTER(Teams[name], (Fixtures[[#This Row],[userTeamID]] = Teams[teamID]), "N/A")</f>
        <v>N/A</v>
      </c>
      <c r="Y1094" s="58" t="str" cm="1">
        <f t="array" ref="Y1094">_xlfn._xlws.FILTER(Teams[teamType], (Fixtures[[#This Row],[userTeamID]] = Teams[teamID]), "N/A")</f>
        <v>N/A</v>
      </c>
      <c r="Z1094" s="58" t="str" cm="1">
        <f t="array" ref="Z10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4" s="58" t="str">
        <f>IF(Fixtures[[#This Row],[userSide]] = "N/A", "N/A", IF(Fixtures[[#This Row],[userSide]] = "H", Fixtures[[#This Row],[awayTeam]], Fixtures[[#This Row],[homeTeam]]))</f>
        <v>N/A</v>
      </c>
      <c r="AB1094" s="58" t="str" cm="1">
        <f t="array" ref="AB1094">_xlfn._xlws.FILTER(Teams[teamID], Fixtures[[#This Row],[oppTeam]] = Teams[name], "N/A")</f>
        <v>N/A</v>
      </c>
      <c r="AC1094" s="58" t="str" cm="1">
        <f t="array" ref="AC1094">_xlfn._xlws.FILTER(Teams[teamType], Fixtures[[#This Row],[oppTeam]] = Teams[name], "N/A")</f>
        <v>N/A</v>
      </c>
      <c r="AD1094" s="58" t="str">
        <f>IF(ISBLANK(Fixtures[[#This Row],[date]]), "N/A", IF(Fixtures[[#This Row],[userSide]]="H", Fixtures[[#This Row],[homeScore]], Fixtures[[#This Row],[awayScore]]))</f>
        <v>N/A</v>
      </c>
      <c r="AE1094" s="58" t="str">
        <f>IF(ISBLANK(Fixtures[[#This Row],[date]]), "N/A", IF(Fixtures[[#This Row],[userScore]] = Fixtures[[#This Row],[homeScore]], Fixtures[[#This Row],[awayScore]], Fixtures[[#This Row],[homeScore]]))</f>
        <v>N/A</v>
      </c>
      <c r="AF1094" s="58" t="b">
        <f>NOT(AND(ISBLANK(Fixtures[[#This Row],[homePens]]), ISBLANK(Fixtures[[#This Row],[awayPens]])))</f>
        <v>0</v>
      </c>
      <c r="AG1094" s="58" t="str">
        <f>IF(Fixtures[[#This Row],[penalties]], IF(Fixtures[[#This Row],[userSide]]="H", Fixtures[[#This Row],[homePens]], Fixtures[[#This Row],[awayPens]]), "N/A")</f>
        <v>N/A</v>
      </c>
      <c r="AH1094" s="58" t="str">
        <f>IF(Fixtures[[#This Row],[penalties]], IF(Fixtures[[#This Row],[userPens]]=Fixtures[[#This Row],[homePens]],Fixtures[[#This Row],[awayPens]],Fixtures[[#This Row],[homePens]]), "N/A")</f>
        <v>N/A</v>
      </c>
      <c r="AI1094" s="58" t="b">
        <f>COUNTBLANK(Fixtures[[#This Row],[G]:[MOTM]]) = 0</f>
        <v>0</v>
      </c>
      <c r="AJ1094" s="58" t="str">
        <f>IF(Fixtures[[#This Row],[APP]], Fixtures[[#This Row],[G]]+Fixtures[[#This Row],[A]], "N/A")</f>
        <v>N/A</v>
      </c>
      <c r="AK10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5" spans="1:39" ht="13">
      <c r="A1095" s="55"/>
      <c r="B1095" s="61"/>
      <c r="C1095" s="56"/>
      <c r="D1095" s="56"/>
      <c r="E1095" s="56"/>
      <c r="F1095" s="56"/>
      <c r="G1095" s="56"/>
      <c r="H1095" s="56"/>
      <c r="I1095" s="56"/>
      <c r="J1095" s="56"/>
      <c r="K1095" s="56"/>
      <c r="L1095" s="56"/>
      <c r="M1095" s="56"/>
      <c r="N1095" s="56"/>
      <c r="O1095" s="56"/>
      <c r="P1095" s="56"/>
      <c r="Q1095" s="57"/>
      <c r="R1095" s="56"/>
      <c r="S1095" s="58" t="str" cm="1">
        <f t="array" ref="S1095">_xlfn._xlws.FILTER(Competitions[compType], (Fixtures[[#This Row],[competition]] = Competitions[name]), "N/A")</f>
        <v>N/A</v>
      </c>
      <c r="T1095" s="58" t="str" cm="1">
        <f t="array" ref="T1095">_xlfn._xlws.FILTER(Competitions[exhibition], (Fixtures[[#This Row],[competition]] = Competitions[name]), "N/A")</f>
        <v>N/A</v>
      </c>
      <c r="U1095" s="58" t="str" cm="1">
        <f t="array" ref="U1095">_xlfn._xlws.FILTER(Competitions[compID], (Fixtures[[#This Row],[competition]] = Competitions[name]), "N/A")</f>
        <v>N/A</v>
      </c>
      <c r="V10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5" s="58" t="str" cm="1">
        <f t="array" ref="W10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5" s="58" t="str" cm="1">
        <f t="array" ref="X1095">_xlfn._xlws.FILTER(Teams[name], (Fixtures[[#This Row],[userTeamID]] = Teams[teamID]), "N/A")</f>
        <v>N/A</v>
      </c>
      <c r="Y1095" s="58" t="str" cm="1">
        <f t="array" ref="Y1095">_xlfn._xlws.FILTER(Teams[teamType], (Fixtures[[#This Row],[userTeamID]] = Teams[teamID]), "N/A")</f>
        <v>N/A</v>
      </c>
      <c r="Z1095" s="58" t="str" cm="1">
        <f t="array" ref="Z10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5" s="58" t="str">
        <f>IF(Fixtures[[#This Row],[userSide]] = "N/A", "N/A", IF(Fixtures[[#This Row],[userSide]] = "H", Fixtures[[#This Row],[awayTeam]], Fixtures[[#This Row],[homeTeam]]))</f>
        <v>N/A</v>
      </c>
      <c r="AB1095" s="58" t="str" cm="1">
        <f t="array" ref="AB1095">_xlfn._xlws.FILTER(Teams[teamID], Fixtures[[#This Row],[oppTeam]] = Teams[name], "N/A")</f>
        <v>N/A</v>
      </c>
      <c r="AC1095" s="58" t="str" cm="1">
        <f t="array" ref="AC1095">_xlfn._xlws.FILTER(Teams[teamType], Fixtures[[#This Row],[oppTeam]] = Teams[name], "N/A")</f>
        <v>N/A</v>
      </c>
      <c r="AD1095" s="58" t="str">
        <f>IF(ISBLANK(Fixtures[[#This Row],[date]]), "N/A", IF(Fixtures[[#This Row],[userSide]]="H", Fixtures[[#This Row],[homeScore]], Fixtures[[#This Row],[awayScore]]))</f>
        <v>N/A</v>
      </c>
      <c r="AE1095" s="58" t="str">
        <f>IF(ISBLANK(Fixtures[[#This Row],[date]]), "N/A", IF(Fixtures[[#This Row],[userScore]] = Fixtures[[#This Row],[homeScore]], Fixtures[[#This Row],[awayScore]], Fixtures[[#This Row],[homeScore]]))</f>
        <v>N/A</v>
      </c>
      <c r="AF1095" s="58" t="b">
        <f>NOT(AND(ISBLANK(Fixtures[[#This Row],[homePens]]), ISBLANK(Fixtures[[#This Row],[awayPens]])))</f>
        <v>0</v>
      </c>
      <c r="AG1095" s="58" t="str">
        <f>IF(Fixtures[[#This Row],[penalties]], IF(Fixtures[[#This Row],[userSide]]="H", Fixtures[[#This Row],[homePens]], Fixtures[[#This Row],[awayPens]]), "N/A")</f>
        <v>N/A</v>
      </c>
      <c r="AH1095" s="58" t="str">
        <f>IF(Fixtures[[#This Row],[penalties]], IF(Fixtures[[#This Row],[userPens]]=Fixtures[[#This Row],[homePens]],Fixtures[[#This Row],[awayPens]],Fixtures[[#This Row],[homePens]]), "N/A")</f>
        <v>N/A</v>
      </c>
      <c r="AI1095" s="58" t="b">
        <f>COUNTBLANK(Fixtures[[#This Row],[G]:[MOTM]]) = 0</f>
        <v>0</v>
      </c>
      <c r="AJ1095" s="58" t="str">
        <f>IF(Fixtures[[#This Row],[APP]], Fixtures[[#This Row],[G]]+Fixtures[[#This Row],[A]], "N/A")</f>
        <v>N/A</v>
      </c>
      <c r="AK10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6" spans="1:39" ht="13">
      <c r="A1096" s="55"/>
      <c r="B1096" s="61"/>
      <c r="C1096" s="56"/>
      <c r="D1096" s="56"/>
      <c r="E1096" s="56"/>
      <c r="F1096" s="56"/>
      <c r="G1096" s="56"/>
      <c r="H1096" s="56"/>
      <c r="I1096" s="56"/>
      <c r="J1096" s="56"/>
      <c r="K1096" s="56"/>
      <c r="L1096" s="56"/>
      <c r="M1096" s="56"/>
      <c r="N1096" s="56"/>
      <c r="O1096" s="56"/>
      <c r="P1096" s="56"/>
      <c r="Q1096" s="57"/>
      <c r="R1096" s="56"/>
      <c r="S1096" s="58" t="str" cm="1">
        <f t="array" ref="S1096">_xlfn._xlws.FILTER(Competitions[compType], (Fixtures[[#This Row],[competition]] = Competitions[name]), "N/A")</f>
        <v>N/A</v>
      </c>
      <c r="T1096" s="58" t="str" cm="1">
        <f t="array" ref="T1096">_xlfn._xlws.FILTER(Competitions[exhibition], (Fixtures[[#This Row],[competition]] = Competitions[name]), "N/A")</f>
        <v>N/A</v>
      </c>
      <c r="U1096" s="58" t="str" cm="1">
        <f t="array" ref="U1096">_xlfn._xlws.FILTER(Competitions[compID], (Fixtures[[#This Row],[competition]] = Competitions[name]), "N/A")</f>
        <v>N/A</v>
      </c>
      <c r="V10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6" s="58" t="str" cm="1">
        <f t="array" ref="W10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6" s="58" t="str" cm="1">
        <f t="array" ref="X1096">_xlfn._xlws.FILTER(Teams[name], (Fixtures[[#This Row],[userTeamID]] = Teams[teamID]), "N/A")</f>
        <v>N/A</v>
      </c>
      <c r="Y1096" s="58" t="str" cm="1">
        <f t="array" ref="Y1096">_xlfn._xlws.FILTER(Teams[teamType], (Fixtures[[#This Row],[userTeamID]] = Teams[teamID]), "N/A")</f>
        <v>N/A</v>
      </c>
      <c r="Z1096" s="58" t="str" cm="1">
        <f t="array" ref="Z10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6" s="58" t="str">
        <f>IF(Fixtures[[#This Row],[userSide]] = "N/A", "N/A", IF(Fixtures[[#This Row],[userSide]] = "H", Fixtures[[#This Row],[awayTeam]], Fixtures[[#This Row],[homeTeam]]))</f>
        <v>N/A</v>
      </c>
      <c r="AB1096" s="58" t="str" cm="1">
        <f t="array" ref="AB1096">_xlfn._xlws.FILTER(Teams[teamID], Fixtures[[#This Row],[oppTeam]] = Teams[name], "N/A")</f>
        <v>N/A</v>
      </c>
      <c r="AC1096" s="58" t="str" cm="1">
        <f t="array" ref="AC1096">_xlfn._xlws.FILTER(Teams[teamType], Fixtures[[#This Row],[oppTeam]] = Teams[name], "N/A")</f>
        <v>N/A</v>
      </c>
      <c r="AD1096" s="58" t="str">
        <f>IF(ISBLANK(Fixtures[[#This Row],[date]]), "N/A", IF(Fixtures[[#This Row],[userSide]]="H", Fixtures[[#This Row],[homeScore]], Fixtures[[#This Row],[awayScore]]))</f>
        <v>N/A</v>
      </c>
      <c r="AE1096" s="58" t="str">
        <f>IF(ISBLANK(Fixtures[[#This Row],[date]]), "N/A", IF(Fixtures[[#This Row],[userScore]] = Fixtures[[#This Row],[homeScore]], Fixtures[[#This Row],[awayScore]], Fixtures[[#This Row],[homeScore]]))</f>
        <v>N/A</v>
      </c>
      <c r="AF1096" s="58" t="b">
        <f>NOT(AND(ISBLANK(Fixtures[[#This Row],[homePens]]), ISBLANK(Fixtures[[#This Row],[awayPens]])))</f>
        <v>0</v>
      </c>
      <c r="AG1096" s="58" t="str">
        <f>IF(Fixtures[[#This Row],[penalties]], IF(Fixtures[[#This Row],[userSide]]="H", Fixtures[[#This Row],[homePens]], Fixtures[[#This Row],[awayPens]]), "N/A")</f>
        <v>N/A</v>
      </c>
      <c r="AH1096" s="58" t="str">
        <f>IF(Fixtures[[#This Row],[penalties]], IF(Fixtures[[#This Row],[userPens]]=Fixtures[[#This Row],[homePens]],Fixtures[[#This Row],[awayPens]],Fixtures[[#This Row],[homePens]]), "N/A")</f>
        <v>N/A</v>
      </c>
      <c r="AI1096" s="58" t="b">
        <f>COUNTBLANK(Fixtures[[#This Row],[G]:[MOTM]]) = 0</f>
        <v>0</v>
      </c>
      <c r="AJ1096" s="58" t="str">
        <f>IF(Fixtures[[#This Row],[APP]], Fixtures[[#This Row],[G]]+Fixtures[[#This Row],[A]], "N/A")</f>
        <v>N/A</v>
      </c>
      <c r="AK10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7" spans="1:39" ht="13">
      <c r="A1097" s="55"/>
      <c r="B1097" s="61"/>
      <c r="C1097" s="56"/>
      <c r="D1097" s="56"/>
      <c r="E1097" s="56"/>
      <c r="F1097" s="56"/>
      <c r="G1097" s="56"/>
      <c r="H1097" s="56"/>
      <c r="I1097" s="56"/>
      <c r="J1097" s="56"/>
      <c r="K1097" s="56"/>
      <c r="L1097" s="56"/>
      <c r="M1097" s="56"/>
      <c r="N1097" s="56"/>
      <c r="O1097" s="56"/>
      <c r="P1097" s="56"/>
      <c r="Q1097" s="57"/>
      <c r="R1097" s="56"/>
      <c r="S1097" s="58" t="str" cm="1">
        <f t="array" ref="S1097">_xlfn._xlws.FILTER(Competitions[compType], (Fixtures[[#This Row],[competition]] = Competitions[name]), "N/A")</f>
        <v>N/A</v>
      </c>
      <c r="T1097" s="58" t="str" cm="1">
        <f t="array" ref="T1097">_xlfn._xlws.FILTER(Competitions[exhibition], (Fixtures[[#This Row],[competition]] = Competitions[name]), "N/A")</f>
        <v>N/A</v>
      </c>
      <c r="U1097" s="58" t="str" cm="1">
        <f t="array" ref="U1097">_xlfn._xlws.FILTER(Competitions[compID], (Fixtures[[#This Row],[competition]] = Competitions[name]), "N/A")</f>
        <v>N/A</v>
      </c>
      <c r="V10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7" s="58" t="str" cm="1">
        <f t="array" ref="W10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7" s="58" t="str" cm="1">
        <f t="array" ref="X1097">_xlfn._xlws.FILTER(Teams[name], (Fixtures[[#This Row],[userTeamID]] = Teams[teamID]), "N/A")</f>
        <v>N/A</v>
      </c>
      <c r="Y1097" s="58" t="str" cm="1">
        <f t="array" ref="Y1097">_xlfn._xlws.FILTER(Teams[teamType], (Fixtures[[#This Row],[userTeamID]] = Teams[teamID]), "N/A")</f>
        <v>N/A</v>
      </c>
      <c r="Z1097" s="58" t="str" cm="1">
        <f t="array" ref="Z10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7" s="58" t="str">
        <f>IF(Fixtures[[#This Row],[userSide]] = "N/A", "N/A", IF(Fixtures[[#This Row],[userSide]] = "H", Fixtures[[#This Row],[awayTeam]], Fixtures[[#This Row],[homeTeam]]))</f>
        <v>N/A</v>
      </c>
      <c r="AB1097" s="58" t="str" cm="1">
        <f t="array" ref="AB1097">_xlfn._xlws.FILTER(Teams[teamID], Fixtures[[#This Row],[oppTeam]] = Teams[name], "N/A")</f>
        <v>N/A</v>
      </c>
      <c r="AC1097" s="58" t="str" cm="1">
        <f t="array" ref="AC1097">_xlfn._xlws.FILTER(Teams[teamType], Fixtures[[#This Row],[oppTeam]] = Teams[name], "N/A")</f>
        <v>N/A</v>
      </c>
      <c r="AD1097" s="58" t="str">
        <f>IF(ISBLANK(Fixtures[[#This Row],[date]]), "N/A", IF(Fixtures[[#This Row],[userSide]]="H", Fixtures[[#This Row],[homeScore]], Fixtures[[#This Row],[awayScore]]))</f>
        <v>N/A</v>
      </c>
      <c r="AE1097" s="58" t="str">
        <f>IF(ISBLANK(Fixtures[[#This Row],[date]]), "N/A", IF(Fixtures[[#This Row],[userScore]] = Fixtures[[#This Row],[homeScore]], Fixtures[[#This Row],[awayScore]], Fixtures[[#This Row],[homeScore]]))</f>
        <v>N/A</v>
      </c>
      <c r="AF1097" s="58" t="b">
        <f>NOT(AND(ISBLANK(Fixtures[[#This Row],[homePens]]), ISBLANK(Fixtures[[#This Row],[awayPens]])))</f>
        <v>0</v>
      </c>
      <c r="AG1097" s="58" t="str">
        <f>IF(Fixtures[[#This Row],[penalties]], IF(Fixtures[[#This Row],[userSide]]="H", Fixtures[[#This Row],[homePens]], Fixtures[[#This Row],[awayPens]]), "N/A")</f>
        <v>N/A</v>
      </c>
      <c r="AH1097" s="58" t="str">
        <f>IF(Fixtures[[#This Row],[penalties]], IF(Fixtures[[#This Row],[userPens]]=Fixtures[[#This Row],[homePens]],Fixtures[[#This Row],[awayPens]],Fixtures[[#This Row],[homePens]]), "N/A")</f>
        <v>N/A</v>
      </c>
      <c r="AI1097" s="58" t="b">
        <f>COUNTBLANK(Fixtures[[#This Row],[G]:[MOTM]]) = 0</f>
        <v>0</v>
      </c>
      <c r="AJ1097" s="58" t="str">
        <f>IF(Fixtures[[#This Row],[APP]], Fixtures[[#This Row],[G]]+Fixtures[[#This Row],[A]], "N/A")</f>
        <v>N/A</v>
      </c>
      <c r="AK10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8" spans="1:39" ht="13">
      <c r="A1098" s="55"/>
      <c r="B1098" s="61"/>
      <c r="C1098" s="56"/>
      <c r="D1098" s="56"/>
      <c r="E1098" s="56"/>
      <c r="F1098" s="56"/>
      <c r="G1098" s="56"/>
      <c r="H1098" s="56"/>
      <c r="I1098" s="56"/>
      <c r="J1098" s="56"/>
      <c r="K1098" s="56"/>
      <c r="L1098" s="56"/>
      <c r="M1098" s="56"/>
      <c r="N1098" s="56"/>
      <c r="O1098" s="56"/>
      <c r="P1098" s="56"/>
      <c r="Q1098" s="57"/>
      <c r="R1098" s="56"/>
      <c r="S1098" s="58" t="str" cm="1">
        <f t="array" ref="S1098">_xlfn._xlws.FILTER(Competitions[compType], (Fixtures[[#This Row],[competition]] = Competitions[name]), "N/A")</f>
        <v>N/A</v>
      </c>
      <c r="T1098" s="58" t="str" cm="1">
        <f t="array" ref="T1098">_xlfn._xlws.FILTER(Competitions[exhibition], (Fixtures[[#This Row],[competition]] = Competitions[name]), "N/A")</f>
        <v>N/A</v>
      </c>
      <c r="U1098" s="58" t="str" cm="1">
        <f t="array" ref="U1098">_xlfn._xlws.FILTER(Competitions[compID], (Fixtures[[#This Row],[competition]] = Competitions[name]), "N/A")</f>
        <v>N/A</v>
      </c>
      <c r="V10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8" s="58" t="str" cm="1">
        <f t="array" ref="W10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8" s="58" t="str" cm="1">
        <f t="array" ref="X1098">_xlfn._xlws.FILTER(Teams[name], (Fixtures[[#This Row],[userTeamID]] = Teams[teamID]), "N/A")</f>
        <v>N/A</v>
      </c>
      <c r="Y1098" s="58" t="str" cm="1">
        <f t="array" ref="Y1098">_xlfn._xlws.FILTER(Teams[teamType], (Fixtures[[#This Row],[userTeamID]] = Teams[teamID]), "N/A")</f>
        <v>N/A</v>
      </c>
      <c r="Z1098" s="58" t="str" cm="1">
        <f t="array" ref="Z10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8" s="58" t="str">
        <f>IF(Fixtures[[#This Row],[userSide]] = "N/A", "N/A", IF(Fixtures[[#This Row],[userSide]] = "H", Fixtures[[#This Row],[awayTeam]], Fixtures[[#This Row],[homeTeam]]))</f>
        <v>N/A</v>
      </c>
      <c r="AB1098" s="58" t="str" cm="1">
        <f t="array" ref="AB1098">_xlfn._xlws.FILTER(Teams[teamID], Fixtures[[#This Row],[oppTeam]] = Teams[name], "N/A")</f>
        <v>N/A</v>
      </c>
      <c r="AC1098" s="58" t="str" cm="1">
        <f t="array" ref="AC1098">_xlfn._xlws.FILTER(Teams[teamType], Fixtures[[#This Row],[oppTeam]] = Teams[name], "N/A")</f>
        <v>N/A</v>
      </c>
      <c r="AD1098" s="58" t="str">
        <f>IF(ISBLANK(Fixtures[[#This Row],[date]]), "N/A", IF(Fixtures[[#This Row],[userSide]]="H", Fixtures[[#This Row],[homeScore]], Fixtures[[#This Row],[awayScore]]))</f>
        <v>N/A</v>
      </c>
      <c r="AE1098" s="58" t="str">
        <f>IF(ISBLANK(Fixtures[[#This Row],[date]]), "N/A", IF(Fixtures[[#This Row],[userScore]] = Fixtures[[#This Row],[homeScore]], Fixtures[[#This Row],[awayScore]], Fixtures[[#This Row],[homeScore]]))</f>
        <v>N/A</v>
      </c>
      <c r="AF1098" s="58" t="b">
        <f>NOT(AND(ISBLANK(Fixtures[[#This Row],[homePens]]), ISBLANK(Fixtures[[#This Row],[awayPens]])))</f>
        <v>0</v>
      </c>
      <c r="AG1098" s="58" t="str">
        <f>IF(Fixtures[[#This Row],[penalties]], IF(Fixtures[[#This Row],[userSide]]="H", Fixtures[[#This Row],[homePens]], Fixtures[[#This Row],[awayPens]]), "N/A")</f>
        <v>N/A</v>
      </c>
      <c r="AH1098" s="58" t="str">
        <f>IF(Fixtures[[#This Row],[penalties]], IF(Fixtures[[#This Row],[userPens]]=Fixtures[[#This Row],[homePens]],Fixtures[[#This Row],[awayPens]],Fixtures[[#This Row],[homePens]]), "N/A")</f>
        <v>N/A</v>
      </c>
      <c r="AI1098" s="58" t="b">
        <f>COUNTBLANK(Fixtures[[#This Row],[G]:[MOTM]]) = 0</f>
        <v>0</v>
      </c>
      <c r="AJ1098" s="58" t="str">
        <f>IF(Fixtures[[#This Row],[APP]], Fixtures[[#This Row],[G]]+Fixtures[[#This Row],[A]], "N/A")</f>
        <v>N/A</v>
      </c>
      <c r="AK10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099" spans="1:39" ht="13">
      <c r="A1099" s="55"/>
      <c r="B1099" s="61"/>
      <c r="C1099" s="56"/>
      <c r="D1099" s="56"/>
      <c r="E1099" s="56"/>
      <c r="F1099" s="56"/>
      <c r="G1099" s="56"/>
      <c r="H1099" s="56"/>
      <c r="I1099" s="56"/>
      <c r="J1099" s="56"/>
      <c r="K1099" s="56"/>
      <c r="L1099" s="56"/>
      <c r="M1099" s="56"/>
      <c r="N1099" s="56"/>
      <c r="O1099" s="56"/>
      <c r="P1099" s="56"/>
      <c r="Q1099" s="57"/>
      <c r="R1099" s="56"/>
      <c r="S1099" s="58" t="str" cm="1">
        <f t="array" ref="S1099">_xlfn._xlws.FILTER(Competitions[compType], (Fixtures[[#This Row],[competition]] = Competitions[name]), "N/A")</f>
        <v>N/A</v>
      </c>
      <c r="T1099" s="58" t="str" cm="1">
        <f t="array" ref="T1099">_xlfn._xlws.FILTER(Competitions[exhibition], (Fixtures[[#This Row],[competition]] = Competitions[name]), "N/A")</f>
        <v>N/A</v>
      </c>
      <c r="U1099" s="58" t="str" cm="1">
        <f t="array" ref="U1099">_xlfn._xlws.FILTER(Competitions[compID], (Fixtures[[#This Row],[competition]] = Competitions[name]), "N/A")</f>
        <v>N/A</v>
      </c>
      <c r="V10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099" s="58" t="str" cm="1">
        <f t="array" ref="W10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099" s="58" t="str" cm="1">
        <f t="array" ref="X1099">_xlfn._xlws.FILTER(Teams[name], (Fixtures[[#This Row],[userTeamID]] = Teams[teamID]), "N/A")</f>
        <v>N/A</v>
      </c>
      <c r="Y1099" s="58" t="str" cm="1">
        <f t="array" ref="Y1099">_xlfn._xlws.FILTER(Teams[teamType], (Fixtures[[#This Row],[userTeamID]] = Teams[teamID]), "N/A")</f>
        <v>N/A</v>
      </c>
      <c r="Z1099" s="58" t="str" cm="1">
        <f t="array" ref="Z10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099" s="58" t="str">
        <f>IF(Fixtures[[#This Row],[userSide]] = "N/A", "N/A", IF(Fixtures[[#This Row],[userSide]] = "H", Fixtures[[#This Row],[awayTeam]], Fixtures[[#This Row],[homeTeam]]))</f>
        <v>N/A</v>
      </c>
      <c r="AB1099" s="58" t="str" cm="1">
        <f t="array" ref="AB1099">_xlfn._xlws.FILTER(Teams[teamID], Fixtures[[#This Row],[oppTeam]] = Teams[name], "N/A")</f>
        <v>N/A</v>
      </c>
      <c r="AC1099" s="58" t="str" cm="1">
        <f t="array" ref="AC1099">_xlfn._xlws.FILTER(Teams[teamType], Fixtures[[#This Row],[oppTeam]] = Teams[name], "N/A")</f>
        <v>N/A</v>
      </c>
      <c r="AD1099" s="58" t="str">
        <f>IF(ISBLANK(Fixtures[[#This Row],[date]]), "N/A", IF(Fixtures[[#This Row],[userSide]]="H", Fixtures[[#This Row],[homeScore]], Fixtures[[#This Row],[awayScore]]))</f>
        <v>N/A</v>
      </c>
      <c r="AE1099" s="58" t="str">
        <f>IF(ISBLANK(Fixtures[[#This Row],[date]]), "N/A", IF(Fixtures[[#This Row],[userScore]] = Fixtures[[#This Row],[homeScore]], Fixtures[[#This Row],[awayScore]], Fixtures[[#This Row],[homeScore]]))</f>
        <v>N/A</v>
      </c>
      <c r="AF1099" s="58" t="b">
        <f>NOT(AND(ISBLANK(Fixtures[[#This Row],[homePens]]), ISBLANK(Fixtures[[#This Row],[awayPens]])))</f>
        <v>0</v>
      </c>
      <c r="AG1099" s="58" t="str">
        <f>IF(Fixtures[[#This Row],[penalties]], IF(Fixtures[[#This Row],[userSide]]="H", Fixtures[[#This Row],[homePens]], Fixtures[[#This Row],[awayPens]]), "N/A")</f>
        <v>N/A</v>
      </c>
      <c r="AH1099" s="58" t="str">
        <f>IF(Fixtures[[#This Row],[penalties]], IF(Fixtures[[#This Row],[userPens]]=Fixtures[[#This Row],[homePens]],Fixtures[[#This Row],[awayPens]],Fixtures[[#This Row],[homePens]]), "N/A")</f>
        <v>N/A</v>
      </c>
      <c r="AI1099" s="58" t="b">
        <f>COUNTBLANK(Fixtures[[#This Row],[G]:[MOTM]]) = 0</f>
        <v>0</v>
      </c>
      <c r="AJ1099" s="58" t="str">
        <f>IF(Fixtures[[#This Row],[APP]], Fixtures[[#This Row],[G]]+Fixtures[[#This Row],[A]], "N/A")</f>
        <v>N/A</v>
      </c>
      <c r="AK10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0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0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0" spans="1:39" ht="13">
      <c r="A1100" s="55"/>
      <c r="B1100" s="61"/>
      <c r="C1100" s="56"/>
      <c r="D1100" s="56"/>
      <c r="E1100" s="56"/>
      <c r="F1100" s="56"/>
      <c r="G1100" s="56"/>
      <c r="H1100" s="56"/>
      <c r="I1100" s="56"/>
      <c r="J1100" s="56"/>
      <c r="K1100" s="56"/>
      <c r="L1100" s="56"/>
      <c r="M1100" s="56"/>
      <c r="N1100" s="56"/>
      <c r="O1100" s="56"/>
      <c r="P1100" s="56"/>
      <c r="Q1100" s="57"/>
      <c r="R1100" s="56"/>
      <c r="S1100" s="58" t="str" cm="1">
        <f t="array" ref="S1100">_xlfn._xlws.FILTER(Competitions[compType], (Fixtures[[#This Row],[competition]] = Competitions[name]), "N/A")</f>
        <v>N/A</v>
      </c>
      <c r="T1100" s="58" t="str" cm="1">
        <f t="array" ref="T1100">_xlfn._xlws.FILTER(Competitions[exhibition], (Fixtures[[#This Row],[competition]] = Competitions[name]), "N/A")</f>
        <v>N/A</v>
      </c>
      <c r="U1100" s="58" t="str" cm="1">
        <f t="array" ref="U1100">_xlfn._xlws.FILTER(Competitions[compID], (Fixtures[[#This Row],[competition]] = Competitions[name]), "N/A")</f>
        <v>N/A</v>
      </c>
      <c r="V11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0" s="58" t="str" cm="1">
        <f t="array" ref="W11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0" s="58" t="str" cm="1">
        <f t="array" ref="X1100">_xlfn._xlws.FILTER(Teams[name], (Fixtures[[#This Row],[userTeamID]] = Teams[teamID]), "N/A")</f>
        <v>N/A</v>
      </c>
      <c r="Y1100" s="58" t="str" cm="1">
        <f t="array" ref="Y1100">_xlfn._xlws.FILTER(Teams[teamType], (Fixtures[[#This Row],[userTeamID]] = Teams[teamID]), "N/A")</f>
        <v>N/A</v>
      </c>
      <c r="Z1100" s="58" t="str" cm="1">
        <f t="array" ref="Z11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0" s="58" t="str">
        <f>IF(Fixtures[[#This Row],[userSide]] = "N/A", "N/A", IF(Fixtures[[#This Row],[userSide]] = "H", Fixtures[[#This Row],[awayTeam]], Fixtures[[#This Row],[homeTeam]]))</f>
        <v>N/A</v>
      </c>
      <c r="AB1100" s="58" t="str" cm="1">
        <f t="array" ref="AB1100">_xlfn._xlws.FILTER(Teams[teamID], Fixtures[[#This Row],[oppTeam]] = Teams[name], "N/A")</f>
        <v>N/A</v>
      </c>
      <c r="AC1100" s="58" t="str" cm="1">
        <f t="array" ref="AC1100">_xlfn._xlws.FILTER(Teams[teamType], Fixtures[[#This Row],[oppTeam]] = Teams[name], "N/A")</f>
        <v>N/A</v>
      </c>
      <c r="AD1100" s="58" t="str">
        <f>IF(ISBLANK(Fixtures[[#This Row],[date]]), "N/A", IF(Fixtures[[#This Row],[userSide]]="H", Fixtures[[#This Row],[homeScore]], Fixtures[[#This Row],[awayScore]]))</f>
        <v>N/A</v>
      </c>
      <c r="AE1100" s="58" t="str">
        <f>IF(ISBLANK(Fixtures[[#This Row],[date]]), "N/A", IF(Fixtures[[#This Row],[userScore]] = Fixtures[[#This Row],[homeScore]], Fixtures[[#This Row],[awayScore]], Fixtures[[#This Row],[homeScore]]))</f>
        <v>N/A</v>
      </c>
      <c r="AF1100" s="58" t="b">
        <f>NOT(AND(ISBLANK(Fixtures[[#This Row],[homePens]]), ISBLANK(Fixtures[[#This Row],[awayPens]])))</f>
        <v>0</v>
      </c>
      <c r="AG1100" s="58" t="str">
        <f>IF(Fixtures[[#This Row],[penalties]], IF(Fixtures[[#This Row],[userSide]]="H", Fixtures[[#This Row],[homePens]], Fixtures[[#This Row],[awayPens]]), "N/A")</f>
        <v>N/A</v>
      </c>
      <c r="AH1100" s="58" t="str">
        <f>IF(Fixtures[[#This Row],[penalties]], IF(Fixtures[[#This Row],[userPens]]=Fixtures[[#This Row],[homePens]],Fixtures[[#This Row],[awayPens]],Fixtures[[#This Row],[homePens]]), "N/A")</f>
        <v>N/A</v>
      </c>
      <c r="AI1100" s="58" t="b">
        <f>COUNTBLANK(Fixtures[[#This Row],[G]:[MOTM]]) = 0</f>
        <v>0</v>
      </c>
      <c r="AJ1100" s="58" t="str">
        <f>IF(Fixtures[[#This Row],[APP]], Fixtures[[#This Row],[G]]+Fixtures[[#This Row],[A]], "N/A")</f>
        <v>N/A</v>
      </c>
      <c r="AK11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1" spans="1:39" ht="13">
      <c r="A1101" s="55"/>
      <c r="B1101" s="61"/>
      <c r="C1101" s="56"/>
      <c r="D1101" s="56"/>
      <c r="E1101" s="56"/>
      <c r="F1101" s="56"/>
      <c r="G1101" s="56"/>
      <c r="H1101" s="56"/>
      <c r="I1101" s="56"/>
      <c r="J1101" s="56"/>
      <c r="K1101" s="56"/>
      <c r="L1101" s="56"/>
      <c r="M1101" s="56"/>
      <c r="N1101" s="56"/>
      <c r="O1101" s="56"/>
      <c r="P1101" s="56"/>
      <c r="Q1101" s="57"/>
      <c r="R1101" s="56"/>
      <c r="S1101" s="58" t="str" cm="1">
        <f t="array" ref="S1101">_xlfn._xlws.FILTER(Competitions[compType], (Fixtures[[#This Row],[competition]] = Competitions[name]), "N/A")</f>
        <v>N/A</v>
      </c>
      <c r="T1101" s="58" t="str" cm="1">
        <f t="array" ref="T1101">_xlfn._xlws.FILTER(Competitions[exhibition], (Fixtures[[#This Row],[competition]] = Competitions[name]), "N/A")</f>
        <v>N/A</v>
      </c>
      <c r="U1101" s="58" t="str" cm="1">
        <f t="array" ref="U1101">_xlfn._xlws.FILTER(Competitions[compID], (Fixtures[[#This Row],[competition]] = Competitions[name]), "N/A")</f>
        <v>N/A</v>
      </c>
      <c r="V11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1" s="58" t="str" cm="1">
        <f t="array" ref="W11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1" s="58" t="str" cm="1">
        <f t="array" ref="X1101">_xlfn._xlws.FILTER(Teams[name], (Fixtures[[#This Row],[userTeamID]] = Teams[teamID]), "N/A")</f>
        <v>N/A</v>
      </c>
      <c r="Y1101" s="58" t="str" cm="1">
        <f t="array" ref="Y1101">_xlfn._xlws.FILTER(Teams[teamType], (Fixtures[[#This Row],[userTeamID]] = Teams[teamID]), "N/A")</f>
        <v>N/A</v>
      </c>
      <c r="Z1101" s="58" t="str" cm="1">
        <f t="array" ref="Z11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1" s="58" t="str">
        <f>IF(Fixtures[[#This Row],[userSide]] = "N/A", "N/A", IF(Fixtures[[#This Row],[userSide]] = "H", Fixtures[[#This Row],[awayTeam]], Fixtures[[#This Row],[homeTeam]]))</f>
        <v>N/A</v>
      </c>
      <c r="AB1101" s="58" t="str" cm="1">
        <f t="array" ref="AB1101">_xlfn._xlws.FILTER(Teams[teamID], Fixtures[[#This Row],[oppTeam]] = Teams[name], "N/A")</f>
        <v>N/A</v>
      </c>
      <c r="AC1101" s="58" t="str" cm="1">
        <f t="array" ref="AC1101">_xlfn._xlws.FILTER(Teams[teamType], Fixtures[[#This Row],[oppTeam]] = Teams[name], "N/A")</f>
        <v>N/A</v>
      </c>
      <c r="AD1101" s="58" t="str">
        <f>IF(ISBLANK(Fixtures[[#This Row],[date]]), "N/A", IF(Fixtures[[#This Row],[userSide]]="H", Fixtures[[#This Row],[homeScore]], Fixtures[[#This Row],[awayScore]]))</f>
        <v>N/A</v>
      </c>
      <c r="AE1101" s="58" t="str">
        <f>IF(ISBLANK(Fixtures[[#This Row],[date]]), "N/A", IF(Fixtures[[#This Row],[userScore]] = Fixtures[[#This Row],[homeScore]], Fixtures[[#This Row],[awayScore]], Fixtures[[#This Row],[homeScore]]))</f>
        <v>N/A</v>
      </c>
      <c r="AF1101" s="58" t="b">
        <f>NOT(AND(ISBLANK(Fixtures[[#This Row],[homePens]]), ISBLANK(Fixtures[[#This Row],[awayPens]])))</f>
        <v>0</v>
      </c>
      <c r="AG1101" s="58" t="str">
        <f>IF(Fixtures[[#This Row],[penalties]], IF(Fixtures[[#This Row],[userSide]]="H", Fixtures[[#This Row],[homePens]], Fixtures[[#This Row],[awayPens]]), "N/A")</f>
        <v>N/A</v>
      </c>
      <c r="AH1101" s="58" t="str">
        <f>IF(Fixtures[[#This Row],[penalties]], IF(Fixtures[[#This Row],[userPens]]=Fixtures[[#This Row],[homePens]],Fixtures[[#This Row],[awayPens]],Fixtures[[#This Row],[homePens]]), "N/A")</f>
        <v>N/A</v>
      </c>
      <c r="AI1101" s="58" t="b">
        <f>COUNTBLANK(Fixtures[[#This Row],[G]:[MOTM]]) = 0</f>
        <v>0</v>
      </c>
      <c r="AJ1101" s="58" t="str">
        <f>IF(Fixtures[[#This Row],[APP]], Fixtures[[#This Row],[G]]+Fixtures[[#This Row],[A]], "N/A")</f>
        <v>N/A</v>
      </c>
      <c r="AK11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2" spans="1:39" ht="13">
      <c r="A1102" s="55"/>
      <c r="B1102" s="61"/>
      <c r="C1102" s="56"/>
      <c r="D1102" s="56"/>
      <c r="E1102" s="56"/>
      <c r="F1102" s="56"/>
      <c r="G1102" s="56"/>
      <c r="H1102" s="56"/>
      <c r="I1102" s="56"/>
      <c r="J1102" s="56"/>
      <c r="K1102" s="56"/>
      <c r="L1102" s="56"/>
      <c r="M1102" s="56"/>
      <c r="N1102" s="56"/>
      <c r="O1102" s="56"/>
      <c r="P1102" s="56"/>
      <c r="Q1102" s="57"/>
      <c r="R1102" s="56"/>
      <c r="S1102" s="58" t="str" cm="1">
        <f t="array" ref="S1102">_xlfn._xlws.FILTER(Competitions[compType], (Fixtures[[#This Row],[competition]] = Competitions[name]), "N/A")</f>
        <v>N/A</v>
      </c>
      <c r="T1102" s="58" t="str" cm="1">
        <f t="array" ref="T1102">_xlfn._xlws.FILTER(Competitions[exhibition], (Fixtures[[#This Row],[competition]] = Competitions[name]), "N/A")</f>
        <v>N/A</v>
      </c>
      <c r="U1102" s="58" t="str" cm="1">
        <f t="array" ref="U1102">_xlfn._xlws.FILTER(Competitions[compID], (Fixtures[[#This Row],[competition]] = Competitions[name]), "N/A")</f>
        <v>N/A</v>
      </c>
      <c r="V11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2" s="58" t="str" cm="1">
        <f t="array" ref="W11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2" s="58" t="str" cm="1">
        <f t="array" ref="X1102">_xlfn._xlws.FILTER(Teams[name], (Fixtures[[#This Row],[userTeamID]] = Teams[teamID]), "N/A")</f>
        <v>N/A</v>
      </c>
      <c r="Y1102" s="58" t="str" cm="1">
        <f t="array" ref="Y1102">_xlfn._xlws.FILTER(Teams[teamType], (Fixtures[[#This Row],[userTeamID]] = Teams[teamID]), "N/A")</f>
        <v>N/A</v>
      </c>
      <c r="Z1102" s="58" t="str" cm="1">
        <f t="array" ref="Z11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2" s="58" t="str">
        <f>IF(Fixtures[[#This Row],[userSide]] = "N/A", "N/A", IF(Fixtures[[#This Row],[userSide]] = "H", Fixtures[[#This Row],[awayTeam]], Fixtures[[#This Row],[homeTeam]]))</f>
        <v>N/A</v>
      </c>
      <c r="AB1102" s="58" t="str" cm="1">
        <f t="array" ref="AB1102">_xlfn._xlws.FILTER(Teams[teamID], Fixtures[[#This Row],[oppTeam]] = Teams[name], "N/A")</f>
        <v>N/A</v>
      </c>
      <c r="AC1102" s="58" t="str" cm="1">
        <f t="array" ref="AC1102">_xlfn._xlws.FILTER(Teams[teamType], Fixtures[[#This Row],[oppTeam]] = Teams[name], "N/A")</f>
        <v>N/A</v>
      </c>
      <c r="AD1102" s="58" t="str">
        <f>IF(ISBLANK(Fixtures[[#This Row],[date]]), "N/A", IF(Fixtures[[#This Row],[userSide]]="H", Fixtures[[#This Row],[homeScore]], Fixtures[[#This Row],[awayScore]]))</f>
        <v>N/A</v>
      </c>
      <c r="AE1102" s="58" t="str">
        <f>IF(ISBLANK(Fixtures[[#This Row],[date]]), "N/A", IF(Fixtures[[#This Row],[userScore]] = Fixtures[[#This Row],[homeScore]], Fixtures[[#This Row],[awayScore]], Fixtures[[#This Row],[homeScore]]))</f>
        <v>N/A</v>
      </c>
      <c r="AF1102" s="58" t="b">
        <f>NOT(AND(ISBLANK(Fixtures[[#This Row],[homePens]]), ISBLANK(Fixtures[[#This Row],[awayPens]])))</f>
        <v>0</v>
      </c>
      <c r="AG1102" s="58" t="str">
        <f>IF(Fixtures[[#This Row],[penalties]], IF(Fixtures[[#This Row],[userSide]]="H", Fixtures[[#This Row],[homePens]], Fixtures[[#This Row],[awayPens]]), "N/A")</f>
        <v>N/A</v>
      </c>
      <c r="AH1102" s="58" t="str">
        <f>IF(Fixtures[[#This Row],[penalties]], IF(Fixtures[[#This Row],[userPens]]=Fixtures[[#This Row],[homePens]],Fixtures[[#This Row],[awayPens]],Fixtures[[#This Row],[homePens]]), "N/A")</f>
        <v>N/A</v>
      </c>
      <c r="AI1102" s="58" t="b">
        <f>COUNTBLANK(Fixtures[[#This Row],[G]:[MOTM]]) = 0</f>
        <v>0</v>
      </c>
      <c r="AJ1102" s="58" t="str">
        <f>IF(Fixtures[[#This Row],[APP]], Fixtures[[#This Row],[G]]+Fixtures[[#This Row],[A]], "N/A")</f>
        <v>N/A</v>
      </c>
      <c r="AK11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3" spans="1:39" ht="13">
      <c r="A1103" s="55"/>
      <c r="B1103" s="61"/>
      <c r="C1103" s="56"/>
      <c r="D1103" s="56"/>
      <c r="E1103" s="56"/>
      <c r="F1103" s="56"/>
      <c r="G1103" s="56"/>
      <c r="H1103" s="56"/>
      <c r="I1103" s="56"/>
      <c r="J1103" s="56"/>
      <c r="K1103" s="56"/>
      <c r="L1103" s="56"/>
      <c r="M1103" s="56"/>
      <c r="N1103" s="56"/>
      <c r="O1103" s="56"/>
      <c r="P1103" s="56"/>
      <c r="Q1103" s="57"/>
      <c r="R1103" s="56"/>
      <c r="S1103" s="58" t="str" cm="1">
        <f t="array" ref="S1103">_xlfn._xlws.FILTER(Competitions[compType], (Fixtures[[#This Row],[competition]] = Competitions[name]), "N/A")</f>
        <v>N/A</v>
      </c>
      <c r="T1103" s="58" t="str" cm="1">
        <f t="array" ref="T1103">_xlfn._xlws.FILTER(Competitions[exhibition], (Fixtures[[#This Row],[competition]] = Competitions[name]), "N/A")</f>
        <v>N/A</v>
      </c>
      <c r="U1103" s="58" t="str" cm="1">
        <f t="array" ref="U1103">_xlfn._xlws.FILTER(Competitions[compID], (Fixtures[[#This Row],[competition]] = Competitions[name]), "N/A")</f>
        <v>N/A</v>
      </c>
      <c r="V11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3" s="58" t="str" cm="1">
        <f t="array" ref="W11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3" s="58" t="str" cm="1">
        <f t="array" ref="X1103">_xlfn._xlws.FILTER(Teams[name], (Fixtures[[#This Row],[userTeamID]] = Teams[teamID]), "N/A")</f>
        <v>N/A</v>
      </c>
      <c r="Y1103" s="58" t="str" cm="1">
        <f t="array" ref="Y1103">_xlfn._xlws.FILTER(Teams[teamType], (Fixtures[[#This Row],[userTeamID]] = Teams[teamID]), "N/A")</f>
        <v>N/A</v>
      </c>
      <c r="Z1103" s="58" t="str" cm="1">
        <f t="array" ref="Z11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3" s="58" t="str">
        <f>IF(Fixtures[[#This Row],[userSide]] = "N/A", "N/A", IF(Fixtures[[#This Row],[userSide]] = "H", Fixtures[[#This Row],[awayTeam]], Fixtures[[#This Row],[homeTeam]]))</f>
        <v>N/A</v>
      </c>
      <c r="AB1103" s="58" t="str" cm="1">
        <f t="array" ref="AB1103">_xlfn._xlws.FILTER(Teams[teamID], Fixtures[[#This Row],[oppTeam]] = Teams[name], "N/A")</f>
        <v>N/A</v>
      </c>
      <c r="AC1103" s="58" t="str" cm="1">
        <f t="array" ref="AC1103">_xlfn._xlws.FILTER(Teams[teamType], Fixtures[[#This Row],[oppTeam]] = Teams[name], "N/A")</f>
        <v>N/A</v>
      </c>
      <c r="AD1103" s="58" t="str">
        <f>IF(ISBLANK(Fixtures[[#This Row],[date]]), "N/A", IF(Fixtures[[#This Row],[userSide]]="H", Fixtures[[#This Row],[homeScore]], Fixtures[[#This Row],[awayScore]]))</f>
        <v>N/A</v>
      </c>
      <c r="AE1103" s="58" t="str">
        <f>IF(ISBLANK(Fixtures[[#This Row],[date]]), "N/A", IF(Fixtures[[#This Row],[userScore]] = Fixtures[[#This Row],[homeScore]], Fixtures[[#This Row],[awayScore]], Fixtures[[#This Row],[homeScore]]))</f>
        <v>N/A</v>
      </c>
      <c r="AF1103" s="58" t="b">
        <f>NOT(AND(ISBLANK(Fixtures[[#This Row],[homePens]]), ISBLANK(Fixtures[[#This Row],[awayPens]])))</f>
        <v>0</v>
      </c>
      <c r="AG1103" s="58" t="str">
        <f>IF(Fixtures[[#This Row],[penalties]], IF(Fixtures[[#This Row],[userSide]]="H", Fixtures[[#This Row],[homePens]], Fixtures[[#This Row],[awayPens]]), "N/A")</f>
        <v>N/A</v>
      </c>
      <c r="AH1103" s="58" t="str">
        <f>IF(Fixtures[[#This Row],[penalties]], IF(Fixtures[[#This Row],[userPens]]=Fixtures[[#This Row],[homePens]],Fixtures[[#This Row],[awayPens]],Fixtures[[#This Row],[homePens]]), "N/A")</f>
        <v>N/A</v>
      </c>
      <c r="AI1103" s="58" t="b">
        <f>COUNTBLANK(Fixtures[[#This Row],[G]:[MOTM]]) = 0</f>
        <v>0</v>
      </c>
      <c r="AJ1103" s="58" t="str">
        <f>IF(Fixtures[[#This Row],[APP]], Fixtures[[#This Row],[G]]+Fixtures[[#This Row],[A]], "N/A")</f>
        <v>N/A</v>
      </c>
      <c r="AK11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4" spans="1:39" ht="13">
      <c r="A1104" s="55"/>
      <c r="B1104" s="61"/>
      <c r="C1104" s="56"/>
      <c r="D1104" s="56"/>
      <c r="E1104" s="56"/>
      <c r="F1104" s="56"/>
      <c r="G1104" s="56"/>
      <c r="H1104" s="56"/>
      <c r="I1104" s="56"/>
      <c r="J1104" s="56"/>
      <c r="K1104" s="56"/>
      <c r="L1104" s="56"/>
      <c r="M1104" s="56"/>
      <c r="N1104" s="56"/>
      <c r="O1104" s="56"/>
      <c r="P1104" s="56"/>
      <c r="Q1104" s="57"/>
      <c r="R1104" s="56"/>
      <c r="S1104" s="58" t="str" cm="1">
        <f t="array" ref="S1104">_xlfn._xlws.FILTER(Competitions[compType], (Fixtures[[#This Row],[competition]] = Competitions[name]), "N/A")</f>
        <v>N/A</v>
      </c>
      <c r="T1104" s="58" t="str" cm="1">
        <f t="array" ref="T1104">_xlfn._xlws.FILTER(Competitions[exhibition], (Fixtures[[#This Row],[competition]] = Competitions[name]), "N/A")</f>
        <v>N/A</v>
      </c>
      <c r="U1104" s="58" t="str" cm="1">
        <f t="array" ref="U1104">_xlfn._xlws.FILTER(Competitions[compID], (Fixtures[[#This Row],[competition]] = Competitions[name]), "N/A")</f>
        <v>N/A</v>
      </c>
      <c r="V11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4" s="58" t="str" cm="1">
        <f t="array" ref="W11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4" s="58" t="str" cm="1">
        <f t="array" ref="X1104">_xlfn._xlws.FILTER(Teams[name], (Fixtures[[#This Row],[userTeamID]] = Teams[teamID]), "N/A")</f>
        <v>N/A</v>
      </c>
      <c r="Y1104" s="58" t="str" cm="1">
        <f t="array" ref="Y1104">_xlfn._xlws.FILTER(Teams[teamType], (Fixtures[[#This Row],[userTeamID]] = Teams[teamID]), "N/A")</f>
        <v>N/A</v>
      </c>
      <c r="Z1104" s="58" t="str" cm="1">
        <f t="array" ref="Z11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4" s="58" t="str">
        <f>IF(Fixtures[[#This Row],[userSide]] = "N/A", "N/A", IF(Fixtures[[#This Row],[userSide]] = "H", Fixtures[[#This Row],[awayTeam]], Fixtures[[#This Row],[homeTeam]]))</f>
        <v>N/A</v>
      </c>
      <c r="AB1104" s="58" t="str" cm="1">
        <f t="array" ref="AB1104">_xlfn._xlws.FILTER(Teams[teamID], Fixtures[[#This Row],[oppTeam]] = Teams[name], "N/A")</f>
        <v>N/A</v>
      </c>
      <c r="AC1104" s="58" t="str" cm="1">
        <f t="array" ref="AC1104">_xlfn._xlws.FILTER(Teams[teamType], Fixtures[[#This Row],[oppTeam]] = Teams[name], "N/A")</f>
        <v>N/A</v>
      </c>
      <c r="AD1104" s="58" t="str">
        <f>IF(ISBLANK(Fixtures[[#This Row],[date]]), "N/A", IF(Fixtures[[#This Row],[userSide]]="H", Fixtures[[#This Row],[homeScore]], Fixtures[[#This Row],[awayScore]]))</f>
        <v>N/A</v>
      </c>
      <c r="AE1104" s="58" t="str">
        <f>IF(ISBLANK(Fixtures[[#This Row],[date]]), "N/A", IF(Fixtures[[#This Row],[userScore]] = Fixtures[[#This Row],[homeScore]], Fixtures[[#This Row],[awayScore]], Fixtures[[#This Row],[homeScore]]))</f>
        <v>N/A</v>
      </c>
      <c r="AF1104" s="58" t="b">
        <f>NOT(AND(ISBLANK(Fixtures[[#This Row],[homePens]]), ISBLANK(Fixtures[[#This Row],[awayPens]])))</f>
        <v>0</v>
      </c>
      <c r="AG1104" s="58" t="str">
        <f>IF(Fixtures[[#This Row],[penalties]], IF(Fixtures[[#This Row],[userSide]]="H", Fixtures[[#This Row],[homePens]], Fixtures[[#This Row],[awayPens]]), "N/A")</f>
        <v>N/A</v>
      </c>
      <c r="AH1104" s="58" t="str">
        <f>IF(Fixtures[[#This Row],[penalties]], IF(Fixtures[[#This Row],[userPens]]=Fixtures[[#This Row],[homePens]],Fixtures[[#This Row],[awayPens]],Fixtures[[#This Row],[homePens]]), "N/A")</f>
        <v>N/A</v>
      </c>
      <c r="AI1104" s="58" t="b">
        <f>COUNTBLANK(Fixtures[[#This Row],[G]:[MOTM]]) = 0</f>
        <v>0</v>
      </c>
      <c r="AJ1104" s="58" t="str">
        <f>IF(Fixtures[[#This Row],[APP]], Fixtures[[#This Row],[G]]+Fixtures[[#This Row],[A]], "N/A")</f>
        <v>N/A</v>
      </c>
      <c r="AK11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5" spans="1:39" ht="13">
      <c r="A1105" s="55"/>
      <c r="B1105" s="61"/>
      <c r="C1105" s="56"/>
      <c r="D1105" s="56"/>
      <c r="E1105" s="56"/>
      <c r="F1105" s="56"/>
      <c r="G1105" s="56"/>
      <c r="H1105" s="56"/>
      <c r="I1105" s="56"/>
      <c r="J1105" s="56"/>
      <c r="K1105" s="56"/>
      <c r="L1105" s="56"/>
      <c r="M1105" s="56"/>
      <c r="N1105" s="56"/>
      <c r="O1105" s="56"/>
      <c r="P1105" s="56"/>
      <c r="Q1105" s="57"/>
      <c r="R1105" s="56"/>
      <c r="S1105" s="58" t="str" cm="1">
        <f t="array" ref="S1105">_xlfn._xlws.FILTER(Competitions[compType], (Fixtures[[#This Row],[competition]] = Competitions[name]), "N/A")</f>
        <v>N/A</v>
      </c>
      <c r="T1105" s="58" t="str" cm="1">
        <f t="array" ref="T1105">_xlfn._xlws.FILTER(Competitions[exhibition], (Fixtures[[#This Row],[competition]] = Competitions[name]), "N/A")</f>
        <v>N/A</v>
      </c>
      <c r="U1105" s="58" t="str" cm="1">
        <f t="array" ref="U1105">_xlfn._xlws.FILTER(Competitions[compID], (Fixtures[[#This Row],[competition]] = Competitions[name]), "N/A")</f>
        <v>N/A</v>
      </c>
      <c r="V11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5" s="58" t="str" cm="1">
        <f t="array" ref="W11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5" s="58" t="str" cm="1">
        <f t="array" ref="X1105">_xlfn._xlws.FILTER(Teams[name], (Fixtures[[#This Row],[userTeamID]] = Teams[teamID]), "N/A")</f>
        <v>N/A</v>
      </c>
      <c r="Y1105" s="58" t="str" cm="1">
        <f t="array" ref="Y1105">_xlfn._xlws.FILTER(Teams[teamType], (Fixtures[[#This Row],[userTeamID]] = Teams[teamID]), "N/A")</f>
        <v>N/A</v>
      </c>
      <c r="Z1105" s="58" t="str" cm="1">
        <f t="array" ref="Z11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5" s="58" t="str">
        <f>IF(Fixtures[[#This Row],[userSide]] = "N/A", "N/A", IF(Fixtures[[#This Row],[userSide]] = "H", Fixtures[[#This Row],[awayTeam]], Fixtures[[#This Row],[homeTeam]]))</f>
        <v>N/A</v>
      </c>
      <c r="AB1105" s="58" t="str" cm="1">
        <f t="array" ref="AB1105">_xlfn._xlws.FILTER(Teams[teamID], Fixtures[[#This Row],[oppTeam]] = Teams[name], "N/A")</f>
        <v>N/A</v>
      </c>
      <c r="AC1105" s="58" t="str" cm="1">
        <f t="array" ref="AC1105">_xlfn._xlws.FILTER(Teams[teamType], Fixtures[[#This Row],[oppTeam]] = Teams[name], "N/A")</f>
        <v>N/A</v>
      </c>
      <c r="AD1105" s="58" t="str">
        <f>IF(ISBLANK(Fixtures[[#This Row],[date]]), "N/A", IF(Fixtures[[#This Row],[userSide]]="H", Fixtures[[#This Row],[homeScore]], Fixtures[[#This Row],[awayScore]]))</f>
        <v>N/A</v>
      </c>
      <c r="AE1105" s="58" t="str">
        <f>IF(ISBLANK(Fixtures[[#This Row],[date]]), "N/A", IF(Fixtures[[#This Row],[userScore]] = Fixtures[[#This Row],[homeScore]], Fixtures[[#This Row],[awayScore]], Fixtures[[#This Row],[homeScore]]))</f>
        <v>N/A</v>
      </c>
      <c r="AF1105" s="58" t="b">
        <f>NOT(AND(ISBLANK(Fixtures[[#This Row],[homePens]]), ISBLANK(Fixtures[[#This Row],[awayPens]])))</f>
        <v>0</v>
      </c>
      <c r="AG1105" s="58" t="str">
        <f>IF(Fixtures[[#This Row],[penalties]], IF(Fixtures[[#This Row],[userSide]]="H", Fixtures[[#This Row],[homePens]], Fixtures[[#This Row],[awayPens]]), "N/A")</f>
        <v>N/A</v>
      </c>
      <c r="AH1105" s="58" t="str">
        <f>IF(Fixtures[[#This Row],[penalties]], IF(Fixtures[[#This Row],[userPens]]=Fixtures[[#This Row],[homePens]],Fixtures[[#This Row],[awayPens]],Fixtures[[#This Row],[homePens]]), "N/A")</f>
        <v>N/A</v>
      </c>
      <c r="AI1105" s="58" t="b">
        <f>COUNTBLANK(Fixtures[[#This Row],[G]:[MOTM]]) = 0</f>
        <v>0</v>
      </c>
      <c r="AJ1105" s="58" t="str">
        <f>IF(Fixtures[[#This Row],[APP]], Fixtures[[#This Row],[G]]+Fixtures[[#This Row],[A]], "N/A")</f>
        <v>N/A</v>
      </c>
      <c r="AK11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6" spans="1:39" ht="13">
      <c r="A1106" s="55"/>
      <c r="B1106" s="61"/>
      <c r="C1106" s="56"/>
      <c r="D1106" s="56"/>
      <c r="E1106" s="56"/>
      <c r="F1106" s="56"/>
      <c r="G1106" s="56"/>
      <c r="H1106" s="56"/>
      <c r="I1106" s="56"/>
      <c r="J1106" s="56"/>
      <c r="K1106" s="56"/>
      <c r="L1106" s="56"/>
      <c r="M1106" s="56"/>
      <c r="N1106" s="56"/>
      <c r="O1106" s="56"/>
      <c r="P1106" s="56"/>
      <c r="Q1106" s="57"/>
      <c r="R1106" s="56"/>
      <c r="S1106" s="58" t="str" cm="1">
        <f t="array" ref="S1106">_xlfn._xlws.FILTER(Competitions[compType], (Fixtures[[#This Row],[competition]] = Competitions[name]), "N/A")</f>
        <v>N/A</v>
      </c>
      <c r="T1106" s="58" t="str" cm="1">
        <f t="array" ref="T1106">_xlfn._xlws.FILTER(Competitions[exhibition], (Fixtures[[#This Row],[competition]] = Competitions[name]), "N/A")</f>
        <v>N/A</v>
      </c>
      <c r="U1106" s="58" t="str" cm="1">
        <f t="array" ref="U1106">_xlfn._xlws.FILTER(Competitions[compID], (Fixtures[[#This Row],[competition]] = Competitions[name]), "N/A")</f>
        <v>N/A</v>
      </c>
      <c r="V11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6" s="58" t="str" cm="1">
        <f t="array" ref="W11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6" s="58" t="str" cm="1">
        <f t="array" ref="X1106">_xlfn._xlws.FILTER(Teams[name], (Fixtures[[#This Row],[userTeamID]] = Teams[teamID]), "N/A")</f>
        <v>N/A</v>
      </c>
      <c r="Y1106" s="58" t="str" cm="1">
        <f t="array" ref="Y1106">_xlfn._xlws.FILTER(Teams[teamType], (Fixtures[[#This Row],[userTeamID]] = Teams[teamID]), "N/A")</f>
        <v>N/A</v>
      </c>
      <c r="Z1106" s="58" t="str" cm="1">
        <f t="array" ref="Z11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6" s="58" t="str">
        <f>IF(Fixtures[[#This Row],[userSide]] = "N/A", "N/A", IF(Fixtures[[#This Row],[userSide]] = "H", Fixtures[[#This Row],[awayTeam]], Fixtures[[#This Row],[homeTeam]]))</f>
        <v>N/A</v>
      </c>
      <c r="AB1106" s="58" t="str" cm="1">
        <f t="array" ref="AB1106">_xlfn._xlws.FILTER(Teams[teamID], Fixtures[[#This Row],[oppTeam]] = Teams[name], "N/A")</f>
        <v>N/A</v>
      </c>
      <c r="AC1106" s="58" t="str" cm="1">
        <f t="array" ref="AC1106">_xlfn._xlws.FILTER(Teams[teamType], Fixtures[[#This Row],[oppTeam]] = Teams[name], "N/A")</f>
        <v>N/A</v>
      </c>
      <c r="AD1106" s="58" t="str">
        <f>IF(ISBLANK(Fixtures[[#This Row],[date]]), "N/A", IF(Fixtures[[#This Row],[userSide]]="H", Fixtures[[#This Row],[homeScore]], Fixtures[[#This Row],[awayScore]]))</f>
        <v>N/A</v>
      </c>
      <c r="AE1106" s="58" t="str">
        <f>IF(ISBLANK(Fixtures[[#This Row],[date]]), "N/A", IF(Fixtures[[#This Row],[userScore]] = Fixtures[[#This Row],[homeScore]], Fixtures[[#This Row],[awayScore]], Fixtures[[#This Row],[homeScore]]))</f>
        <v>N/A</v>
      </c>
      <c r="AF1106" s="58" t="b">
        <f>NOT(AND(ISBLANK(Fixtures[[#This Row],[homePens]]), ISBLANK(Fixtures[[#This Row],[awayPens]])))</f>
        <v>0</v>
      </c>
      <c r="AG1106" s="58" t="str">
        <f>IF(Fixtures[[#This Row],[penalties]], IF(Fixtures[[#This Row],[userSide]]="H", Fixtures[[#This Row],[homePens]], Fixtures[[#This Row],[awayPens]]), "N/A")</f>
        <v>N/A</v>
      </c>
      <c r="AH1106" s="58" t="str">
        <f>IF(Fixtures[[#This Row],[penalties]], IF(Fixtures[[#This Row],[userPens]]=Fixtures[[#This Row],[homePens]],Fixtures[[#This Row],[awayPens]],Fixtures[[#This Row],[homePens]]), "N/A")</f>
        <v>N/A</v>
      </c>
      <c r="AI1106" s="58" t="b">
        <f>COUNTBLANK(Fixtures[[#This Row],[G]:[MOTM]]) = 0</f>
        <v>0</v>
      </c>
      <c r="AJ1106" s="58" t="str">
        <f>IF(Fixtures[[#This Row],[APP]], Fixtures[[#This Row],[G]]+Fixtures[[#This Row],[A]], "N/A")</f>
        <v>N/A</v>
      </c>
      <c r="AK11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7" spans="1:39" ht="13">
      <c r="A1107" s="55"/>
      <c r="B1107" s="61"/>
      <c r="C1107" s="56"/>
      <c r="D1107" s="56"/>
      <c r="E1107" s="56"/>
      <c r="F1107" s="56"/>
      <c r="G1107" s="56"/>
      <c r="H1107" s="56"/>
      <c r="I1107" s="56"/>
      <c r="J1107" s="56"/>
      <c r="K1107" s="56"/>
      <c r="L1107" s="56"/>
      <c r="M1107" s="56"/>
      <c r="N1107" s="56"/>
      <c r="O1107" s="56"/>
      <c r="P1107" s="56"/>
      <c r="Q1107" s="57"/>
      <c r="R1107" s="56"/>
      <c r="S1107" s="58" t="str" cm="1">
        <f t="array" ref="S1107">_xlfn._xlws.FILTER(Competitions[compType], (Fixtures[[#This Row],[competition]] = Competitions[name]), "N/A")</f>
        <v>N/A</v>
      </c>
      <c r="T1107" s="58" t="str" cm="1">
        <f t="array" ref="T1107">_xlfn._xlws.FILTER(Competitions[exhibition], (Fixtures[[#This Row],[competition]] = Competitions[name]), "N/A")</f>
        <v>N/A</v>
      </c>
      <c r="U1107" s="58" t="str" cm="1">
        <f t="array" ref="U1107">_xlfn._xlws.FILTER(Competitions[compID], (Fixtures[[#This Row],[competition]] = Competitions[name]), "N/A")</f>
        <v>N/A</v>
      </c>
      <c r="V11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7" s="58" t="str" cm="1">
        <f t="array" ref="W11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7" s="58" t="str" cm="1">
        <f t="array" ref="X1107">_xlfn._xlws.FILTER(Teams[name], (Fixtures[[#This Row],[userTeamID]] = Teams[teamID]), "N/A")</f>
        <v>N/A</v>
      </c>
      <c r="Y1107" s="58" t="str" cm="1">
        <f t="array" ref="Y1107">_xlfn._xlws.FILTER(Teams[teamType], (Fixtures[[#This Row],[userTeamID]] = Teams[teamID]), "N/A")</f>
        <v>N/A</v>
      </c>
      <c r="Z1107" s="58" t="str" cm="1">
        <f t="array" ref="Z11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7" s="58" t="str">
        <f>IF(Fixtures[[#This Row],[userSide]] = "N/A", "N/A", IF(Fixtures[[#This Row],[userSide]] = "H", Fixtures[[#This Row],[awayTeam]], Fixtures[[#This Row],[homeTeam]]))</f>
        <v>N/A</v>
      </c>
      <c r="AB1107" s="58" t="str" cm="1">
        <f t="array" ref="AB1107">_xlfn._xlws.FILTER(Teams[teamID], Fixtures[[#This Row],[oppTeam]] = Teams[name], "N/A")</f>
        <v>N/A</v>
      </c>
      <c r="AC1107" s="58" t="str" cm="1">
        <f t="array" ref="AC1107">_xlfn._xlws.FILTER(Teams[teamType], Fixtures[[#This Row],[oppTeam]] = Teams[name], "N/A")</f>
        <v>N/A</v>
      </c>
      <c r="AD1107" s="58" t="str">
        <f>IF(ISBLANK(Fixtures[[#This Row],[date]]), "N/A", IF(Fixtures[[#This Row],[userSide]]="H", Fixtures[[#This Row],[homeScore]], Fixtures[[#This Row],[awayScore]]))</f>
        <v>N/A</v>
      </c>
      <c r="AE1107" s="58" t="str">
        <f>IF(ISBLANK(Fixtures[[#This Row],[date]]), "N/A", IF(Fixtures[[#This Row],[userScore]] = Fixtures[[#This Row],[homeScore]], Fixtures[[#This Row],[awayScore]], Fixtures[[#This Row],[homeScore]]))</f>
        <v>N/A</v>
      </c>
      <c r="AF1107" s="58" t="b">
        <f>NOT(AND(ISBLANK(Fixtures[[#This Row],[homePens]]), ISBLANK(Fixtures[[#This Row],[awayPens]])))</f>
        <v>0</v>
      </c>
      <c r="AG1107" s="58" t="str">
        <f>IF(Fixtures[[#This Row],[penalties]], IF(Fixtures[[#This Row],[userSide]]="H", Fixtures[[#This Row],[homePens]], Fixtures[[#This Row],[awayPens]]), "N/A")</f>
        <v>N/A</v>
      </c>
      <c r="AH1107" s="58" t="str">
        <f>IF(Fixtures[[#This Row],[penalties]], IF(Fixtures[[#This Row],[userPens]]=Fixtures[[#This Row],[homePens]],Fixtures[[#This Row],[awayPens]],Fixtures[[#This Row],[homePens]]), "N/A")</f>
        <v>N/A</v>
      </c>
      <c r="AI1107" s="58" t="b">
        <f>COUNTBLANK(Fixtures[[#This Row],[G]:[MOTM]]) = 0</f>
        <v>0</v>
      </c>
      <c r="AJ1107" s="58" t="str">
        <f>IF(Fixtures[[#This Row],[APP]], Fixtures[[#This Row],[G]]+Fixtures[[#This Row],[A]], "N/A")</f>
        <v>N/A</v>
      </c>
      <c r="AK11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8" spans="1:39" ht="13">
      <c r="A1108" s="55"/>
      <c r="B1108" s="61"/>
      <c r="C1108" s="56"/>
      <c r="D1108" s="56"/>
      <c r="E1108" s="56"/>
      <c r="F1108" s="56"/>
      <c r="G1108" s="56"/>
      <c r="H1108" s="56"/>
      <c r="I1108" s="56"/>
      <c r="J1108" s="56"/>
      <c r="K1108" s="56"/>
      <c r="L1108" s="56"/>
      <c r="M1108" s="56"/>
      <c r="N1108" s="56"/>
      <c r="O1108" s="56"/>
      <c r="P1108" s="56"/>
      <c r="Q1108" s="57"/>
      <c r="R1108" s="56"/>
      <c r="S1108" s="58" t="str" cm="1">
        <f t="array" ref="S1108">_xlfn._xlws.FILTER(Competitions[compType], (Fixtures[[#This Row],[competition]] = Competitions[name]), "N/A")</f>
        <v>N/A</v>
      </c>
      <c r="T1108" s="58" t="str" cm="1">
        <f t="array" ref="T1108">_xlfn._xlws.FILTER(Competitions[exhibition], (Fixtures[[#This Row],[competition]] = Competitions[name]), "N/A")</f>
        <v>N/A</v>
      </c>
      <c r="U1108" s="58" t="str" cm="1">
        <f t="array" ref="U1108">_xlfn._xlws.FILTER(Competitions[compID], (Fixtures[[#This Row],[competition]] = Competitions[name]), "N/A")</f>
        <v>N/A</v>
      </c>
      <c r="V11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8" s="58" t="str" cm="1">
        <f t="array" ref="W11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8" s="58" t="str" cm="1">
        <f t="array" ref="X1108">_xlfn._xlws.FILTER(Teams[name], (Fixtures[[#This Row],[userTeamID]] = Teams[teamID]), "N/A")</f>
        <v>N/A</v>
      </c>
      <c r="Y1108" s="58" t="str" cm="1">
        <f t="array" ref="Y1108">_xlfn._xlws.FILTER(Teams[teamType], (Fixtures[[#This Row],[userTeamID]] = Teams[teamID]), "N/A")</f>
        <v>N/A</v>
      </c>
      <c r="Z1108" s="58" t="str" cm="1">
        <f t="array" ref="Z11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8" s="58" t="str">
        <f>IF(Fixtures[[#This Row],[userSide]] = "N/A", "N/A", IF(Fixtures[[#This Row],[userSide]] = "H", Fixtures[[#This Row],[awayTeam]], Fixtures[[#This Row],[homeTeam]]))</f>
        <v>N/A</v>
      </c>
      <c r="AB1108" s="58" t="str" cm="1">
        <f t="array" ref="AB1108">_xlfn._xlws.FILTER(Teams[teamID], Fixtures[[#This Row],[oppTeam]] = Teams[name], "N/A")</f>
        <v>N/A</v>
      </c>
      <c r="AC1108" s="58" t="str" cm="1">
        <f t="array" ref="AC1108">_xlfn._xlws.FILTER(Teams[teamType], Fixtures[[#This Row],[oppTeam]] = Teams[name], "N/A")</f>
        <v>N/A</v>
      </c>
      <c r="AD1108" s="58" t="str">
        <f>IF(ISBLANK(Fixtures[[#This Row],[date]]), "N/A", IF(Fixtures[[#This Row],[userSide]]="H", Fixtures[[#This Row],[homeScore]], Fixtures[[#This Row],[awayScore]]))</f>
        <v>N/A</v>
      </c>
      <c r="AE1108" s="58" t="str">
        <f>IF(ISBLANK(Fixtures[[#This Row],[date]]), "N/A", IF(Fixtures[[#This Row],[userScore]] = Fixtures[[#This Row],[homeScore]], Fixtures[[#This Row],[awayScore]], Fixtures[[#This Row],[homeScore]]))</f>
        <v>N/A</v>
      </c>
      <c r="AF1108" s="58" t="b">
        <f>NOT(AND(ISBLANK(Fixtures[[#This Row],[homePens]]), ISBLANK(Fixtures[[#This Row],[awayPens]])))</f>
        <v>0</v>
      </c>
      <c r="AG1108" s="58" t="str">
        <f>IF(Fixtures[[#This Row],[penalties]], IF(Fixtures[[#This Row],[userSide]]="H", Fixtures[[#This Row],[homePens]], Fixtures[[#This Row],[awayPens]]), "N/A")</f>
        <v>N/A</v>
      </c>
      <c r="AH1108" s="58" t="str">
        <f>IF(Fixtures[[#This Row],[penalties]], IF(Fixtures[[#This Row],[userPens]]=Fixtures[[#This Row],[homePens]],Fixtures[[#This Row],[awayPens]],Fixtures[[#This Row],[homePens]]), "N/A")</f>
        <v>N/A</v>
      </c>
      <c r="AI1108" s="58" t="b">
        <f>COUNTBLANK(Fixtures[[#This Row],[G]:[MOTM]]) = 0</f>
        <v>0</v>
      </c>
      <c r="AJ1108" s="58" t="str">
        <f>IF(Fixtures[[#This Row],[APP]], Fixtures[[#This Row],[G]]+Fixtures[[#This Row],[A]], "N/A")</f>
        <v>N/A</v>
      </c>
      <c r="AK11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09" spans="1:39" ht="13">
      <c r="A1109" s="55"/>
      <c r="B1109" s="61"/>
      <c r="C1109" s="56"/>
      <c r="D1109" s="56"/>
      <c r="E1109" s="56"/>
      <c r="F1109" s="56"/>
      <c r="G1109" s="56"/>
      <c r="H1109" s="56"/>
      <c r="I1109" s="56"/>
      <c r="J1109" s="56"/>
      <c r="K1109" s="56"/>
      <c r="L1109" s="56"/>
      <c r="M1109" s="56"/>
      <c r="N1109" s="56"/>
      <c r="O1109" s="56"/>
      <c r="P1109" s="56"/>
      <c r="Q1109" s="57"/>
      <c r="R1109" s="56"/>
      <c r="S1109" s="58" t="str" cm="1">
        <f t="array" ref="S1109">_xlfn._xlws.FILTER(Competitions[compType], (Fixtures[[#This Row],[competition]] = Competitions[name]), "N/A")</f>
        <v>N/A</v>
      </c>
      <c r="T1109" s="58" t="str" cm="1">
        <f t="array" ref="T1109">_xlfn._xlws.FILTER(Competitions[exhibition], (Fixtures[[#This Row],[competition]] = Competitions[name]), "N/A")</f>
        <v>N/A</v>
      </c>
      <c r="U1109" s="58" t="str" cm="1">
        <f t="array" ref="U1109">_xlfn._xlws.FILTER(Competitions[compID], (Fixtures[[#This Row],[competition]] = Competitions[name]), "N/A")</f>
        <v>N/A</v>
      </c>
      <c r="V11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09" s="58" t="str" cm="1">
        <f t="array" ref="W11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09" s="58" t="str" cm="1">
        <f t="array" ref="X1109">_xlfn._xlws.FILTER(Teams[name], (Fixtures[[#This Row],[userTeamID]] = Teams[teamID]), "N/A")</f>
        <v>N/A</v>
      </c>
      <c r="Y1109" s="58" t="str" cm="1">
        <f t="array" ref="Y1109">_xlfn._xlws.FILTER(Teams[teamType], (Fixtures[[#This Row],[userTeamID]] = Teams[teamID]), "N/A")</f>
        <v>N/A</v>
      </c>
      <c r="Z1109" s="58" t="str" cm="1">
        <f t="array" ref="Z11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09" s="58" t="str">
        <f>IF(Fixtures[[#This Row],[userSide]] = "N/A", "N/A", IF(Fixtures[[#This Row],[userSide]] = "H", Fixtures[[#This Row],[awayTeam]], Fixtures[[#This Row],[homeTeam]]))</f>
        <v>N/A</v>
      </c>
      <c r="AB1109" s="58" t="str" cm="1">
        <f t="array" ref="AB1109">_xlfn._xlws.FILTER(Teams[teamID], Fixtures[[#This Row],[oppTeam]] = Teams[name], "N/A")</f>
        <v>N/A</v>
      </c>
      <c r="AC1109" s="58" t="str" cm="1">
        <f t="array" ref="AC1109">_xlfn._xlws.FILTER(Teams[teamType], Fixtures[[#This Row],[oppTeam]] = Teams[name], "N/A")</f>
        <v>N/A</v>
      </c>
      <c r="AD1109" s="58" t="str">
        <f>IF(ISBLANK(Fixtures[[#This Row],[date]]), "N/A", IF(Fixtures[[#This Row],[userSide]]="H", Fixtures[[#This Row],[homeScore]], Fixtures[[#This Row],[awayScore]]))</f>
        <v>N/A</v>
      </c>
      <c r="AE1109" s="58" t="str">
        <f>IF(ISBLANK(Fixtures[[#This Row],[date]]), "N/A", IF(Fixtures[[#This Row],[userScore]] = Fixtures[[#This Row],[homeScore]], Fixtures[[#This Row],[awayScore]], Fixtures[[#This Row],[homeScore]]))</f>
        <v>N/A</v>
      </c>
      <c r="AF1109" s="58" t="b">
        <f>NOT(AND(ISBLANK(Fixtures[[#This Row],[homePens]]), ISBLANK(Fixtures[[#This Row],[awayPens]])))</f>
        <v>0</v>
      </c>
      <c r="AG1109" s="58" t="str">
        <f>IF(Fixtures[[#This Row],[penalties]], IF(Fixtures[[#This Row],[userSide]]="H", Fixtures[[#This Row],[homePens]], Fixtures[[#This Row],[awayPens]]), "N/A")</f>
        <v>N/A</v>
      </c>
      <c r="AH1109" s="58" t="str">
        <f>IF(Fixtures[[#This Row],[penalties]], IF(Fixtures[[#This Row],[userPens]]=Fixtures[[#This Row],[homePens]],Fixtures[[#This Row],[awayPens]],Fixtures[[#This Row],[homePens]]), "N/A")</f>
        <v>N/A</v>
      </c>
      <c r="AI1109" s="58" t="b">
        <f>COUNTBLANK(Fixtures[[#This Row],[G]:[MOTM]]) = 0</f>
        <v>0</v>
      </c>
      <c r="AJ1109" s="58" t="str">
        <f>IF(Fixtures[[#This Row],[APP]], Fixtures[[#This Row],[G]]+Fixtures[[#This Row],[A]], "N/A")</f>
        <v>N/A</v>
      </c>
      <c r="AK11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0" spans="1:39" ht="13">
      <c r="A1110" s="55"/>
      <c r="B1110" s="61"/>
      <c r="C1110" s="56"/>
      <c r="D1110" s="56"/>
      <c r="E1110" s="56"/>
      <c r="F1110" s="56"/>
      <c r="G1110" s="56"/>
      <c r="H1110" s="56"/>
      <c r="I1110" s="56"/>
      <c r="J1110" s="56"/>
      <c r="K1110" s="56"/>
      <c r="L1110" s="56"/>
      <c r="M1110" s="56"/>
      <c r="N1110" s="56"/>
      <c r="O1110" s="56"/>
      <c r="P1110" s="56"/>
      <c r="Q1110" s="57"/>
      <c r="R1110" s="56"/>
      <c r="S1110" s="58" t="str" cm="1">
        <f t="array" ref="S1110">_xlfn._xlws.FILTER(Competitions[compType], (Fixtures[[#This Row],[competition]] = Competitions[name]), "N/A")</f>
        <v>N/A</v>
      </c>
      <c r="T1110" s="58" t="str" cm="1">
        <f t="array" ref="T1110">_xlfn._xlws.FILTER(Competitions[exhibition], (Fixtures[[#This Row],[competition]] = Competitions[name]), "N/A")</f>
        <v>N/A</v>
      </c>
      <c r="U1110" s="58" t="str" cm="1">
        <f t="array" ref="U1110">_xlfn._xlws.FILTER(Competitions[compID], (Fixtures[[#This Row],[competition]] = Competitions[name]), "N/A")</f>
        <v>N/A</v>
      </c>
      <c r="V11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0" s="58" t="str" cm="1">
        <f t="array" ref="W11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0" s="58" t="str" cm="1">
        <f t="array" ref="X1110">_xlfn._xlws.FILTER(Teams[name], (Fixtures[[#This Row],[userTeamID]] = Teams[teamID]), "N/A")</f>
        <v>N/A</v>
      </c>
      <c r="Y1110" s="58" t="str" cm="1">
        <f t="array" ref="Y1110">_xlfn._xlws.FILTER(Teams[teamType], (Fixtures[[#This Row],[userTeamID]] = Teams[teamID]), "N/A")</f>
        <v>N/A</v>
      </c>
      <c r="Z1110" s="58" t="str" cm="1">
        <f t="array" ref="Z11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0" s="58" t="str">
        <f>IF(Fixtures[[#This Row],[userSide]] = "N/A", "N/A", IF(Fixtures[[#This Row],[userSide]] = "H", Fixtures[[#This Row],[awayTeam]], Fixtures[[#This Row],[homeTeam]]))</f>
        <v>N/A</v>
      </c>
      <c r="AB1110" s="58" t="str" cm="1">
        <f t="array" ref="AB1110">_xlfn._xlws.FILTER(Teams[teamID], Fixtures[[#This Row],[oppTeam]] = Teams[name], "N/A")</f>
        <v>N/A</v>
      </c>
      <c r="AC1110" s="58" t="str" cm="1">
        <f t="array" ref="AC1110">_xlfn._xlws.FILTER(Teams[teamType], Fixtures[[#This Row],[oppTeam]] = Teams[name], "N/A")</f>
        <v>N/A</v>
      </c>
      <c r="AD1110" s="58" t="str">
        <f>IF(ISBLANK(Fixtures[[#This Row],[date]]), "N/A", IF(Fixtures[[#This Row],[userSide]]="H", Fixtures[[#This Row],[homeScore]], Fixtures[[#This Row],[awayScore]]))</f>
        <v>N/A</v>
      </c>
      <c r="AE1110" s="58" t="str">
        <f>IF(ISBLANK(Fixtures[[#This Row],[date]]), "N/A", IF(Fixtures[[#This Row],[userScore]] = Fixtures[[#This Row],[homeScore]], Fixtures[[#This Row],[awayScore]], Fixtures[[#This Row],[homeScore]]))</f>
        <v>N/A</v>
      </c>
      <c r="AF1110" s="58" t="b">
        <f>NOT(AND(ISBLANK(Fixtures[[#This Row],[homePens]]), ISBLANK(Fixtures[[#This Row],[awayPens]])))</f>
        <v>0</v>
      </c>
      <c r="AG1110" s="58" t="str">
        <f>IF(Fixtures[[#This Row],[penalties]], IF(Fixtures[[#This Row],[userSide]]="H", Fixtures[[#This Row],[homePens]], Fixtures[[#This Row],[awayPens]]), "N/A")</f>
        <v>N/A</v>
      </c>
      <c r="AH1110" s="58" t="str">
        <f>IF(Fixtures[[#This Row],[penalties]], IF(Fixtures[[#This Row],[userPens]]=Fixtures[[#This Row],[homePens]],Fixtures[[#This Row],[awayPens]],Fixtures[[#This Row],[homePens]]), "N/A")</f>
        <v>N/A</v>
      </c>
      <c r="AI1110" s="58" t="b">
        <f>COUNTBLANK(Fixtures[[#This Row],[G]:[MOTM]]) = 0</f>
        <v>0</v>
      </c>
      <c r="AJ1110" s="58" t="str">
        <f>IF(Fixtures[[#This Row],[APP]], Fixtures[[#This Row],[G]]+Fixtures[[#This Row],[A]], "N/A")</f>
        <v>N/A</v>
      </c>
      <c r="AK11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1" spans="1:39" ht="13">
      <c r="A1111" s="55"/>
      <c r="B1111" s="61"/>
      <c r="C1111" s="56"/>
      <c r="D1111" s="56"/>
      <c r="E1111" s="56"/>
      <c r="F1111" s="56"/>
      <c r="G1111" s="56"/>
      <c r="H1111" s="56"/>
      <c r="I1111" s="56"/>
      <c r="J1111" s="56"/>
      <c r="K1111" s="56"/>
      <c r="L1111" s="56"/>
      <c r="M1111" s="56"/>
      <c r="N1111" s="56"/>
      <c r="O1111" s="56"/>
      <c r="P1111" s="56"/>
      <c r="Q1111" s="57"/>
      <c r="R1111" s="56"/>
      <c r="S1111" s="58" t="str" cm="1">
        <f t="array" ref="S1111">_xlfn._xlws.FILTER(Competitions[compType], (Fixtures[[#This Row],[competition]] = Competitions[name]), "N/A")</f>
        <v>N/A</v>
      </c>
      <c r="T1111" s="58" t="str" cm="1">
        <f t="array" ref="T1111">_xlfn._xlws.FILTER(Competitions[exhibition], (Fixtures[[#This Row],[competition]] = Competitions[name]), "N/A")</f>
        <v>N/A</v>
      </c>
      <c r="U1111" s="58" t="str" cm="1">
        <f t="array" ref="U1111">_xlfn._xlws.FILTER(Competitions[compID], (Fixtures[[#This Row],[competition]] = Competitions[name]), "N/A")</f>
        <v>N/A</v>
      </c>
      <c r="V11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1" s="58" t="str" cm="1">
        <f t="array" ref="W11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1" s="58" t="str" cm="1">
        <f t="array" ref="X1111">_xlfn._xlws.FILTER(Teams[name], (Fixtures[[#This Row],[userTeamID]] = Teams[teamID]), "N/A")</f>
        <v>N/A</v>
      </c>
      <c r="Y1111" s="58" t="str" cm="1">
        <f t="array" ref="Y1111">_xlfn._xlws.FILTER(Teams[teamType], (Fixtures[[#This Row],[userTeamID]] = Teams[teamID]), "N/A")</f>
        <v>N/A</v>
      </c>
      <c r="Z1111" s="58" t="str" cm="1">
        <f t="array" ref="Z11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1" s="58" t="str">
        <f>IF(Fixtures[[#This Row],[userSide]] = "N/A", "N/A", IF(Fixtures[[#This Row],[userSide]] = "H", Fixtures[[#This Row],[awayTeam]], Fixtures[[#This Row],[homeTeam]]))</f>
        <v>N/A</v>
      </c>
      <c r="AB1111" s="58" t="str" cm="1">
        <f t="array" ref="AB1111">_xlfn._xlws.FILTER(Teams[teamID], Fixtures[[#This Row],[oppTeam]] = Teams[name], "N/A")</f>
        <v>N/A</v>
      </c>
      <c r="AC1111" s="58" t="str" cm="1">
        <f t="array" ref="AC1111">_xlfn._xlws.FILTER(Teams[teamType], Fixtures[[#This Row],[oppTeam]] = Teams[name], "N/A")</f>
        <v>N/A</v>
      </c>
      <c r="AD1111" s="58" t="str">
        <f>IF(ISBLANK(Fixtures[[#This Row],[date]]), "N/A", IF(Fixtures[[#This Row],[userSide]]="H", Fixtures[[#This Row],[homeScore]], Fixtures[[#This Row],[awayScore]]))</f>
        <v>N/A</v>
      </c>
      <c r="AE1111" s="58" t="str">
        <f>IF(ISBLANK(Fixtures[[#This Row],[date]]), "N/A", IF(Fixtures[[#This Row],[userScore]] = Fixtures[[#This Row],[homeScore]], Fixtures[[#This Row],[awayScore]], Fixtures[[#This Row],[homeScore]]))</f>
        <v>N/A</v>
      </c>
      <c r="AF1111" s="58" t="b">
        <f>NOT(AND(ISBLANK(Fixtures[[#This Row],[homePens]]), ISBLANK(Fixtures[[#This Row],[awayPens]])))</f>
        <v>0</v>
      </c>
      <c r="AG1111" s="58" t="str">
        <f>IF(Fixtures[[#This Row],[penalties]], IF(Fixtures[[#This Row],[userSide]]="H", Fixtures[[#This Row],[homePens]], Fixtures[[#This Row],[awayPens]]), "N/A")</f>
        <v>N/A</v>
      </c>
      <c r="AH1111" s="58" t="str">
        <f>IF(Fixtures[[#This Row],[penalties]], IF(Fixtures[[#This Row],[userPens]]=Fixtures[[#This Row],[homePens]],Fixtures[[#This Row],[awayPens]],Fixtures[[#This Row],[homePens]]), "N/A")</f>
        <v>N/A</v>
      </c>
      <c r="AI1111" s="58" t="b">
        <f>COUNTBLANK(Fixtures[[#This Row],[G]:[MOTM]]) = 0</f>
        <v>0</v>
      </c>
      <c r="AJ1111" s="58" t="str">
        <f>IF(Fixtures[[#This Row],[APP]], Fixtures[[#This Row],[G]]+Fixtures[[#This Row],[A]], "N/A")</f>
        <v>N/A</v>
      </c>
      <c r="AK11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2" spans="1:39" ht="13">
      <c r="A1112" s="55"/>
      <c r="B1112" s="61"/>
      <c r="C1112" s="56"/>
      <c r="D1112" s="56"/>
      <c r="E1112" s="56"/>
      <c r="F1112" s="56"/>
      <c r="G1112" s="56"/>
      <c r="H1112" s="56"/>
      <c r="I1112" s="56"/>
      <c r="J1112" s="56"/>
      <c r="K1112" s="56"/>
      <c r="L1112" s="56"/>
      <c r="M1112" s="56"/>
      <c r="N1112" s="56"/>
      <c r="O1112" s="56"/>
      <c r="P1112" s="56"/>
      <c r="Q1112" s="57"/>
      <c r="R1112" s="56"/>
      <c r="S1112" s="58" t="str" cm="1">
        <f t="array" ref="S1112">_xlfn._xlws.FILTER(Competitions[compType], (Fixtures[[#This Row],[competition]] = Competitions[name]), "N/A")</f>
        <v>N/A</v>
      </c>
      <c r="T1112" s="58" t="str" cm="1">
        <f t="array" ref="T1112">_xlfn._xlws.FILTER(Competitions[exhibition], (Fixtures[[#This Row],[competition]] = Competitions[name]), "N/A")</f>
        <v>N/A</v>
      </c>
      <c r="U1112" s="58" t="str" cm="1">
        <f t="array" ref="U1112">_xlfn._xlws.FILTER(Competitions[compID], (Fixtures[[#This Row],[competition]] = Competitions[name]), "N/A")</f>
        <v>N/A</v>
      </c>
      <c r="V11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2" s="58" t="str" cm="1">
        <f t="array" ref="W11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2" s="58" t="str" cm="1">
        <f t="array" ref="X1112">_xlfn._xlws.FILTER(Teams[name], (Fixtures[[#This Row],[userTeamID]] = Teams[teamID]), "N/A")</f>
        <v>N/A</v>
      </c>
      <c r="Y1112" s="58" t="str" cm="1">
        <f t="array" ref="Y1112">_xlfn._xlws.FILTER(Teams[teamType], (Fixtures[[#This Row],[userTeamID]] = Teams[teamID]), "N/A")</f>
        <v>N/A</v>
      </c>
      <c r="Z1112" s="58" t="str" cm="1">
        <f t="array" ref="Z11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2" s="58" t="str">
        <f>IF(Fixtures[[#This Row],[userSide]] = "N/A", "N/A", IF(Fixtures[[#This Row],[userSide]] = "H", Fixtures[[#This Row],[awayTeam]], Fixtures[[#This Row],[homeTeam]]))</f>
        <v>N/A</v>
      </c>
      <c r="AB1112" s="58" t="str" cm="1">
        <f t="array" ref="AB1112">_xlfn._xlws.FILTER(Teams[teamID], Fixtures[[#This Row],[oppTeam]] = Teams[name], "N/A")</f>
        <v>N/A</v>
      </c>
      <c r="AC1112" s="58" t="str" cm="1">
        <f t="array" ref="AC1112">_xlfn._xlws.FILTER(Teams[teamType], Fixtures[[#This Row],[oppTeam]] = Teams[name], "N/A")</f>
        <v>N/A</v>
      </c>
      <c r="AD1112" s="58" t="str">
        <f>IF(ISBLANK(Fixtures[[#This Row],[date]]), "N/A", IF(Fixtures[[#This Row],[userSide]]="H", Fixtures[[#This Row],[homeScore]], Fixtures[[#This Row],[awayScore]]))</f>
        <v>N/A</v>
      </c>
      <c r="AE1112" s="58" t="str">
        <f>IF(ISBLANK(Fixtures[[#This Row],[date]]), "N/A", IF(Fixtures[[#This Row],[userScore]] = Fixtures[[#This Row],[homeScore]], Fixtures[[#This Row],[awayScore]], Fixtures[[#This Row],[homeScore]]))</f>
        <v>N/A</v>
      </c>
      <c r="AF1112" s="58" t="b">
        <f>NOT(AND(ISBLANK(Fixtures[[#This Row],[homePens]]), ISBLANK(Fixtures[[#This Row],[awayPens]])))</f>
        <v>0</v>
      </c>
      <c r="AG1112" s="58" t="str">
        <f>IF(Fixtures[[#This Row],[penalties]], IF(Fixtures[[#This Row],[userSide]]="H", Fixtures[[#This Row],[homePens]], Fixtures[[#This Row],[awayPens]]), "N/A")</f>
        <v>N/A</v>
      </c>
      <c r="AH1112" s="58" t="str">
        <f>IF(Fixtures[[#This Row],[penalties]], IF(Fixtures[[#This Row],[userPens]]=Fixtures[[#This Row],[homePens]],Fixtures[[#This Row],[awayPens]],Fixtures[[#This Row],[homePens]]), "N/A")</f>
        <v>N/A</v>
      </c>
      <c r="AI1112" s="58" t="b">
        <f>COUNTBLANK(Fixtures[[#This Row],[G]:[MOTM]]) = 0</f>
        <v>0</v>
      </c>
      <c r="AJ1112" s="58" t="str">
        <f>IF(Fixtures[[#This Row],[APP]], Fixtures[[#This Row],[G]]+Fixtures[[#This Row],[A]], "N/A")</f>
        <v>N/A</v>
      </c>
      <c r="AK11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3" spans="1:39" ht="13">
      <c r="A1113" s="55"/>
      <c r="B1113" s="61"/>
      <c r="C1113" s="56"/>
      <c r="D1113" s="56"/>
      <c r="E1113" s="56"/>
      <c r="F1113" s="56"/>
      <c r="G1113" s="56"/>
      <c r="H1113" s="56"/>
      <c r="I1113" s="56"/>
      <c r="J1113" s="56"/>
      <c r="K1113" s="56"/>
      <c r="L1113" s="56"/>
      <c r="M1113" s="56"/>
      <c r="N1113" s="56"/>
      <c r="O1113" s="56"/>
      <c r="P1113" s="56"/>
      <c r="Q1113" s="57"/>
      <c r="R1113" s="56"/>
      <c r="S1113" s="58" t="str" cm="1">
        <f t="array" ref="S1113">_xlfn._xlws.FILTER(Competitions[compType], (Fixtures[[#This Row],[competition]] = Competitions[name]), "N/A")</f>
        <v>N/A</v>
      </c>
      <c r="T1113" s="58" t="str" cm="1">
        <f t="array" ref="T1113">_xlfn._xlws.FILTER(Competitions[exhibition], (Fixtures[[#This Row],[competition]] = Competitions[name]), "N/A")</f>
        <v>N/A</v>
      </c>
      <c r="U1113" s="58" t="str" cm="1">
        <f t="array" ref="U1113">_xlfn._xlws.FILTER(Competitions[compID], (Fixtures[[#This Row],[competition]] = Competitions[name]), "N/A")</f>
        <v>N/A</v>
      </c>
      <c r="V11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3" s="58" t="str" cm="1">
        <f t="array" ref="W11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3" s="58" t="str" cm="1">
        <f t="array" ref="X1113">_xlfn._xlws.FILTER(Teams[name], (Fixtures[[#This Row],[userTeamID]] = Teams[teamID]), "N/A")</f>
        <v>N/A</v>
      </c>
      <c r="Y1113" s="58" t="str" cm="1">
        <f t="array" ref="Y1113">_xlfn._xlws.FILTER(Teams[teamType], (Fixtures[[#This Row],[userTeamID]] = Teams[teamID]), "N/A")</f>
        <v>N/A</v>
      </c>
      <c r="Z1113" s="58" t="str" cm="1">
        <f t="array" ref="Z11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3" s="58" t="str">
        <f>IF(Fixtures[[#This Row],[userSide]] = "N/A", "N/A", IF(Fixtures[[#This Row],[userSide]] = "H", Fixtures[[#This Row],[awayTeam]], Fixtures[[#This Row],[homeTeam]]))</f>
        <v>N/A</v>
      </c>
      <c r="AB1113" s="58" t="str" cm="1">
        <f t="array" ref="AB1113">_xlfn._xlws.FILTER(Teams[teamID], Fixtures[[#This Row],[oppTeam]] = Teams[name], "N/A")</f>
        <v>N/A</v>
      </c>
      <c r="AC1113" s="58" t="str" cm="1">
        <f t="array" ref="AC1113">_xlfn._xlws.FILTER(Teams[teamType], Fixtures[[#This Row],[oppTeam]] = Teams[name], "N/A")</f>
        <v>N/A</v>
      </c>
      <c r="AD1113" s="58" t="str">
        <f>IF(ISBLANK(Fixtures[[#This Row],[date]]), "N/A", IF(Fixtures[[#This Row],[userSide]]="H", Fixtures[[#This Row],[homeScore]], Fixtures[[#This Row],[awayScore]]))</f>
        <v>N/A</v>
      </c>
      <c r="AE1113" s="58" t="str">
        <f>IF(ISBLANK(Fixtures[[#This Row],[date]]), "N/A", IF(Fixtures[[#This Row],[userScore]] = Fixtures[[#This Row],[homeScore]], Fixtures[[#This Row],[awayScore]], Fixtures[[#This Row],[homeScore]]))</f>
        <v>N/A</v>
      </c>
      <c r="AF1113" s="58" t="b">
        <f>NOT(AND(ISBLANK(Fixtures[[#This Row],[homePens]]), ISBLANK(Fixtures[[#This Row],[awayPens]])))</f>
        <v>0</v>
      </c>
      <c r="AG1113" s="58" t="str">
        <f>IF(Fixtures[[#This Row],[penalties]], IF(Fixtures[[#This Row],[userSide]]="H", Fixtures[[#This Row],[homePens]], Fixtures[[#This Row],[awayPens]]), "N/A")</f>
        <v>N/A</v>
      </c>
      <c r="AH1113" s="58" t="str">
        <f>IF(Fixtures[[#This Row],[penalties]], IF(Fixtures[[#This Row],[userPens]]=Fixtures[[#This Row],[homePens]],Fixtures[[#This Row],[awayPens]],Fixtures[[#This Row],[homePens]]), "N/A")</f>
        <v>N/A</v>
      </c>
      <c r="AI1113" s="58" t="b">
        <f>COUNTBLANK(Fixtures[[#This Row],[G]:[MOTM]]) = 0</f>
        <v>0</v>
      </c>
      <c r="AJ1113" s="58" t="str">
        <f>IF(Fixtures[[#This Row],[APP]], Fixtures[[#This Row],[G]]+Fixtures[[#This Row],[A]], "N/A")</f>
        <v>N/A</v>
      </c>
      <c r="AK11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4" spans="1:39" ht="13">
      <c r="A1114" s="55"/>
      <c r="B1114" s="61"/>
      <c r="C1114" s="56"/>
      <c r="D1114" s="56"/>
      <c r="E1114" s="56"/>
      <c r="F1114" s="56"/>
      <c r="G1114" s="56"/>
      <c r="H1114" s="56"/>
      <c r="I1114" s="56"/>
      <c r="J1114" s="56"/>
      <c r="K1114" s="56"/>
      <c r="L1114" s="56"/>
      <c r="M1114" s="56"/>
      <c r="N1114" s="56"/>
      <c r="O1114" s="56"/>
      <c r="P1114" s="56"/>
      <c r="Q1114" s="57"/>
      <c r="R1114" s="56"/>
      <c r="S1114" s="58" t="str" cm="1">
        <f t="array" ref="S1114">_xlfn._xlws.FILTER(Competitions[compType], (Fixtures[[#This Row],[competition]] = Competitions[name]), "N/A")</f>
        <v>N/A</v>
      </c>
      <c r="T1114" s="58" t="str" cm="1">
        <f t="array" ref="T1114">_xlfn._xlws.FILTER(Competitions[exhibition], (Fixtures[[#This Row],[competition]] = Competitions[name]), "N/A")</f>
        <v>N/A</v>
      </c>
      <c r="U1114" s="58" t="str" cm="1">
        <f t="array" ref="U1114">_xlfn._xlws.FILTER(Competitions[compID], (Fixtures[[#This Row],[competition]] = Competitions[name]), "N/A")</f>
        <v>N/A</v>
      </c>
      <c r="V11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4" s="58" t="str" cm="1">
        <f t="array" ref="W11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4" s="58" t="str" cm="1">
        <f t="array" ref="X1114">_xlfn._xlws.FILTER(Teams[name], (Fixtures[[#This Row],[userTeamID]] = Teams[teamID]), "N/A")</f>
        <v>N/A</v>
      </c>
      <c r="Y1114" s="58" t="str" cm="1">
        <f t="array" ref="Y1114">_xlfn._xlws.FILTER(Teams[teamType], (Fixtures[[#This Row],[userTeamID]] = Teams[teamID]), "N/A")</f>
        <v>N/A</v>
      </c>
      <c r="Z1114" s="58" t="str" cm="1">
        <f t="array" ref="Z11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4" s="58" t="str">
        <f>IF(Fixtures[[#This Row],[userSide]] = "N/A", "N/A", IF(Fixtures[[#This Row],[userSide]] = "H", Fixtures[[#This Row],[awayTeam]], Fixtures[[#This Row],[homeTeam]]))</f>
        <v>N/A</v>
      </c>
      <c r="AB1114" s="58" t="str" cm="1">
        <f t="array" ref="AB1114">_xlfn._xlws.FILTER(Teams[teamID], Fixtures[[#This Row],[oppTeam]] = Teams[name], "N/A")</f>
        <v>N/A</v>
      </c>
      <c r="AC1114" s="58" t="str" cm="1">
        <f t="array" ref="AC1114">_xlfn._xlws.FILTER(Teams[teamType], Fixtures[[#This Row],[oppTeam]] = Teams[name], "N/A")</f>
        <v>N/A</v>
      </c>
      <c r="AD1114" s="58" t="str">
        <f>IF(ISBLANK(Fixtures[[#This Row],[date]]), "N/A", IF(Fixtures[[#This Row],[userSide]]="H", Fixtures[[#This Row],[homeScore]], Fixtures[[#This Row],[awayScore]]))</f>
        <v>N/A</v>
      </c>
      <c r="AE1114" s="58" t="str">
        <f>IF(ISBLANK(Fixtures[[#This Row],[date]]), "N/A", IF(Fixtures[[#This Row],[userScore]] = Fixtures[[#This Row],[homeScore]], Fixtures[[#This Row],[awayScore]], Fixtures[[#This Row],[homeScore]]))</f>
        <v>N/A</v>
      </c>
      <c r="AF1114" s="58" t="b">
        <f>NOT(AND(ISBLANK(Fixtures[[#This Row],[homePens]]), ISBLANK(Fixtures[[#This Row],[awayPens]])))</f>
        <v>0</v>
      </c>
      <c r="AG1114" s="58" t="str">
        <f>IF(Fixtures[[#This Row],[penalties]], IF(Fixtures[[#This Row],[userSide]]="H", Fixtures[[#This Row],[homePens]], Fixtures[[#This Row],[awayPens]]), "N/A")</f>
        <v>N/A</v>
      </c>
      <c r="AH1114" s="58" t="str">
        <f>IF(Fixtures[[#This Row],[penalties]], IF(Fixtures[[#This Row],[userPens]]=Fixtures[[#This Row],[homePens]],Fixtures[[#This Row],[awayPens]],Fixtures[[#This Row],[homePens]]), "N/A")</f>
        <v>N/A</v>
      </c>
      <c r="AI1114" s="58" t="b">
        <f>COUNTBLANK(Fixtures[[#This Row],[G]:[MOTM]]) = 0</f>
        <v>0</v>
      </c>
      <c r="AJ1114" s="58" t="str">
        <f>IF(Fixtures[[#This Row],[APP]], Fixtures[[#This Row],[G]]+Fixtures[[#This Row],[A]], "N/A")</f>
        <v>N/A</v>
      </c>
      <c r="AK11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5" spans="1:39" ht="13">
      <c r="A1115" s="55"/>
      <c r="B1115" s="61"/>
      <c r="C1115" s="56"/>
      <c r="D1115" s="56"/>
      <c r="E1115" s="56"/>
      <c r="F1115" s="56"/>
      <c r="G1115" s="56"/>
      <c r="H1115" s="56"/>
      <c r="I1115" s="56"/>
      <c r="J1115" s="56"/>
      <c r="K1115" s="56"/>
      <c r="L1115" s="56"/>
      <c r="M1115" s="56"/>
      <c r="N1115" s="56"/>
      <c r="O1115" s="56"/>
      <c r="P1115" s="56"/>
      <c r="Q1115" s="57"/>
      <c r="R1115" s="56"/>
      <c r="S1115" s="58" t="str" cm="1">
        <f t="array" ref="S1115">_xlfn._xlws.FILTER(Competitions[compType], (Fixtures[[#This Row],[competition]] = Competitions[name]), "N/A")</f>
        <v>N/A</v>
      </c>
      <c r="T1115" s="58" t="str" cm="1">
        <f t="array" ref="T1115">_xlfn._xlws.FILTER(Competitions[exhibition], (Fixtures[[#This Row],[competition]] = Competitions[name]), "N/A")</f>
        <v>N/A</v>
      </c>
      <c r="U1115" s="58" t="str" cm="1">
        <f t="array" ref="U1115">_xlfn._xlws.FILTER(Competitions[compID], (Fixtures[[#This Row],[competition]] = Competitions[name]), "N/A")</f>
        <v>N/A</v>
      </c>
      <c r="V11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5" s="58" t="str" cm="1">
        <f t="array" ref="W11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5" s="58" t="str" cm="1">
        <f t="array" ref="X1115">_xlfn._xlws.FILTER(Teams[name], (Fixtures[[#This Row],[userTeamID]] = Teams[teamID]), "N/A")</f>
        <v>N/A</v>
      </c>
      <c r="Y1115" s="58" t="str" cm="1">
        <f t="array" ref="Y1115">_xlfn._xlws.FILTER(Teams[teamType], (Fixtures[[#This Row],[userTeamID]] = Teams[teamID]), "N/A")</f>
        <v>N/A</v>
      </c>
      <c r="Z1115" s="58" t="str" cm="1">
        <f t="array" ref="Z11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5" s="58" t="str">
        <f>IF(Fixtures[[#This Row],[userSide]] = "N/A", "N/A", IF(Fixtures[[#This Row],[userSide]] = "H", Fixtures[[#This Row],[awayTeam]], Fixtures[[#This Row],[homeTeam]]))</f>
        <v>N/A</v>
      </c>
      <c r="AB1115" s="58" t="str" cm="1">
        <f t="array" ref="AB1115">_xlfn._xlws.FILTER(Teams[teamID], Fixtures[[#This Row],[oppTeam]] = Teams[name], "N/A")</f>
        <v>N/A</v>
      </c>
      <c r="AC1115" s="58" t="str" cm="1">
        <f t="array" ref="AC1115">_xlfn._xlws.FILTER(Teams[teamType], Fixtures[[#This Row],[oppTeam]] = Teams[name], "N/A")</f>
        <v>N/A</v>
      </c>
      <c r="AD1115" s="58" t="str">
        <f>IF(ISBLANK(Fixtures[[#This Row],[date]]), "N/A", IF(Fixtures[[#This Row],[userSide]]="H", Fixtures[[#This Row],[homeScore]], Fixtures[[#This Row],[awayScore]]))</f>
        <v>N/A</v>
      </c>
      <c r="AE1115" s="58" t="str">
        <f>IF(ISBLANK(Fixtures[[#This Row],[date]]), "N/A", IF(Fixtures[[#This Row],[userScore]] = Fixtures[[#This Row],[homeScore]], Fixtures[[#This Row],[awayScore]], Fixtures[[#This Row],[homeScore]]))</f>
        <v>N/A</v>
      </c>
      <c r="AF1115" s="58" t="b">
        <f>NOT(AND(ISBLANK(Fixtures[[#This Row],[homePens]]), ISBLANK(Fixtures[[#This Row],[awayPens]])))</f>
        <v>0</v>
      </c>
      <c r="AG1115" s="58" t="str">
        <f>IF(Fixtures[[#This Row],[penalties]], IF(Fixtures[[#This Row],[userSide]]="H", Fixtures[[#This Row],[homePens]], Fixtures[[#This Row],[awayPens]]), "N/A")</f>
        <v>N/A</v>
      </c>
      <c r="AH1115" s="58" t="str">
        <f>IF(Fixtures[[#This Row],[penalties]], IF(Fixtures[[#This Row],[userPens]]=Fixtures[[#This Row],[homePens]],Fixtures[[#This Row],[awayPens]],Fixtures[[#This Row],[homePens]]), "N/A")</f>
        <v>N/A</v>
      </c>
      <c r="AI1115" s="58" t="b">
        <f>COUNTBLANK(Fixtures[[#This Row],[G]:[MOTM]]) = 0</f>
        <v>0</v>
      </c>
      <c r="AJ1115" s="58" t="str">
        <f>IF(Fixtures[[#This Row],[APP]], Fixtures[[#This Row],[G]]+Fixtures[[#This Row],[A]], "N/A")</f>
        <v>N/A</v>
      </c>
      <c r="AK11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6" spans="1:39" ht="13">
      <c r="A1116" s="55"/>
      <c r="B1116" s="61"/>
      <c r="C1116" s="56"/>
      <c r="D1116" s="56"/>
      <c r="E1116" s="56"/>
      <c r="F1116" s="56"/>
      <c r="G1116" s="56"/>
      <c r="H1116" s="56"/>
      <c r="I1116" s="56"/>
      <c r="J1116" s="56"/>
      <c r="K1116" s="56"/>
      <c r="L1116" s="56"/>
      <c r="M1116" s="56"/>
      <c r="N1116" s="56"/>
      <c r="O1116" s="56"/>
      <c r="P1116" s="56"/>
      <c r="Q1116" s="57"/>
      <c r="R1116" s="56"/>
      <c r="S1116" s="58" t="str" cm="1">
        <f t="array" ref="S1116">_xlfn._xlws.FILTER(Competitions[compType], (Fixtures[[#This Row],[competition]] = Competitions[name]), "N/A")</f>
        <v>N/A</v>
      </c>
      <c r="T1116" s="58" t="str" cm="1">
        <f t="array" ref="T1116">_xlfn._xlws.FILTER(Competitions[exhibition], (Fixtures[[#This Row],[competition]] = Competitions[name]), "N/A")</f>
        <v>N/A</v>
      </c>
      <c r="U1116" s="58" t="str" cm="1">
        <f t="array" ref="U1116">_xlfn._xlws.FILTER(Competitions[compID], (Fixtures[[#This Row],[competition]] = Competitions[name]), "N/A")</f>
        <v>N/A</v>
      </c>
      <c r="V11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6" s="58" t="str" cm="1">
        <f t="array" ref="W11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6" s="58" t="str" cm="1">
        <f t="array" ref="X1116">_xlfn._xlws.FILTER(Teams[name], (Fixtures[[#This Row],[userTeamID]] = Teams[teamID]), "N/A")</f>
        <v>N/A</v>
      </c>
      <c r="Y1116" s="58" t="str" cm="1">
        <f t="array" ref="Y1116">_xlfn._xlws.FILTER(Teams[teamType], (Fixtures[[#This Row],[userTeamID]] = Teams[teamID]), "N/A")</f>
        <v>N/A</v>
      </c>
      <c r="Z1116" s="58" t="str" cm="1">
        <f t="array" ref="Z11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6" s="58" t="str">
        <f>IF(Fixtures[[#This Row],[userSide]] = "N/A", "N/A", IF(Fixtures[[#This Row],[userSide]] = "H", Fixtures[[#This Row],[awayTeam]], Fixtures[[#This Row],[homeTeam]]))</f>
        <v>N/A</v>
      </c>
      <c r="AB1116" s="58" t="str" cm="1">
        <f t="array" ref="AB1116">_xlfn._xlws.FILTER(Teams[teamID], Fixtures[[#This Row],[oppTeam]] = Teams[name], "N/A")</f>
        <v>N/A</v>
      </c>
      <c r="AC1116" s="58" t="str" cm="1">
        <f t="array" ref="AC1116">_xlfn._xlws.FILTER(Teams[teamType], Fixtures[[#This Row],[oppTeam]] = Teams[name], "N/A")</f>
        <v>N/A</v>
      </c>
      <c r="AD1116" s="58" t="str">
        <f>IF(ISBLANK(Fixtures[[#This Row],[date]]), "N/A", IF(Fixtures[[#This Row],[userSide]]="H", Fixtures[[#This Row],[homeScore]], Fixtures[[#This Row],[awayScore]]))</f>
        <v>N/A</v>
      </c>
      <c r="AE1116" s="58" t="str">
        <f>IF(ISBLANK(Fixtures[[#This Row],[date]]), "N/A", IF(Fixtures[[#This Row],[userScore]] = Fixtures[[#This Row],[homeScore]], Fixtures[[#This Row],[awayScore]], Fixtures[[#This Row],[homeScore]]))</f>
        <v>N/A</v>
      </c>
      <c r="AF1116" s="58" t="b">
        <f>NOT(AND(ISBLANK(Fixtures[[#This Row],[homePens]]), ISBLANK(Fixtures[[#This Row],[awayPens]])))</f>
        <v>0</v>
      </c>
      <c r="AG1116" s="58" t="str">
        <f>IF(Fixtures[[#This Row],[penalties]], IF(Fixtures[[#This Row],[userSide]]="H", Fixtures[[#This Row],[homePens]], Fixtures[[#This Row],[awayPens]]), "N/A")</f>
        <v>N/A</v>
      </c>
      <c r="AH1116" s="58" t="str">
        <f>IF(Fixtures[[#This Row],[penalties]], IF(Fixtures[[#This Row],[userPens]]=Fixtures[[#This Row],[homePens]],Fixtures[[#This Row],[awayPens]],Fixtures[[#This Row],[homePens]]), "N/A")</f>
        <v>N/A</v>
      </c>
      <c r="AI1116" s="58" t="b">
        <f>COUNTBLANK(Fixtures[[#This Row],[G]:[MOTM]]) = 0</f>
        <v>0</v>
      </c>
      <c r="AJ1116" s="58" t="str">
        <f>IF(Fixtures[[#This Row],[APP]], Fixtures[[#This Row],[G]]+Fixtures[[#This Row],[A]], "N/A")</f>
        <v>N/A</v>
      </c>
      <c r="AK11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7" spans="1:39" ht="13">
      <c r="A1117" s="55"/>
      <c r="B1117" s="61"/>
      <c r="C1117" s="56"/>
      <c r="D1117" s="56"/>
      <c r="E1117" s="56"/>
      <c r="F1117" s="56"/>
      <c r="G1117" s="56"/>
      <c r="H1117" s="56"/>
      <c r="I1117" s="56"/>
      <c r="J1117" s="56"/>
      <c r="K1117" s="56"/>
      <c r="L1117" s="56"/>
      <c r="M1117" s="56"/>
      <c r="N1117" s="56"/>
      <c r="O1117" s="56"/>
      <c r="P1117" s="56"/>
      <c r="Q1117" s="57"/>
      <c r="R1117" s="56"/>
      <c r="S1117" s="58" t="str" cm="1">
        <f t="array" ref="S1117">_xlfn._xlws.FILTER(Competitions[compType], (Fixtures[[#This Row],[competition]] = Competitions[name]), "N/A")</f>
        <v>N/A</v>
      </c>
      <c r="T1117" s="58" t="str" cm="1">
        <f t="array" ref="T1117">_xlfn._xlws.FILTER(Competitions[exhibition], (Fixtures[[#This Row],[competition]] = Competitions[name]), "N/A")</f>
        <v>N/A</v>
      </c>
      <c r="U1117" s="58" t="str" cm="1">
        <f t="array" ref="U1117">_xlfn._xlws.FILTER(Competitions[compID], (Fixtures[[#This Row],[competition]] = Competitions[name]), "N/A")</f>
        <v>N/A</v>
      </c>
      <c r="V11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7" s="58" t="str" cm="1">
        <f t="array" ref="W11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7" s="58" t="str" cm="1">
        <f t="array" ref="X1117">_xlfn._xlws.FILTER(Teams[name], (Fixtures[[#This Row],[userTeamID]] = Teams[teamID]), "N/A")</f>
        <v>N/A</v>
      </c>
      <c r="Y1117" s="58" t="str" cm="1">
        <f t="array" ref="Y1117">_xlfn._xlws.FILTER(Teams[teamType], (Fixtures[[#This Row],[userTeamID]] = Teams[teamID]), "N/A")</f>
        <v>N/A</v>
      </c>
      <c r="Z1117" s="58" t="str" cm="1">
        <f t="array" ref="Z11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7" s="58" t="str">
        <f>IF(Fixtures[[#This Row],[userSide]] = "N/A", "N/A", IF(Fixtures[[#This Row],[userSide]] = "H", Fixtures[[#This Row],[awayTeam]], Fixtures[[#This Row],[homeTeam]]))</f>
        <v>N/A</v>
      </c>
      <c r="AB1117" s="58" t="str" cm="1">
        <f t="array" ref="AB1117">_xlfn._xlws.FILTER(Teams[teamID], Fixtures[[#This Row],[oppTeam]] = Teams[name], "N/A")</f>
        <v>N/A</v>
      </c>
      <c r="AC1117" s="58" t="str" cm="1">
        <f t="array" ref="AC1117">_xlfn._xlws.FILTER(Teams[teamType], Fixtures[[#This Row],[oppTeam]] = Teams[name], "N/A")</f>
        <v>N/A</v>
      </c>
      <c r="AD1117" s="58" t="str">
        <f>IF(ISBLANK(Fixtures[[#This Row],[date]]), "N/A", IF(Fixtures[[#This Row],[userSide]]="H", Fixtures[[#This Row],[homeScore]], Fixtures[[#This Row],[awayScore]]))</f>
        <v>N/A</v>
      </c>
      <c r="AE1117" s="58" t="str">
        <f>IF(ISBLANK(Fixtures[[#This Row],[date]]), "N/A", IF(Fixtures[[#This Row],[userScore]] = Fixtures[[#This Row],[homeScore]], Fixtures[[#This Row],[awayScore]], Fixtures[[#This Row],[homeScore]]))</f>
        <v>N/A</v>
      </c>
      <c r="AF1117" s="58" t="b">
        <f>NOT(AND(ISBLANK(Fixtures[[#This Row],[homePens]]), ISBLANK(Fixtures[[#This Row],[awayPens]])))</f>
        <v>0</v>
      </c>
      <c r="AG1117" s="58" t="str">
        <f>IF(Fixtures[[#This Row],[penalties]], IF(Fixtures[[#This Row],[userSide]]="H", Fixtures[[#This Row],[homePens]], Fixtures[[#This Row],[awayPens]]), "N/A")</f>
        <v>N/A</v>
      </c>
      <c r="AH1117" s="58" t="str">
        <f>IF(Fixtures[[#This Row],[penalties]], IF(Fixtures[[#This Row],[userPens]]=Fixtures[[#This Row],[homePens]],Fixtures[[#This Row],[awayPens]],Fixtures[[#This Row],[homePens]]), "N/A")</f>
        <v>N/A</v>
      </c>
      <c r="AI1117" s="58" t="b">
        <f>COUNTBLANK(Fixtures[[#This Row],[G]:[MOTM]]) = 0</f>
        <v>0</v>
      </c>
      <c r="AJ1117" s="58" t="str">
        <f>IF(Fixtures[[#This Row],[APP]], Fixtures[[#This Row],[G]]+Fixtures[[#This Row],[A]], "N/A")</f>
        <v>N/A</v>
      </c>
      <c r="AK11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8" spans="1:39" ht="13">
      <c r="A1118" s="55"/>
      <c r="B1118" s="61"/>
      <c r="C1118" s="56"/>
      <c r="D1118" s="56"/>
      <c r="E1118" s="56"/>
      <c r="F1118" s="56"/>
      <c r="G1118" s="56"/>
      <c r="H1118" s="56"/>
      <c r="I1118" s="56"/>
      <c r="J1118" s="56"/>
      <c r="K1118" s="56"/>
      <c r="L1118" s="56"/>
      <c r="M1118" s="56"/>
      <c r="N1118" s="56"/>
      <c r="O1118" s="56"/>
      <c r="P1118" s="56"/>
      <c r="Q1118" s="57"/>
      <c r="R1118" s="56"/>
      <c r="S1118" s="58" t="str" cm="1">
        <f t="array" ref="S1118">_xlfn._xlws.FILTER(Competitions[compType], (Fixtures[[#This Row],[competition]] = Competitions[name]), "N/A")</f>
        <v>N/A</v>
      </c>
      <c r="T1118" s="58" t="str" cm="1">
        <f t="array" ref="T1118">_xlfn._xlws.FILTER(Competitions[exhibition], (Fixtures[[#This Row],[competition]] = Competitions[name]), "N/A")</f>
        <v>N/A</v>
      </c>
      <c r="U1118" s="58" t="str" cm="1">
        <f t="array" ref="U1118">_xlfn._xlws.FILTER(Competitions[compID], (Fixtures[[#This Row],[competition]] = Competitions[name]), "N/A")</f>
        <v>N/A</v>
      </c>
      <c r="V11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8" s="58" t="str" cm="1">
        <f t="array" ref="W11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8" s="58" t="str" cm="1">
        <f t="array" ref="X1118">_xlfn._xlws.FILTER(Teams[name], (Fixtures[[#This Row],[userTeamID]] = Teams[teamID]), "N/A")</f>
        <v>N/A</v>
      </c>
      <c r="Y1118" s="58" t="str" cm="1">
        <f t="array" ref="Y1118">_xlfn._xlws.FILTER(Teams[teamType], (Fixtures[[#This Row],[userTeamID]] = Teams[teamID]), "N/A")</f>
        <v>N/A</v>
      </c>
      <c r="Z1118" s="58" t="str" cm="1">
        <f t="array" ref="Z11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8" s="58" t="str">
        <f>IF(Fixtures[[#This Row],[userSide]] = "N/A", "N/A", IF(Fixtures[[#This Row],[userSide]] = "H", Fixtures[[#This Row],[awayTeam]], Fixtures[[#This Row],[homeTeam]]))</f>
        <v>N/A</v>
      </c>
      <c r="AB1118" s="58" t="str" cm="1">
        <f t="array" ref="AB1118">_xlfn._xlws.FILTER(Teams[teamID], Fixtures[[#This Row],[oppTeam]] = Teams[name], "N/A")</f>
        <v>N/A</v>
      </c>
      <c r="AC1118" s="58" t="str" cm="1">
        <f t="array" ref="AC1118">_xlfn._xlws.FILTER(Teams[teamType], Fixtures[[#This Row],[oppTeam]] = Teams[name], "N/A")</f>
        <v>N/A</v>
      </c>
      <c r="AD1118" s="58" t="str">
        <f>IF(ISBLANK(Fixtures[[#This Row],[date]]), "N/A", IF(Fixtures[[#This Row],[userSide]]="H", Fixtures[[#This Row],[homeScore]], Fixtures[[#This Row],[awayScore]]))</f>
        <v>N/A</v>
      </c>
      <c r="AE1118" s="58" t="str">
        <f>IF(ISBLANK(Fixtures[[#This Row],[date]]), "N/A", IF(Fixtures[[#This Row],[userScore]] = Fixtures[[#This Row],[homeScore]], Fixtures[[#This Row],[awayScore]], Fixtures[[#This Row],[homeScore]]))</f>
        <v>N/A</v>
      </c>
      <c r="AF1118" s="58" t="b">
        <f>NOT(AND(ISBLANK(Fixtures[[#This Row],[homePens]]), ISBLANK(Fixtures[[#This Row],[awayPens]])))</f>
        <v>0</v>
      </c>
      <c r="AG1118" s="58" t="str">
        <f>IF(Fixtures[[#This Row],[penalties]], IF(Fixtures[[#This Row],[userSide]]="H", Fixtures[[#This Row],[homePens]], Fixtures[[#This Row],[awayPens]]), "N/A")</f>
        <v>N/A</v>
      </c>
      <c r="AH1118" s="58" t="str">
        <f>IF(Fixtures[[#This Row],[penalties]], IF(Fixtures[[#This Row],[userPens]]=Fixtures[[#This Row],[homePens]],Fixtures[[#This Row],[awayPens]],Fixtures[[#This Row],[homePens]]), "N/A")</f>
        <v>N/A</v>
      </c>
      <c r="AI1118" s="58" t="b">
        <f>COUNTBLANK(Fixtures[[#This Row],[G]:[MOTM]]) = 0</f>
        <v>0</v>
      </c>
      <c r="AJ1118" s="58" t="str">
        <f>IF(Fixtures[[#This Row],[APP]], Fixtures[[#This Row],[G]]+Fixtures[[#This Row],[A]], "N/A")</f>
        <v>N/A</v>
      </c>
      <c r="AK11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19" spans="1:39" ht="13">
      <c r="A1119" s="55"/>
      <c r="B1119" s="61"/>
      <c r="C1119" s="56"/>
      <c r="D1119" s="56"/>
      <c r="E1119" s="56"/>
      <c r="F1119" s="56"/>
      <c r="G1119" s="56"/>
      <c r="H1119" s="56"/>
      <c r="I1119" s="56"/>
      <c r="J1119" s="56"/>
      <c r="K1119" s="56"/>
      <c r="L1119" s="56"/>
      <c r="M1119" s="56"/>
      <c r="N1119" s="56"/>
      <c r="O1119" s="56"/>
      <c r="P1119" s="56"/>
      <c r="Q1119" s="57"/>
      <c r="R1119" s="56"/>
      <c r="S1119" s="58" t="str" cm="1">
        <f t="array" ref="S1119">_xlfn._xlws.FILTER(Competitions[compType], (Fixtures[[#This Row],[competition]] = Competitions[name]), "N/A")</f>
        <v>N/A</v>
      </c>
      <c r="T1119" s="58" t="str" cm="1">
        <f t="array" ref="T1119">_xlfn._xlws.FILTER(Competitions[exhibition], (Fixtures[[#This Row],[competition]] = Competitions[name]), "N/A")</f>
        <v>N/A</v>
      </c>
      <c r="U1119" s="58" t="str" cm="1">
        <f t="array" ref="U1119">_xlfn._xlws.FILTER(Competitions[compID], (Fixtures[[#This Row],[competition]] = Competitions[name]), "N/A")</f>
        <v>N/A</v>
      </c>
      <c r="V11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19" s="58" t="str" cm="1">
        <f t="array" ref="W11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19" s="58" t="str" cm="1">
        <f t="array" ref="X1119">_xlfn._xlws.FILTER(Teams[name], (Fixtures[[#This Row],[userTeamID]] = Teams[teamID]), "N/A")</f>
        <v>N/A</v>
      </c>
      <c r="Y1119" s="58" t="str" cm="1">
        <f t="array" ref="Y1119">_xlfn._xlws.FILTER(Teams[teamType], (Fixtures[[#This Row],[userTeamID]] = Teams[teamID]), "N/A")</f>
        <v>N/A</v>
      </c>
      <c r="Z1119" s="58" t="str" cm="1">
        <f t="array" ref="Z11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19" s="58" t="str">
        <f>IF(Fixtures[[#This Row],[userSide]] = "N/A", "N/A", IF(Fixtures[[#This Row],[userSide]] = "H", Fixtures[[#This Row],[awayTeam]], Fixtures[[#This Row],[homeTeam]]))</f>
        <v>N/A</v>
      </c>
      <c r="AB1119" s="58" t="str" cm="1">
        <f t="array" ref="AB1119">_xlfn._xlws.FILTER(Teams[teamID], Fixtures[[#This Row],[oppTeam]] = Teams[name], "N/A")</f>
        <v>N/A</v>
      </c>
      <c r="AC1119" s="58" t="str" cm="1">
        <f t="array" ref="AC1119">_xlfn._xlws.FILTER(Teams[teamType], Fixtures[[#This Row],[oppTeam]] = Teams[name], "N/A")</f>
        <v>N/A</v>
      </c>
      <c r="AD1119" s="58" t="str">
        <f>IF(ISBLANK(Fixtures[[#This Row],[date]]), "N/A", IF(Fixtures[[#This Row],[userSide]]="H", Fixtures[[#This Row],[homeScore]], Fixtures[[#This Row],[awayScore]]))</f>
        <v>N/A</v>
      </c>
      <c r="AE1119" s="58" t="str">
        <f>IF(ISBLANK(Fixtures[[#This Row],[date]]), "N/A", IF(Fixtures[[#This Row],[userScore]] = Fixtures[[#This Row],[homeScore]], Fixtures[[#This Row],[awayScore]], Fixtures[[#This Row],[homeScore]]))</f>
        <v>N/A</v>
      </c>
      <c r="AF1119" s="58" t="b">
        <f>NOT(AND(ISBLANK(Fixtures[[#This Row],[homePens]]), ISBLANK(Fixtures[[#This Row],[awayPens]])))</f>
        <v>0</v>
      </c>
      <c r="AG1119" s="58" t="str">
        <f>IF(Fixtures[[#This Row],[penalties]], IF(Fixtures[[#This Row],[userSide]]="H", Fixtures[[#This Row],[homePens]], Fixtures[[#This Row],[awayPens]]), "N/A")</f>
        <v>N/A</v>
      </c>
      <c r="AH1119" s="58" t="str">
        <f>IF(Fixtures[[#This Row],[penalties]], IF(Fixtures[[#This Row],[userPens]]=Fixtures[[#This Row],[homePens]],Fixtures[[#This Row],[awayPens]],Fixtures[[#This Row],[homePens]]), "N/A")</f>
        <v>N/A</v>
      </c>
      <c r="AI1119" s="58" t="b">
        <f>COUNTBLANK(Fixtures[[#This Row],[G]:[MOTM]]) = 0</f>
        <v>0</v>
      </c>
      <c r="AJ1119" s="58" t="str">
        <f>IF(Fixtures[[#This Row],[APP]], Fixtures[[#This Row],[G]]+Fixtures[[#This Row],[A]], "N/A")</f>
        <v>N/A</v>
      </c>
      <c r="AK11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0" spans="1:39" ht="13">
      <c r="A1120" s="55"/>
      <c r="B1120" s="61"/>
      <c r="C1120" s="56"/>
      <c r="D1120" s="56"/>
      <c r="E1120" s="56"/>
      <c r="F1120" s="56"/>
      <c r="G1120" s="56"/>
      <c r="H1120" s="56"/>
      <c r="I1120" s="56"/>
      <c r="J1120" s="56"/>
      <c r="K1120" s="56"/>
      <c r="L1120" s="56"/>
      <c r="M1120" s="56"/>
      <c r="N1120" s="56"/>
      <c r="O1120" s="56"/>
      <c r="P1120" s="56"/>
      <c r="Q1120" s="57"/>
      <c r="R1120" s="56"/>
      <c r="S1120" s="58" t="str" cm="1">
        <f t="array" ref="S1120">_xlfn._xlws.FILTER(Competitions[compType], (Fixtures[[#This Row],[competition]] = Competitions[name]), "N/A")</f>
        <v>N/A</v>
      </c>
      <c r="T1120" s="58" t="str" cm="1">
        <f t="array" ref="T1120">_xlfn._xlws.FILTER(Competitions[exhibition], (Fixtures[[#This Row],[competition]] = Competitions[name]), "N/A")</f>
        <v>N/A</v>
      </c>
      <c r="U1120" s="58" t="str" cm="1">
        <f t="array" ref="U1120">_xlfn._xlws.FILTER(Competitions[compID], (Fixtures[[#This Row],[competition]] = Competitions[name]), "N/A")</f>
        <v>N/A</v>
      </c>
      <c r="V11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0" s="58" t="str" cm="1">
        <f t="array" ref="W11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0" s="58" t="str" cm="1">
        <f t="array" ref="X1120">_xlfn._xlws.FILTER(Teams[name], (Fixtures[[#This Row],[userTeamID]] = Teams[teamID]), "N/A")</f>
        <v>N/A</v>
      </c>
      <c r="Y1120" s="58" t="str" cm="1">
        <f t="array" ref="Y1120">_xlfn._xlws.FILTER(Teams[teamType], (Fixtures[[#This Row],[userTeamID]] = Teams[teamID]), "N/A")</f>
        <v>N/A</v>
      </c>
      <c r="Z1120" s="58" t="str" cm="1">
        <f t="array" ref="Z11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0" s="58" t="str">
        <f>IF(Fixtures[[#This Row],[userSide]] = "N/A", "N/A", IF(Fixtures[[#This Row],[userSide]] = "H", Fixtures[[#This Row],[awayTeam]], Fixtures[[#This Row],[homeTeam]]))</f>
        <v>N/A</v>
      </c>
      <c r="AB1120" s="58" t="str" cm="1">
        <f t="array" ref="AB1120">_xlfn._xlws.FILTER(Teams[teamID], Fixtures[[#This Row],[oppTeam]] = Teams[name], "N/A")</f>
        <v>N/A</v>
      </c>
      <c r="AC1120" s="58" t="str" cm="1">
        <f t="array" ref="AC1120">_xlfn._xlws.FILTER(Teams[teamType], Fixtures[[#This Row],[oppTeam]] = Teams[name], "N/A")</f>
        <v>N/A</v>
      </c>
      <c r="AD1120" s="58" t="str">
        <f>IF(ISBLANK(Fixtures[[#This Row],[date]]), "N/A", IF(Fixtures[[#This Row],[userSide]]="H", Fixtures[[#This Row],[homeScore]], Fixtures[[#This Row],[awayScore]]))</f>
        <v>N/A</v>
      </c>
      <c r="AE1120" s="58" t="str">
        <f>IF(ISBLANK(Fixtures[[#This Row],[date]]), "N/A", IF(Fixtures[[#This Row],[userScore]] = Fixtures[[#This Row],[homeScore]], Fixtures[[#This Row],[awayScore]], Fixtures[[#This Row],[homeScore]]))</f>
        <v>N/A</v>
      </c>
      <c r="AF1120" s="58" t="b">
        <f>NOT(AND(ISBLANK(Fixtures[[#This Row],[homePens]]), ISBLANK(Fixtures[[#This Row],[awayPens]])))</f>
        <v>0</v>
      </c>
      <c r="AG1120" s="58" t="str">
        <f>IF(Fixtures[[#This Row],[penalties]], IF(Fixtures[[#This Row],[userSide]]="H", Fixtures[[#This Row],[homePens]], Fixtures[[#This Row],[awayPens]]), "N/A")</f>
        <v>N/A</v>
      </c>
      <c r="AH1120" s="58" t="str">
        <f>IF(Fixtures[[#This Row],[penalties]], IF(Fixtures[[#This Row],[userPens]]=Fixtures[[#This Row],[homePens]],Fixtures[[#This Row],[awayPens]],Fixtures[[#This Row],[homePens]]), "N/A")</f>
        <v>N/A</v>
      </c>
      <c r="AI1120" s="58" t="b">
        <f>COUNTBLANK(Fixtures[[#This Row],[G]:[MOTM]]) = 0</f>
        <v>0</v>
      </c>
      <c r="AJ1120" s="58" t="str">
        <f>IF(Fixtures[[#This Row],[APP]], Fixtures[[#This Row],[G]]+Fixtures[[#This Row],[A]], "N/A")</f>
        <v>N/A</v>
      </c>
      <c r="AK11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1" spans="1:39" ht="13">
      <c r="A1121" s="55"/>
      <c r="B1121" s="61"/>
      <c r="C1121" s="56"/>
      <c r="D1121" s="56"/>
      <c r="E1121" s="56"/>
      <c r="F1121" s="56"/>
      <c r="G1121" s="56"/>
      <c r="H1121" s="56"/>
      <c r="I1121" s="56"/>
      <c r="J1121" s="56"/>
      <c r="K1121" s="56"/>
      <c r="L1121" s="56"/>
      <c r="M1121" s="56"/>
      <c r="N1121" s="56"/>
      <c r="O1121" s="56"/>
      <c r="P1121" s="56"/>
      <c r="Q1121" s="57"/>
      <c r="R1121" s="56"/>
      <c r="S1121" s="58" t="str" cm="1">
        <f t="array" ref="S1121">_xlfn._xlws.FILTER(Competitions[compType], (Fixtures[[#This Row],[competition]] = Competitions[name]), "N/A")</f>
        <v>N/A</v>
      </c>
      <c r="T1121" s="58" t="str" cm="1">
        <f t="array" ref="T1121">_xlfn._xlws.FILTER(Competitions[exhibition], (Fixtures[[#This Row],[competition]] = Competitions[name]), "N/A")</f>
        <v>N/A</v>
      </c>
      <c r="U1121" s="58" t="str" cm="1">
        <f t="array" ref="U1121">_xlfn._xlws.FILTER(Competitions[compID], (Fixtures[[#This Row],[competition]] = Competitions[name]), "N/A")</f>
        <v>N/A</v>
      </c>
      <c r="V11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1" s="58" t="str" cm="1">
        <f t="array" ref="W11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1" s="58" t="str" cm="1">
        <f t="array" ref="X1121">_xlfn._xlws.FILTER(Teams[name], (Fixtures[[#This Row],[userTeamID]] = Teams[teamID]), "N/A")</f>
        <v>N/A</v>
      </c>
      <c r="Y1121" s="58" t="str" cm="1">
        <f t="array" ref="Y1121">_xlfn._xlws.FILTER(Teams[teamType], (Fixtures[[#This Row],[userTeamID]] = Teams[teamID]), "N/A")</f>
        <v>N/A</v>
      </c>
      <c r="Z1121" s="58" t="str" cm="1">
        <f t="array" ref="Z11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1" s="58" t="str">
        <f>IF(Fixtures[[#This Row],[userSide]] = "N/A", "N/A", IF(Fixtures[[#This Row],[userSide]] = "H", Fixtures[[#This Row],[awayTeam]], Fixtures[[#This Row],[homeTeam]]))</f>
        <v>N/A</v>
      </c>
      <c r="AB1121" s="58" t="str" cm="1">
        <f t="array" ref="AB1121">_xlfn._xlws.FILTER(Teams[teamID], Fixtures[[#This Row],[oppTeam]] = Teams[name], "N/A")</f>
        <v>N/A</v>
      </c>
      <c r="AC1121" s="58" t="str" cm="1">
        <f t="array" ref="AC1121">_xlfn._xlws.FILTER(Teams[teamType], Fixtures[[#This Row],[oppTeam]] = Teams[name], "N/A")</f>
        <v>N/A</v>
      </c>
      <c r="AD1121" s="58" t="str">
        <f>IF(ISBLANK(Fixtures[[#This Row],[date]]), "N/A", IF(Fixtures[[#This Row],[userSide]]="H", Fixtures[[#This Row],[homeScore]], Fixtures[[#This Row],[awayScore]]))</f>
        <v>N/A</v>
      </c>
      <c r="AE1121" s="58" t="str">
        <f>IF(ISBLANK(Fixtures[[#This Row],[date]]), "N/A", IF(Fixtures[[#This Row],[userScore]] = Fixtures[[#This Row],[homeScore]], Fixtures[[#This Row],[awayScore]], Fixtures[[#This Row],[homeScore]]))</f>
        <v>N/A</v>
      </c>
      <c r="AF1121" s="58" t="b">
        <f>NOT(AND(ISBLANK(Fixtures[[#This Row],[homePens]]), ISBLANK(Fixtures[[#This Row],[awayPens]])))</f>
        <v>0</v>
      </c>
      <c r="AG1121" s="58" t="str">
        <f>IF(Fixtures[[#This Row],[penalties]], IF(Fixtures[[#This Row],[userSide]]="H", Fixtures[[#This Row],[homePens]], Fixtures[[#This Row],[awayPens]]), "N/A")</f>
        <v>N/A</v>
      </c>
      <c r="AH1121" s="58" t="str">
        <f>IF(Fixtures[[#This Row],[penalties]], IF(Fixtures[[#This Row],[userPens]]=Fixtures[[#This Row],[homePens]],Fixtures[[#This Row],[awayPens]],Fixtures[[#This Row],[homePens]]), "N/A")</f>
        <v>N/A</v>
      </c>
      <c r="AI1121" s="58" t="b">
        <f>COUNTBLANK(Fixtures[[#This Row],[G]:[MOTM]]) = 0</f>
        <v>0</v>
      </c>
      <c r="AJ1121" s="58" t="str">
        <f>IF(Fixtures[[#This Row],[APP]], Fixtures[[#This Row],[G]]+Fixtures[[#This Row],[A]], "N/A")</f>
        <v>N/A</v>
      </c>
      <c r="AK11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2" spans="1:39" ht="13">
      <c r="A1122" s="55"/>
      <c r="B1122" s="61"/>
      <c r="C1122" s="56"/>
      <c r="D1122" s="56"/>
      <c r="E1122" s="56"/>
      <c r="F1122" s="56"/>
      <c r="G1122" s="56"/>
      <c r="H1122" s="56"/>
      <c r="I1122" s="56"/>
      <c r="J1122" s="56"/>
      <c r="K1122" s="56"/>
      <c r="L1122" s="56"/>
      <c r="M1122" s="56"/>
      <c r="N1122" s="56"/>
      <c r="O1122" s="56"/>
      <c r="P1122" s="56"/>
      <c r="Q1122" s="57"/>
      <c r="R1122" s="56"/>
      <c r="S1122" s="58" t="str" cm="1">
        <f t="array" ref="S1122">_xlfn._xlws.FILTER(Competitions[compType], (Fixtures[[#This Row],[competition]] = Competitions[name]), "N/A")</f>
        <v>N/A</v>
      </c>
      <c r="T1122" s="58" t="str" cm="1">
        <f t="array" ref="T1122">_xlfn._xlws.FILTER(Competitions[exhibition], (Fixtures[[#This Row],[competition]] = Competitions[name]), "N/A")</f>
        <v>N/A</v>
      </c>
      <c r="U1122" s="58" t="str" cm="1">
        <f t="array" ref="U1122">_xlfn._xlws.FILTER(Competitions[compID], (Fixtures[[#This Row],[competition]] = Competitions[name]), "N/A")</f>
        <v>N/A</v>
      </c>
      <c r="V11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2" s="58" t="str" cm="1">
        <f t="array" ref="W11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2" s="58" t="str" cm="1">
        <f t="array" ref="X1122">_xlfn._xlws.FILTER(Teams[name], (Fixtures[[#This Row],[userTeamID]] = Teams[teamID]), "N/A")</f>
        <v>N/A</v>
      </c>
      <c r="Y1122" s="58" t="str" cm="1">
        <f t="array" ref="Y1122">_xlfn._xlws.FILTER(Teams[teamType], (Fixtures[[#This Row],[userTeamID]] = Teams[teamID]), "N/A")</f>
        <v>N/A</v>
      </c>
      <c r="Z1122" s="58" t="str" cm="1">
        <f t="array" ref="Z11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2" s="58" t="str">
        <f>IF(Fixtures[[#This Row],[userSide]] = "N/A", "N/A", IF(Fixtures[[#This Row],[userSide]] = "H", Fixtures[[#This Row],[awayTeam]], Fixtures[[#This Row],[homeTeam]]))</f>
        <v>N/A</v>
      </c>
      <c r="AB1122" s="58" t="str" cm="1">
        <f t="array" ref="AB1122">_xlfn._xlws.FILTER(Teams[teamID], Fixtures[[#This Row],[oppTeam]] = Teams[name], "N/A")</f>
        <v>N/A</v>
      </c>
      <c r="AC1122" s="58" t="str" cm="1">
        <f t="array" ref="AC1122">_xlfn._xlws.FILTER(Teams[teamType], Fixtures[[#This Row],[oppTeam]] = Teams[name], "N/A")</f>
        <v>N/A</v>
      </c>
      <c r="AD1122" s="58" t="str">
        <f>IF(ISBLANK(Fixtures[[#This Row],[date]]), "N/A", IF(Fixtures[[#This Row],[userSide]]="H", Fixtures[[#This Row],[homeScore]], Fixtures[[#This Row],[awayScore]]))</f>
        <v>N/A</v>
      </c>
      <c r="AE1122" s="58" t="str">
        <f>IF(ISBLANK(Fixtures[[#This Row],[date]]), "N/A", IF(Fixtures[[#This Row],[userScore]] = Fixtures[[#This Row],[homeScore]], Fixtures[[#This Row],[awayScore]], Fixtures[[#This Row],[homeScore]]))</f>
        <v>N/A</v>
      </c>
      <c r="AF1122" s="58" t="b">
        <f>NOT(AND(ISBLANK(Fixtures[[#This Row],[homePens]]), ISBLANK(Fixtures[[#This Row],[awayPens]])))</f>
        <v>0</v>
      </c>
      <c r="AG1122" s="58" t="str">
        <f>IF(Fixtures[[#This Row],[penalties]], IF(Fixtures[[#This Row],[userSide]]="H", Fixtures[[#This Row],[homePens]], Fixtures[[#This Row],[awayPens]]), "N/A")</f>
        <v>N/A</v>
      </c>
      <c r="AH1122" s="58" t="str">
        <f>IF(Fixtures[[#This Row],[penalties]], IF(Fixtures[[#This Row],[userPens]]=Fixtures[[#This Row],[homePens]],Fixtures[[#This Row],[awayPens]],Fixtures[[#This Row],[homePens]]), "N/A")</f>
        <v>N/A</v>
      </c>
      <c r="AI1122" s="58" t="b">
        <f>COUNTBLANK(Fixtures[[#This Row],[G]:[MOTM]]) = 0</f>
        <v>0</v>
      </c>
      <c r="AJ1122" s="58" t="str">
        <f>IF(Fixtures[[#This Row],[APP]], Fixtures[[#This Row],[G]]+Fixtures[[#This Row],[A]], "N/A")</f>
        <v>N/A</v>
      </c>
      <c r="AK11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3" spans="1:39" ht="13">
      <c r="A1123" s="55"/>
      <c r="B1123" s="61"/>
      <c r="C1123" s="56"/>
      <c r="D1123" s="56"/>
      <c r="E1123" s="56"/>
      <c r="F1123" s="56"/>
      <c r="G1123" s="56"/>
      <c r="H1123" s="56"/>
      <c r="I1123" s="56"/>
      <c r="J1123" s="56"/>
      <c r="K1123" s="56"/>
      <c r="L1123" s="56"/>
      <c r="M1123" s="56"/>
      <c r="N1123" s="56"/>
      <c r="O1123" s="56"/>
      <c r="P1123" s="56"/>
      <c r="Q1123" s="57"/>
      <c r="R1123" s="56"/>
      <c r="S1123" s="58" t="str" cm="1">
        <f t="array" ref="S1123">_xlfn._xlws.FILTER(Competitions[compType], (Fixtures[[#This Row],[competition]] = Competitions[name]), "N/A")</f>
        <v>N/A</v>
      </c>
      <c r="T1123" s="58" t="str" cm="1">
        <f t="array" ref="T1123">_xlfn._xlws.FILTER(Competitions[exhibition], (Fixtures[[#This Row],[competition]] = Competitions[name]), "N/A")</f>
        <v>N/A</v>
      </c>
      <c r="U1123" s="58" t="str" cm="1">
        <f t="array" ref="U1123">_xlfn._xlws.FILTER(Competitions[compID], (Fixtures[[#This Row],[competition]] = Competitions[name]), "N/A")</f>
        <v>N/A</v>
      </c>
      <c r="V11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3" s="58" t="str" cm="1">
        <f t="array" ref="W11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3" s="58" t="str" cm="1">
        <f t="array" ref="X1123">_xlfn._xlws.FILTER(Teams[name], (Fixtures[[#This Row],[userTeamID]] = Teams[teamID]), "N/A")</f>
        <v>N/A</v>
      </c>
      <c r="Y1123" s="58" t="str" cm="1">
        <f t="array" ref="Y1123">_xlfn._xlws.FILTER(Teams[teamType], (Fixtures[[#This Row],[userTeamID]] = Teams[teamID]), "N/A")</f>
        <v>N/A</v>
      </c>
      <c r="Z1123" s="58" t="str" cm="1">
        <f t="array" ref="Z11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3" s="58" t="str">
        <f>IF(Fixtures[[#This Row],[userSide]] = "N/A", "N/A", IF(Fixtures[[#This Row],[userSide]] = "H", Fixtures[[#This Row],[awayTeam]], Fixtures[[#This Row],[homeTeam]]))</f>
        <v>N/A</v>
      </c>
      <c r="AB1123" s="58" t="str" cm="1">
        <f t="array" ref="AB1123">_xlfn._xlws.FILTER(Teams[teamID], Fixtures[[#This Row],[oppTeam]] = Teams[name], "N/A")</f>
        <v>N/A</v>
      </c>
      <c r="AC1123" s="58" t="str" cm="1">
        <f t="array" ref="AC1123">_xlfn._xlws.FILTER(Teams[teamType], Fixtures[[#This Row],[oppTeam]] = Teams[name], "N/A")</f>
        <v>N/A</v>
      </c>
      <c r="AD1123" s="58" t="str">
        <f>IF(ISBLANK(Fixtures[[#This Row],[date]]), "N/A", IF(Fixtures[[#This Row],[userSide]]="H", Fixtures[[#This Row],[homeScore]], Fixtures[[#This Row],[awayScore]]))</f>
        <v>N/A</v>
      </c>
      <c r="AE1123" s="58" t="str">
        <f>IF(ISBLANK(Fixtures[[#This Row],[date]]), "N/A", IF(Fixtures[[#This Row],[userScore]] = Fixtures[[#This Row],[homeScore]], Fixtures[[#This Row],[awayScore]], Fixtures[[#This Row],[homeScore]]))</f>
        <v>N/A</v>
      </c>
      <c r="AF1123" s="58" t="b">
        <f>NOT(AND(ISBLANK(Fixtures[[#This Row],[homePens]]), ISBLANK(Fixtures[[#This Row],[awayPens]])))</f>
        <v>0</v>
      </c>
      <c r="AG1123" s="58" t="str">
        <f>IF(Fixtures[[#This Row],[penalties]], IF(Fixtures[[#This Row],[userSide]]="H", Fixtures[[#This Row],[homePens]], Fixtures[[#This Row],[awayPens]]), "N/A")</f>
        <v>N/A</v>
      </c>
      <c r="AH1123" s="58" t="str">
        <f>IF(Fixtures[[#This Row],[penalties]], IF(Fixtures[[#This Row],[userPens]]=Fixtures[[#This Row],[homePens]],Fixtures[[#This Row],[awayPens]],Fixtures[[#This Row],[homePens]]), "N/A")</f>
        <v>N/A</v>
      </c>
      <c r="AI1123" s="58" t="b">
        <f>COUNTBLANK(Fixtures[[#This Row],[G]:[MOTM]]) = 0</f>
        <v>0</v>
      </c>
      <c r="AJ1123" s="58" t="str">
        <f>IF(Fixtures[[#This Row],[APP]], Fixtures[[#This Row],[G]]+Fixtures[[#This Row],[A]], "N/A")</f>
        <v>N/A</v>
      </c>
      <c r="AK11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4" spans="1:39" ht="13">
      <c r="A1124" s="55"/>
      <c r="B1124" s="61"/>
      <c r="C1124" s="56"/>
      <c r="D1124" s="56"/>
      <c r="E1124" s="56"/>
      <c r="F1124" s="56"/>
      <c r="G1124" s="56"/>
      <c r="H1124" s="56"/>
      <c r="I1124" s="56"/>
      <c r="J1124" s="56"/>
      <c r="K1124" s="56"/>
      <c r="L1124" s="56"/>
      <c r="M1124" s="56"/>
      <c r="N1124" s="56"/>
      <c r="O1124" s="56"/>
      <c r="P1124" s="56"/>
      <c r="Q1124" s="57"/>
      <c r="R1124" s="56"/>
      <c r="S1124" s="58" t="str" cm="1">
        <f t="array" ref="S1124">_xlfn._xlws.FILTER(Competitions[compType], (Fixtures[[#This Row],[competition]] = Competitions[name]), "N/A")</f>
        <v>N/A</v>
      </c>
      <c r="T1124" s="58" t="str" cm="1">
        <f t="array" ref="T1124">_xlfn._xlws.FILTER(Competitions[exhibition], (Fixtures[[#This Row],[competition]] = Competitions[name]), "N/A")</f>
        <v>N/A</v>
      </c>
      <c r="U1124" s="58" t="str" cm="1">
        <f t="array" ref="U1124">_xlfn._xlws.FILTER(Competitions[compID], (Fixtures[[#This Row],[competition]] = Competitions[name]), "N/A")</f>
        <v>N/A</v>
      </c>
      <c r="V11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4" s="58" t="str" cm="1">
        <f t="array" ref="W11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4" s="58" t="str" cm="1">
        <f t="array" ref="X1124">_xlfn._xlws.FILTER(Teams[name], (Fixtures[[#This Row],[userTeamID]] = Teams[teamID]), "N/A")</f>
        <v>N/A</v>
      </c>
      <c r="Y1124" s="58" t="str" cm="1">
        <f t="array" ref="Y1124">_xlfn._xlws.FILTER(Teams[teamType], (Fixtures[[#This Row],[userTeamID]] = Teams[teamID]), "N/A")</f>
        <v>N/A</v>
      </c>
      <c r="Z1124" s="58" t="str" cm="1">
        <f t="array" ref="Z11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4" s="58" t="str">
        <f>IF(Fixtures[[#This Row],[userSide]] = "N/A", "N/A", IF(Fixtures[[#This Row],[userSide]] = "H", Fixtures[[#This Row],[awayTeam]], Fixtures[[#This Row],[homeTeam]]))</f>
        <v>N/A</v>
      </c>
      <c r="AB1124" s="58" t="str" cm="1">
        <f t="array" ref="AB1124">_xlfn._xlws.FILTER(Teams[teamID], Fixtures[[#This Row],[oppTeam]] = Teams[name], "N/A")</f>
        <v>N/A</v>
      </c>
      <c r="AC1124" s="58" t="str" cm="1">
        <f t="array" ref="AC1124">_xlfn._xlws.FILTER(Teams[teamType], Fixtures[[#This Row],[oppTeam]] = Teams[name], "N/A")</f>
        <v>N/A</v>
      </c>
      <c r="AD1124" s="58" t="str">
        <f>IF(ISBLANK(Fixtures[[#This Row],[date]]), "N/A", IF(Fixtures[[#This Row],[userSide]]="H", Fixtures[[#This Row],[homeScore]], Fixtures[[#This Row],[awayScore]]))</f>
        <v>N/A</v>
      </c>
      <c r="AE1124" s="58" t="str">
        <f>IF(ISBLANK(Fixtures[[#This Row],[date]]), "N/A", IF(Fixtures[[#This Row],[userScore]] = Fixtures[[#This Row],[homeScore]], Fixtures[[#This Row],[awayScore]], Fixtures[[#This Row],[homeScore]]))</f>
        <v>N/A</v>
      </c>
      <c r="AF1124" s="58" t="b">
        <f>NOT(AND(ISBLANK(Fixtures[[#This Row],[homePens]]), ISBLANK(Fixtures[[#This Row],[awayPens]])))</f>
        <v>0</v>
      </c>
      <c r="AG1124" s="58" t="str">
        <f>IF(Fixtures[[#This Row],[penalties]], IF(Fixtures[[#This Row],[userSide]]="H", Fixtures[[#This Row],[homePens]], Fixtures[[#This Row],[awayPens]]), "N/A")</f>
        <v>N/A</v>
      </c>
      <c r="AH1124" s="58" t="str">
        <f>IF(Fixtures[[#This Row],[penalties]], IF(Fixtures[[#This Row],[userPens]]=Fixtures[[#This Row],[homePens]],Fixtures[[#This Row],[awayPens]],Fixtures[[#This Row],[homePens]]), "N/A")</f>
        <v>N/A</v>
      </c>
      <c r="AI1124" s="58" t="b">
        <f>COUNTBLANK(Fixtures[[#This Row],[G]:[MOTM]]) = 0</f>
        <v>0</v>
      </c>
      <c r="AJ1124" s="58" t="str">
        <f>IF(Fixtures[[#This Row],[APP]], Fixtures[[#This Row],[G]]+Fixtures[[#This Row],[A]], "N/A")</f>
        <v>N/A</v>
      </c>
      <c r="AK11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5" spans="1:39" ht="13">
      <c r="A1125" s="55"/>
      <c r="B1125" s="61"/>
      <c r="C1125" s="56"/>
      <c r="D1125" s="56"/>
      <c r="E1125" s="56"/>
      <c r="F1125" s="56"/>
      <c r="G1125" s="56"/>
      <c r="H1125" s="56"/>
      <c r="I1125" s="56"/>
      <c r="J1125" s="56"/>
      <c r="K1125" s="56"/>
      <c r="L1125" s="56"/>
      <c r="M1125" s="56"/>
      <c r="N1125" s="56"/>
      <c r="O1125" s="56"/>
      <c r="P1125" s="56"/>
      <c r="Q1125" s="57"/>
      <c r="R1125" s="56"/>
      <c r="S1125" s="58" t="str" cm="1">
        <f t="array" ref="S1125">_xlfn._xlws.FILTER(Competitions[compType], (Fixtures[[#This Row],[competition]] = Competitions[name]), "N/A")</f>
        <v>N/A</v>
      </c>
      <c r="T1125" s="58" t="str" cm="1">
        <f t="array" ref="T1125">_xlfn._xlws.FILTER(Competitions[exhibition], (Fixtures[[#This Row],[competition]] = Competitions[name]), "N/A")</f>
        <v>N/A</v>
      </c>
      <c r="U1125" s="58" t="str" cm="1">
        <f t="array" ref="U1125">_xlfn._xlws.FILTER(Competitions[compID], (Fixtures[[#This Row],[competition]] = Competitions[name]), "N/A")</f>
        <v>N/A</v>
      </c>
      <c r="V11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5" s="58" t="str" cm="1">
        <f t="array" ref="W11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5" s="58" t="str" cm="1">
        <f t="array" ref="X1125">_xlfn._xlws.FILTER(Teams[name], (Fixtures[[#This Row],[userTeamID]] = Teams[teamID]), "N/A")</f>
        <v>N/A</v>
      </c>
      <c r="Y1125" s="58" t="str" cm="1">
        <f t="array" ref="Y1125">_xlfn._xlws.FILTER(Teams[teamType], (Fixtures[[#This Row],[userTeamID]] = Teams[teamID]), "N/A")</f>
        <v>N/A</v>
      </c>
      <c r="Z1125" s="58" t="str" cm="1">
        <f t="array" ref="Z11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5" s="58" t="str">
        <f>IF(Fixtures[[#This Row],[userSide]] = "N/A", "N/A", IF(Fixtures[[#This Row],[userSide]] = "H", Fixtures[[#This Row],[awayTeam]], Fixtures[[#This Row],[homeTeam]]))</f>
        <v>N/A</v>
      </c>
      <c r="AB1125" s="58" t="str" cm="1">
        <f t="array" ref="AB1125">_xlfn._xlws.FILTER(Teams[teamID], Fixtures[[#This Row],[oppTeam]] = Teams[name], "N/A")</f>
        <v>N/A</v>
      </c>
      <c r="AC1125" s="58" t="str" cm="1">
        <f t="array" ref="AC1125">_xlfn._xlws.FILTER(Teams[teamType], Fixtures[[#This Row],[oppTeam]] = Teams[name], "N/A")</f>
        <v>N/A</v>
      </c>
      <c r="AD1125" s="58" t="str">
        <f>IF(ISBLANK(Fixtures[[#This Row],[date]]), "N/A", IF(Fixtures[[#This Row],[userSide]]="H", Fixtures[[#This Row],[homeScore]], Fixtures[[#This Row],[awayScore]]))</f>
        <v>N/A</v>
      </c>
      <c r="AE1125" s="58" t="str">
        <f>IF(ISBLANK(Fixtures[[#This Row],[date]]), "N/A", IF(Fixtures[[#This Row],[userScore]] = Fixtures[[#This Row],[homeScore]], Fixtures[[#This Row],[awayScore]], Fixtures[[#This Row],[homeScore]]))</f>
        <v>N/A</v>
      </c>
      <c r="AF1125" s="58" t="b">
        <f>NOT(AND(ISBLANK(Fixtures[[#This Row],[homePens]]), ISBLANK(Fixtures[[#This Row],[awayPens]])))</f>
        <v>0</v>
      </c>
      <c r="AG1125" s="58" t="str">
        <f>IF(Fixtures[[#This Row],[penalties]], IF(Fixtures[[#This Row],[userSide]]="H", Fixtures[[#This Row],[homePens]], Fixtures[[#This Row],[awayPens]]), "N/A")</f>
        <v>N/A</v>
      </c>
      <c r="AH1125" s="58" t="str">
        <f>IF(Fixtures[[#This Row],[penalties]], IF(Fixtures[[#This Row],[userPens]]=Fixtures[[#This Row],[homePens]],Fixtures[[#This Row],[awayPens]],Fixtures[[#This Row],[homePens]]), "N/A")</f>
        <v>N/A</v>
      </c>
      <c r="AI1125" s="58" t="b">
        <f>COUNTBLANK(Fixtures[[#This Row],[G]:[MOTM]]) = 0</f>
        <v>0</v>
      </c>
      <c r="AJ1125" s="58" t="str">
        <f>IF(Fixtures[[#This Row],[APP]], Fixtures[[#This Row],[G]]+Fixtures[[#This Row],[A]], "N/A")</f>
        <v>N/A</v>
      </c>
      <c r="AK11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6" spans="1:39" ht="13">
      <c r="A1126" s="55"/>
      <c r="B1126" s="61"/>
      <c r="C1126" s="56"/>
      <c r="D1126" s="56"/>
      <c r="E1126" s="56"/>
      <c r="F1126" s="56"/>
      <c r="G1126" s="56"/>
      <c r="H1126" s="56"/>
      <c r="I1126" s="56"/>
      <c r="J1126" s="56"/>
      <c r="K1126" s="56"/>
      <c r="L1126" s="56"/>
      <c r="M1126" s="56"/>
      <c r="N1126" s="56"/>
      <c r="O1126" s="56"/>
      <c r="P1126" s="56"/>
      <c r="Q1126" s="57"/>
      <c r="R1126" s="56"/>
      <c r="S1126" s="58" t="str" cm="1">
        <f t="array" ref="S1126">_xlfn._xlws.FILTER(Competitions[compType], (Fixtures[[#This Row],[competition]] = Competitions[name]), "N/A")</f>
        <v>N/A</v>
      </c>
      <c r="T1126" s="58" t="str" cm="1">
        <f t="array" ref="T1126">_xlfn._xlws.FILTER(Competitions[exhibition], (Fixtures[[#This Row],[competition]] = Competitions[name]), "N/A")</f>
        <v>N/A</v>
      </c>
      <c r="U1126" s="58" t="str" cm="1">
        <f t="array" ref="U1126">_xlfn._xlws.FILTER(Competitions[compID], (Fixtures[[#This Row],[competition]] = Competitions[name]), "N/A")</f>
        <v>N/A</v>
      </c>
      <c r="V11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6" s="58" t="str" cm="1">
        <f t="array" ref="W11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6" s="58" t="str" cm="1">
        <f t="array" ref="X1126">_xlfn._xlws.FILTER(Teams[name], (Fixtures[[#This Row],[userTeamID]] = Teams[teamID]), "N/A")</f>
        <v>N/A</v>
      </c>
      <c r="Y1126" s="58" t="str" cm="1">
        <f t="array" ref="Y1126">_xlfn._xlws.FILTER(Teams[teamType], (Fixtures[[#This Row],[userTeamID]] = Teams[teamID]), "N/A")</f>
        <v>N/A</v>
      </c>
      <c r="Z1126" s="58" t="str" cm="1">
        <f t="array" ref="Z11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6" s="58" t="str">
        <f>IF(Fixtures[[#This Row],[userSide]] = "N/A", "N/A", IF(Fixtures[[#This Row],[userSide]] = "H", Fixtures[[#This Row],[awayTeam]], Fixtures[[#This Row],[homeTeam]]))</f>
        <v>N/A</v>
      </c>
      <c r="AB1126" s="58" t="str" cm="1">
        <f t="array" ref="AB1126">_xlfn._xlws.FILTER(Teams[teamID], Fixtures[[#This Row],[oppTeam]] = Teams[name], "N/A")</f>
        <v>N/A</v>
      </c>
      <c r="AC1126" s="58" t="str" cm="1">
        <f t="array" ref="AC1126">_xlfn._xlws.FILTER(Teams[teamType], Fixtures[[#This Row],[oppTeam]] = Teams[name], "N/A")</f>
        <v>N/A</v>
      </c>
      <c r="AD1126" s="58" t="str">
        <f>IF(ISBLANK(Fixtures[[#This Row],[date]]), "N/A", IF(Fixtures[[#This Row],[userSide]]="H", Fixtures[[#This Row],[homeScore]], Fixtures[[#This Row],[awayScore]]))</f>
        <v>N/A</v>
      </c>
      <c r="AE1126" s="58" t="str">
        <f>IF(ISBLANK(Fixtures[[#This Row],[date]]), "N/A", IF(Fixtures[[#This Row],[userScore]] = Fixtures[[#This Row],[homeScore]], Fixtures[[#This Row],[awayScore]], Fixtures[[#This Row],[homeScore]]))</f>
        <v>N/A</v>
      </c>
      <c r="AF1126" s="58" t="b">
        <f>NOT(AND(ISBLANK(Fixtures[[#This Row],[homePens]]), ISBLANK(Fixtures[[#This Row],[awayPens]])))</f>
        <v>0</v>
      </c>
      <c r="AG1126" s="58" t="str">
        <f>IF(Fixtures[[#This Row],[penalties]], IF(Fixtures[[#This Row],[userSide]]="H", Fixtures[[#This Row],[homePens]], Fixtures[[#This Row],[awayPens]]), "N/A")</f>
        <v>N/A</v>
      </c>
      <c r="AH1126" s="58" t="str">
        <f>IF(Fixtures[[#This Row],[penalties]], IF(Fixtures[[#This Row],[userPens]]=Fixtures[[#This Row],[homePens]],Fixtures[[#This Row],[awayPens]],Fixtures[[#This Row],[homePens]]), "N/A")</f>
        <v>N/A</v>
      </c>
      <c r="AI1126" s="58" t="b">
        <f>COUNTBLANK(Fixtures[[#This Row],[G]:[MOTM]]) = 0</f>
        <v>0</v>
      </c>
      <c r="AJ1126" s="58" t="str">
        <f>IF(Fixtures[[#This Row],[APP]], Fixtures[[#This Row],[G]]+Fixtures[[#This Row],[A]], "N/A")</f>
        <v>N/A</v>
      </c>
      <c r="AK11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7" spans="1:39" ht="13">
      <c r="A1127" s="55"/>
      <c r="B1127" s="61"/>
      <c r="C1127" s="56"/>
      <c r="D1127" s="56"/>
      <c r="E1127" s="56"/>
      <c r="F1127" s="56"/>
      <c r="G1127" s="56"/>
      <c r="H1127" s="56"/>
      <c r="I1127" s="56"/>
      <c r="J1127" s="56"/>
      <c r="K1127" s="56"/>
      <c r="L1127" s="56"/>
      <c r="M1127" s="56"/>
      <c r="N1127" s="56"/>
      <c r="O1127" s="56"/>
      <c r="P1127" s="56"/>
      <c r="Q1127" s="57"/>
      <c r="R1127" s="56"/>
      <c r="S1127" s="58" t="str" cm="1">
        <f t="array" ref="S1127">_xlfn._xlws.FILTER(Competitions[compType], (Fixtures[[#This Row],[competition]] = Competitions[name]), "N/A")</f>
        <v>N/A</v>
      </c>
      <c r="T1127" s="58" t="str" cm="1">
        <f t="array" ref="T1127">_xlfn._xlws.FILTER(Competitions[exhibition], (Fixtures[[#This Row],[competition]] = Competitions[name]), "N/A")</f>
        <v>N/A</v>
      </c>
      <c r="U1127" s="58" t="str" cm="1">
        <f t="array" ref="U1127">_xlfn._xlws.FILTER(Competitions[compID], (Fixtures[[#This Row],[competition]] = Competitions[name]), "N/A")</f>
        <v>N/A</v>
      </c>
      <c r="V11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7" s="58" t="str" cm="1">
        <f t="array" ref="W11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7" s="58" t="str" cm="1">
        <f t="array" ref="X1127">_xlfn._xlws.FILTER(Teams[name], (Fixtures[[#This Row],[userTeamID]] = Teams[teamID]), "N/A")</f>
        <v>N/A</v>
      </c>
      <c r="Y1127" s="58" t="str" cm="1">
        <f t="array" ref="Y1127">_xlfn._xlws.FILTER(Teams[teamType], (Fixtures[[#This Row],[userTeamID]] = Teams[teamID]), "N/A")</f>
        <v>N/A</v>
      </c>
      <c r="Z1127" s="58" t="str" cm="1">
        <f t="array" ref="Z11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7" s="58" t="str">
        <f>IF(Fixtures[[#This Row],[userSide]] = "N/A", "N/A", IF(Fixtures[[#This Row],[userSide]] = "H", Fixtures[[#This Row],[awayTeam]], Fixtures[[#This Row],[homeTeam]]))</f>
        <v>N/A</v>
      </c>
      <c r="AB1127" s="58" t="str" cm="1">
        <f t="array" ref="AB1127">_xlfn._xlws.FILTER(Teams[teamID], Fixtures[[#This Row],[oppTeam]] = Teams[name], "N/A")</f>
        <v>N/A</v>
      </c>
      <c r="AC1127" s="58" t="str" cm="1">
        <f t="array" ref="AC1127">_xlfn._xlws.FILTER(Teams[teamType], Fixtures[[#This Row],[oppTeam]] = Teams[name], "N/A")</f>
        <v>N/A</v>
      </c>
      <c r="AD1127" s="58" t="str">
        <f>IF(ISBLANK(Fixtures[[#This Row],[date]]), "N/A", IF(Fixtures[[#This Row],[userSide]]="H", Fixtures[[#This Row],[homeScore]], Fixtures[[#This Row],[awayScore]]))</f>
        <v>N/A</v>
      </c>
      <c r="AE1127" s="58" t="str">
        <f>IF(ISBLANK(Fixtures[[#This Row],[date]]), "N/A", IF(Fixtures[[#This Row],[userScore]] = Fixtures[[#This Row],[homeScore]], Fixtures[[#This Row],[awayScore]], Fixtures[[#This Row],[homeScore]]))</f>
        <v>N/A</v>
      </c>
      <c r="AF1127" s="58" t="b">
        <f>NOT(AND(ISBLANK(Fixtures[[#This Row],[homePens]]), ISBLANK(Fixtures[[#This Row],[awayPens]])))</f>
        <v>0</v>
      </c>
      <c r="AG1127" s="58" t="str">
        <f>IF(Fixtures[[#This Row],[penalties]], IF(Fixtures[[#This Row],[userSide]]="H", Fixtures[[#This Row],[homePens]], Fixtures[[#This Row],[awayPens]]), "N/A")</f>
        <v>N/A</v>
      </c>
      <c r="AH1127" s="58" t="str">
        <f>IF(Fixtures[[#This Row],[penalties]], IF(Fixtures[[#This Row],[userPens]]=Fixtures[[#This Row],[homePens]],Fixtures[[#This Row],[awayPens]],Fixtures[[#This Row],[homePens]]), "N/A")</f>
        <v>N/A</v>
      </c>
      <c r="AI1127" s="58" t="b">
        <f>COUNTBLANK(Fixtures[[#This Row],[G]:[MOTM]]) = 0</f>
        <v>0</v>
      </c>
      <c r="AJ1127" s="58" t="str">
        <f>IF(Fixtures[[#This Row],[APP]], Fixtures[[#This Row],[G]]+Fixtures[[#This Row],[A]], "N/A")</f>
        <v>N/A</v>
      </c>
      <c r="AK11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8" spans="1:39" ht="13">
      <c r="A1128" s="55"/>
      <c r="B1128" s="61"/>
      <c r="C1128" s="56"/>
      <c r="D1128" s="56"/>
      <c r="E1128" s="56"/>
      <c r="F1128" s="56"/>
      <c r="G1128" s="56"/>
      <c r="H1128" s="56"/>
      <c r="I1128" s="56"/>
      <c r="J1128" s="56"/>
      <c r="K1128" s="56"/>
      <c r="L1128" s="56"/>
      <c r="M1128" s="56"/>
      <c r="N1128" s="56"/>
      <c r="O1128" s="56"/>
      <c r="P1128" s="56"/>
      <c r="Q1128" s="57"/>
      <c r="R1128" s="56"/>
      <c r="S1128" s="58" t="str" cm="1">
        <f t="array" ref="S1128">_xlfn._xlws.FILTER(Competitions[compType], (Fixtures[[#This Row],[competition]] = Competitions[name]), "N/A")</f>
        <v>N/A</v>
      </c>
      <c r="T1128" s="58" t="str" cm="1">
        <f t="array" ref="T1128">_xlfn._xlws.FILTER(Competitions[exhibition], (Fixtures[[#This Row],[competition]] = Competitions[name]), "N/A")</f>
        <v>N/A</v>
      </c>
      <c r="U1128" s="58" t="str" cm="1">
        <f t="array" ref="U1128">_xlfn._xlws.FILTER(Competitions[compID], (Fixtures[[#This Row],[competition]] = Competitions[name]), "N/A")</f>
        <v>N/A</v>
      </c>
      <c r="V11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8" s="58" t="str" cm="1">
        <f t="array" ref="W11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8" s="58" t="str" cm="1">
        <f t="array" ref="X1128">_xlfn._xlws.FILTER(Teams[name], (Fixtures[[#This Row],[userTeamID]] = Teams[teamID]), "N/A")</f>
        <v>N/A</v>
      </c>
      <c r="Y1128" s="58" t="str" cm="1">
        <f t="array" ref="Y1128">_xlfn._xlws.FILTER(Teams[teamType], (Fixtures[[#This Row],[userTeamID]] = Teams[teamID]), "N/A")</f>
        <v>N/A</v>
      </c>
      <c r="Z1128" s="58" t="str" cm="1">
        <f t="array" ref="Z11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8" s="58" t="str">
        <f>IF(Fixtures[[#This Row],[userSide]] = "N/A", "N/A", IF(Fixtures[[#This Row],[userSide]] = "H", Fixtures[[#This Row],[awayTeam]], Fixtures[[#This Row],[homeTeam]]))</f>
        <v>N/A</v>
      </c>
      <c r="AB1128" s="58" t="str" cm="1">
        <f t="array" ref="AB1128">_xlfn._xlws.FILTER(Teams[teamID], Fixtures[[#This Row],[oppTeam]] = Teams[name], "N/A")</f>
        <v>N/A</v>
      </c>
      <c r="AC1128" s="58" t="str" cm="1">
        <f t="array" ref="AC1128">_xlfn._xlws.FILTER(Teams[teamType], Fixtures[[#This Row],[oppTeam]] = Teams[name], "N/A")</f>
        <v>N/A</v>
      </c>
      <c r="AD1128" s="58" t="str">
        <f>IF(ISBLANK(Fixtures[[#This Row],[date]]), "N/A", IF(Fixtures[[#This Row],[userSide]]="H", Fixtures[[#This Row],[homeScore]], Fixtures[[#This Row],[awayScore]]))</f>
        <v>N/A</v>
      </c>
      <c r="AE1128" s="58" t="str">
        <f>IF(ISBLANK(Fixtures[[#This Row],[date]]), "N/A", IF(Fixtures[[#This Row],[userScore]] = Fixtures[[#This Row],[homeScore]], Fixtures[[#This Row],[awayScore]], Fixtures[[#This Row],[homeScore]]))</f>
        <v>N/A</v>
      </c>
      <c r="AF1128" s="58" t="b">
        <f>NOT(AND(ISBLANK(Fixtures[[#This Row],[homePens]]), ISBLANK(Fixtures[[#This Row],[awayPens]])))</f>
        <v>0</v>
      </c>
      <c r="AG1128" s="58" t="str">
        <f>IF(Fixtures[[#This Row],[penalties]], IF(Fixtures[[#This Row],[userSide]]="H", Fixtures[[#This Row],[homePens]], Fixtures[[#This Row],[awayPens]]), "N/A")</f>
        <v>N/A</v>
      </c>
      <c r="AH1128" s="58" t="str">
        <f>IF(Fixtures[[#This Row],[penalties]], IF(Fixtures[[#This Row],[userPens]]=Fixtures[[#This Row],[homePens]],Fixtures[[#This Row],[awayPens]],Fixtures[[#This Row],[homePens]]), "N/A")</f>
        <v>N/A</v>
      </c>
      <c r="AI1128" s="58" t="b">
        <f>COUNTBLANK(Fixtures[[#This Row],[G]:[MOTM]]) = 0</f>
        <v>0</v>
      </c>
      <c r="AJ1128" s="58" t="str">
        <f>IF(Fixtures[[#This Row],[APP]], Fixtures[[#This Row],[G]]+Fixtures[[#This Row],[A]], "N/A")</f>
        <v>N/A</v>
      </c>
      <c r="AK11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29" spans="1:39" ht="13">
      <c r="A1129" s="55"/>
      <c r="B1129" s="61"/>
      <c r="C1129" s="56"/>
      <c r="D1129" s="56"/>
      <c r="E1129" s="56"/>
      <c r="F1129" s="56"/>
      <c r="G1129" s="56"/>
      <c r="H1129" s="56"/>
      <c r="I1129" s="56"/>
      <c r="J1129" s="56"/>
      <c r="K1129" s="56"/>
      <c r="L1129" s="56"/>
      <c r="M1129" s="56"/>
      <c r="N1129" s="56"/>
      <c r="O1129" s="56"/>
      <c r="P1129" s="56"/>
      <c r="Q1129" s="57"/>
      <c r="R1129" s="56"/>
      <c r="S1129" s="58" t="str" cm="1">
        <f t="array" ref="S1129">_xlfn._xlws.FILTER(Competitions[compType], (Fixtures[[#This Row],[competition]] = Competitions[name]), "N/A")</f>
        <v>N/A</v>
      </c>
      <c r="T1129" s="58" t="str" cm="1">
        <f t="array" ref="T1129">_xlfn._xlws.FILTER(Competitions[exhibition], (Fixtures[[#This Row],[competition]] = Competitions[name]), "N/A")</f>
        <v>N/A</v>
      </c>
      <c r="U1129" s="58" t="str" cm="1">
        <f t="array" ref="U1129">_xlfn._xlws.FILTER(Competitions[compID], (Fixtures[[#This Row],[competition]] = Competitions[name]), "N/A")</f>
        <v>N/A</v>
      </c>
      <c r="V11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29" s="58" t="str" cm="1">
        <f t="array" ref="W11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29" s="58" t="str" cm="1">
        <f t="array" ref="X1129">_xlfn._xlws.FILTER(Teams[name], (Fixtures[[#This Row],[userTeamID]] = Teams[teamID]), "N/A")</f>
        <v>N/A</v>
      </c>
      <c r="Y1129" s="58" t="str" cm="1">
        <f t="array" ref="Y1129">_xlfn._xlws.FILTER(Teams[teamType], (Fixtures[[#This Row],[userTeamID]] = Teams[teamID]), "N/A")</f>
        <v>N/A</v>
      </c>
      <c r="Z1129" s="58" t="str" cm="1">
        <f t="array" ref="Z11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29" s="58" t="str">
        <f>IF(Fixtures[[#This Row],[userSide]] = "N/A", "N/A", IF(Fixtures[[#This Row],[userSide]] = "H", Fixtures[[#This Row],[awayTeam]], Fixtures[[#This Row],[homeTeam]]))</f>
        <v>N/A</v>
      </c>
      <c r="AB1129" s="58" t="str" cm="1">
        <f t="array" ref="AB1129">_xlfn._xlws.FILTER(Teams[teamID], Fixtures[[#This Row],[oppTeam]] = Teams[name], "N/A")</f>
        <v>N/A</v>
      </c>
      <c r="AC1129" s="58" t="str" cm="1">
        <f t="array" ref="AC1129">_xlfn._xlws.FILTER(Teams[teamType], Fixtures[[#This Row],[oppTeam]] = Teams[name], "N/A")</f>
        <v>N/A</v>
      </c>
      <c r="AD1129" s="58" t="str">
        <f>IF(ISBLANK(Fixtures[[#This Row],[date]]), "N/A", IF(Fixtures[[#This Row],[userSide]]="H", Fixtures[[#This Row],[homeScore]], Fixtures[[#This Row],[awayScore]]))</f>
        <v>N/A</v>
      </c>
      <c r="AE1129" s="58" t="str">
        <f>IF(ISBLANK(Fixtures[[#This Row],[date]]), "N/A", IF(Fixtures[[#This Row],[userScore]] = Fixtures[[#This Row],[homeScore]], Fixtures[[#This Row],[awayScore]], Fixtures[[#This Row],[homeScore]]))</f>
        <v>N/A</v>
      </c>
      <c r="AF1129" s="58" t="b">
        <f>NOT(AND(ISBLANK(Fixtures[[#This Row],[homePens]]), ISBLANK(Fixtures[[#This Row],[awayPens]])))</f>
        <v>0</v>
      </c>
      <c r="AG1129" s="58" t="str">
        <f>IF(Fixtures[[#This Row],[penalties]], IF(Fixtures[[#This Row],[userSide]]="H", Fixtures[[#This Row],[homePens]], Fixtures[[#This Row],[awayPens]]), "N/A")</f>
        <v>N/A</v>
      </c>
      <c r="AH1129" s="58" t="str">
        <f>IF(Fixtures[[#This Row],[penalties]], IF(Fixtures[[#This Row],[userPens]]=Fixtures[[#This Row],[homePens]],Fixtures[[#This Row],[awayPens]],Fixtures[[#This Row],[homePens]]), "N/A")</f>
        <v>N/A</v>
      </c>
      <c r="AI1129" s="58" t="b">
        <f>COUNTBLANK(Fixtures[[#This Row],[G]:[MOTM]]) = 0</f>
        <v>0</v>
      </c>
      <c r="AJ1129" s="58" t="str">
        <f>IF(Fixtures[[#This Row],[APP]], Fixtures[[#This Row],[G]]+Fixtures[[#This Row],[A]], "N/A")</f>
        <v>N/A</v>
      </c>
      <c r="AK11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0" spans="1:39" ht="13">
      <c r="A1130" s="55"/>
      <c r="B1130" s="61"/>
      <c r="C1130" s="56"/>
      <c r="D1130" s="56"/>
      <c r="E1130" s="56"/>
      <c r="F1130" s="56"/>
      <c r="G1130" s="56"/>
      <c r="H1130" s="56"/>
      <c r="I1130" s="56"/>
      <c r="J1130" s="56"/>
      <c r="K1130" s="56"/>
      <c r="L1130" s="56"/>
      <c r="M1130" s="56"/>
      <c r="N1130" s="56"/>
      <c r="O1130" s="56"/>
      <c r="P1130" s="56"/>
      <c r="Q1130" s="57"/>
      <c r="R1130" s="56"/>
      <c r="S1130" s="58" t="str" cm="1">
        <f t="array" ref="S1130">_xlfn._xlws.FILTER(Competitions[compType], (Fixtures[[#This Row],[competition]] = Competitions[name]), "N/A")</f>
        <v>N/A</v>
      </c>
      <c r="T1130" s="58" t="str" cm="1">
        <f t="array" ref="T1130">_xlfn._xlws.FILTER(Competitions[exhibition], (Fixtures[[#This Row],[competition]] = Competitions[name]), "N/A")</f>
        <v>N/A</v>
      </c>
      <c r="U1130" s="58" t="str" cm="1">
        <f t="array" ref="U1130">_xlfn._xlws.FILTER(Competitions[compID], (Fixtures[[#This Row],[competition]] = Competitions[name]), "N/A")</f>
        <v>N/A</v>
      </c>
      <c r="V11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0" s="58" t="str" cm="1">
        <f t="array" ref="W11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0" s="58" t="str" cm="1">
        <f t="array" ref="X1130">_xlfn._xlws.FILTER(Teams[name], (Fixtures[[#This Row],[userTeamID]] = Teams[teamID]), "N/A")</f>
        <v>N/A</v>
      </c>
      <c r="Y1130" s="58" t="str" cm="1">
        <f t="array" ref="Y1130">_xlfn._xlws.FILTER(Teams[teamType], (Fixtures[[#This Row],[userTeamID]] = Teams[teamID]), "N/A")</f>
        <v>N/A</v>
      </c>
      <c r="Z1130" s="58" t="str" cm="1">
        <f t="array" ref="Z11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0" s="58" t="str">
        <f>IF(Fixtures[[#This Row],[userSide]] = "N/A", "N/A", IF(Fixtures[[#This Row],[userSide]] = "H", Fixtures[[#This Row],[awayTeam]], Fixtures[[#This Row],[homeTeam]]))</f>
        <v>N/A</v>
      </c>
      <c r="AB1130" s="58" t="str" cm="1">
        <f t="array" ref="AB1130">_xlfn._xlws.FILTER(Teams[teamID], Fixtures[[#This Row],[oppTeam]] = Teams[name], "N/A")</f>
        <v>N/A</v>
      </c>
      <c r="AC1130" s="58" t="str" cm="1">
        <f t="array" ref="AC1130">_xlfn._xlws.FILTER(Teams[teamType], Fixtures[[#This Row],[oppTeam]] = Teams[name], "N/A")</f>
        <v>N/A</v>
      </c>
      <c r="AD1130" s="58" t="str">
        <f>IF(ISBLANK(Fixtures[[#This Row],[date]]), "N/A", IF(Fixtures[[#This Row],[userSide]]="H", Fixtures[[#This Row],[homeScore]], Fixtures[[#This Row],[awayScore]]))</f>
        <v>N/A</v>
      </c>
      <c r="AE1130" s="58" t="str">
        <f>IF(ISBLANK(Fixtures[[#This Row],[date]]), "N/A", IF(Fixtures[[#This Row],[userScore]] = Fixtures[[#This Row],[homeScore]], Fixtures[[#This Row],[awayScore]], Fixtures[[#This Row],[homeScore]]))</f>
        <v>N/A</v>
      </c>
      <c r="AF1130" s="58" t="b">
        <f>NOT(AND(ISBLANK(Fixtures[[#This Row],[homePens]]), ISBLANK(Fixtures[[#This Row],[awayPens]])))</f>
        <v>0</v>
      </c>
      <c r="AG1130" s="58" t="str">
        <f>IF(Fixtures[[#This Row],[penalties]], IF(Fixtures[[#This Row],[userSide]]="H", Fixtures[[#This Row],[homePens]], Fixtures[[#This Row],[awayPens]]), "N/A")</f>
        <v>N/A</v>
      </c>
      <c r="AH1130" s="58" t="str">
        <f>IF(Fixtures[[#This Row],[penalties]], IF(Fixtures[[#This Row],[userPens]]=Fixtures[[#This Row],[homePens]],Fixtures[[#This Row],[awayPens]],Fixtures[[#This Row],[homePens]]), "N/A")</f>
        <v>N/A</v>
      </c>
      <c r="AI1130" s="58" t="b">
        <f>COUNTBLANK(Fixtures[[#This Row],[G]:[MOTM]]) = 0</f>
        <v>0</v>
      </c>
      <c r="AJ1130" s="58" t="str">
        <f>IF(Fixtures[[#This Row],[APP]], Fixtures[[#This Row],[G]]+Fixtures[[#This Row],[A]], "N/A")</f>
        <v>N/A</v>
      </c>
      <c r="AK11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1" spans="1:39" ht="13">
      <c r="A1131" s="55"/>
      <c r="B1131" s="61"/>
      <c r="C1131" s="56"/>
      <c r="D1131" s="56"/>
      <c r="E1131" s="56"/>
      <c r="F1131" s="56"/>
      <c r="G1131" s="56"/>
      <c r="H1131" s="56"/>
      <c r="I1131" s="56"/>
      <c r="J1131" s="56"/>
      <c r="K1131" s="56"/>
      <c r="L1131" s="56"/>
      <c r="M1131" s="56"/>
      <c r="N1131" s="56"/>
      <c r="O1131" s="56"/>
      <c r="P1131" s="56"/>
      <c r="Q1131" s="57"/>
      <c r="R1131" s="56"/>
      <c r="S1131" s="58" t="str" cm="1">
        <f t="array" ref="S1131">_xlfn._xlws.FILTER(Competitions[compType], (Fixtures[[#This Row],[competition]] = Competitions[name]), "N/A")</f>
        <v>N/A</v>
      </c>
      <c r="T1131" s="58" t="str" cm="1">
        <f t="array" ref="T1131">_xlfn._xlws.FILTER(Competitions[exhibition], (Fixtures[[#This Row],[competition]] = Competitions[name]), "N/A")</f>
        <v>N/A</v>
      </c>
      <c r="U1131" s="58" t="str" cm="1">
        <f t="array" ref="U1131">_xlfn._xlws.FILTER(Competitions[compID], (Fixtures[[#This Row],[competition]] = Competitions[name]), "N/A")</f>
        <v>N/A</v>
      </c>
      <c r="V11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1" s="58" t="str" cm="1">
        <f t="array" ref="W11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1" s="58" t="str" cm="1">
        <f t="array" ref="X1131">_xlfn._xlws.FILTER(Teams[name], (Fixtures[[#This Row],[userTeamID]] = Teams[teamID]), "N/A")</f>
        <v>N/A</v>
      </c>
      <c r="Y1131" s="58" t="str" cm="1">
        <f t="array" ref="Y1131">_xlfn._xlws.FILTER(Teams[teamType], (Fixtures[[#This Row],[userTeamID]] = Teams[teamID]), "N/A")</f>
        <v>N/A</v>
      </c>
      <c r="Z1131" s="58" t="str" cm="1">
        <f t="array" ref="Z11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1" s="58" t="str">
        <f>IF(Fixtures[[#This Row],[userSide]] = "N/A", "N/A", IF(Fixtures[[#This Row],[userSide]] = "H", Fixtures[[#This Row],[awayTeam]], Fixtures[[#This Row],[homeTeam]]))</f>
        <v>N/A</v>
      </c>
      <c r="AB1131" s="58" t="str" cm="1">
        <f t="array" ref="AB1131">_xlfn._xlws.FILTER(Teams[teamID], Fixtures[[#This Row],[oppTeam]] = Teams[name], "N/A")</f>
        <v>N/A</v>
      </c>
      <c r="AC1131" s="58" t="str" cm="1">
        <f t="array" ref="AC1131">_xlfn._xlws.FILTER(Teams[teamType], Fixtures[[#This Row],[oppTeam]] = Teams[name], "N/A")</f>
        <v>N/A</v>
      </c>
      <c r="AD1131" s="58" t="str">
        <f>IF(ISBLANK(Fixtures[[#This Row],[date]]), "N/A", IF(Fixtures[[#This Row],[userSide]]="H", Fixtures[[#This Row],[homeScore]], Fixtures[[#This Row],[awayScore]]))</f>
        <v>N/A</v>
      </c>
      <c r="AE1131" s="58" t="str">
        <f>IF(ISBLANK(Fixtures[[#This Row],[date]]), "N/A", IF(Fixtures[[#This Row],[userScore]] = Fixtures[[#This Row],[homeScore]], Fixtures[[#This Row],[awayScore]], Fixtures[[#This Row],[homeScore]]))</f>
        <v>N/A</v>
      </c>
      <c r="AF1131" s="58" t="b">
        <f>NOT(AND(ISBLANK(Fixtures[[#This Row],[homePens]]), ISBLANK(Fixtures[[#This Row],[awayPens]])))</f>
        <v>0</v>
      </c>
      <c r="AG1131" s="58" t="str">
        <f>IF(Fixtures[[#This Row],[penalties]], IF(Fixtures[[#This Row],[userSide]]="H", Fixtures[[#This Row],[homePens]], Fixtures[[#This Row],[awayPens]]), "N/A")</f>
        <v>N/A</v>
      </c>
      <c r="AH1131" s="58" t="str">
        <f>IF(Fixtures[[#This Row],[penalties]], IF(Fixtures[[#This Row],[userPens]]=Fixtures[[#This Row],[homePens]],Fixtures[[#This Row],[awayPens]],Fixtures[[#This Row],[homePens]]), "N/A")</f>
        <v>N/A</v>
      </c>
      <c r="AI1131" s="58" t="b">
        <f>COUNTBLANK(Fixtures[[#This Row],[G]:[MOTM]]) = 0</f>
        <v>0</v>
      </c>
      <c r="AJ1131" s="58" t="str">
        <f>IF(Fixtures[[#This Row],[APP]], Fixtures[[#This Row],[G]]+Fixtures[[#This Row],[A]], "N/A")</f>
        <v>N/A</v>
      </c>
      <c r="AK11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2" spans="1:39" ht="13">
      <c r="A1132" s="55"/>
      <c r="B1132" s="61"/>
      <c r="C1132" s="56"/>
      <c r="D1132" s="56"/>
      <c r="E1132" s="56"/>
      <c r="F1132" s="56"/>
      <c r="G1132" s="56"/>
      <c r="H1132" s="56"/>
      <c r="I1132" s="56"/>
      <c r="J1132" s="56"/>
      <c r="K1132" s="56"/>
      <c r="L1132" s="56"/>
      <c r="M1132" s="56"/>
      <c r="N1132" s="56"/>
      <c r="O1132" s="56"/>
      <c r="P1132" s="56"/>
      <c r="Q1132" s="57"/>
      <c r="R1132" s="56"/>
      <c r="S1132" s="58" t="str" cm="1">
        <f t="array" ref="S1132">_xlfn._xlws.FILTER(Competitions[compType], (Fixtures[[#This Row],[competition]] = Competitions[name]), "N/A")</f>
        <v>N/A</v>
      </c>
      <c r="T1132" s="58" t="str" cm="1">
        <f t="array" ref="T1132">_xlfn._xlws.FILTER(Competitions[exhibition], (Fixtures[[#This Row],[competition]] = Competitions[name]), "N/A")</f>
        <v>N/A</v>
      </c>
      <c r="U1132" s="58" t="str" cm="1">
        <f t="array" ref="U1132">_xlfn._xlws.FILTER(Competitions[compID], (Fixtures[[#This Row],[competition]] = Competitions[name]), "N/A")</f>
        <v>N/A</v>
      </c>
      <c r="V11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2" s="58" t="str" cm="1">
        <f t="array" ref="W11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2" s="58" t="str" cm="1">
        <f t="array" ref="X1132">_xlfn._xlws.FILTER(Teams[name], (Fixtures[[#This Row],[userTeamID]] = Teams[teamID]), "N/A")</f>
        <v>N/A</v>
      </c>
      <c r="Y1132" s="58" t="str" cm="1">
        <f t="array" ref="Y1132">_xlfn._xlws.FILTER(Teams[teamType], (Fixtures[[#This Row],[userTeamID]] = Teams[teamID]), "N/A")</f>
        <v>N/A</v>
      </c>
      <c r="Z1132" s="58" t="str" cm="1">
        <f t="array" ref="Z11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2" s="58" t="str">
        <f>IF(Fixtures[[#This Row],[userSide]] = "N/A", "N/A", IF(Fixtures[[#This Row],[userSide]] = "H", Fixtures[[#This Row],[awayTeam]], Fixtures[[#This Row],[homeTeam]]))</f>
        <v>N/A</v>
      </c>
      <c r="AB1132" s="58" t="str" cm="1">
        <f t="array" ref="AB1132">_xlfn._xlws.FILTER(Teams[teamID], Fixtures[[#This Row],[oppTeam]] = Teams[name], "N/A")</f>
        <v>N/A</v>
      </c>
      <c r="AC1132" s="58" t="str" cm="1">
        <f t="array" ref="AC1132">_xlfn._xlws.FILTER(Teams[teamType], Fixtures[[#This Row],[oppTeam]] = Teams[name], "N/A")</f>
        <v>N/A</v>
      </c>
      <c r="AD1132" s="58" t="str">
        <f>IF(ISBLANK(Fixtures[[#This Row],[date]]), "N/A", IF(Fixtures[[#This Row],[userSide]]="H", Fixtures[[#This Row],[homeScore]], Fixtures[[#This Row],[awayScore]]))</f>
        <v>N/A</v>
      </c>
      <c r="AE1132" s="58" t="str">
        <f>IF(ISBLANK(Fixtures[[#This Row],[date]]), "N/A", IF(Fixtures[[#This Row],[userScore]] = Fixtures[[#This Row],[homeScore]], Fixtures[[#This Row],[awayScore]], Fixtures[[#This Row],[homeScore]]))</f>
        <v>N/A</v>
      </c>
      <c r="AF1132" s="58" t="b">
        <f>NOT(AND(ISBLANK(Fixtures[[#This Row],[homePens]]), ISBLANK(Fixtures[[#This Row],[awayPens]])))</f>
        <v>0</v>
      </c>
      <c r="AG1132" s="58" t="str">
        <f>IF(Fixtures[[#This Row],[penalties]], IF(Fixtures[[#This Row],[userSide]]="H", Fixtures[[#This Row],[homePens]], Fixtures[[#This Row],[awayPens]]), "N/A")</f>
        <v>N/A</v>
      </c>
      <c r="AH1132" s="58" t="str">
        <f>IF(Fixtures[[#This Row],[penalties]], IF(Fixtures[[#This Row],[userPens]]=Fixtures[[#This Row],[homePens]],Fixtures[[#This Row],[awayPens]],Fixtures[[#This Row],[homePens]]), "N/A")</f>
        <v>N/A</v>
      </c>
      <c r="AI1132" s="58" t="b">
        <f>COUNTBLANK(Fixtures[[#This Row],[G]:[MOTM]]) = 0</f>
        <v>0</v>
      </c>
      <c r="AJ1132" s="58" t="str">
        <f>IF(Fixtures[[#This Row],[APP]], Fixtures[[#This Row],[G]]+Fixtures[[#This Row],[A]], "N/A")</f>
        <v>N/A</v>
      </c>
      <c r="AK11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3" spans="1:39" ht="13">
      <c r="A1133" s="55"/>
      <c r="B1133" s="61"/>
      <c r="C1133" s="56"/>
      <c r="D1133" s="56"/>
      <c r="E1133" s="56"/>
      <c r="F1133" s="56"/>
      <c r="G1133" s="56"/>
      <c r="H1133" s="56"/>
      <c r="I1133" s="56"/>
      <c r="J1133" s="56"/>
      <c r="K1133" s="56"/>
      <c r="L1133" s="56"/>
      <c r="M1133" s="56"/>
      <c r="N1133" s="56"/>
      <c r="O1133" s="56"/>
      <c r="P1133" s="56"/>
      <c r="Q1133" s="57"/>
      <c r="R1133" s="56"/>
      <c r="S1133" s="58" t="str" cm="1">
        <f t="array" ref="S1133">_xlfn._xlws.FILTER(Competitions[compType], (Fixtures[[#This Row],[competition]] = Competitions[name]), "N/A")</f>
        <v>N/A</v>
      </c>
      <c r="T1133" s="58" t="str" cm="1">
        <f t="array" ref="T1133">_xlfn._xlws.FILTER(Competitions[exhibition], (Fixtures[[#This Row],[competition]] = Competitions[name]), "N/A")</f>
        <v>N/A</v>
      </c>
      <c r="U1133" s="58" t="str" cm="1">
        <f t="array" ref="U1133">_xlfn._xlws.FILTER(Competitions[compID], (Fixtures[[#This Row],[competition]] = Competitions[name]), "N/A")</f>
        <v>N/A</v>
      </c>
      <c r="V11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3" s="58" t="str" cm="1">
        <f t="array" ref="W11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3" s="58" t="str" cm="1">
        <f t="array" ref="X1133">_xlfn._xlws.FILTER(Teams[name], (Fixtures[[#This Row],[userTeamID]] = Teams[teamID]), "N/A")</f>
        <v>N/A</v>
      </c>
      <c r="Y1133" s="58" t="str" cm="1">
        <f t="array" ref="Y1133">_xlfn._xlws.FILTER(Teams[teamType], (Fixtures[[#This Row],[userTeamID]] = Teams[teamID]), "N/A")</f>
        <v>N/A</v>
      </c>
      <c r="Z1133" s="58" t="str" cm="1">
        <f t="array" ref="Z11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3" s="58" t="str">
        <f>IF(Fixtures[[#This Row],[userSide]] = "N/A", "N/A", IF(Fixtures[[#This Row],[userSide]] = "H", Fixtures[[#This Row],[awayTeam]], Fixtures[[#This Row],[homeTeam]]))</f>
        <v>N/A</v>
      </c>
      <c r="AB1133" s="58" t="str" cm="1">
        <f t="array" ref="AB1133">_xlfn._xlws.FILTER(Teams[teamID], Fixtures[[#This Row],[oppTeam]] = Teams[name], "N/A")</f>
        <v>N/A</v>
      </c>
      <c r="AC1133" s="58" t="str" cm="1">
        <f t="array" ref="AC1133">_xlfn._xlws.FILTER(Teams[teamType], Fixtures[[#This Row],[oppTeam]] = Teams[name], "N/A")</f>
        <v>N/A</v>
      </c>
      <c r="AD1133" s="58" t="str">
        <f>IF(ISBLANK(Fixtures[[#This Row],[date]]), "N/A", IF(Fixtures[[#This Row],[userSide]]="H", Fixtures[[#This Row],[homeScore]], Fixtures[[#This Row],[awayScore]]))</f>
        <v>N/A</v>
      </c>
      <c r="AE1133" s="58" t="str">
        <f>IF(ISBLANK(Fixtures[[#This Row],[date]]), "N/A", IF(Fixtures[[#This Row],[userScore]] = Fixtures[[#This Row],[homeScore]], Fixtures[[#This Row],[awayScore]], Fixtures[[#This Row],[homeScore]]))</f>
        <v>N/A</v>
      </c>
      <c r="AF1133" s="58" t="b">
        <f>NOT(AND(ISBLANK(Fixtures[[#This Row],[homePens]]), ISBLANK(Fixtures[[#This Row],[awayPens]])))</f>
        <v>0</v>
      </c>
      <c r="AG1133" s="58" t="str">
        <f>IF(Fixtures[[#This Row],[penalties]], IF(Fixtures[[#This Row],[userSide]]="H", Fixtures[[#This Row],[homePens]], Fixtures[[#This Row],[awayPens]]), "N/A")</f>
        <v>N/A</v>
      </c>
      <c r="AH1133" s="58" t="str">
        <f>IF(Fixtures[[#This Row],[penalties]], IF(Fixtures[[#This Row],[userPens]]=Fixtures[[#This Row],[homePens]],Fixtures[[#This Row],[awayPens]],Fixtures[[#This Row],[homePens]]), "N/A")</f>
        <v>N/A</v>
      </c>
      <c r="AI1133" s="58" t="b">
        <f>COUNTBLANK(Fixtures[[#This Row],[G]:[MOTM]]) = 0</f>
        <v>0</v>
      </c>
      <c r="AJ1133" s="58" t="str">
        <f>IF(Fixtures[[#This Row],[APP]], Fixtures[[#This Row],[G]]+Fixtures[[#This Row],[A]], "N/A")</f>
        <v>N/A</v>
      </c>
      <c r="AK11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4" spans="1:39" ht="13">
      <c r="A1134" s="55"/>
      <c r="B1134" s="61"/>
      <c r="C1134" s="56"/>
      <c r="D1134" s="56"/>
      <c r="E1134" s="56"/>
      <c r="F1134" s="56"/>
      <c r="G1134" s="56"/>
      <c r="H1134" s="56"/>
      <c r="I1134" s="56"/>
      <c r="J1134" s="56"/>
      <c r="K1134" s="56"/>
      <c r="L1134" s="56"/>
      <c r="M1134" s="56"/>
      <c r="N1134" s="56"/>
      <c r="O1134" s="56"/>
      <c r="P1134" s="56"/>
      <c r="Q1134" s="57"/>
      <c r="R1134" s="56"/>
      <c r="S1134" s="58" t="str" cm="1">
        <f t="array" ref="S1134">_xlfn._xlws.FILTER(Competitions[compType], (Fixtures[[#This Row],[competition]] = Competitions[name]), "N/A")</f>
        <v>N/A</v>
      </c>
      <c r="T1134" s="58" t="str" cm="1">
        <f t="array" ref="T1134">_xlfn._xlws.FILTER(Competitions[exhibition], (Fixtures[[#This Row],[competition]] = Competitions[name]), "N/A")</f>
        <v>N/A</v>
      </c>
      <c r="U1134" s="58" t="str" cm="1">
        <f t="array" ref="U1134">_xlfn._xlws.FILTER(Competitions[compID], (Fixtures[[#This Row],[competition]] = Competitions[name]), "N/A")</f>
        <v>N/A</v>
      </c>
      <c r="V11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4" s="58" t="str" cm="1">
        <f t="array" ref="W11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4" s="58" t="str" cm="1">
        <f t="array" ref="X1134">_xlfn._xlws.FILTER(Teams[name], (Fixtures[[#This Row],[userTeamID]] = Teams[teamID]), "N/A")</f>
        <v>N/A</v>
      </c>
      <c r="Y1134" s="58" t="str" cm="1">
        <f t="array" ref="Y1134">_xlfn._xlws.FILTER(Teams[teamType], (Fixtures[[#This Row],[userTeamID]] = Teams[teamID]), "N/A")</f>
        <v>N/A</v>
      </c>
      <c r="Z1134" s="58" t="str" cm="1">
        <f t="array" ref="Z11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4" s="58" t="str">
        <f>IF(Fixtures[[#This Row],[userSide]] = "N/A", "N/A", IF(Fixtures[[#This Row],[userSide]] = "H", Fixtures[[#This Row],[awayTeam]], Fixtures[[#This Row],[homeTeam]]))</f>
        <v>N/A</v>
      </c>
      <c r="AB1134" s="58" t="str" cm="1">
        <f t="array" ref="AB1134">_xlfn._xlws.FILTER(Teams[teamID], Fixtures[[#This Row],[oppTeam]] = Teams[name], "N/A")</f>
        <v>N/A</v>
      </c>
      <c r="AC1134" s="58" t="str" cm="1">
        <f t="array" ref="AC1134">_xlfn._xlws.FILTER(Teams[teamType], Fixtures[[#This Row],[oppTeam]] = Teams[name], "N/A")</f>
        <v>N/A</v>
      </c>
      <c r="AD1134" s="58" t="str">
        <f>IF(ISBLANK(Fixtures[[#This Row],[date]]), "N/A", IF(Fixtures[[#This Row],[userSide]]="H", Fixtures[[#This Row],[homeScore]], Fixtures[[#This Row],[awayScore]]))</f>
        <v>N/A</v>
      </c>
      <c r="AE1134" s="58" t="str">
        <f>IF(ISBLANK(Fixtures[[#This Row],[date]]), "N/A", IF(Fixtures[[#This Row],[userScore]] = Fixtures[[#This Row],[homeScore]], Fixtures[[#This Row],[awayScore]], Fixtures[[#This Row],[homeScore]]))</f>
        <v>N/A</v>
      </c>
      <c r="AF1134" s="58" t="b">
        <f>NOT(AND(ISBLANK(Fixtures[[#This Row],[homePens]]), ISBLANK(Fixtures[[#This Row],[awayPens]])))</f>
        <v>0</v>
      </c>
      <c r="AG1134" s="58" t="str">
        <f>IF(Fixtures[[#This Row],[penalties]], IF(Fixtures[[#This Row],[userSide]]="H", Fixtures[[#This Row],[homePens]], Fixtures[[#This Row],[awayPens]]), "N/A")</f>
        <v>N/A</v>
      </c>
      <c r="AH1134" s="58" t="str">
        <f>IF(Fixtures[[#This Row],[penalties]], IF(Fixtures[[#This Row],[userPens]]=Fixtures[[#This Row],[homePens]],Fixtures[[#This Row],[awayPens]],Fixtures[[#This Row],[homePens]]), "N/A")</f>
        <v>N/A</v>
      </c>
      <c r="AI1134" s="58" t="b">
        <f>COUNTBLANK(Fixtures[[#This Row],[G]:[MOTM]]) = 0</f>
        <v>0</v>
      </c>
      <c r="AJ1134" s="58" t="str">
        <f>IF(Fixtures[[#This Row],[APP]], Fixtures[[#This Row],[G]]+Fixtures[[#This Row],[A]], "N/A")</f>
        <v>N/A</v>
      </c>
      <c r="AK11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5" spans="1:39" ht="13">
      <c r="A1135" s="55"/>
      <c r="B1135" s="61"/>
      <c r="C1135" s="56"/>
      <c r="D1135" s="56"/>
      <c r="E1135" s="56"/>
      <c r="F1135" s="56"/>
      <c r="G1135" s="56"/>
      <c r="H1135" s="56"/>
      <c r="I1135" s="56"/>
      <c r="J1135" s="56"/>
      <c r="K1135" s="56"/>
      <c r="L1135" s="56"/>
      <c r="M1135" s="56"/>
      <c r="N1135" s="56"/>
      <c r="O1135" s="56"/>
      <c r="P1135" s="56"/>
      <c r="Q1135" s="57"/>
      <c r="R1135" s="56"/>
      <c r="S1135" s="58" t="str" cm="1">
        <f t="array" ref="S1135">_xlfn._xlws.FILTER(Competitions[compType], (Fixtures[[#This Row],[competition]] = Competitions[name]), "N/A")</f>
        <v>N/A</v>
      </c>
      <c r="T1135" s="58" t="str" cm="1">
        <f t="array" ref="T1135">_xlfn._xlws.FILTER(Competitions[exhibition], (Fixtures[[#This Row],[competition]] = Competitions[name]), "N/A")</f>
        <v>N/A</v>
      </c>
      <c r="U1135" s="58" t="str" cm="1">
        <f t="array" ref="U1135">_xlfn._xlws.FILTER(Competitions[compID], (Fixtures[[#This Row],[competition]] = Competitions[name]), "N/A")</f>
        <v>N/A</v>
      </c>
      <c r="V11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5" s="58" t="str" cm="1">
        <f t="array" ref="W11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5" s="58" t="str" cm="1">
        <f t="array" ref="X1135">_xlfn._xlws.FILTER(Teams[name], (Fixtures[[#This Row],[userTeamID]] = Teams[teamID]), "N/A")</f>
        <v>N/A</v>
      </c>
      <c r="Y1135" s="58" t="str" cm="1">
        <f t="array" ref="Y1135">_xlfn._xlws.FILTER(Teams[teamType], (Fixtures[[#This Row],[userTeamID]] = Teams[teamID]), "N/A")</f>
        <v>N/A</v>
      </c>
      <c r="Z1135" s="58" t="str" cm="1">
        <f t="array" ref="Z11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5" s="58" t="str">
        <f>IF(Fixtures[[#This Row],[userSide]] = "N/A", "N/A", IF(Fixtures[[#This Row],[userSide]] = "H", Fixtures[[#This Row],[awayTeam]], Fixtures[[#This Row],[homeTeam]]))</f>
        <v>N/A</v>
      </c>
      <c r="AB1135" s="58" t="str" cm="1">
        <f t="array" ref="AB1135">_xlfn._xlws.FILTER(Teams[teamID], Fixtures[[#This Row],[oppTeam]] = Teams[name], "N/A")</f>
        <v>N/A</v>
      </c>
      <c r="AC1135" s="58" t="str" cm="1">
        <f t="array" ref="AC1135">_xlfn._xlws.FILTER(Teams[teamType], Fixtures[[#This Row],[oppTeam]] = Teams[name], "N/A")</f>
        <v>N/A</v>
      </c>
      <c r="AD1135" s="58" t="str">
        <f>IF(ISBLANK(Fixtures[[#This Row],[date]]), "N/A", IF(Fixtures[[#This Row],[userSide]]="H", Fixtures[[#This Row],[homeScore]], Fixtures[[#This Row],[awayScore]]))</f>
        <v>N/A</v>
      </c>
      <c r="AE1135" s="58" t="str">
        <f>IF(ISBLANK(Fixtures[[#This Row],[date]]), "N/A", IF(Fixtures[[#This Row],[userScore]] = Fixtures[[#This Row],[homeScore]], Fixtures[[#This Row],[awayScore]], Fixtures[[#This Row],[homeScore]]))</f>
        <v>N/A</v>
      </c>
      <c r="AF1135" s="58" t="b">
        <f>NOT(AND(ISBLANK(Fixtures[[#This Row],[homePens]]), ISBLANK(Fixtures[[#This Row],[awayPens]])))</f>
        <v>0</v>
      </c>
      <c r="AG1135" s="58" t="str">
        <f>IF(Fixtures[[#This Row],[penalties]], IF(Fixtures[[#This Row],[userSide]]="H", Fixtures[[#This Row],[homePens]], Fixtures[[#This Row],[awayPens]]), "N/A")</f>
        <v>N/A</v>
      </c>
      <c r="AH1135" s="58" t="str">
        <f>IF(Fixtures[[#This Row],[penalties]], IF(Fixtures[[#This Row],[userPens]]=Fixtures[[#This Row],[homePens]],Fixtures[[#This Row],[awayPens]],Fixtures[[#This Row],[homePens]]), "N/A")</f>
        <v>N/A</v>
      </c>
      <c r="AI1135" s="58" t="b">
        <f>COUNTBLANK(Fixtures[[#This Row],[G]:[MOTM]]) = 0</f>
        <v>0</v>
      </c>
      <c r="AJ1135" s="58" t="str">
        <f>IF(Fixtures[[#This Row],[APP]], Fixtures[[#This Row],[G]]+Fixtures[[#This Row],[A]], "N/A")</f>
        <v>N/A</v>
      </c>
      <c r="AK11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6" spans="1:39" ht="13">
      <c r="A1136" s="55"/>
      <c r="B1136" s="61"/>
      <c r="C1136" s="56"/>
      <c r="D1136" s="56"/>
      <c r="E1136" s="56"/>
      <c r="F1136" s="56"/>
      <c r="G1136" s="56"/>
      <c r="H1136" s="56"/>
      <c r="I1136" s="56"/>
      <c r="J1136" s="56"/>
      <c r="K1136" s="56"/>
      <c r="L1136" s="56"/>
      <c r="M1136" s="56"/>
      <c r="N1136" s="56"/>
      <c r="O1136" s="56"/>
      <c r="P1136" s="56"/>
      <c r="Q1136" s="57"/>
      <c r="R1136" s="56"/>
      <c r="S1136" s="58" t="str" cm="1">
        <f t="array" ref="S1136">_xlfn._xlws.FILTER(Competitions[compType], (Fixtures[[#This Row],[competition]] = Competitions[name]), "N/A")</f>
        <v>N/A</v>
      </c>
      <c r="T1136" s="58" t="str" cm="1">
        <f t="array" ref="T1136">_xlfn._xlws.FILTER(Competitions[exhibition], (Fixtures[[#This Row],[competition]] = Competitions[name]), "N/A")</f>
        <v>N/A</v>
      </c>
      <c r="U1136" s="58" t="str" cm="1">
        <f t="array" ref="U1136">_xlfn._xlws.FILTER(Competitions[compID], (Fixtures[[#This Row],[competition]] = Competitions[name]), "N/A")</f>
        <v>N/A</v>
      </c>
      <c r="V11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6" s="58" t="str" cm="1">
        <f t="array" ref="W11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6" s="58" t="str" cm="1">
        <f t="array" ref="X1136">_xlfn._xlws.FILTER(Teams[name], (Fixtures[[#This Row],[userTeamID]] = Teams[teamID]), "N/A")</f>
        <v>N/A</v>
      </c>
      <c r="Y1136" s="58" t="str" cm="1">
        <f t="array" ref="Y1136">_xlfn._xlws.FILTER(Teams[teamType], (Fixtures[[#This Row],[userTeamID]] = Teams[teamID]), "N/A")</f>
        <v>N/A</v>
      </c>
      <c r="Z1136" s="58" t="str" cm="1">
        <f t="array" ref="Z11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6" s="58" t="str">
        <f>IF(Fixtures[[#This Row],[userSide]] = "N/A", "N/A", IF(Fixtures[[#This Row],[userSide]] = "H", Fixtures[[#This Row],[awayTeam]], Fixtures[[#This Row],[homeTeam]]))</f>
        <v>N/A</v>
      </c>
      <c r="AB1136" s="58" t="str" cm="1">
        <f t="array" ref="AB1136">_xlfn._xlws.FILTER(Teams[teamID], Fixtures[[#This Row],[oppTeam]] = Teams[name], "N/A")</f>
        <v>N/A</v>
      </c>
      <c r="AC1136" s="58" t="str" cm="1">
        <f t="array" ref="AC1136">_xlfn._xlws.FILTER(Teams[teamType], Fixtures[[#This Row],[oppTeam]] = Teams[name], "N/A")</f>
        <v>N/A</v>
      </c>
      <c r="AD1136" s="58" t="str">
        <f>IF(ISBLANK(Fixtures[[#This Row],[date]]), "N/A", IF(Fixtures[[#This Row],[userSide]]="H", Fixtures[[#This Row],[homeScore]], Fixtures[[#This Row],[awayScore]]))</f>
        <v>N/A</v>
      </c>
      <c r="AE1136" s="58" t="str">
        <f>IF(ISBLANK(Fixtures[[#This Row],[date]]), "N/A", IF(Fixtures[[#This Row],[userScore]] = Fixtures[[#This Row],[homeScore]], Fixtures[[#This Row],[awayScore]], Fixtures[[#This Row],[homeScore]]))</f>
        <v>N/A</v>
      </c>
      <c r="AF1136" s="58" t="b">
        <f>NOT(AND(ISBLANK(Fixtures[[#This Row],[homePens]]), ISBLANK(Fixtures[[#This Row],[awayPens]])))</f>
        <v>0</v>
      </c>
      <c r="AG1136" s="58" t="str">
        <f>IF(Fixtures[[#This Row],[penalties]], IF(Fixtures[[#This Row],[userSide]]="H", Fixtures[[#This Row],[homePens]], Fixtures[[#This Row],[awayPens]]), "N/A")</f>
        <v>N/A</v>
      </c>
      <c r="AH1136" s="58" t="str">
        <f>IF(Fixtures[[#This Row],[penalties]], IF(Fixtures[[#This Row],[userPens]]=Fixtures[[#This Row],[homePens]],Fixtures[[#This Row],[awayPens]],Fixtures[[#This Row],[homePens]]), "N/A")</f>
        <v>N/A</v>
      </c>
      <c r="AI1136" s="58" t="b">
        <f>COUNTBLANK(Fixtures[[#This Row],[G]:[MOTM]]) = 0</f>
        <v>0</v>
      </c>
      <c r="AJ1136" s="58" t="str">
        <f>IF(Fixtures[[#This Row],[APP]], Fixtures[[#This Row],[G]]+Fixtures[[#This Row],[A]], "N/A")</f>
        <v>N/A</v>
      </c>
      <c r="AK11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7" spans="1:39" ht="13">
      <c r="A1137" s="55"/>
      <c r="B1137" s="61"/>
      <c r="C1137" s="56"/>
      <c r="D1137" s="56"/>
      <c r="E1137" s="56"/>
      <c r="F1137" s="56"/>
      <c r="G1137" s="56"/>
      <c r="H1137" s="56"/>
      <c r="I1137" s="56"/>
      <c r="J1137" s="56"/>
      <c r="K1137" s="56"/>
      <c r="L1137" s="56"/>
      <c r="M1137" s="56"/>
      <c r="N1137" s="56"/>
      <c r="O1137" s="56"/>
      <c r="P1137" s="56"/>
      <c r="Q1137" s="57"/>
      <c r="R1137" s="56"/>
      <c r="S1137" s="58" t="str" cm="1">
        <f t="array" ref="S1137">_xlfn._xlws.FILTER(Competitions[compType], (Fixtures[[#This Row],[competition]] = Competitions[name]), "N/A")</f>
        <v>N/A</v>
      </c>
      <c r="T1137" s="58" t="str" cm="1">
        <f t="array" ref="T1137">_xlfn._xlws.FILTER(Competitions[exhibition], (Fixtures[[#This Row],[competition]] = Competitions[name]), "N/A")</f>
        <v>N/A</v>
      </c>
      <c r="U1137" s="58" t="str" cm="1">
        <f t="array" ref="U1137">_xlfn._xlws.FILTER(Competitions[compID], (Fixtures[[#This Row],[competition]] = Competitions[name]), "N/A")</f>
        <v>N/A</v>
      </c>
      <c r="V11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7" s="58" t="str" cm="1">
        <f t="array" ref="W11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7" s="58" t="str" cm="1">
        <f t="array" ref="X1137">_xlfn._xlws.FILTER(Teams[name], (Fixtures[[#This Row],[userTeamID]] = Teams[teamID]), "N/A")</f>
        <v>N/A</v>
      </c>
      <c r="Y1137" s="58" t="str" cm="1">
        <f t="array" ref="Y1137">_xlfn._xlws.FILTER(Teams[teamType], (Fixtures[[#This Row],[userTeamID]] = Teams[teamID]), "N/A")</f>
        <v>N/A</v>
      </c>
      <c r="Z1137" s="58" t="str" cm="1">
        <f t="array" ref="Z11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7" s="58" t="str">
        <f>IF(Fixtures[[#This Row],[userSide]] = "N/A", "N/A", IF(Fixtures[[#This Row],[userSide]] = "H", Fixtures[[#This Row],[awayTeam]], Fixtures[[#This Row],[homeTeam]]))</f>
        <v>N/A</v>
      </c>
      <c r="AB1137" s="58" t="str" cm="1">
        <f t="array" ref="AB1137">_xlfn._xlws.FILTER(Teams[teamID], Fixtures[[#This Row],[oppTeam]] = Teams[name], "N/A")</f>
        <v>N/A</v>
      </c>
      <c r="AC1137" s="58" t="str" cm="1">
        <f t="array" ref="AC1137">_xlfn._xlws.FILTER(Teams[teamType], Fixtures[[#This Row],[oppTeam]] = Teams[name], "N/A")</f>
        <v>N/A</v>
      </c>
      <c r="AD1137" s="58" t="str">
        <f>IF(ISBLANK(Fixtures[[#This Row],[date]]), "N/A", IF(Fixtures[[#This Row],[userSide]]="H", Fixtures[[#This Row],[homeScore]], Fixtures[[#This Row],[awayScore]]))</f>
        <v>N/A</v>
      </c>
      <c r="AE1137" s="58" t="str">
        <f>IF(ISBLANK(Fixtures[[#This Row],[date]]), "N/A", IF(Fixtures[[#This Row],[userScore]] = Fixtures[[#This Row],[homeScore]], Fixtures[[#This Row],[awayScore]], Fixtures[[#This Row],[homeScore]]))</f>
        <v>N/A</v>
      </c>
      <c r="AF1137" s="58" t="b">
        <f>NOT(AND(ISBLANK(Fixtures[[#This Row],[homePens]]), ISBLANK(Fixtures[[#This Row],[awayPens]])))</f>
        <v>0</v>
      </c>
      <c r="AG1137" s="58" t="str">
        <f>IF(Fixtures[[#This Row],[penalties]], IF(Fixtures[[#This Row],[userSide]]="H", Fixtures[[#This Row],[homePens]], Fixtures[[#This Row],[awayPens]]), "N/A")</f>
        <v>N/A</v>
      </c>
      <c r="AH1137" s="58" t="str">
        <f>IF(Fixtures[[#This Row],[penalties]], IF(Fixtures[[#This Row],[userPens]]=Fixtures[[#This Row],[homePens]],Fixtures[[#This Row],[awayPens]],Fixtures[[#This Row],[homePens]]), "N/A")</f>
        <v>N/A</v>
      </c>
      <c r="AI1137" s="58" t="b">
        <f>COUNTBLANK(Fixtures[[#This Row],[G]:[MOTM]]) = 0</f>
        <v>0</v>
      </c>
      <c r="AJ1137" s="58" t="str">
        <f>IF(Fixtures[[#This Row],[APP]], Fixtures[[#This Row],[G]]+Fixtures[[#This Row],[A]], "N/A")</f>
        <v>N/A</v>
      </c>
      <c r="AK11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8" spans="1:39" ht="13">
      <c r="A1138" s="55"/>
      <c r="B1138" s="61"/>
      <c r="C1138" s="56"/>
      <c r="D1138" s="56"/>
      <c r="E1138" s="56"/>
      <c r="F1138" s="56"/>
      <c r="G1138" s="56"/>
      <c r="H1138" s="56"/>
      <c r="I1138" s="56"/>
      <c r="J1138" s="56"/>
      <c r="K1138" s="56"/>
      <c r="L1138" s="56"/>
      <c r="M1138" s="56"/>
      <c r="N1138" s="56"/>
      <c r="O1138" s="56"/>
      <c r="P1138" s="56"/>
      <c r="Q1138" s="57"/>
      <c r="R1138" s="56"/>
      <c r="S1138" s="58" t="str" cm="1">
        <f t="array" ref="S1138">_xlfn._xlws.FILTER(Competitions[compType], (Fixtures[[#This Row],[competition]] = Competitions[name]), "N/A")</f>
        <v>N/A</v>
      </c>
      <c r="T1138" s="58" t="str" cm="1">
        <f t="array" ref="T1138">_xlfn._xlws.FILTER(Competitions[exhibition], (Fixtures[[#This Row],[competition]] = Competitions[name]), "N/A")</f>
        <v>N/A</v>
      </c>
      <c r="U1138" s="58" t="str" cm="1">
        <f t="array" ref="U1138">_xlfn._xlws.FILTER(Competitions[compID], (Fixtures[[#This Row],[competition]] = Competitions[name]), "N/A")</f>
        <v>N/A</v>
      </c>
      <c r="V11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8" s="58" t="str" cm="1">
        <f t="array" ref="W11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8" s="58" t="str" cm="1">
        <f t="array" ref="X1138">_xlfn._xlws.FILTER(Teams[name], (Fixtures[[#This Row],[userTeamID]] = Teams[teamID]), "N/A")</f>
        <v>N/A</v>
      </c>
      <c r="Y1138" s="58" t="str" cm="1">
        <f t="array" ref="Y1138">_xlfn._xlws.FILTER(Teams[teamType], (Fixtures[[#This Row],[userTeamID]] = Teams[teamID]), "N/A")</f>
        <v>N/A</v>
      </c>
      <c r="Z1138" s="58" t="str" cm="1">
        <f t="array" ref="Z11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8" s="58" t="str">
        <f>IF(Fixtures[[#This Row],[userSide]] = "N/A", "N/A", IF(Fixtures[[#This Row],[userSide]] = "H", Fixtures[[#This Row],[awayTeam]], Fixtures[[#This Row],[homeTeam]]))</f>
        <v>N/A</v>
      </c>
      <c r="AB1138" s="58" t="str" cm="1">
        <f t="array" ref="AB1138">_xlfn._xlws.FILTER(Teams[teamID], Fixtures[[#This Row],[oppTeam]] = Teams[name], "N/A")</f>
        <v>N/A</v>
      </c>
      <c r="AC1138" s="58" t="str" cm="1">
        <f t="array" ref="AC1138">_xlfn._xlws.FILTER(Teams[teamType], Fixtures[[#This Row],[oppTeam]] = Teams[name], "N/A")</f>
        <v>N/A</v>
      </c>
      <c r="AD1138" s="58" t="str">
        <f>IF(ISBLANK(Fixtures[[#This Row],[date]]), "N/A", IF(Fixtures[[#This Row],[userSide]]="H", Fixtures[[#This Row],[homeScore]], Fixtures[[#This Row],[awayScore]]))</f>
        <v>N/A</v>
      </c>
      <c r="AE1138" s="58" t="str">
        <f>IF(ISBLANK(Fixtures[[#This Row],[date]]), "N/A", IF(Fixtures[[#This Row],[userScore]] = Fixtures[[#This Row],[homeScore]], Fixtures[[#This Row],[awayScore]], Fixtures[[#This Row],[homeScore]]))</f>
        <v>N/A</v>
      </c>
      <c r="AF1138" s="58" t="b">
        <f>NOT(AND(ISBLANK(Fixtures[[#This Row],[homePens]]), ISBLANK(Fixtures[[#This Row],[awayPens]])))</f>
        <v>0</v>
      </c>
      <c r="AG1138" s="58" t="str">
        <f>IF(Fixtures[[#This Row],[penalties]], IF(Fixtures[[#This Row],[userSide]]="H", Fixtures[[#This Row],[homePens]], Fixtures[[#This Row],[awayPens]]), "N/A")</f>
        <v>N/A</v>
      </c>
      <c r="AH1138" s="58" t="str">
        <f>IF(Fixtures[[#This Row],[penalties]], IF(Fixtures[[#This Row],[userPens]]=Fixtures[[#This Row],[homePens]],Fixtures[[#This Row],[awayPens]],Fixtures[[#This Row],[homePens]]), "N/A")</f>
        <v>N/A</v>
      </c>
      <c r="AI1138" s="58" t="b">
        <f>COUNTBLANK(Fixtures[[#This Row],[G]:[MOTM]]) = 0</f>
        <v>0</v>
      </c>
      <c r="AJ1138" s="58" t="str">
        <f>IF(Fixtures[[#This Row],[APP]], Fixtures[[#This Row],[G]]+Fixtures[[#This Row],[A]], "N/A")</f>
        <v>N/A</v>
      </c>
      <c r="AK11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39" spans="1:39" ht="13">
      <c r="A1139" s="55"/>
      <c r="B1139" s="61"/>
      <c r="C1139" s="56"/>
      <c r="D1139" s="56"/>
      <c r="E1139" s="56"/>
      <c r="F1139" s="56"/>
      <c r="G1139" s="56"/>
      <c r="H1139" s="56"/>
      <c r="I1139" s="56"/>
      <c r="J1139" s="56"/>
      <c r="K1139" s="56"/>
      <c r="L1139" s="56"/>
      <c r="M1139" s="56"/>
      <c r="N1139" s="56"/>
      <c r="O1139" s="56"/>
      <c r="P1139" s="56"/>
      <c r="Q1139" s="57"/>
      <c r="R1139" s="56"/>
      <c r="S1139" s="58" t="str" cm="1">
        <f t="array" ref="S1139">_xlfn._xlws.FILTER(Competitions[compType], (Fixtures[[#This Row],[competition]] = Competitions[name]), "N/A")</f>
        <v>N/A</v>
      </c>
      <c r="T1139" s="58" t="str" cm="1">
        <f t="array" ref="T1139">_xlfn._xlws.FILTER(Competitions[exhibition], (Fixtures[[#This Row],[competition]] = Competitions[name]), "N/A")</f>
        <v>N/A</v>
      </c>
      <c r="U1139" s="58" t="str" cm="1">
        <f t="array" ref="U1139">_xlfn._xlws.FILTER(Competitions[compID], (Fixtures[[#This Row],[competition]] = Competitions[name]), "N/A")</f>
        <v>N/A</v>
      </c>
      <c r="V11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39" s="58" t="str" cm="1">
        <f t="array" ref="W11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39" s="58" t="str" cm="1">
        <f t="array" ref="X1139">_xlfn._xlws.FILTER(Teams[name], (Fixtures[[#This Row],[userTeamID]] = Teams[teamID]), "N/A")</f>
        <v>N/A</v>
      </c>
      <c r="Y1139" s="58" t="str" cm="1">
        <f t="array" ref="Y1139">_xlfn._xlws.FILTER(Teams[teamType], (Fixtures[[#This Row],[userTeamID]] = Teams[teamID]), "N/A")</f>
        <v>N/A</v>
      </c>
      <c r="Z1139" s="58" t="str" cm="1">
        <f t="array" ref="Z11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39" s="58" t="str">
        <f>IF(Fixtures[[#This Row],[userSide]] = "N/A", "N/A", IF(Fixtures[[#This Row],[userSide]] = "H", Fixtures[[#This Row],[awayTeam]], Fixtures[[#This Row],[homeTeam]]))</f>
        <v>N/A</v>
      </c>
      <c r="AB1139" s="58" t="str" cm="1">
        <f t="array" ref="AB1139">_xlfn._xlws.FILTER(Teams[teamID], Fixtures[[#This Row],[oppTeam]] = Teams[name], "N/A")</f>
        <v>N/A</v>
      </c>
      <c r="AC1139" s="58" t="str" cm="1">
        <f t="array" ref="AC1139">_xlfn._xlws.FILTER(Teams[teamType], Fixtures[[#This Row],[oppTeam]] = Teams[name], "N/A")</f>
        <v>N/A</v>
      </c>
      <c r="AD1139" s="58" t="str">
        <f>IF(ISBLANK(Fixtures[[#This Row],[date]]), "N/A", IF(Fixtures[[#This Row],[userSide]]="H", Fixtures[[#This Row],[homeScore]], Fixtures[[#This Row],[awayScore]]))</f>
        <v>N/A</v>
      </c>
      <c r="AE1139" s="58" t="str">
        <f>IF(ISBLANK(Fixtures[[#This Row],[date]]), "N/A", IF(Fixtures[[#This Row],[userScore]] = Fixtures[[#This Row],[homeScore]], Fixtures[[#This Row],[awayScore]], Fixtures[[#This Row],[homeScore]]))</f>
        <v>N/A</v>
      </c>
      <c r="AF1139" s="58" t="b">
        <f>NOT(AND(ISBLANK(Fixtures[[#This Row],[homePens]]), ISBLANK(Fixtures[[#This Row],[awayPens]])))</f>
        <v>0</v>
      </c>
      <c r="AG1139" s="58" t="str">
        <f>IF(Fixtures[[#This Row],[penalties]], IF(Fixtures[[#This Row],[userSide]]="H", Fixtures[[#This Row],[homePens]], Fixtures[[#This Row],[awayPens]]), "N/A")</f>
        <v>N/A</v>
      </c>
      <c r="AH1139" s="58" t="str">
        <f>IF(Fixtures[[#This Row],[penalties]], IF(Fixtures[[#This Row],[userPens]]=Fixtures[[#This Row],[homePens]],Fixtures[[#This Row],[awayPens]],Fixtures[[#This Row],[homePens]]), "N/A")</f>
        <v>N/A</v>
      </c>
      <c r="AI1139" s="58" t="b">
        <f>COUNTBLANK(Fixtures[[#This Row],[G]:[MOTM]]) = 0</f>
        <v>0</v>
      </c>
      <c r="AJ1139" s="58" t="str">
        <f>IF(Fixtures[[#This Row],[APP]], Fixtures[[#This Row],[G]]+Fixtures[[#This Row],[A]], "N/A")</f>
        <v>N/A</v>
      </c>
      <c r="AK11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0" spans="1:39" ht="13">
      <c r="A1140" s="55"/>
      <c r="B1140" s="61"/>
      <c r="C1140" s="56"/>
      <c r="D1140" s="56"/>
      <c r="E1140" s="56"/>
      <c r="F1140" s="56"/>
      <c r="G1140" s="56"/>
      <c r="H1140" s="56"/>
      <c r="I1140" s="56"/>
      <c r="J1140" s="56"/>
      <c r="K1140" s="56"/>
      <c r="L1140" s="56"/>
      <c r="M1140" s="56"/>
      <c r="N1140" s="56"/>
      <c r="O1140" s="56"/>
      <c r="P1140" s="56"/>
      <c r="Q1140" s="57"/>
      <c r="R1140" s="56"/>
      <c r="S1140" s="58" t="str" cm="1">
        <f t="array" ref="S1140">_xlfn._xlws.FILTER(Competitions[compType], (Fixtures[[#This Row],[competition]] = Competitions[name]), "N/A")</f>
        <v>N/A</v>
      </c>
      <c r="T1140" s="58" t="str" cm="1">
        <f t="array" ref="T1140">_xlfn._xlws.FILTER(Competitions[exhibition], (Fixtures[[#This Row],[competition]] = Competitions[name]), "N/A")</f>
        <v>N/A</v>
      </c>
      <c r="U1140" s="58" t="str" cm="1">
        <f t="array" ref="U1140">_xlfn._xlws.FILTER(Competitions[compID], (Fixtures[[#This Row],[competition]] = Competitions[name]), "N/A")</f>
        <v>N/A</v>
      </c>
      <c r="V11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0" s="58" t="str" cm="1">
        <f t="array" ref="W11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0" s="58" t="str" cm="1">
        <f t="array" ref="X1140">_xlfn._xlws.FILTER(Teams[name], (Fixtures[[#This Row],[userTeamID]] = Teams[teamID]), "N/A")</f>
        <v>N/A</v>
      </c>
      <c r="Y1140" s="58" t="str" cm="1">
        <f t="array" ref="Y1140">_xlfn._xlws.FILTER(Teams[teamType], (Fixtures[[#This Row],[userTeamID]] = Teams[teamID]), "N/A")</f>
        <v>N/A</v>
      </c>
      <c r="Z1140" s="58" t="str" cm="1">
        <f t="array" ref="Z11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0" s="58" t="str">
        <f>IF(Fixtures[[#This Row],[userSide]] = "N/A", "N/A", IF(Fixtures[[#This Row],[userSide]] = "H", Fixtures[[#This Row],[awayTeam]], Fixtures[[#This Row],[homeTeam]]))</f>
        <v>N/A</v>
      </c>
      <c r="AB1140" s="58" t="str" cm="1">
        <f t="array" ref="AB1140">_xlfn._xlws.FILTER(Teams[teamID], Fixtures[[#This Row],[oppTeam]] = Teams[name], "N/A")</f>
        <v>N/A</v>
      </c>
      <c r="AC1140" s="58" t="str" cm="1">
        <f t="array" ref="AC1140">_xlfn._xlws.FILTER(Teams[teamType], Fixtures[[#This Row],[oppTeam]] = Teams[name], "N/A")</f>
        <v>N/A</v>
      </c>
      <c r="AD1140" s="58" t="str">
        <f>IF(ISBLANK(Fixtures[[#This Row],[date]]), "N/A", IF(Fixtures[[#This Row],[userSide]]="H", Fixtures[[#This Row],[homeScore]], Fixtures[[#This Row],[awayScore]]))</f>
        <v>N/A</v>
      </c>
      <c r="AE1140" s="58" t="str">
        <f>IF(ISBLANK(Fixtures[[#This Row],[date]]), "N/A", IF(Fixtures[[#This Row],[userScore]] = Fixtures[[#This Row],[homeScore]], Fixtures[[#This Row],[awayScore]], Fixtures[[#This Row],[homeScore]]))</f>
        <v>N/A</v>
      </c>
      <c r="AF1140" s="58" t="b">
        <f>NOT(AND(ISBLANK(Fixtures[[#This Row],[homePens]]), ISBLANK(Fixtures[[#This Row],[awayPens]])))</f>
        <v>0</v>
      </c>
      <c r="AG1140" s="58" t="str">
        <f>IF(Fixtures[[#This Row],[penalties]], IF(Fixtures[[#This Row],[userSide]]="H", Fixtures[[#This Row],[homePens]], Fixtures[[#This Row],[awayPens]]), "N/A")</f>
        <v>N/A</v>
      </c>
      <c r="AH1140" s="58" t="str">
        <f>IF(Fixtures[[#This Row],[penalties]], IF(Fixtures[[#This Row],[userPens]]=Fixtures[[#This Row],[homePens]],Fixtures[[#This Row],[awayPens]],Fixtures[[#This Row],[homePens]]), "N/A")</f>
        <v>N/A</v>
      </c>
      <c r="AI1140" s="58" t="b">
        <f>COUNTBLANK(Fixtures[[#This Row],[G]:[MOTM]]) = 0</f>
        <v>0</v>
      </c>
      <c r="AJ1140" s="58" t="str">
        <f>IF(Fixtures[[#This Row],[APP]], Fixtures[[#This Row],[G]]+Fixtures[[#This Row],[A]], "N/A")</f>
        <v>N/A</v>
      </c>
      <c r="AK11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1" spans="1:39" ht="13">
      <c r="A1141" s="55"/>
      <c r="B1141" s="61"/>
      <c r="C1141" s="56"/>
      <c r="D1141" s="56"/>
      <c r="E1141" s="56"/>
      <c r="F1141" s="56"/>
      <c r="G1141" s="56"/>
      <c r="H1141" s="56"/>
      <c r="I1141" s="56"/>
      <c r="J1141" s="56"/>
      <c r="K1141" s="56"/>
      <c r="L1141" s="56"/>
      <c r="M1141" s="56"/>
      <c r="N1141" s="56"/>
      <c r="O1141" s="56"/>
      <c r="P1141" s="56"/>
      <c r="Q1141" s="57"/>
      <c r="R1141" s="56"/>
      <c r="S1141" s="58" t="str" cm="1">
        <f t="array" ref="S1141">_xlfn._xlws.FILTER(Competitions[compType], (Fixtures[[#This Row],[competition]] = Competitions[name]), "N/A")</f>
        <v>N/A</v>
      </c>
      <c r="T1141" s="58" t="str" cm="1">
        <f t="array" ref="T1141">_xlfn._xlws.FILTER(Competitions[exhibition], (Fixtures[[#This Row],[competition]] = Competitions[name]), "N/A")</f>
        <v>N/A</v>
      </c>
      <c r="U1141" s="58" t="str" cm="1">
        <f t="array" ref="U1141">_xlfn._xlws.FILTER(Competitions[compID], (Fixtures[[#This Row],[competition]] = Competitions[name]), "N/A")</f>
        <v>N/A</v>
      </c>
      <c r="V11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1" s="58" t="str" cm="1">
        <f t="array" ref="W11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1" s="58" t="str" cm="1">
        <f t="array" ref="X1141">_xlfn._xlws.FILTER(Teams[name], (Fixtures[[#This Row],[userTeamID]] = Teams[teamID]), "N/A")</f>
        <v>N/A</v>
      </c>
      <c r="Y1141" s="58" t="str" cm="1">
        <f t="array" ref="Y1141">_xlfn._xlws.FILTER(Teams[teamType], (Fixtures[[#This Row],[userTeamID]] = Teams[teamID]), "N/A")</f>
        <v>N/A</v>
      </c>
      <c r="Z1141" s="58" t="str" cm="1">
        <f t="array" ref="Z11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1" s="58" t="str">
        <f>IF(Fixtures[[#This Row],[userSide]] = "N/A", "N/A", IF(Fixtures[[#This Row],[userSide]] = "H", Fixtures[[#This Row],[awayTeam]], Fixtures[[#This Row],[homeTeam]]))</f>
        <v>N/A</v>
      </c>
      <c r="AB1141" s="58" t="str" cm="1">
        <f t="array" ref="AB1141">_xlfn._xlws.FILTER(Teams[teamID], Fixtures[[#This Row],[oppTeam]] = Teams[name], "N/A")</f>
        <v>N/A</v>
      </c>
      <c r="AC1141" s="58" t="str" cm="1">
        <f t="array" ref="AC1141">_xlfn._xlws.FILTER(Teams[teamType], Fixtures[[#This Row],[oppTeam]] = Teams[name], "N/A")</f>
        <v>N/A</v>
      </c>
      <c r="AD1141" s="58" t="str">
        <f>IF(ISBLANK(Fixtures[[#This Row],[date]]), "N/A", IF(Fixtures[[#This Row],[userSide]]="H", Fixtures[[#This Row],[homeScore]], Fixtures[[#This Row],[awayScore]]))</f>
        <v>N/A</v>
      </c>
      <c r="AE1141" s="58" t="str">
        <f>IF(ISBLANK(Fixtures[[#This Row],[date]]), "N/A", IF(Fixtures[[#This Row],[userScore]] = Fixtures[[#This Row],[homeScore]], Fixtures[[#This Row],[awayScore]], Fixtures[[#This Row],[homeScore]]))</f>
        <v>N/A</v>
      </c>
      <c r="AF1141" s="58" t="b">
        <f>NOT(AND(ISBLANK(Fixtures[[#This Row],[homePens]]), ISBLANK(Fixtures[[#This Row],[awayPens]])))</f>
        <v>0</v>
      </c>
      <c r="AG1141" s="58" t="str">
        <f>IF(Fixtures[[#This Row],[penalties]], IF(Fixtures[[#This Row],[userSide]]="H", Fixtures[[#This Row],[homePens]], Fixtures[[#This Row],[awayPens]]), "N/A")</f>
        <v>N/A</v>
      </c>
      <c r="AH1141" s="58" t="str">
        <f>IF(Fixtures[[#This Row],[penalties]], IF(Fixtures[[#This Row],[userPens]]=Fixtures[[#This Row],[homePens]],Fixtures[[#This Row],[awayPens]],Fixtures[[#This Row],[homePens]]), "N/A")</f>
        <v>N/A</v>
      </c>
      <c r="AI1141" s="58" t="b">
        <f>COUNTBLANK(Fixtures[[#This Row],[G]:[MOTM]]) = 0</f>
        <v>0</v>
      </c>
      <c r="AJ1141" s="58" t="str">
        <f>IF(Fixtures[[#This Row],[APP]], Fixtures[[#This Row],[G]]+Fixtures[[#This Row],[A]], "N/A")</f>
        <v>N/A</v>
      </c>
      <c r="AK11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2" spans="1:39" ht="13">
      <c r="A1142" s="55"/>
      <c r="B1142" s="61"/>
      <c r="C1142" s="56"/>
      <c r="D1142" s="56"/>
      <c r="E1142" s="56"/>
      <c r="F1142" s="56"/>
      <c r="G1142" s="56"/>
      <c r="H1142" s="56"/>
      <c r="I1142" s="56"/>
      <c r="J1142" s="56"/>
      <c r="K1142" s="56"/>
      <c r="L1142" s="56"/>
      <c r="M1142" s="56"/>
      <c r="N1142" s="56"/>
      <c r="O1142" s="56"/>
      <c r="P1142" s="56"/>
      <c r="Q1142" s="57"/>
      <c r="R1142" s="56"/>
      <c r="S1142" s="58" t="str" cm="1">
        <f t="array" ref="S1142">_xlfn._xlws.FILTER(Competitions[compType], (Fixtures[[#This Row],[competition]] = Competitions[name]), "N/A")</f>
        <v>N/A</v>
      </c>
      <c r="T1142" s="58" t="str" cm="1">
        <f t="array" ref="T1142">_xlfn._xlws.FILTER(Competitions[exhibition], (Fixtures[[#This Row],[competition]] = Competitions[name]), "N/A")</f>
        <v>N/A</v>
      </c>
      <c r="U1142" s="58" t="str" cm="1">
        <f t="array" ref="U1142">_xlfn._xlws.FILTER(Competitions[compID], (Fixtures[[#This Row],[competition]] = Competitions[name]), "N/A")</f>
        <v>N/A</v>
      </c>
      <c r="V11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2" s="58" t="str" cm="1">
        <f t="array" ref="W11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2" s="58" t="str" cm="1">
        <f t="array" ref="X1142">_xlfn._xlws.FILTER(Teams[name], (Fixtures[[#This Row],[userTeamID]] = Teams[teamID]), "N/A")</f>
        <v>N/A</v>
      </c>
      <c r="Y1142" s="58" t="str" cm="1">
        <f t="array" ref="Y1142">_xlfn._xlws.FILTER(Teams[teamType], (Fixtures[[#This Row],[userTeamID]] = Teams[teamID]), "N/A")</f>
        <v>N/A</v>
      </c>
      <c r="Z1142" s="58" t="str" cm="1">
        <f t="array" ref="Z11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2" s="58" t="str">
        <f>IF(Fixtures[[#This Row],[userSide]] = "N/A", "N/A", IF(Fixtures[[#This Row],[userSide]] = "H", Fixtures[[#This Row],[awayTeam]], Fixtures[[#This Row],[homeTeam]]))</f>
        <v>N/A</v>
      </c>
      <c r="AB1142" s="58" t="str" cm="1">
        <f t="array" ref="AB1142">_xlfn._xlws.FILTER(Teams[teamID], Fixtures[[#This Row],[oppTeam]] = Teams[name], "N/A")</f>
        <v>N/A</v>
      </c>
      <c r="AC1142" s="58" t="str" cm="1">
        <f t="array" ref="AC1142">_xlfn._xlws.FILTER(Teams[teamType], Fixtures[[#This Row],[oppTeam]] = Teams[name], "N/A")</f>
        <v>N/A</v>
      </c>
      <c r="AD1142" s="58" t="str">
        <f>IF(ISBLANK(Fixtures[[#This Row],[date]]), "N/A", IF(Fixtures[[#This Row],[userSide]]="H", Fixtures[[#This Row],[homeScore]], Fixtures[[#This Row],[awayScore]]))</f>
        <v>N/A</v>
      </c>
      <c r="AE1142" s="58" t="str">
        <f>IF(ISBLANK(Fixtures[[#This Row],[date]]), "N/A", IF(Fixtures[[#This Row],[userScore]] = Fixtures[[#This Row],[homeScore]], Fixtures[[#This Row],[awayScore]], Fixtures[[#This Row],[homeScore]]))</f>
        <v>N/A</v>
      </c>
      <c r="AF1142" s="58" t="b">
        <f>NOT(AND(ISBLANK(Fixtures[[#This Row],[homePens]]), ISBLANK(Fixtures[[#This Row],[awayPens]])))</f>
        <v>0</v>
      </c>
      <c r="AG1142" s="58" t="str">
        <f>IF(Fixtures[[#This Row],[penalties]], IF(Fixtures[[#This Row],[userSide]]="H", Fixtures[[#This Row],[homePens]], Fixtures[[#This Row],[awayPens]]), "N/A")</f>
        <v>N/A</v>
      </c>
      <c r="AH1142" s="58" t="str">
        <f>IF(Fixtures[[#This Row],[penalties]], IF(Fixtures[[#This Row],[userPens]]=Fixtures[[#This Row],[homePens]],Fixtures[[#This Row],[awayPens]],Fixtures[[#This Row],[homePens]]), "N/A")</f>
        <v>N/A</v>
      </c>
      <c r="AI1142" s="58" t="b">
        <f>COUNTBLANK(Fixtures[[#This Row],[G]:[MOTM]]) = 0</f>
        <v>0</v>
      </c>
      <c r="AJ1142" s="58" t="str">
        <f>IF(Fixtures[[#This Row],[APP]], Fixtures[[#This Row],[G]]+Fixtures[[#This Row],[A]], "N/A")</f>
        <v>N/A</v>
      </c>
      <c r="AK11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3" spans="1:39" ht="13">
      <c r="A1143" s="55"/>
      <c r="B1143" s="61"/>
      <c r="C1143" s="56"/>
      <c r="D1143" s="56"/>
      <c r="E1143" s="56"/>
      <c r="F1143" s="56"/>
      <c r="G1143" s="56"/>
      <c r="H1143" s="56"/>
      <c r="I1143" s="56"/>
      <c r="J1143" s="56"/>
      <c r="K1143" s="56"/>
      <c r="L1143" s="56"/>
      <c r="M1143" s="56"/>
      <c r="N1143" s="56"/>
      <c r="O1143" s="56"/>
      <c r="P1143" s="56"/>
      <c r="Q1143" s="57"/>
      <c r="R1143" s="56"/>
      <c r="S1143" s="58" t="str" cm="1">
        <f t="array" ref="S1143">_xlfn._xlws.FILTER(Competitions[compType], (Fixtures[[#This Row],[competition]] = Competitions[name]), "N/A")</f>
        <v>N/A</v>
      </c>
      <c r="T1143" s="58" t="str" cm="1">
        <f t="array" ref="T1143">_xlfn._xlws.FILTER(Competitions[exhibition], (Fixtures[[#This Row],[competition]] = Competitions[name]), "N/A")</f>
        <v>N/A</v>
      </c>
      <c r="U1143" s="58" t="str" cm="1">
        <f t="array" ref="U1143">_xlfn._xlws.FILTER(Competitions[compID], (Fixtures[[#This Row],[competition]] = Competitions[name]), "N/A")</f>
        <v>N/A</v>
      </c>
      <c r="V11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3" s="58" t="str" cm="1">
        <f t="array" ref="W11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3" s="58" t="str" cm="1">
        <f t="array" ref="X1143">_xlfn._xlws.FILTER(Teams[name], (Fixtures[[#This Row],[userTeamID]] = Teams[teamID]), "N/A")</f>
        <v>N/A</v>
      </c>
      <c r="Y1143" s="58" t="str" cm="1">
        <f t="array" ref="Y1143">_xlfn._xlws.FILTER(Teams[teamType], (Fixtures[[#This Row],[userTeamID]] = Teams[teamID]), "N/A")</f>
        <v>N/A</v>
      </c>
      <c r="Z1143" s="58" t="str" cm="1">
        <f t="array" ref="Z11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3" s="58" t="str">
        <f>IF(Fixtures[[#This Row],[userSide]] = "N/A", "N/A", IF(Fixtures[[#This Row],[userSide]] = "H", Fixtures[[#This Row],[awayTeam]], Fixtures[[#This Row],[homeTeam]]))</f>
        <v>N/A</v>
      </c>
      <c r="AB1143" s="58" t="str" cm="1">
        <f t="array" ref="AB1143">_xlfn._xlws.FILTER(Teams[teamID], Fixtures[[#This Row],[oppTeam]] = Teams[name], "N/A")</f>
        <v>N/A</v>
      </c>
      <c r="AC1143" s="58" t="str" cm="1">
        <f t="array" ref="AC1143">_xlfn._xlws.FILTER(Teams[teamType], Fixtures[[#This Row],[oppTeam]] = Teams[name], "N/A")</f>
        <v>N/A</v>
      </c>
      <c r="AD1143" s="58" t="str">
        <f>IF(ISBLANK(Fixtures[[#This Row],[date]]), "N/A", IF(Fixtures[[#This Row],[userSide]]="H", Fixtures[[#This Row],[homeScore]], Fixtures[[#This Row],[awayScore]]))</f>
        <v>N/A</v>
      </c>
      <c r="AE1143" s="58" t="str">
        <f>IF(ISBLANK(Fixtures[[#This Row],[date]]), "N/A", IF(Fixtures[[#This Row],[userScore]] = Fixtures[[#This Row],[homeScore]], Fixtures[[#This Row],[awayScore]], Fixtures[[#This Row],[homeScore]]))</f>
        <v>N/A</v>
      </c>
      <c r="AF1143" s="58" t="b">
        <f>NOT(AND(ISBLANK(Fixtures[[#This Row],[homePens]]), ISBLANK(Fixtures[[#This Row],[awayPens]])))</f>
        <v>0</v>
      </c>
      <c r="AG1143" s="58" t="str">
        <f>IF(Fixtures[[#This Row],[penalties]], IF(Fixtures[[#This Row],[userSide]]="H", Fixtures[[#This Row],[homePens]], Fixtures[[#This Row],[awayPens]]), "N/A")</f>
        <v>N/A</v>
      </c>
      <c r="AH1143" s="58" t="str">
        <f>IF(Fixtures[[#This Row],[penalties]], IF(Fixtures[[#This Row],[userPens]]=Fixtures[[#This Row],[homePens]],Fixtures[[#This Row],[awayPens]],Fixtures[[#This Row],[homePens]]), "N/A")</f>
        <v>N/A</v>
      </c>
      <c r="AI1143" s="58" t="b">
        <f>COUNTBLANK(Fixtures[[#This Row],[G]:[MOTM]]) = 0</f>
        <v>0</v>
      </c>
      <c r="AJ1143" s="58" t="str">
        <f>IF(Fixtures[[#This Row],[APP]], Fixtures[[#This Row],[G]]+Fixtures[[#This Row],[A]], "N/A")</f>
        <v>N/A</v>
      </c>
      <c r="AK11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4" spans="1:39" ht="13">
      <c r="A1144" s="55"/>
      <c r="B1144" s="61"/>
      <c r="C1144" s="56"/>
      <c r="D1144" s="56"/>
      <c r="E1144" s="56"/>
      <c r="F1144" s="56"/>
      <c r="G1144" s="56"/>
      <c r="H1144" s="56"/>
      <c r="I1144" s="56"/>
      <c r="J1144" s="56"/>
      <c r="K1144" s="56"/>
      <c r="L1144" s="56"/>
      <c r="M1144" s="56"/>
      <c r="N1144" s="56"/>
      <c r="O1144" s="56"/>
      <c r="P1144" s="56"/>
      <c r="Q1144" s="57"/>
      <c r="R1144" s="56"/>
      <c r="S1144" s="58" t="str" cm="1">
        <f t="array" ref="S1144">_xlfn._xlws.FILTER(Competitions[compType], (Fixtures[[#This Row],[competition]] = Competitions[name]), "N/A")</f>
        <v>N/A</v>
      </c>
      <c r="T1144" s="58" t="str" cm="1">
        <f t="array" ref="T1144">_xlfn._xlws.FILTER(Competitions[exhibition], (Fixtures[[#This Row],[competition]] = Competitions[name]), "N/A")</f>
        <v>N/A</v>
      </c>
      <c r="U1144" s="58" t="str" cm="1">
        <f t="array" ref="U1144">_xlfn._xlws.FILTER(Competitions[compID], (Fixtures[[#This Row],[competition]] = Competitions[name]), "N/A")</f>
        <v>N/A</v>
      </c>
      <c r="V11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4" s="58" t="str" cm="1">
        <f t="array" ref="W11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4" s="58" t="str" cm="1">
        <f t="array" ref="X1144">_xlfn._xlws.FILTER(Teams[name], (Fixtures[[#This Row],[userTeamID]] = Teams[teamID]), "N/A")</f>
        <v>N/A</v>
      </c>
      <c r="Y1144" s="58" t="str" cm="1">
        <f t="array" ref="Y1144">_xlfn._xlws.FILTER(Teams[teamType], (Fixtures[[#This Row],[userTeamID]] = Teams[teamID]), "N/A")</f>
        <v>N/A</v>
      </c>
      <c r="Z1144" s="58" t="str" cm="1">
        <f t="array" ref="Z11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4" s="58" t="str">
        <f>IF(Fixtures[[#This Row],[userSide]] = "N/A", "N/A", IF(Fixtures[[#This Row],[userSide]] = "H", Fixtures[[#This Row],[awayTeam]], Fixtures[[#This Row],[homeTeam]]))</f>
        <v>N/A</v>
      </c>
      <c r="AB1144" s="58" t="str" cm="1">
        <f t="array" ref="AB1144">_xlfn._xlws.FILTER(Teams[teamID], Fixtures[[#This Row],[oppTeam]] = Teams[name], "N/A")</f>
        <v>N/A</v>
      </c>
      <c r="AC1144" s="58" t="str" cm="1">
        <f t="array" ref="AC1144">_xlfn._xlws.FILTER(Teams[teamType], Fixtures[[#This Row],[oppTeam]] = Teams[name], "N/A")</f>
        <v>N/A</v>
      </c>
      <c r="AD1144" s="58" t="str">
        <f>IF(ISBLANK(Fixtures[[#This Row],[date]]), "N/A", IF(Fixtures[[#This Row],[userSide]]="H", Fixtures[[#This Row],[homeScore]], Fixtures[[#This Row],[awayScore]]))</f>
        <v>N/A</v>
      </c>
      <c r="AE1144" s="58" t="str">
        <f>IF(ISBLANK(Fixtures[[#This Row],[date]]), "N/A", IF(Fixtures[[#This Row],[userScore]] = Fixtures[[#This Row],[homeScore]], Fixtures[[#This Row],[awayScore]], Fixtures[[#This Row],[homeScore]]))</f>
        <v>N/A</v>
      </c>
      <c r="AF1144" s="58" t="b">
        <f>NOT(AND(ISBLANK(Fixtures[[#This Row],[homePens]]), ISBLANK(Fixtures[[#This Row],[awayPens]])))</f>
        <v>0</v>
      </c>
      <c r="AG1144" s="58" t="str">
        <f>IF(Fixtures[[#This Row],[penalties]], IF(Fixtures[[#This Row],[userSide]]="H", Fixtures[[#This Row],[homePens]], Fixtures[[#This Row],[awayPens]]), "N/A")</f>
        <v>N/A</v>
      </c>
      <c r="AH1144" s="58" t="str">
        <f>IF(Fixtures[[#This Row],[penalties]], IF(Fixtures[[#This Row],[userPens]]=Fixtures[[#This Row],[homePens]],Fixtures[[#This Row],[awayPens]],Fixtures[[#This Row],[homePens]]), "N/A")</f>
        <v>N/A</v>
      </c>
      <c r="AI1144" s="58" t="b">
        <f>COUNTBLANK(Fixtures[[#This Row],[G]:[MOTM]]) = 0</f>
        <v>0</v>
      </c>
      <c r="AJ1144" s="58" t="str">
        <f>IF(Fixtures[[#This Row],[APP]], Fixtures[[#This Row],[G]]+Fixtures[[#This Row],[A]], "N/A")</f>
        <v>N/A</v>
      </c>
      <c r="AK11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5" spans="1:39" ht="13">
      <c r="A1145" s="55"/>
      <c r="B1145" s="61"/>
      <c r="C1145" s="56"/>
      <c r="D1145" s="56"/>
      <c r="E1145" s="56"/>
      <c r="F1145" s="56"/>
      <c r="G1145" s="56"/>
      <c r="H1145" s="56"/>
      <c r="I1145" s="56"/>
      <c r="J1145" s="56"/>
      <c r="K1145" s="56"/>
      <c r="L1145" s="56"/>
      <c r="M1145" s="56"/>
      <c r="N1145" s="56"/>
      <c r="O1145" s="56"/>
      <c r="P1145" s="56"/>
      <c r="Q1145" s="57"/>
      <c r="R1145" s="56"/>
      <c r="S1145" s="58" t="str" cm="1">
        <f t="array" ref="S1145">_xlfn._xlws.FILTER(Competitions[compType], (Fixtures[[#This Row],[competition]] = Competitions[name]), "N/A")</f>
        <v>N/A</v>
      </c>
      <c r="T1145" s="58" t="str" cm="1">
        <f t="array" ref="T1145">_xlfn._xlws.FILTER(Competitions[exhibition], (Fixtures[[#This Row],[competition]] = Competitions[name]), "N/A")</f>
        <v>N/A</v>
      </c>
      <c r="U1145" s="58" t="str" cm="1">
        <f t="array" ref="U1145">_xlfn._xlws.FILTER(Competitions[compID], (Fixtures[[#This Row],[competition]] = Competitions[name]), "N/A")</f>
        <v>N/A</v>
      </c>
      <c r="V11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5" s="58" t="str" cm="1">
        <f t="array" ref="W11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5" s="58" t="str" cm="1">
        <f t="array" ref="X1145">_xlfn._xlws.FILTER(Teams[name], (Fixtures[[#This Row],[userTeamID]] = Teams[teamID]), "N/A")</f>
        <v>N/A</v>
      </c>
      <c r="Y1145" s="58" t="str" cm="1">
        <f t="array" ref="Y1145">_xlfn._xlws.FILTER(Teams[teamType], (Fixtures[[#This Row],[userTeamID]] = Teams[teamID]), "N/A")</f>
        <v>N/A</v>
      </c>
      <c r="Z1145" s="58" t="str" cm="1">
        <f t="array" ref="Z11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5" s="58" t="str">
        <f>IF(Fixtures[[#This Row],[userSide]] = "N/A", "N/A", IF(Fixtures[[#This Row],[userSide]] = "H", Fixtures[[#This Row],[awayTeam]], Fixtures[[#This Row],[homeTeam]]))</f>
        <v>N/A</v>
      </c>
      <c r="AB1145" s="58" t="str" cm="1">
        <f t="array" ref="AB1145">_xlfn._xlws.FILTER(Teams[teamID], Fixtures[[#This Row],[oppTeam]] = Teams[name], "N/A")</f>
        <v>N/A</v>
      </c>
      <c r="AC1145" s="58" t="str" cm="1">
        <f t="array" ref="AC1145">_xlfn._xlws.FILTER(Teams[teamType], Fixtures[[#This Row],[oppTeam]] = Teams[name], "N/A")</f>
        <v>N/A</v>
      </c>
      <c r="AD1145" s="58" t="str">
        <f>IF(ISBLANK(Fixtures[[#This Row],[date]]), "N/A", IF(Fixtures[[#This Row],[userSide]]="H", Fixtures[[#This Row],[homeScore]], Fixtures[[#This Row],[awayScore]]))</f>
        <v>N/A</v>
      </c>
      <c r="AE1145" s="58" t="str">
        <f>IF(ISBLANK(Fixtures[[#This Row],[date]]), "N/A", IF(Fixtures[[#This Row],[userScore]] = Fixtures[[#This Row],[homeScore]], Fixtures[[#This Row],[awayScore]], Fixtures[[#This Row],[homeScore]]))</f>
        <v>N/A</v>
      </c>
      <c r="AF1145" s="58" t="b">
        <f>NOT(AND(ISBLANK(Fixtures[[#This Row],[homePens]]), ISBLANK(Fixtures[[#This Row],[awayPens]])))</f>
        <v>0</v>
      </c>
      <c r="AG1145" s="58" t="str">
        <f>IF(Fixtures[[#This Row],[penalties]], IF(Fixtures[[#This Row],[userSide]]="H", Fixtures[[#This Row],[homePens]], Fixtures[[#This Row],[awayPens]]), "N/A")</f>
        <v>N/A</v>
      </c>
      <c r="AH1145" s="58" t="str">
        <f>IF(Fixtures[[#This Row],[penalties]], IF(Fixtures[[#This Row],[userPens]]=Fixtures[[#This Row],[homePens]],Fixtures[[#This Row],[awayPens]],Fixtures[[#This Row],[homePens]]), "N/A")</f>
        <v>N/A</v>
      </c>
      <c r="AI1145" s="58" t="b">
        <f>COUNTBLANK(Fixtures[[#This Row],[G]:[MOTM]]) = 0</f>
        <v>0</v>
      </c>
      <c r="AJ1145" s="58" t="str">
        <f>IF(Fixtures[[#This Row],[APP]], Fixtures[[#This Row],[G]]+Fixtures[[#This Row],[A]], "N/A")</f>
        <v>N/A</v>
      </c>
      <c r="AK11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6" spans="1:39" ht="13">
      <c r="A1146" s="55"/>
      <c r="B1146" s="61"/>
      <c r="C1146" s="56"/>
      <c r="D1146" s="56"/>
      <c r="E1146" s="56"/>
      <c r="F1146" s="56"/>
      <c r="G1146" s="56"/>
      <c r="H1146" s="56"/>
      <c r="I1146" s="56"/>
      <c r="J1146" s="56"/>
      <c r="K1146" s="56"/>
      <c r="L1146" s="56"/>
      <c r="M1146" s="56"/>
      <c r="N1146" s="56"/>
      <c r="O1146" s="56"/>
      <c r="P1146" s="56"/>
      <c r="Q1146" s="57"/>
      <c r="R1146" s="56"/>
      <c r="S1146" s="58" t="str" cm="1">
        <f t="array" ref="S1146">_xlfn._xlws.FILTER(Competitions[compType], (Fixtures[[#This Row],[competition]] = Competitions[name]), "N/A")</f>
        <v>N/A</v>
      </c>
      <c r="T1146" s="58" t="str" cm="1">
        <f t="array" ref="T1146">_xlfn._xlws.FILTER(Competitions[exhibition], (Fixtures[[#This Row],[competition]] = Competitions[name]), "N/A")</f>
        <v>N/A</v>
      </c>
      <c r="U1146" s="58" t="str" cm="1">
        <f t="array" ref="U1146">_xlfn._xlws.FILTER(Competitions[compID], (Fixtures[[#This Row],[competition]] = Competitions[name]), "N/A")</f>
        <v>N/A</v>
      </c>
      <c r="V11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6" s="58" t="str" cm="1">
        <f t="array" ref="W11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6" s="58" t="str" cm="1">
        <f t="array" ref="X1146">_xlfn._xlws.FILTER(Teams[name], (Fixtures[[#This Row],[userTeamID]] = Teams[teamID]), "N/A")</f>
        <v>N/A</v>
      </c>
      <c r="Y1146" s="58" t="str" cm="1">
        <f t="array" ref="Y1146">_xlfn._xlws.FILTER(Teams[teamType], (Fixtures[[#This Row],[userTeamID]] = Teams[teamID]), "N/A")</f>
        <v>N/A</v>
      </c>
      <c r="Z1146" s="58" t="str" cm="1">
        <f t="array" ref="Z11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6" s="58" t="str">
        <f>IF(Fixtures[[#This Row],[userSide]] = "N/A", "N/A", IF(Fixtures[[#This Row],[userSide]] = "H", Fixtures[[#This Row],[awayTeam]], Fixtures[[#This Row],[homeTeam]]))</f>
        <v>N/A</v>
      </c>
      <c r="AB1146" s="58" t="str" cm="1">
        <f t="array" ref="AB1146">_xlfn._xlws.FILTER(Teams[teamID], Fixtures[[#This Row],[oppTeam]] = Teams[name], "N/A")</f>
        <v>N/A</v>
      </c>
      <c r="AC1146" s="58" t="str" cm="1">
        <f t="array" ref="AC1146">_xlfn._xlws.FILTER(Teams[teamType], Fixtures[[#This Row],[oppTeam]] = Teams[name], "N/A")</f>
        <v>N/A</v>
      </c>
      <c r="AD1146" s="58" t="str">
        <f>IF(ISBLANK(Fixtures[[#This Row],[date]]), "N/A", IF(Fixtures[[#This Row],[userSide]]="H", Fixtures[[#This Row],[homeScore]], Fixtures[[#This Row],[awayScore]]))</f>
        <v>N/A</v>
      </c>
      <c r="AE1146" s="58" t="str">
        <f>IF(ISBLANK(Fixtures[[#This Row],[date]]), "N/A", IF(Fixtures[[#This Row],[userScore]] = Fixtures[[#This Row],[homeScore]], Fixtures[[#This Row],[awayScore]], Fixtures[[#This Row],[homeScore]]))</f>
        <v>N/A</v>
      </c>
      <c r="AF1146" s="58" t="b">
        <f>NOT(AND(ISBLANK(Fixtures[[#This Row],[homePens]]), ISBLANK(Fixtures[[#This Row],[awayPens]])))</f>
        <v>0</v>
      </c>
      <c r="AG1146" s="58" t="str">
        <f>IF(Fixtures[[#This Row],[penalties]], IF(Fixtures[[#This Row],[userSide]]="H", Fixtures[[#This Row],[homePens]], Fixtures[[#This Row],[awayPens]]), "N/A")</f>
        <v>N/A</v>
      </c>
      <c r="AH1146" s="58" t="str">
        <f>IF(Fixtures[[#This Row],[penalties]], IF(Fixtures[[#This Row],[userPens]]=Fixtures[[#This Row],[homePens]],Fixtures[[#This Row],[awayPens]],Fixtures[[#This Row],[homePens]]), "N/A")</f>
        <v>N/A</v>
      </c>
      <c r="AI1146" s="58" t="b">
        <f>COUNTBLANK(Fixtures[[#This Row],[G]:[MOTM]]) = 0</f>
        <v>0</v>
      </c>
      <c r="AJ1146" s="58" t="str">
        <f>IF(Fixtures[[#This Row],[APP]], Fixtures[[#This Row],[G]]+Fixtures[[#This Row],[A]], "N/A")</f>
        <v>N/A</v>
      </c>
      <c r="AK11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7" spans="1:39" ht="13">
      <c r="A1147" s="55"/>
      <c r="B1147" s="61"/>
      <c r="C1147" s="56"/>
      <c r="D1147" s="56"/>
      <c r="E1147" s="56"/>
      <c r="F1147" s="56"/>
      <c r="G1147" s="56"/>
      <c r="H1147" s="56"/>
      <c r="I1147" s="56"/>
      <c r="J1147" s="56"/>
      <c r="K1147" s="56"/>
      <c r="L1147" s="56"/>
      <c r="M1147" s="56"/>
      <c r="N1147" s="56"/>
      <c r="O1147" s="56"/>
      <c r="P1147" s="56"/>
      <c r="Q1147" s="57"/>
      <c r="R1147" s="56"/>
      <c r="S1147" s="58" t="str" cm="1">
        <f t="array" ref="S1147">_xlfn._xlws.FILTER(Competitions[compType], (Fixtures[[#This Row],[competition]] = Competitions[name]), "N/A")</f>
        <v>N/A</v>
      </c>
      <c r="T1147" s="58" t="str" cm="1">
        <f t="array" ref="T1147">_xlfn._xlws.FILTER(Competitions[exhibition], (Fixtures[[#This Row],[competition]] = Competitions[name]), "N/A")</f>
        <v>N/A</v>
      </c>
      <c r="U1147" s="58" t="str" cm="1">
        <f t="array" ref="U1147">_xlfn._xlws.FILTER(Competitions[compID], (Fixtures[[#This Row],[competition]] = Competitions[name]), "N/A")</f>
        <v>N/A</v>
      </c>
      <c r="V11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7" s="58" t="str" cm="1">
        <f t="array" ref="W11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7" s="58" t="str" cm="1">
        <f t="array" ref="X1147">_xlfn._xlws.FILTER(Teams[name], (Fixtures[[#This Row],[userTeamID]] = Teams[teamID]), "N/A")</f>
        <v>N/A</v>
      </c>
      <c r="Y1147" s="58" t="str" cm="1">
        <f t="array" ref="Y1147">_xlfn._xlws.FILTER(Teams[teamType], (Fixtures[[#This Row],[userTeamID]] = Teams[teamID]), "N/A")</f>
        <v>N/A</v>
      </c>
      <c r="Z1147" s="58" t="str" cm="1">
        <f t="array" ref="Z11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7" s="58" t="str">
        <f>IF(Fixtures[[#This Row],[userSide]] = "N/A", "N/A", IF(Fixtures[[#This Row],[userSide]] = "H", Fixtures[[#This Row],[awayTeam]], Fixtures[[#This Row],[homeTeam]]))</f>
        <v>N/A</v>
      </c>
      <c r="AB1147" s="58" t="str" cm="1">
        <f t="array" ref="AB1147">_xlfn._xlws.FILTER(Teams[teamID], Fixtures[[#This Row],[oppTeam]] = Teams[name], "N/A")</f>
        <v>N/A</v>
      </c>
      <c r="AC1147" s="58" t="str" cm="1">
        <f t="array" ref="AC1147">_xlfn._xlws.FILTER(Teams[teamType], Fixtures[[#This Row],[oppTeam]] = Teams[name], "N/A")</f>
        <v>N/A</v>
      </c>
      <c r="AD1147" s="58" t="str">
        <f>IF(ISBLANK(Fixtures[[#This Row],[date]]), "N/A", IF(Fixtures[[#This Row],[userSide]]="H", Fixtures[[#This Row],[homeScore]], Fixtures[[#This Row],[awayScore]]))</f>
        <v>N/A</v>
      </c>
      <c r="AE1147" s="58" t="str">
        <f>IF(ISBLANK(Fixtures[[#This Row],[date]]), "N/A", IF(Fixtures[[#This Row],[userScore]] = Fixtures[[#This Row],[homeScore]], Fixtures[[#This Row],[awayScore]], Fixtures[[#This Row],[homeScore]]))</f>
        <v>N/A</v>
      </c>
      <c r="AF1147" s="58" t="b">
        <f>NOT(AND(ISBLANK(Fixtures[[#This Row],[homePens]]), ISBLANK(Fixtures[[#This Row],[awayPens]])))</f>
        <v>0</v>
      </c>
      <c r="AG1147" s="58" t="str">
        <f>IF(Fixtures[[#This Row],[penalties]], IF(Fixtures[[#This Row],[userSide]]="H", Fixtures[[#This Row],[homePens]], Fixtures[[#This Row],[awayPens]]), "N/A")</f>
        <v>N/A</v>
      </c>
      <c r="AH1147" s="58" t="str">
        <f>IF(Fixtures[[#This Row],[penalties]], IF(Fixtures[[#This Row],[userPens]]=Fixtures[[#This Row],[homePens]],Fixtures[[#This Row],[awayPens]],Fixtures[[#This Row],[homePens]]), "N/A")</f>
        <v>N/A</v>
      </c>
      <c r="AI1147" s="58" t="b">
        <f>COUNTBLANK(Fixtures[[#This Row],[G]:[MOTM]]) = 0</f>
        <v>0</v>
      </c>
      <c r="AJ1147" s="58" t="str">
        <f>IF(Fixtures[[#This Row],[APP]], Fixtures[[#This Row],[G]]+Fixtures[[#This Row],[A]], "N/A")</f>
        <v>N/A</v>
      </c>
      <c r="AK11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8" spans="1:39" ht="13">
      <c r="A1148" s="55"/>
      <c r="B1148" s="61"/>
      <c r="C1148" s="56"/>
      <c r="D1148" s="56"/>
      <c r="E1148" s="56"/>
      <c r="F1148" s="56"/>
      <c r="G1148" s="56"/>
      <c r="H1148" s="56"/>
      <c r="I1148" s="56"/>
      <c r="J1148" s="56"/>
      <c r="K1148" s="56"/>
      <c r="L1148" s="56"/>
      <c r="M1148" s="56"/>
      <c r="N1148" s="56"/>
      <c r="O1148" s="56"/>
      <c r="P1148" s="56"/>
      <c r="Q1148" s="57"/>
      <c r="R1148" s="56"/>
      <c r="S1148" s="58" t="str" cm="1">
        <f t="array" ref="S1148">_xlfn._xlws.FILTER(Competitions[compType], (Fixtures[[#This Row],[competition]] = Competitions[name]), "N/A")</f>
        <v>N/A</v>
      </c>
      <c r="T1148" s="58" t="str" cm="1">
        <f t="array" ref="T1148">_xlfn._xlws.FILTER(Competitions[exhibition], (Fixtures[[#This Row],[competition]] = Competitions[name]), "N/A")</f>
        <v>N/A</v>
      </c>
      <c r="U1148" s="58" t="str" cm="1">
        <f t="array" ref="U1148">_xlfn._xlws.FILTER(Competitions[compID], (Fixtures[[#This Row],[competition]] = Competitions[name]), "N/A")</f>
        <v>N/A</v>
      </c>
      <c r="V11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8" s="58" t="str" cm="1">
        <f t="array" ref="W11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8" s="58" t="str" cm="1">
        <f t="array" ref="X1148">_xlfn._xlws.FILTER(Teams[name], (Fixtures[[#This Row],[userTeamID]] = Teams[teamID]), "N/A")</f>
        <v>N/A</v>
      </c>
      <c r="Y1148" s="58" t="str" cm="1">
        <f t="array" ref="Y1148">_xlfn._xlws.FILTER(Teams[teamType], (Fixtures[[#This Row],[userTeamID]] = Teams[teamID]), "N/A")</f>
        <v>N/A</v>
      </c>
      <c r="Z1148" s="58" t="str" cm="1">
        <f t="array" ref="Z11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8" s="58" t="str">
        <f>IF(Fixtures[[#This Row],[userSide]] = "N/A", "N/A", IF(Fixtures[[#This Row],[userSide]] = "H", Fixtures[[#This Row],[awayTeam]], Fixtures[[#This Row],[homeTeam]]))</f>
        <v>N/A</v>
      </c>
      <c r="AB1148" s="58" t="str" cm="1">
        <f t="array" ref="AB1148">_xlfn._xlws.FILTER(Teams[teamID], Fixtures[[#This Row],[oppTeam]] = Teams[name], "N/A")</f>
        <v>N/A</v>
      </c>
      <c r="AC1148" s="58" t="str" cm="1">
        <f t="array" ref="AC1148">_xlfn._xlws.FILTER(Teams[teamType], Fixtures[[#This Row],[oppTeam]] = Teams[name], "N/A")</f>
        <v>N/A</v>
      </c>
      <c r="AD1148" s="58" t="str">
        <f>IF(ISBLANK(Fixtures[[#This Row],[date]]), "N/A", IF(Fixtures[[#This Row],[userSide]]="H", Fixtures[[#This Row],[homeScore]], Fixtures[[#This Row],[awayScore]]))</f>
        <v>N/A</v>
      </c>
      <c r="AE1148" s="58" t="str">
        <f>IF(ISBLANK(Fixtures[[#This Row],[date]]), "N/A", IF(Fixtures[[#This Row],[userScore]] = Fixtures[[#This Row],[homeScore]], Fixtures[[#This Row],[awayScore]], Fixtures[[#This Row],[homeScore]]))</f>
        <v>N/A</v>
      </c>
      <c r="AF1148" s="58" t="b">
        <f>NOT(AND(ISBLANK(Fixtures[[#This Row],[homePens]]), ISBLANK(Fixtures[[#This Row],[awayPens]])))</f>
        <v>0</v>
      </c>
      <c r="AG1148" s="58" t="str">
        <f>IF(Fixtures[[#This Row],[penalties]], IF(Fixtures[[#This Row],[userSide]]="H", Fixtures[[#This Row],[homePens]], Fixtures[[#This Row],[awayPens]]), "N/A")</f>
        <v>N/A</v>
      </c>
      <c r="AH1148" s="58" t="str">
        <f>IF(Fixtures[[#This Row],[penalties]], IF(Fixtures[[#This Row],[userPens]]=Fixtures[[#This Row],[homePens]],Fixtures[[#This Row],[awayPens]],Fixtures[[#This Row],[homePens]]), "N/A")</f>
        <v>N/A</v>
      </c>
      <c r="AI1148" s="58" t="b">
        <f>COUNTBLANK(Fixtures[[#This Row],[G]:[MOTM]]) = 0</f>
        <v>0</v>
      </c>
      <c r="AJ1148" s="58" t="str">
        <f>IF(Fixtures[[#This Row],[APP]], Fixtures[[#This Row],[G]]+Fixtures[[#This Row],[A]], "N/A")</f>
        <v>N/A</v>
      </c>
      <c r="AK11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49" spans="1:39" ht="13">
      <c r="A1149" s="55"/>
      <c r="B1149" s="61"/>
      <c r="C1149" s="56"/>
      <c r="D1149" s="56"/>
      <c r="E1149" s="56"/>
      <c r="F1149" s="56"/>
      <c r="G1149" s="56"/>
      <c r="H1149" s="56"/>
      <c r="I1149" s="56"/>
      <c r="J1149" s="56"/>
      <c r="K1149" s="56"/>
      <c r="L1149" s="56"/>
      <c r="M1149" s="56"/>
      <c r="N1149" s="56"/>
      <c r="O1149" s="56"/>
      <c r="P1149" s="56"/>
      <c r="Q1149" s="57"/>
      <c r="R1149" s="56"/>
      <c r="S1149" s="58" t="str" cm="1">
        <f t="array" ref="S1149">_xlfn._xlws.FILTER(Competitions[compType], (Fixtures[[#This Row],[competition]] = Competitions[name]), "N/A")</f>
        <v>N/A</v>
      </c>
      <c r="T1149" s="58" t="str" cm="1">
        <f t="array" ref="T1149">_xlfn._xlws.FILTER(Competitions[exhibition], (Fixtures[[#This Row],[competition]] = Competitions[name]), "N/A")</f>
        <v>N/A</v>
      </c>
      <c r="U1149" s="58" t="str" cm="1">
        <f t="array" ref="U1149">_xlfn._xlws.FILTER(Competitions[compID], (Fixtures[[#This Row],[competition]] = Competitions[name]), "N/A")</f>
        <v>N/A</v>
      </c>
      <c r="V11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49" s="58" t="str" cm="1">
        <f t="array" ref="W11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49" s="58" t="str" cm="1">
        <f t="array" ref="X1149">_xlfn._xlws.FILTER(Teams[name], (Fixtures[[#This Row],[userTeamID]] = Teams[teamID]), "N/A")</f>
        <v>N/A</v>
      </c>
      <c r="Y1149" s="58" t="str" cm="1">
        <f t="array" ref="Y1149">_xlfn._xlws.FILTER(Teams[teamType], (Fixtures[[#This Row],[userTeamID]] = Teams[teamID]), "N/A")</f>
        <v>N/A</v>
      </c>
      <c r="Z1149" s="58" t="str" cm="1">
        <f t="array" ref="Z11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49" s="58" t="str">
        <f>IF(Fixtures[[#This Row],[userSide]] = "N/A", "N/A", IF(Fixtures[[#This Row],[userSide]] = "H", Fixtures[[#This Row],[awayTeam]], Fixtures[[#This Row],[homeTeam]]))</f>
        <v>N/A</v>
      </c>
      <c r="AB1149" s="58" t="str" cm="1">
        <f t="array" ref="AB1149">_xlfn._xlws.FILTER(Teams[teamID], Fixtures[[#This Row],[oppTeam]] = Teams[name], "N/A")</f>
        <v>N/A</v>
      </c>
      <c r="AC1149" s="58" t="str" cm="1">
        <f t="array" ref="AC1149">_xlfn._xlws.FILTER(Teams[teamType], Fixtures[[#This Row],[oppTeam]] = Teams[name], "N/A")</f>
        <v>N/A</v>
      </c>
      <c r="AD1149" s="58" t="str">
        <f>IF(ISBLANK(Fixtures[[#This Row],[date]]), "N/A", IF(Fixtures[[#This Row],[userSide]]="H", Fixtures[[#This Row],[homeScore]], Fixtures[[#This Row],[awayScore]]))</f>
        <v>N/A</v>
      </c>
      <c r="AE1149" s="58" t="str">
        <f>IF(ISBLANK(Fixtures[[#This Row],[date]]), "N/A", IF(Fixtures[[#This Row],[userScore]] = Fixtures[[#This Row],[homeScore]], Fixtures[[#This Row],[awayScore]], Fixtures[[#This Row],[homeScore]]))</f>
        <v>N/A</v>
      </c>
      <c r="AF1149" s="58" t="b">
        <f>NOT(AND(ISBLANK(Fixtures[[#This Row],[homePens]]), ISBLANK(Fixtures[[#This Row],[awayPens]])))</f>
        <v>0</v>
      </c>
      <c r="AG1149" s="58" t="str">
        <f>IF(Fixtures[[#This Row],[penalties]], IF(Fixtures[[#This Row],[userSide]]="H", Fixtures[[#This Row],[homePens]], Fixtures[[#This Row],[awayPens]]), "N/A")</f>
        <v>N/A</v>
      </c>
      <c r="AH1149" s="58" t="str">
        <f>IF(Fixtures[[#This Row],[penalties]], IF(Fixtures[[#This Row],[userPens]]=Fixtures[[#This Row],[homePens]],Fixtures[[#This Row],[awayPens]],Fixtures[[#This Row],[homePens]]), "N/A")</f>
        <v>N/A</v>
      </c>
      <c r="AI1149" s="58" t="b">
        <f>COUNTBLANK(Fixtures[[#This Row],[G]:[MOTM]]) = 0</f>
        <v>0</v>
      </c>
      <c r="AJ1149" s="58" t="str">
        <f>IF(Fixtures[[#This Row],[APP]], Fixtures[[#This Row],[G]]+Fixtures[[#This Row],[A]], "N/A")</f>
        <v>N/A</v>
      </c>
      <c r="AK11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0" spans="1:39" ht="13">
      <c r="A1150" s="55"/>
      <c r="B1150" s="61"/>
      <c r="C1150" s="56"/>
      <c r="D1150" s="56"/>
      <c r="E1150" s="56"/>
      <c r="F1150" s="56"/>
      <c r="G1150" s="56"/>
      <c r="H1150" s="56"/>
      <c r="I1150" s="56"/>
      <c r="J1150" s="56"/>
      <c r="K1150" s="56"/>
      <c r="L1150" s="56"/>
      <c r="M1150" s="56"/>
      <c r="N1150" s="56"/>
      <c r="O1150" s="56"/>
      <c r="P1150" s="56"/>
      <c r="Q1150" s="57"/>
      <c r="R1150" s="56"/>
      <c r="S1150" s="58" t="str" cm="1">
        <f t="array" ref="S1150">_xlfn._xlws.FILTER(Competitions[compType], (Fixtures[[#This Row],[competition]] = Competitions[name]), "N/A")</f>
        <v>N/A</v>
      </c>
      <c r="T1150" s="58" t="str" cm="1">
        <f t="array" ref="T1150">_xlfn._xlws.FILTER(Competitions[exhibition], (Fixtures[[#This Row],[competition]] = Competitions[name]), "N/A")</f>
        <v>N/A</v>
      </c>
      <c r="U1150" s="58" t="str" cm="1">
        <f t="array" ref="U1150">_xlfn._xlws.FILTER(Competitions[compID], (Fixtures[[#This Row],[competition]] = Competitions[name]), "N/A")</f>
        <v>N/A</v>
      </c>
      <c r="V11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0" s="58" t="str" cm="1">
        <f t="array" ref="W11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0" s="58" t="str" cm="1">
        <f t="array" ref="X1150">_xlfn._xlws.FILTER(Teams[name], (Fixtures[[#This Row],[userTeamID]] = Teams[teamID]), "N/A")</f>
        <v>N/A</v>
      </c>
      <c r="Y1150" s="58" t="str" cm="1">
        <f t="array" ref="Y1150">_xlfn._xlws.FILTER(Teams[teamType], (Fixtures[[#This Row],[userTeamID]] = Teams[teamID]), "N/A")</f>
        <v>N/A</v>
      </c>
      <c r="Z1150" s="58" t="str" cm="1">
        <f t="array" ref="Z11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0" s="58" t="str">
        <f>IF(Fixtures[[#This Row],[userSide]] = "N/A", "N/A", IF(Fixtures[[#This Row],[userSide]] = "H", Fixtures[[#This Row],[awayTeam]], Fixtures[[#This Row],[homeTeam]]))</f>
        <v>N/A</v>
      </c>
      <c r="AB1150" s="58" t="str" cm="1">
        <f t="array" ref="AB1150">_xlfn._xlws.FILTER(Teams[teamID], Fixtures[[#This Row],[oppTeam]] = Teams[name], "N/A")</f>
        <v>N/A</v>
      </c>
      <c r="AC1150" s="58" t="str" cm="1">
        <f t="array" ref="AC1150">_xlfn._xlws.FILTER(Teams[teamType], Fixtures[[#This Row],[oppTeam]] = Teams[name], "N/A")</f>
        <v>N/A</v>
      </c>
      <c r="AD1150" s="58" t="str">
        <f>IF(ISBLANK(Fixtures[[#This Row],[date]]), "N/A", IF(Fixtures[[#This Row],[userSide]]="H", Fixtures[[#This Row],[homeScore]], Fixtures[[#This Row],[awayScore]]))</f>
        <v>N/A</v>
      </c>
      <c r="AE1150" s="58" t="str">
        <f>IF(ISBLANK(Fixtures[[#This Row],[date]]), "N/A", IF(Fixtures[[#This Row],[userScore]] = Fixtures[[#This Row],[homeScore]], Fixtures[[#This Row],[awayScore]], Fixtures[[#This Row],[homeScore]]))</f>
        <v>N/A</v>
      </c>
      <c r="AF1150" s="58" t="b">
        <f>NOT(AND(ISBLANK(Fixtures[[#This Row],[homePens]]), ISBLANK(Fixtures[[#This Row],[awayPens]])))</f>
        <v>0</v>
      </c>
      <c r="AG1150" s="58" t="str">
        <f>IF(Fixtures[[#This Row],[penalties]], IF(Fixtures[[#This Row],[userSide]]="H", Fixtures[[#This Row],[homePens]], Fixtures[[#This Row],[awayPens]]), "N/A")</f>
        <v>N/A</v>
      </c>
      <c r="AH1150" s="58" t="str">
        <f>IF(Fixtures[[#This Row],[penalties]], IF(Fixtures[[#This Row],[userPens]]=Fixtures[[#This Row],[homePens]],Fixtures[[#This Row],[awayPens]],Fixtures[[#This Row],[homePens]]), "N/A")</f>
        <v>N/A</v>
      </c>
      <c r="AI1150" s="58" t="b">
        <f>COUNTBLANK(Fixtures[[#This Row],[G]:[MOTM]]) = 0</f>
        <v>0</v>
      </c>
      <c r="AJ1150" s="58" t="str">
        <f>IF(Fixtures[[#This Row],[APP]], Fixtures[[#This Row],[G]]+Fixtures[[#This Row],[A]], "N/A")</f>
        <v>N/A</v>
      </c>
      <c r="AK11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1" spans="1:39" ht="13">
      <c r="A1151" s="55"/>
      <c r="B1151" s="61"/>
      <c r="C1151" s="56"/>
      <c r="D1151" s="56"/>
      <c r="E1151" s="56"/>
      <c r="F1151" s="56"/>
      <c r="G1151" s="56"/>
      <c r="H1151" s="56"/>
      <c r="I1151" s="56"/>
      <c r="J1151" s="56"/>
      <c r="K1151" s="56"/>
      <c r="L1151" s="56"/>
      <c r="M1151" s="56"/>
      <c r="N1151" s="56"/>
      <c r="O1151" s="56"/>
      <c r="P1151" s="56"/>
      <c r="Q1151" s="57"/>
      <c r="R1151" s="56"/>
      <c r="S1151" s="58" t="str" cm="1">
        <f t="array" ref="S1151">_xlfn._xlws.FILTER(Competitions[compType], (Fixtures[[#This Row],[competition]] = Competitions[name]), "N/A")</f>
        <v>N/A</v>
      </c>
      <c r="T1151" s="58" t="str" cm="1">
        <f t="array" ref="T1151">_xlfn._xlws.FILTER(Competitions[exhibition], (Fixtures[[#This Row],[competition]] = Competitions[name]), "N/A")</f>
        <v>N/A</v>
      </c>
      <c r="U1151" s="58" t="str" cm="1">
        <f t="array" ref="U1151">_xlfn._xlws.FILTER(Competitions[compID], (Fixtures[[#This Row],[competition]] = Competitions[name]), "N/A")</f>
        <v>N/A</v>
      </c>
      <c r="V115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1" s="58" t="str" cm="1">
        <f t="array" ref="W115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1" s="58" t="str" cm="1">
        <f t="array" ref="X1151">_xlfn._xlws.FILTER(Teams[name], (Fixtures[[#This Row],[userTeamID]] = Teams[teamID]), "N/A")</f>
        <v>N/A</v>
      </c>
      <c r="Y1151" s="58" t="str" cm="1">
        <f t="array" ref="Y1151">_xlfn._xlws.FILTER(Teams[teamType], (Fixtures[[#This Row],[userTeamID]] = Teams[teamID]), "N/A")</f>
        <v>N/A</v>
      </c>
      <c r="Z1151" s="58" t="str" cm="1">
        <f t="array" ref="Z115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1" s="58" t="str">
        <f>IF(Fixtures[[#This Row],[userSide]] = "N/A", "N/A", IF(Fixtures[[#This Row],[userSide]] = "H", Fixtures[[#This Row],[awayTeam]], Fixtures[[#This Row],[homeTeam]]))</f>
        <v>N/A</v>
      </c>
      <c r="AB1151" s="58" t="str" cm="1">
        <f t="array" ref="AB1151">_xlfn._xlws.FILTER(Teams[teamID], Fixtures[[#This Row],[oppTeam]] = Teams[name], "N/A")</f>
        <v>N/A</v>
      </c>
      <c r="AC1151" s="58" t="str" cm="1">
        <f t="array" ref="AC1151">_xlfn._xlws.FILTER(Teams[teamType], Fixtures[[#This Row],[oppTeam]] = Teams[name], "N/A")</f>
        <v>N/A</v>
      </c>
      <c r="AD1151" s="58" t="str">
        <f>IF(ISBLANK(Fixtures[[#This Row],[date]]), "N/A", IF(Fixtures[[#This Row],[userSide]]="H", Fixtures[[#This Row],[homeScore]], Fixtures[[#This Row],[awayScore]]))</f>
        <v>N/A</v>
      </c>
      <c r="AE1151" s="58" t="str">
        <f>IF(ISBLANK(Fixtures[[#This Row],[date]]), "N/A", IF(Fixtures[[#This Row],[userScore]] = Fixtures[[#This Row],[homeScore]], Fixtures[[#This Row],[awayScore]], Fixtures[[#This Row],[homeScore]]))</f>
        <v>N/A</v>
      </c>
      <c r="AF1151" s="58" t="b">
        <f>NOT(AND(ISBLANK(Fixtures[[#This Row],[homePens]]), ISBLANK(Fixtures[[#This Row],[awayPens]])))</f>
        <v>0</v>
      </c>
      <c r="AG1151" s="58" t="str">
        <f>IF(Fixtures[[#This Row],[penalties]], IF(Fixtures[[#This Row],[userSide]]="H", Fixtures[[#This Row],[homePens]], Fixtures[[#This Row],[awayPens]]), "N/A")</f>
        <v>N/A</v>
      </c>
      <c r="AH1151" s="58" t="str">
        <f>IF(Fixtures[[#This Row],[penalties]], IF(Fixtures[[#This Row],[userPens]]=Fixtures[[#This Row],[homePens]],Fixtures[[#This Row],[awayPens]],Fixtures[[#This Row],[homePens]]), "N/A")</f>
        <v>N/A</v>
      </c>
      <c r="AI1151" s="58" t="b">
        <f>COUNTBLANK(Fixtures[[#This Row],[G]:[MOTM]]) = 0</f>
        <v>0</v>
      </c>
      <c r="AJ1151" s="58" t="str">
        <f>IF(Fixtures[[#This Row],[APP]], Fixtures[[#This Row],[G]]+Fixtures[[#This Row],[A]], "N/A")</f>
        <v>N/A</v>
      </c>
      <c r="AK115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2" spans="1:39" ht="13">
      <c r="A1152" s="55"/>
      <c r="B1152" s="61"/>
      <c r="C1152" s="56"/>
      <c r="D1152" s="56"/>
      <c r="E1152" s="56"/>
      <c r="F1152" s="56"/>
      <c r="G1152" s="56"/>
      <c r="H1152" s="56"/>
      <c r="I1152" s="56"/>
      <c r="J1152" s="56"/>
      <c r="K1152" s="56"/>
      <c r="L1152" s="56"/>
      <c r="M1152" s="56"/>
      <c r="N1152" s="56"/>
      <c r="O1152" s="56"/>
      <c r="P1152" s="56"/>
      <c r="Q1152" s="57"/>
      <c r="R1152" s="56"/>
      <c r="S1152" s="58" t="str" cm="1">
        <f t="array" ref="S1152">_xlfn._xlws.FILTER(Competitions[compType], (Fixtures[[#This Row],[competition]] = Competitions[name]), "N/A")</f>
        <v>N/A</v>
      </c>
      <c r="T1152" s="58" t="str" cm="1">
        <f t="array" ref="T1152">_xlfn._xlws.FILTER(Competitions[exhibition], (Fixtures[[#This Row],[competition]] = Competitions[name]), "N/A")</f>
        <v>N/A</v>
      </c>
      <c r="U1152" s="58" t="str" cm="1">
        <f t="array" ref="U1152">_xlfn._xlws.FILTER(Competitions[compID], (Fixtures[[#This Row],[competition]] = Competitions[name]), "N/A")</f>
        <v>N/A</v>
      </c>
      <c r="V115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2" s="58" t="str" cm="1">
        <f t="array" ref="W115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2" s="58" t="str" cm="1">
        <f t="array" ref="X1152">_xlfn._xlws.FILTER(Teams[name], (Fixtures[[#This Row],[userTeamID]] = Teams[teamID]), "N/A")</f>
        <v>N/A</v>
      </c>
      <c r="Y1152" s="58" t="str" cm="1">
        <f t="array" ref="Y1152">_xlfn._xlws.FILTER(Teams[teamType], (Fixtures[[#This Row],[userTeamID]] = Teams[teamID]), "N/A")</f>
        <v>N/A</v>
      </c>
      <c r="Z1152" s="58" t="str" cm="1">
        <f t="array" ref="Z115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2" s="58" t="str">
        <f>IF(Fixtures[[#This Row],[userSide]] = "N/A", "N/A", IF(Fixtures[[#This Row],[userSide]] = "H", Fixtures[[#This Row],[awayTeam]], Fixtures[[#This Row],[homeTeam]]))</f>
        <v>N/A</v>
      </c>
      <c r="AB1152" s="58" t="str" cm="1">
        <f t="array" ref="AB1152">_xlfn._xlws.FILTER(Teams[teamID], Fixtures[[#This Row],[oppTeam]] = Teams[name], "N/A")</f>
        <v>N/A</v>
      </c>
      <c r="AC1152" s="58" t="str" cm="1">
        <f t="array" ref="AC1152">_xlfn._xlws.FILTER(Teams[teamType], Fixtures[[#This Row],[oppTeam]] = Teams[name], "N/A")</f>
        <v>N/A</v>
      </c>
      <c r="AD1152" s="58" t="str">
        <f>IF(ISBLANK(Fixtures[[#This Row],[date]]), "N/A", IF(Fixtures[[#This Row],[userSide]]="H", Fixtures[[#This Row],[homeScore]], Fixtures[[#This Row],[awayScore]]))</f>
        <v>N/A</v>
      </c>
      <c r="AE1152" s="58" t="str">
        <f>IF(ISBLANK(Fixtures[[#This Row],[date]]), "N/A", IF(Fixtures[[#This Row],[userScore]] = Fixtures[[#This Row],[homeScore]], Fixtures[[#This Row],[awayScore]], Fixtures[[#This Row],[homeScore]]))</f>
        <v>N/A</v>
      </c>
      <c r="AF1152" s="58" t="b">
        <f>NOT(AND(ISBLANK(Fixtures[[#This Row],[homePens]]), ISBLANK(Fixtures[[#This Row],[awayPens]])))</f>
        <v>0</v>
      </c>
      <c r="AG1152" s="58" t="str">
        <f>IF(Fixtures[[#This Row],[penalties]], IF(Fixtures[[#This Row],[userSide]]="H", Fixtures[[#This Row],[homePens]], Fixtures[[#This Row],[awayPens]]), "N/A")</f>
        <v>N/A</v>
      </c>
      <c r="AH1152" s="58" t="str">
        <f>IF(Fixtures[[#This Row],[penalties]], IF(Fixtures[[#This Row],[userPens]]=Fixtures[[#This Row],[homePens]],Fixtures[[#This Row],[awayPens]],Fixtures[[#This Row],[homePens]]), "N/A")</f>
        <v>N/A</v>
      </c>
      <c r="AI1152" s="58" t="b">
        <f>COUNTBLANK(Fixtures[[#This Row],[G]:[MOTM]]) = 0</f>
        <v>0</v>
      </c>
      <c r="AJ1152" s="58" t="str">
        <f>IF(Fixtures[[#This Row],[APP]], Fixtures[[#This Row],[G]]+Fixtures[[#This Row],[A]], "N/A")</f>
        <v>N/A</v>
      </c>
      <c r="AK115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3" spans="1:39" ht="13">
      <c r="A1153" s="55"/>
      <c r="B1153" s="61"/>
      <c r="C1153" s="56"/>
      <c r="D1153" s="56"/>
      <c r="E1153" s="56"/>
      <c r="F1153" s="56"/>
      <c r="G1153" s="56"/>
      <c r="H1153" s="56"/>
      <c r="I1153" s="56"/>
      <c r="J1153" s="56"/>
      <c r="K1153" s="56"/>
      <c r="L1153" s="56"/>
      <c r="M1153" s="56"/>
      <c r="N1153" s="56"/>
      <c r="O1153" s="56"/>
      <c r="P1153" s="56"/>
      <c r="Q1153" s="57"/>
      <c r="R1153" s="56"/>
      <c r="S1153" s="58" t="str" cm="1">
        <f t="array" ref="S1153">_xlfn._xlws.FILTER(Competitions[compType], (Fixtures[[#This Row],[competition]] = Competitions[name]), "N/A")</f>
        <v>N/A</v>
      </c>
      <c r="T1153" s="58" t="str" cm="1">
        <f t="array" ref="T1153">_xlfn._xlws.FILTER(Competitions[exhibition], (Fixtures[[#This Row],[competition]] = Competitions[name]), "N/A")</f>
        <v>N/A</v>
      </c>
      <c r="U1153" s="58" t="str" cm="1">
        <f t="array" ref="U1153">_xlfn._xlws.FILTER(Competitions[compID], (Fixtures[[#This Row],[competition]] = Competitions[name]), "N/A")</f>
        <v>N/A</v>
      </c>
      <c r="V115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3" s="58" t="str" cm="1">
        <f t="array" ref="W115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3" s="58" t="str" cm="1">
        <f t="array" ref="X1153">_xlfn._xlws.FILTER(Teams[name], (Fixtures[[#This Row],[userTeamID]] = Teams[teamID]), "N/A")</f>
        <v>N/A</v>
      </c>
      <c r="Y1153" s="58" t="str" cm="1">
        <f t="array" ref="Y1153">_xlfn._xlws.FILTER(Teams[teamType], (Fixtures[[#This Row],[userTeamID]] = Teams[teamID]), "N/A")</f>
        <v>N/A</v>
      </c>
      <c r="Z1153" s="58" t="str" cm="1">
        <f t="array" ref="Z115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3" s="58" t="str">
        <f>IF(Fixtures[[#This Row],[userSide]] = "N/A", "N/A", IF(Fixtures[[#This Row],[userSide]] = "H", Fixtures[[#This Row],[awayTeam]], Fixtures[[#This Row],[homeTeam]]))</f>
        <v>N/A</v>
      </c>
      <c r="AB1153" s="58" t="str" cm="1">
        <f t="array" ref="AB1153">_xlfn._xlws.FILTER(Teams[teamID], Fixtures[[#This Row],[oppTeam]] = Teams[name], "N/A")</f>
        <v>N/A</v>
      </c>
      <c r="AC1153" s="58" t="str" cm="1">
        <f t="array" ref="AC1153">_xlfn._xlws.FILTER(Teams[teamType], Fixtures[[#This Row],[oppTeam]] = Teams[name], "N/A")</f>
        <v>N/A</v>
      </c>
      <c r="AD1153" s="58" t="str">
        <f>IF(ISBLANK(Fixtures[[#This Row],[date]]), "N/A", IF(Fixtures[[#This Row],[userSide]]="H", Fixtures[[#This Row],[homeScore]], Fixtures[[#This Row],[awayScore]]))</f>
        <v>N/A</v>
      </c>
      <c r="AE1153" s="58" t="str">
        <f>IF(ISBLANK(Fixtures[[#This Row],[date]]), "N/A", IF(Fixtures[[#This Row],[userScore]] = Fixtures[[#This Row],[homeScore]], Fixtures[[#This Row],[awayScore]], Fixtures[[#This Row],[homeScore]]))</f>
        <v>N/A</v>
      </c>
      <c r="AF1153" s="58" t="b">
        <f>NOT(AND(ISBLANK(Fixtures[[#This Row],[homePens]]), ISBLANK(Fixtures[[#This Row],[awayPens]])))</f>
        <v>0</v>
      </c>
      <c r="AG1153" s="58" t="str">
        <f>IF(Fixtures[[#This Row],[penalties]], IF(Fixtures[[#This Row],[userSide]]="H", Fixtures[[#This Row],[homePens]], Fixtures[[#This Row],[awayPens]]), "N/A")</f>
        <v>N/A</v>
      </c>
      <c r="AH1153" s="58" t="str">
        <f>IF(Fixtures[[#This Row],[penalties]], IF(Fixtures[[#This Row],[userPens]]=Fixtures[[#This Row],[homePens]],Fixtures[[#This Row],[awayPens]],Fixtures[[#This Row],[homePens]]), "N/A")</f>
        <v>N/A</v>
      </c>
      <c r="AI1153" s="58" t="b">
        <f>COUNTBLANK(Fixtures[[#This Row],[G]:[MOTM]]) = 0</f>
        <v>0</v>
      </c>
      <c r="AJ1153" s="58" t="str">
        <f>IF(Fixtures[[#This Row],[APP]], Fixtures[[#This Row],[G]]+Fixtures[[#This Row],[A]], "N/A")</f>
        <v>N/A</v>
      </c>
      <c r="AK115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4" spans="1:39" ht="13">
      <c r="A1154" s="55"/>
      <c r="B1154" s="61"/>
      <c r="C1154" s="56"/>
      <c r="D1154" s="56"/>
      <c r="E1154" s="56"/>
      <c r="F1154" s="56"/>
      <c r="G1154" s="56"/>
      <c r="H1154" s="56"/>
      <c r="I1154" s="56"/>
      <c r="J1154" s="56"/>
      <c r="K1154" s="56"/>
      <c r="L1154" s="56"/>
      <c r="M1154" s="56"/>
      <c r="N1154" s="56"/>
      <c r="O1154" s="56"/>
      <c r="P1154" s="56"/>
      <c r="Q1154" s="57"/>
      <c r="R1154" s="56"/>
      <c r="S1154" s="58" t="str" cm="1">
        <f t="array" ref="S1154">_xlfn._xlws.FILTER(Competitions[compType], (Fixtures[[#This Row],[competition]] = Competitions[name]), "N/A")</f>
        <v>N/A</v>
      </c>
      <c r="T1154" s="58" t="str" cm="1">
        <f t="array" ref="T1154">_xlfn._xlws.FILTER(Competitions[exhibition], (Fixtures[[#This Row],[competition]] = Competitions[name]), "N/A")</f>
        <v>N/A</v>
      </c>
      <c r="U1154" s="58" t="str" cm="1">
        <f t="array" ref="U1154">_xlfn._xlws.FILTER(Competitions[compID], (Fixtures[[#This Row],[competition]] = Competitions[name]), "N/A")</f>
        <v>N/A</v>
      </c>
      <c r="V115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4" s="58" t="str" cm="1">
        <f t="array" ref="W115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4" s="58" t="str" cm="1">
        <f t="array" ref="X1154">_xlfn._xlws.FILTER(Teams[name], (Fixtures[[#This Row],[userTeamID]] = Teams[teamID]), "N/A")</f>
        <v>N/A</v>
      </c>
      <c r="Y1154" s="58" t="str" cm="1">
        <f t="array" ref="Y1154">_xlfn._xlws.FILTER(Teams[teamType], (Fixtures[[#This Row],[userTeamID]] = Teams[teamID]), "N/A")</f>
        <v>N/A</v>
      </c>
      <c r="Z1154" s="58" t="str" cm="1">
        <f t="array" ref="Z115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4" s="58" t="str">
        <f>IF(Fixtures[[#This Row],[userSide]] = "N/A", "N/A", IF(Fixtures[[#This Row],[userSide]] = "H", Fixtures[[#This Row],[awayTeam]], Fixtures[[#This Row],[homeTeam]]))</f>
        <v>N/A</v>
      </c>
      <c r="AB1154" s="58" t="str" cm="1">
        <f t="array" ref="AB1154">_xlfn._xlws.FILTER(Teams[teamID], Fixtures[[#This Row],[oppTeam]] = Teams[name], "N/A")</f>
        <v>N/A</v>
      </c>
      <c r="AC1154" s="58" t="str" cm="1">
        <f t="array" ref="AC1154">_xlfn._xlws.FILTER(Teams[teamType], Fixtures[[#This Row],[oppTeam]] = Teams[name], "N/A")</f>
        <v>N/A</v>
      </c>
      <c r="AD1154" s="58" t="str">
        <f>IF(ISBLANK(Fixtures[[#This Row],[date]]), "N/A", IF(Fixtures[[#This Row],[userSide]]="H", Fixtures[[#This Row],[homeScore]], Fixtures[[#This Row],[awayScore]]))</f>
        <v>N/A</v>
      </c>
      <c r="AE1154" s="58" t="str">
        <f>IF(ISBLANK(Fixtures[[#This Row],[date]]), "N/A", IF(Fixtures[[#This Row],[userScore]] = Fixtures[[#This Row],[homeScore]], Fixtures[[#This Row],[awayScore]], Fixtures[[#This Row],[homeScore]]))</f>
        <v>N/A</v>
      </c>
      <c r="AF1154" s="58" t="b">
        <f>NOT(AND(ISBLANK(Fixtures[[#This Row],[homePens]]), ISBLANK(Fixtures[[#This Row],[awayPens]])))</f>
        <v>0</v>
      </c>
      <c r="AG1154" s="58" t="str">
        <f>IF(Fixtures[[#This Row],[penalties]], IF(Fixtures[[#This Row],[userSide]]="H", Fixtures[[#This Row],[homePens]], Fixtures[[#This Row],[awayPens]]), "N/A")</f>
        <v>N/A</v>
      </c>
      <c r="AH1154" s="58" t="str">
        <f>IF(Fixtures[[#This Row],[penalties]], IF(Fixtures[[#This Row],[userPens]]=Fixtures[[#This Row],[homePens]],Fixtures[[#This Row],[awayPens]],Fixtures[[#This Row],[homePens]]), "N/A")</f>
        <v>N/A</v>
      </c>
      <c r="AI1154" s="58" t="b">
        <f>COUNTBLANK(Fixtures[[#This Row],[G]:[MOTM]]) = 0</f>
        <v>0</v>
      </c>
      <c r="AJ1154" s="58" t="str">
        <f>IF(Fixtures[[#This Row],[APP]], Fixtures[[#This Row],[G]]+Fixtures[[#This Row],[A]], "N/A")</f>
        <v>N/A</v>
      </c>
      <c r="AK115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5" spans="1:39" ht="13">
      <c r="A1155" s="55"/>
      <c r="B1155" s="61"/>
      <c r="C1155" s="56"/>
      <c r="D1155" s="56"/>
      <c r="E1155" s="56"/>
      <c r="F1155" s="56"/>
      <c r="G1155" s="56"/>
      <c r="H1155" s="56"/>
      <c r="I1155" s="56"/>
      <c r="J1155" s="56"/>
      <c r="K1155" s="56"/>
      <c r="L1155" s="56"/>
      <c r="M1155" s="56"/>
      <c r="N1155" s="56"/>
      <c r="O1155" s="56"/>
      <c r="P1155" s="56"/>
      <c r="Q1155" s="57"/>
      <c r="R1155" s="56"/>
      <c r="S1155" s="58" t="str" cm="1">
        <f t="array" ref="S1155">_xlfn._xlws.FILTER(Competitions[compType], (Fixtures[[#This Row],[competition]] = Competitions[name]), "N/A")</f>
        <v>N/A</v>
      </c>
      <c r="T1155" s="58" t="str" cm="1">
        <f t="array" ref="T1155">_xlfn._xlws.FILTER(Competitions[exhibition], (Fixtures[[#This Row],[competition]] = Competitions[name]), "N/A")</f>
        <v>N/A</v>
      </c>
      <c r="U1155" s="58" t="str" cm="1">
        <f t="array" ref="U1155">_xlfn._xlws.FILTER(Competitions[compID], (Fixtures[[#This Row],[competition]] = Competitions[name]), "N/A")</f>
        <v>N/A</v>
      </c>
      <c r="V115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5" s="58" t="str" cm="1">
        <f t="array" ref="W115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5" s="58" t="str" cm="1">
        <f t="array" ref="X1155">_xlfn._xlws.FILTER(Teams[name], (Fixtures[[#This Row],[userTeamID]] = Teams[teamID]), "N/A")</f>
        <v>N/A</v>
      </c>
      <c r="Y1155" s="58" t="str" cm="1">
        <f t="array" ref="Y1155">_xlfn._xlws.FILTER(Teams[teamType], (Fixtures[[#This Row],[userTeamID]] = Teams[teamID]), "N/A")</f>
        <v>N/A</v>
      </c>
      <c r="Z1155" s="58" t="str" cm="1">
        <f t="array" ref="Z115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5" s="58" t="str">
        <f>IF(Fixtures[[#This Row],[userSide]] = "N/A", "N/A", IF(Fixtures[[#This Row],[userSide]] = "H", Fixtures[[#This Row],[awayTeam]], Fixtures[[#This Row],[homeTeam]]))</f>
        <v>N/A</v>
      </c>
      <c r="AB1155" s="58" t="str" cm="1">
        <f t="array" ref="AB1155">_xlfn._xlws.FILTER(Teams[teamID], Fixtures[[#This Row],[oppTeam]] = Teams[name], "N/A")</f>
        <v>N/A</v>
      </c>
      <c r="AC1155" s="58" t="str" cm="1">
        <f t="array" ref="AC1155">_xlfn._xlws.FILTER(Teams[teamType], Fixtures[[#This Row],[oppTeam]] = Teams[name], "N/A")</f>
        <v>N/A</v>
      </c>
      <c r="AD1155" s="58" t="str">
        <f>IF(ISBLANK(Fixtures[[#This Row],[date]]), "N/A", IF(Fixtures[[#This Row],[userSide]]="H", Fixtures[[#This Row],[homeScore]], Fixtures[[#This Row],[awayScore]]))</f>
        <v>N/A</v>
      </c>
      <c r="AE1155" s="58" t="str">
        <f>IF(ISBLANK(Fixtures[[#This Row],[date]]), "N/A", IF(Fixtures[[#This Row],[userScore]] = Fixtures[[#This Row],[homeScore]], Fixtures[[#This Row],[awayScore]], Fixtures[[#This Row],[homeScore]]))</f>
        <v>N/A</v>
      </c>
      <c r="AF1155" s="58" t="b">
        <f>NOT(AND(ISBLANK(Fixtures[[#This Row],[homePens]]), ISBLANK(Fixtures[[#This Row],[awayPens]])))</f>
        <v>0</v>
      </c>
      <c r="AG1155" s="58" t="str">
        <f>IF(Fixtures[[#This Row],[penalties]], IF(Fixtures[[#This Row],[userSide]]="H", Fixtures[[#This Row],[homePens]], Fixtures[[#This Row],[awayPens]]), "N/A")</f>
        <v>N/A</v>
      </c>
      <c r="AH1155" s="58" t="str">
        <f>IF(Fixtures[[#This Row],[penalties]], IF(Fixtures[[#This Row],[userPens]]=Fixtures[[#This Row],[homePens]],Fixtures[[#This Row],[awayPens]],Fixtures[[#This Row],[homePens]]), "N/A")</f>
        <v>N/A</v>
      </c>
      <c r="AI1155" s="58" t="b">
        <f>COUNTBLANK(Fixtures[[#This Row],[G]:[MOTM]]) = 0</f>
        <v>0</v>
      </c>
      <c r="AJ1155" s="58" t="str">
        <f>IF(Fixtures[[#This Row],[APP]], Fixtures[[#This Row],[G]]+Fixtures[[#This Row],[A]], "N/A")</f>
        <v>N/A</v>
      </c>
      <c r="AK115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6" spans="1:39" ht="13">
      <c r="A1156" s="55"/>
      <c r="B1156" s="61"/>
      <c r="C1156" s="56"/>
      <c r="D1156" s="56"/>
      <c r="E1156" s="56"/>
      <c r="F1156" s="56"/>
      <c r="G1156" s="56"/>
      <c r="H1156" s="56"/>
      <c r="I1156" s="56"/>
      <c r="J1156" s="56"/>
      <c r="K1156" s="56"/>
      <c r="L1156" s="56"/>
      <c r="M1156" s="56"/>
      <c r="N1156" s="56"/>
      <c r="O1156" s="56"/>
      <c r="P1156" s="56"/>
      <c r="Q1156" s="57"/>
      <c r="R1156" s="56"/>
      <c r="S1156" s="58" t="str" cm="1">
        <f t="array" ref="S1156">_xlfn._xlws.FILTER(Competitions[compType], (Fixtures[[#This Row],[competition]] = Competitions[name]), "N/A")</f>
        <v>N/A</v>
      </c>
      <c r="T1156" s="58" t="str" cm="1">
        <f t="array" ref="T1156">_xlfn._xlws.FILTER(Competitions[exhibition], (Fixtures[[#This Row],[competition]] = Competitions[name]), "N/A")</f>
        <v>N/A</v>
      </c>
      <c r="U1156" s="58" t="str" cm="1">
        <f t="array" ref="U1156">_xlfn._xlws.FILTER(Competitions[compID], (Fixtures[[#This Row],[competition]] = Competitions[name]), "N/A")</f>
        <v>N/A</v>
      </c>
      <c r="V115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6" s="58" t="str" cm="1">
        <f t="array" ref="W115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6" s="58" t="str" cm="1">
        <f t="array" ref="X1156">_xlfn._xlws.FILTER(Teams[name], (Fixtures[[#This Row],[userTeamID]] = Teams[teamID]), "N/A")</f>
        <v>N/A</v>
      </c>
      <c r="Y1156" s="58" t="str" cm="1">
        <f t="array" ref="Y1156">_xlfn._xlws.FILTER(Teams[teamType], (Fixtures[[#This Row],[userTeamID]] = Teams[teamID]), "N/A")</f>
        <v>N/A</v>
      </c>
      <c r="Z1156" s="58" t="str" cm="1">
        <f t="array" ref="Z115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6" s="58" t="str">
        <f>IF(Fixtures[[#This Row],[userSide]] = "N/A", "N/A", IF(Fixtures[[#This Row],[userSide]] = "H", Fixtures[[#This Row],[awayTeam]], Fixtures[[#This Row],[homeTeam]]))</f>
        <v>N/A</v>
      </c>
      <c r="AB1156" s="58" t="str" cm="1">
        <f t="array" ref="AB1156">_xlfn._xlws.FILTER(Teams[teamID], Fixtures[[#This Row],[oppTeam]] = Teams[name], "N/A")</f>
        <v>N/A</v>
      </c>
      <c r="AC1156" s="58" t="str" cm="1">
        <f t="array" ref="AC1156">_xlfn._xlws.FILTER(Teams[teamType], Fixtures[[#This Row],[oppTeam]] = Teams[name], "N/A")</f>
        <v>N/A</v>
      </c>
      <c r="AD1156" s="58" t="str">
        <f>IF(ISBLANK(Fixtures[[#This Row],[date]]), "N/A", IF(Fixtures[[#This Row],[userSide]]="H", Fixtures[[#This Row],[homeScore]], Fixtures[[#This Row],[awayScore]]))</f>
        <v>N/A</v>
      </c>
      <c r="AE1156" s="58" t="str">
        <f>IF(ISBLANK(Fixtures[[#This Row],[date]]), "N/A", IF(Fixtures[[#This Row],[userScore]] = Fixtures[[#This Row],[homeScore]], Fixtures[[#This Row],[awayScore]], Fixtures[[#This Row],[homeScore]]))</f>
        <v>N/A</v>
      </c>
      <c r="AF1156" s="58" t="b">
        <f>NOT(AND(ISBLANK(Fixtures[[#This Row],[homePens]]), ISBLANK(Fixtures[[#This Row],[awayPens]])))</f>
        <v>0</v>
      </c>
      <c r="AG1156" s="58" t="str">
        <f>IF(Fixtures[[#This Row],[penalties]], IF(Fixtures[[#This Row],[userSide]]="H", Fixtures[[#This Row],[homePens]], Fixtures[[#This Row],[awayPens]]), "N/A")</f>
        <v>N/A</v>
      </c>
      <c r="AH1156" s="58" t="str">
        <f>IF(Fixtures[[#This Row],[penalties]], IF(Fixtures[[#This Row],[userPens]]=Fixtures[[#This Row],[homePens]],Fixtures[[#This Row],[awayPens]],Fixtures[[#This Row],[homePens]]), "N/A")</f>
        <v>N/A</v>
      </c>
      <c r="AI1156" s="58" t="b">
        <f>COUNTBLANK(Fixtures[[#This Row],[G]:[MOTM]]) = 0</f>
        <v>0</v>
      </c>
      <c r="AJ1156" s="58" t="str">
        <f>IF(Fixtures[[#This Row],[APP]], Fixtures[[#This Row],[G]]+Fixtures[[#This Row],[A]], "N/A")</f>
        <v>N/A</v>
      </c>
      <c r="AK115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7" spans="1:39" ht="13">
      <c r="A1157" s="55"/>
      <c r="B1157" s="61"/>
      <c r="C1157" s="56"/>
      <c r="D1157" s="56"/>
      <c r="E1157" s="56"/>
      <c r="F1157" s="56"/>
      <c r="G1157" s="56"/>
      <c r="H1157" s="56"/>
      <c r="I1157" s="56"/>
      <c r="J1157" s="56"/>
      <c r="K1157" s="56"/>
      <c r="L1157" s="56"/>
      <c r="M1157" s="56"/>
      <c r="N1157" s="56"/>
      <c r="O1157" s="56"/>
      <c r="P1157" s="56"/>
      <c r="Q1157" s="57"/>
      <c r="R1157" s="56"/>
      <c r="S1157" s="58" t="str" cm="1">
        <f t="array" ref="S1157">_xlfn._xlws.FILTER(Competitions[compType], (Fixtures[[#This Row],[competition]] = Competitions[name]), "N/A")</f>
        <v>N/A</v>
      </c>
      <c r="T1157" s="58" t="str" cm="1">
        <f t="array" ref="T1157">_xlfn._xlws.FILTER(Competitions[exhibition], (Fixtures[[#This Row],[competition]] = Competitions[name]), "N/A")</f>
        <v>N/A</v>
      </c>
      <c r="U1157" s="58" t="str" cm="1">
        <f t="array" ref="U1157">_xlfn._xlws.FILTER(Competitions[compID], (Fixtures[[#This Row],[competition]] = Competitions[name]), "N/A")</f>
        <v>N/A</v>
      </c>
      <c r="V115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7" s="58" t="str" cm="1">
        <f t="array" ref="W115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7" s="58" t="str" cm="1">
        <f t="array" ref="X1157">_xlfn._xlws.FILTER(Teams[name], (Fixtures[[#This Row],[userTeamID]] = Teams[teamID]), "N/A")</f>
        <v>N/A</v>
      </c>
      <c r="Y1157" s="58" t="str" cm="1">
        <f t="array" ref="Y1157">_xlfn._xlws.FILTER(Teams[teamType], (Fixtures[[#This Row],[userTeamID]] = Teams[teamID]), "N/A")</f>
        <v>N/A</v>
      </c>
      <c r="Z1157" s="58" t="str" cm="1">
        <f t="array" ref="Z115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7" s="58" t="str">
        <f>IF(Fixtures[[#This Row],[userSide]] = "N/A", "N/A", IF(Fixtures[[#This Row],[userSide]] = "H", Fixtures[[#This Row],[awayTeam]], Fixtures[[#This Row],[homeTeam]]))</f>
        <v>N/A</v>
      </c>
      <c r="AB1157" s="58" t="str" cm="1">
        <f t="array" ref="AB1157">_xlfn._xlws.FILTER(Teams[teamID], Fixtures[[#This Row],[oppTeam]] = Teams[name], "N/A")</f>
        <v>N/A</v>
      </c>
      <c r="AC1157" s="58" t="str" cm="1">
        <f t="array" ref="AC1157">_xlfn._xlws.FILTER(Teams[teamType], Fixtures[[#This Row],[oppTeam]] = Teams[name], "N/A")</f>
        <v>N/A</v>
      </c>
      <c r="AD1157" s="58" t="str">
        <f>IF(ISBLANK(Fixtures[[#This Row],[date]]), "N/A", IF(Fixtures[[#This Row],[userSide]]="H", Fixtures[[#This Row],[homeScore]], Fixtures[[#This Row],[awayScore]]))</f>
        <v>N/A</v>
      </c>
      <c r="AE1157" s="58" t="str">
        <f>IF(ISBLANK(Fixtures[[#This Row],[date]]), "N/A", IF(Fixtures[[#This Row],[userScore]] = Fixtures[[#This Row],[homeScore]], Fixtures[[#This Row],[awayScore]], Fixtures[[#This Row],[homeScore]]))</f>
        <v>N/A</v>
      </c>
      <c r="AF1157" s="58" t="b">
        <f>NOT(AND(ISBLANK(Fixtures[[#This Row],[homePens]]), ISBLANK(Fixtures[[#This Row],[awayPens]])))</f>
        <v>0</v>
      </c>
      <c r="AG1157" s="58" t="str">
        <f>IF(Fixtures[[#This Row],[penalties]], IF(Fixtures[[#This Row],[userSide]]="H", Fixtures[[#This Row],[homePens]], Fixtures[[#This Row],[awayPens]]), "N/A")</f>
        <v>N/A</v>
      </c>
      <c r="AH1157" s="58" t="str">
        <f>IF(Fixtures[[#This Row],[penalties]], IF(Fixtures[[#This Row],[userPens]]=Fixtures[[#This Row],[homePens]],Fixtures[[#This Row],[awayPens]],Fixtures[[#This Row],[homePens]]), "N/A")</f>
        <v>N/A</v>
      </c>
      <c r="AI1157" s="58" t="b">
        <f>COUNTBLANK(Fixtures[[#This Row],[G]:[MOTM]]) = 0</f>
        <v>0</v>
      </c>
      <c r="AJ1157" s="58" t="str">
        <f>IF(Fixtures[[#This Row],[APP]], Fixtures[[#This Row],[G]]+Fixtures[[#This Row],[A]], "N/A")</f>
        <v>N/A</v>
      </c>
      <c r="AK115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8" spans="1:39" ht="13">
      <c r="A1158" s="55"/>
      <c r="B1158" s="61"/>
      <c r="C1158" s="56"/>
      <c r="D1158" s="56"/>
      <c r="E1158" s="56"/>
      <c r="F1158" s="56"/>
      <c r="G1158" s="56"/>
      <c r="H1158" s="56"/>
      <c r="I1158" s="56"/>
      <c r="J1158" s="56"/>
      <c r="K1158" s="56"/>
      <c r="L1158" s="56"/>
      <c r="M1158" s="56"/>
      <c r="N1158" s="56"/>
      <c r="O1158" s="56"/>
      <c r="P1158" s="56"/>
      <c r="Q1158" s="57"/>
      <c r="R1158" s="56"/>
      <c r="S1158" s="58" t="str" cm="1">
        <f t="array" ref="S1158">_xlfn._xlws.FILTER(Competitions[compType], (Fixtures[[#This Row],[competition]] = Competitions[name]), "N/A")</f>
        <v>N/A</v>
      </c>
      <c r="T1158" s="58" t="str" cm="1">
        <f t="array" ref="T1158">_xlfn._xlws.FILTER(Competitions[exhibition], (Fixtures[[#This Row],[competition]] = Competitions[name]), "N/A")</f>
        <v>N/A</v>
      </c>
      <c r="U1158" s="58" t="str" cm="1">
        <f t="array" ref="U1158">_xlfn._xlws.FILTER(Competitions[compID], (Fixtures[[#This Row],[competition]] = Competitions[name]), "N/A")</f>
        <v>N/A</v>
      </c>
      <c r="V115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8" s="58" t="str" cm="1">
        <f t="array" ref="W115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8" s="58" t="str" cm="1">
        <f t="array" ref="X1158">_xlfn._xlws.FILTER(Teams[name], (Fixtures[[#This Row],[userTeamID]] = Teams[teamID]), "N/A")</f>
        <v>N/A</v>
      </c>
      <c r="Y1158" s="58" t="str" cm="1">
        <f t="array" ref="Y1158">_xlfn._xlws.FILTER(Teams[teamType], (Fixtures[[#This Row],[userTeamID]] = Teams[teamID]), "N/A")</f>
        <v>N/A</v>
      </c>
      <c r="Z1158" s="58" t="str" cm="1">
        <f t="array" ref="Z115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8" s="58" t="str">
        <f>IF(Fixtures[[#This Row],[userSide]] = "N/A", "N/A", IF(Fixtures[[#This Row],[userSide]] = "H", Fixtures[[#This Row],[awayTeam]], Fixtures[[#This Row],[homeTeam]]))</f>
        <v>N/A</v>
      </c>
      <c r="AB1158" s="58" t="str" cm="1">
        <f t="array" ref="AB1158">_xlfn._xlws.FILTER(Teams[teamID], Fixtures[[#This Row],[oppTeam]] = Teams[name], "N/A")</f>
        <v>N/A</v>
      </c>
      <c r="AC1158" s="58" t="str" cm="1">
        <f t="array" ref="AC1158">_xlfn._xlws.FILTER(Teams[teamType], Fixtures[[#This Row],[oppTeam]] = Teams[name], "N/A")</f>
        <v>N/A</v>
      </c>
      <c r="AD1158" s="58" t="str">
        <f>IF(ISBLANK(Fixtures[[#This Row],[date]]), "N/A", IF(Fixtures[[#This Row],[userSide]]="H", Fixtures[[#This Row],[homeScore]], Fixtures[[#This Row],[awayScore]]))</f>
        <v>N/A</v>
      </c>
      <c r="AE1158" s="58" t="str">
        <f>IF(ISBLANK(Fixtures[[#This Row],[date]]), "N/A", IF(Fixtures[[#This Row],[userScore]] = Fixtures[[#This Row],[homeScore]], Fixtures[[#This Row],[awayScore]], Fixtures[[#This Row],[homeScore]]))</f>
        <v>N/A</v>
      </c>
      <c r="AF1158" s="58" t="b">
        <f>NOT(AND(ISBLANK(Fixtures[[#This Row],[homePens]]), ISBLANK(Fixtures[[#This Row],[awayPens]])))</f>
        <v>0</v>
      </c>
      <c r="AG1158" s="58" t="str">
        <f>IF(Fixtures[[#This Row],[penalties]], IF(Fixtures[[#This Row],[userSide]]="H", Fixtures[[#This Row],[homePens]], Fixtures[[#This Row],[awayPens]]), "N/A")</f>
        <v>N/A</v>
      </c>
      <c r="AH1158" s="58" t="str">
        <f>IF(Fixtures[[#This Row],[penalties]], IF(Fixtures[[#This Row],[userPens]]=Fixtures[[#This Row],[homePens]],Fixtures[[#This Row],[awayPens]],Fixtures[[#This Row],[homePens]]), "N/A")</f>
        <v>N/A</v>
      </c>
      <c r="AI1158" s="58" t="b">
        <f>COUNTBLANK(Fixtures[[#This Row],[G]:[MOTM]]) = 0</f>
        <v>0</v>
      </c>
      <c r="AJ1158" s="58" t="str">
        <f>IF(Fixtures[[#This Row],[APP]], Fixtures[[#This Row],[G]]+Fixtures[[#This Row],[A]], "N/A")</f>
        <v>N/A</v>
      </c>
      <c r="AK115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59" spans="1:39" ht="13">
      <c r="A1159" s="55"/>
      <c r="B1159" s="61"/>
      <c r="C1159" s="56"/>
      <c r="D1159" s="56"/>
      <c r="E1159" s="56"/>
      <c r="F1159" s="56"/>
      <c r="G1159" s="56"/>
      <c r="H1159" s="56"/>
      <c r="I1159" s="56"/>
      <c r="J1159" s="56"/>
      <c r="K1159" s="56"/>
      <c r="L1159" s="56"/>
      <c r="M1159" s="56"/>
      <c r="N1159" s="56"/>
      <c r="O1159" s="56"/>
      <c r="P1159" s="56"/>
      <c r="Q1159" s="57"/>
      <c r="R1159" s="56"/>
      <c r="S1159" s="58" t="str" cm="1">
        <f t="array" ref="S1159">_xlfn._xlws.FILTER(Competitions[compType], (Fixtures[[#This Row],[competition]] = Competitions[name]), "N/A")</f>
        <v>N/A</v>
      </c>
      <c r="T1159" s="58" t="str" cm="1">
        <f t="array" ref="T1159">_xlfn._xlws.FILTER(Competitions[exhibition], (Fixtures[[#This Row],[competition]] = Competitions[name]), "N/A")</f>
        <v>N/A</v>
      </c>
      <c r="U1159" s="58" t="str" cm="1">
        <f t="array" ref="U1159">_xlfn._xlws.FILTER(Competitions[compID], (Fixtures[[#This Row],[competition]] = Competitions[name]), "N/A")</f>
        <v>N/A</v>
      </c>
      <c r="V115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59" s="58" t="str" cm="1">
        <f t="array" ref="W115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59" s="58" t="str" cm="1">
        <f t="array" ref="X1159">_xlfn._xlws.FILTER(Teams[name], (Fixtures[[#This Row],[userTeamID]] = Teams[teamID]), "N/A")</f>
        <v>N/A</v>
      </c>
      <c r="Y1159" s="58" t="str" cm="1">
        <f t="array" ref="Y1159">_xlfn._xlws.FILTER(Teams[teamType], (Fixtures[[#This Row],[userTeamID]] = Teams[teamID]), "N/A")</f>
        <v>N/A</v>
      </c>
      <c r="Z1159" s="58" t="str" cm="1">
        <f t="array" ref="Z115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59" s="58" t="str">
        <f>IF(Fixtures[[#This Row],[userSide]] = "N/A", "N/A", IF(Fixtures[[#This Row],[userSide]] = "H", Fixtures[[#This Row],[awayTeam]], Fixtures[[#This Row],[homeTeam]]))</f>
        <v>N/A</v>
      </c>
      <c r="AB1159" s="58" t="str" cm="1">
        <f t="array" ref="AB1159">_xlfn._xlws.FILTER(Teams[teamID], Fixtures[[#This Row],[oppTeam]] = Teams[name], "N/A")</f>
        <v>N/A</v>
      </c>
      <c r="AC1159" s="58" t="str" cm="1">
        <f t="array" ref="AC1159">_xlfn._xlws.FILTER(Teams[teamType], Fixtures[[#This Row],[oppTeam]] = Teams[name], "N/A")</f>
        <v>N/A</v>
      </c>
      <c r="AD1159" s="58" t="str">
        <f>IF(ISBLANK(Fixtures[[#This Row],[date]]), "N/A", IF(Fixtures[[#This Row],[userSide]]="H", Fixtures[[#This Row],[homeScore]], Fixtures[[#This Row],[awayScore]]))</f>
        <v>N/A</v>
      </c>
      <c r="AE1159" s="58" t="str">
        <f>IF(ISBLANK(Fixtures[[#This Row],[date]]), "N/A", IF(Fixtures[[#This Row],[userScore]] = Fixtures[[#This Row],[homeScore]], Fixtures[[#This Row],[awayScore]], Fixtures[[#This Row],[homeScore]]))</f>
        <v>N/A</v>
      </c>
      <c r="AF1159" s="58" t="b">
        <f>NOT(AND(ISBLANK(Fixtures[[#This Row],[homePens]]), ISBLANK(Fixtures[[#This Row],[awayPens]])))</f>
        <v>0</v>
      </c>
      <c r="AG1159" s="58" t="str">
        <f>IF(Fixtures[[#This Row],[penalties]], IF(Fixtures[[#This Row],[userSide]]="H", Fixtures[[#This Row],[homePens]], Fixtures[[#This Row],[awayPens]]), "N/A")</f>
        <v>N/A</v>
      </c>
      <c r="AH1159" s="58" t="str">
        <f>IF(Fixtures[[#This Row],[penalties]], IF(Fixtures[[#This Row],[userPens]]=Fixtures[[#This Row],[homePens]],Fixtures[[#This Row],[awayPens]],Fixtures[[#This Row],[homePens]]), "N/A")</f>
        <v>N/A</v>
      </c>
      <c r="AI1159" s="58" t="b">
        <f>COUNTBLANK(Fixtures[[#This Row],[G]:[MOTM]]) = 0</f>
        <v>0</v>
      </c>
      <c r="AJ1159" s="58" t="str">
        <f>IF(Fixtures[[#This Row],[APP]], Fixtures[[#This Row],[G]]+Fixtures[[#This Row],[A]], "N/A")</f>
        <v>N/A</v>
      </c>
      <c r="AK115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5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5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0" spans="1:39" ht="13">
      <c r="A1160" s="55"/>
      <c r="B1160" s="61"/>
      <c r="C1160" s="56"/>
      <c r="D1160" s="56"/>
      <c r="E1160" s="56"/>
      <c r="F1160" s="56"/>
      <c r="G1160" s="56"/>
      <c r="H1160" s="56"/>
      <c r="I1160" s="56"/>
      <c r="J1160" s="56"/>
      <c r="K1160" s="56"/>
      <c r="L1160" s="56"/>
      <c r="M1160" s="56"/>
      <c r="N1160" s="56"/>
      <c r="O1160" s="56"/>
      <c r="P1160" s="56"/>
      <c r="Q1160" s="57"/>
      <c r="R1160" s="56"/>
      <c r="S1160" s="58" t="str" cm="1">
        <f t="array" ref="S1160">_xlfn._xlws.FILTER(Competitions[compType], (Fixtures[[#This Row],[competition]] = Competitions[name]), "N/A")</f>
        <v>N/A</v>
      </c>
      <c r="T1160" s="58" t="str" cm="1">
        <f t="array" ref="T1160">_xlfn._xlws.FILTER(Competitions[exhibition], (Fixtures[[#This Row],[competition]] = Competitions[name]), "N/A")</f>
        <v>N/A</v>
      </c>
      <c r="U1160" s="58" t="str" cm="1">
        <f t="array" ref="U1160">_xlfn._xlws.FILTER(Competitions[compID], (Fixtures[[#This Row],[competition]] = Competitions[name]), "N/A")</f>
        <v>N/A</v>
      </c>
      <c r="V116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0" s="58" t="str" cm="1">
        <f t="array" ref="W116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0" s="58" t="str" cm="1">
        <f t="array" ref="X1160">_xlfn._xlws.FILTER(Teams[name], (Fixtures[[#This Row],[userTeamID]] = Teams[teamID]), "N/A")</f>
        <v>N/A</v>
      </c>
      <c r="Y1160" s="58" t="str" cm="1">
        <f t="array" ref="Y1160">_xlfn._xlws.FILTER(Teams[teamType], (Fixtures[[#This Row],[userTeamID]] = Teams[teamID]), "N/A")</f>
        <v>N/A</v>
      </c>
      <c r="Z1160" s="58" t="str" cm="1">
        <f t="array" ref="Z116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0" s="58" t="str">
        <f>IF(Fixtures[[#This Row],[userSide]] = "N/A", "N/A", IF(Fixtures[[#This Row],[userSide]] = "H", Fixtures[[#This Row],[awayTeam]], Fixtures[[#This Row],[homeTeam]]))</f>
        <v>N/A</v>
      </c>
      <c r="AB1160" s="58" t="str" cm="1">
        <f t="array" ref="AB1160">_xlfn._xlws.FILTER(Teams[teamID], Fixtures[[#This Row],[oppTeam]] = Teams[name], "N/A")</f>
        <v>N/A</v>
      </c>
      <c r="AC1160" s="58" t="str" cm="1">
        <f t="array" ref="AC1160">_xlfn._xlws.FILTER(Teams[teamType], Fixtures[[#This Row],[oppTeam]] = Teams[name], "N/A")</f>
        <v>N/A</v>
      </c>
      <c r="AD1160" s="58" t="str">
        <f>IF(ISBLANK(Fixtures[[#This Row],[date]]), "N/A", IF(Fixtures[[#This Row],[userSide]]="H", Fixtures[[#This Row],[homeScore]], Fixtures[[#This Row],[awayScore]]))</f>
        <v>N/A</v>
      </c>
      <c r="AE1160" s="58" t="str">
        <f>IF(ISBLANK(Fixtures[[#This Row],[date]]), "N/A", IF(Fixtures[[#This Row],[userScore]] = Fixtures[[#This Row],[homeScore]], Fixtures[[#This Row],[awayScore]], Fixtures[[#This Row],[homeScore]]))</f>
        <v>N/A</v>
      </c>
      <c r="AF1160" s="58" t="b">
        <f>NOT(AND(ISBLANK(Fixtures[[#This Row],[homePens]]), ISBLANK(Fixtures[[#This Row],[awayPens]])))</f>
        <v>0</v>
      </c>
      <c r="AG1160" s="58" t="str">
        <f>IF(Fixtures[[#This Row],[penalties]], IF(Fixtures[[#This Row],[userSide]]="H", Fixtures[[#This Row],[homePens]], Fixtures[[#This Row],[awayPens]]), "N/A")</f>
        <v>N/A</v>
      </c>
      <c r="AH1160" s="58" t="str">
        <f>IF(Fixtures[[#This Row],[penalties]], IF(Fixtures[[#This Row],[userPens]]=Fixtures[[#This Row],[homePens]],Fixtures[[#This Row],[awayPens]],Fixtures[[#This Row],[homePens]]), "N/A")</f>
        <v>N/A</v>
      </c>
      <c r="AI1160" s="58" t="b">
        <f>COUNTBLANK(Fixtures[[#This Row],[G]:[MOTM]]) = 0</f>
        <v>0</v>
      </c>
      <c r="AJ1160" s="58" t="str">
        <f>IF(Fixtures[[#This Row],[APP]], Fixtures[[#This Row],[G]]+Fixtures[[#This Row],[A]], "N/A")</f>
        <v>N/A</v>
      </c>
      <c r="AK116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1" spans="1:39" ht="13">
      <c r="A1161" s="55"/>
      <c r="B1161" s="61"/>
      <c r="C1161" s="56"/>
      <c r="D1161" s="56"/>
      <c r="E1161" s="56"/>
      <c r="F1161" s="56"/>
      <c r="G1161" s="56"/>
      <c r="H1161" s="56"/>
      <c r="I1161" s="56"/>
      <c r="J1161" s="56"/>
      <c r="K1161" s="56"/>
      <c r="L1161" s="56"/>
      <c r="M1161" s="56"/>
      <c r="N1161" s="56"/>
      <c r="O1161" s="56"/>
      <c r="P1161" s="56"/>
      <c r="Q1161" s="57"/>
      <c r="R1161" s="56"/>
      <c r="S1161" s="58" t="str" cm="1">
        <f t="array" ref="S1161">_xlfn._xlws.FILTER(Competitions[compType], (Fixtures[[#This Row],[competition]] = Competitions[name]), "N/A")</f>
        <v>N/A</v>
      </c>
      <c r="T1161" s="58" t="str" cm="1">
        <f t="array" ref="T1161">_xlfn._xlws.FILTER(Competitions[exhibition], (Fixtures[[#This Row],[competition]] = Competitions[name]), "N/A")</f>
        <v>N/A</v>
      </c>
      <c r="U1161" s="58" t="str" cm="1">
        <f t="array" ref="U1161">_xlfn._xlws.FILTER(Competitions[compID], (Fixtures[[#This Row],[competition]] = Competitions[name]), "N/A")</f>
        <v>N/A</v>
      </c>
      <c r="V116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1" s="58" t="str" cm="1">
        <f t="array" ref="W116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1" s="58" t="str" cm="1">
        <f t="array" ref="X1161">_xlfn._xlws.FILTER(Teams[name], (Fixtures[[#This Row],[userTeamID]] = Teams[teamID]), "N/A")</f>
        <v>N/A</v>
      </c>
      <c r="Y1161" s="58" t="str" cm="1">
        <f t="array" ref="Y1161">_xlfn._xlws.FILTER(Teams[teamType], (Fixtures[[#This Row],[userTeamID]] = Teams[teamID]), "N/A")</f>
        <v>N/A</v>
      </c>
      <c r="Z1161" s="58" t="str" cm="1">
        <f t="array" ref="Z116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1" s="58" t="str">
        <f>IF(Fixtures[[#This Row],[userSide]] = "N/A", "N/A", IF(Fixtures[[#This Row],[userSide]] = "H", Fixtures[[#This Row],[awayTeam]], Fixtures[[#This Row],[homeTeam]]))</f>
        <v>N/A</v>
      </c>
      <c r="AB1161" s="58" t="str" cm="1">
        <f t="array" ref="AB1161">_xlfn._xlws.FILTER(Teams[teamID], Fixtures[[#This Row],[oppTeam]] = Teams[name], "N/A")</f>
        <v>N/A</v>
      </c>
      <c r="AC1161" s="58" t="str" cm="1">
        <f t="array" ref="AC1161">_xlfn._xlws.FILTER(Teams[teamType], Fixtures[[#This Row],[oppTeam]] = Teams[name], "N/A")</f>
        <v>N/A</v>
      </c>
      <c r="AD1161" s="58" t="str">
        <f>IF(ISBLANK(Fixtures[[#This Row],[date]]), "N/A", IF(Fixtures[[#This Row],[userSide]]="H", Fixtures[[#This Row],[homeScore]], Fixtures[[#This Row],[awayScore]]))</f>
        <v>N/A</v>
      </c>
      <c r="AE1161" s="58" t="str">
        <f>IF(ISBLANK(Fixtures[[#This Row],[date]]), "N/A", IF(Fixtures[[#This Row],[userScore]] = Fixtures[[#This Row],[homeScore]], Fixtures[[#This Row],[awayScore]], Fixtures[[#This Row],[homeScore]]))</f>
        <v>N/A</v>
      </c>
      <c r="AF1161" s="58" t="b">
        <f>NOT(AND(ISBLANK(Fixtures[[#This Row],[homePens]]), ISBLANK(Fixtures[[#This Row],[awayPens]])))</f>
        <v>0</v>
      </c>
      <c r="AG1161" s="58" t="str">
        <f>IF(Fixtures[[#This Row],[penalties]], IF(Fixtures[[#This Row],[userSide]]="H", Fixtures[[#This Row],[homePens]], Fixtures[[#This Row],[awayPens]]), "N/A")</f>
        <v>N/A</v>
      </c>
      <c r="AH1161" s="58" t="str">
        <f>IF(Fixtures[[#This Row],[penalties]], IF(Fixtures[[#This Row],[userPens]]=Fixtures[[#This Row],[homePens]],Fixtures[[#This Row],[awayPens]],Fixtures[[#This Row],[homePens]]), "N/A")</f>
        <v>N/A</v>
      </c>
      <c r="AI1161" s="58" t="b">
        <f>COUNTBLANK(Fixtures[[#This Row],[G]:[MOTM]]) = 0</f>
        <v>0</v>
      </c>
      <c r="AJ1161" s="58" t="str">
        <f>IF(Fixtures[[#This Row],[APP]], Fixtures[[#This Row],[G]]+Fixtures[[#This Row],[A]], "N/A")</f>
        <v>N/A</v>
      </c>
      <c r="AK116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2" spans="1:39" ht="13">
      <c r="A1162" s="55"/>
      <c r="B1162" s="61"/>
      <c r="C1162" s="56"/>
      <c r="D1162" s="56"/>
      <c r="E1162" s="56"/>
      <c r="F1162" s="56"/>
      <c r="G1162" s="56"/>
      <c r="H1162" s="56"/>
      <c r="I1162" s="56"/>
      <c r="J1162" s="56"/>
      <c r="K1162" s="56"/>
      <c r="L1162" s="56"/>
      <c r="M1162" s="56"/>
      <c r="N1162" s="56"/>
      <c r="O1162" s="56"/>
      <c r="P1162" s="56"/>
      <c r="Q1162" s="57"/>
      <c r="R1162" s="56"/>
      <c r="S1162" s="58" t="str" cm="1">
        <f t="array" ref="S1162">_xlfn._xlws.FILTER(Competitions[compType], (Fixtures[[#This Row],[competition]] = Competitions[name]), "N/A")</f>
        <v>N/A</v>
      </c>
      <c r="T1162" s="58" t="str" cm="1">
        <f t="array" ref="T1162">_xlfn._xlws.FILTER(Competitions[exhibition], (Fixtures[[#This Row],[competition]] = Competitions[name]), "N/A")</f>
        <v>N/A</v>
      </c>
      <c r="U1162" s="58" t="str" cm="1">
        <f t="array" ref="U1162">_xlfn._xlws.FILTER(Competitions[compID], (Fixtures[[#This Row],[competition]] = Competitions[name]), "N/A")</f>
        <v>N/A</v>
      </c>
      <c r="V116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2" s="58" t="str" cm="1">
        <f t="array" ref="W116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2" s="58" t="str" cm="1">
        <f t="array" ref="X1162">_xlfn._xlws.FILTER(Teams[name], (Fixtures[[#This Row],[userTeamID]] = Teams[teamID]), "N/A")</f>
        <v>N/A</v>
      </c>
      <c r="Y1162" s="58" t="str" cm="1">
        <f t="array" ref="Y1162">_xlfn._xlws.FILTER(Teams[teamType], (Fixtures[[#This Row],[userTeamID]] = Teams[teamID]), "N/A")</f>
        <v>N/A</v>
      </c>
      <c r="Z1162" s="58" t="str" cm="1">
        <f t="array" ref="Z116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2" s="58" t="str">
        <f>IF(Fixtures[[#This Row],[userSide]] = "N/A", "N/A", IF(Fixtures[[#This Row],[userSide]] = "H", Fixtures[[#This Row],[awayTeam]], Fixtures[[#This Row],[homeTeam]]))</f>
        <v>N/A</v>
      </c>
      <c r="AB1162" s="58" t="str" cm="1">
        <f t="array" ref="AB1162">_xlfn._xlws.FILTER(Teams[teamID], Fixtures[[#This Row],[oppTeam]] = Teams[name], "N/A")</f>
        <v>N/A</v>
      </c>
      <c r="AC1162" s="58" t="str" cm="1">
        <f t="array" ref="AC1162">_xlfn._xlws.FILTER(Teams[teamType], Fixtures[[#This Row],[oppTeam]] = Teams[name], "N/A")</f>
        <v>N/A</v>
      </c>
      <c r="AD1162" s="58" t="str">
        <f>IF(ISBLANK(Fixtures[[#This Row],[date]]), "N/A", IF(Fixtures[[#This Row],[userSide]]="H", Fixtures[[#This Row],[homeScore]], Fixtures[[#This Row],[awayScore]]))</f>
        <v>N/A</v>
      </c>
      <c r="AE1162" s="58" t="str">
        <f>IF(ISBLANK(Fixtures[[#This Row],[date]]), "N/A", IF(Fixtures[[#This Row],[userScore]] = Fixtures[[#This Row],[homeScore]], Fixtures[[#This Row],[awayScore]], Fixtures[[#This Row],[homeScore]]))</f>
        <v>N/A</v>
      </c>
      <c r="AF1162" s="58" t="b">
        <f>NOT(AND(ISBLANK(Fixtures[[#This Row],[homePens]]), ISBLANK(Fixtures[[#This Row],[awayPens]])))</f>
        <v>0</v>
      </c>
      <c r="AG1162" s="58" t="str">
        <f>IF(Fixtures[[#This Row],[penalties]], IF(Fixtures[[#This Row],[userSide]]="H", Fixtures[[#This Row],[homePens]], Fixtures[[#This Row],[awayPens]]), "N/A")</f>
        <v>N/A</v>
      </c>
      <c r="AH1162" s="58" t="str">
        <f>IF(Fixtures[[#This Row],[penalties]], IF(Fixtures[[#This Row],[userPens]]=Fixtures[[#This Row],[homePens]],Fixtures[[#This Row],[awayPens]],Fixtures[[#This Row],[homePens]]), "N/A")</f>
        <v>N/A</v>
      </c>
      <c r="AI1162" s="58" t="b">
        <f>COUNTBLANK(Fixtures[[#This Row],[G]:[MOTM]]) = 0</f>
        <v>0</v>
      </c>
      <c r="AJ1162" s="58" t="str">
        <f>IF(Fixtures[[#This Row],[APP]], Fixtures[[#This Row],[G]]+Fixtures[[#This Row],[A]], "N/A")</f>
        <v>N/A</v>
      </c>
      <c r="AK116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3" spans="1:39" ht="13">
      <c r="A1163" s="55"/>
      <c r="B1163" s="61"/>
      <c r="C1163" s="56"/>
      <c r="D1163" s="56"/>
      <c r="E1163" s="56"/>
      <c r="F1163" s="56"/>
      <c r="G1163" s="56"/>
      <c r="H1163" s="56"/>
      <c r="I1163" s="56"/>
      <c r="J1163" s="56"/>
      <c r="K1163" s="56"/>
      <c r="L1163" s="56"/>
      <c r="M1163" s="56"/>
      <c r="N1163" s="56"/>
      <c r="O1163" s="56"/>
      <c r="P1163" s="56"/>
      <c r="Q1163" s="57"/>
      <c r="R1163" s="56"/>
      <c r="S1163" s="58" t="str" cm="1">
        <f t="array" ref="S1163">_xlfn._xlws.FILTER(Competitions[compType], (Fixtures[[#This Row],[competition]] = Competitions[name]), "N/A")</f>
        <v>N/A</v>
      </c>
      <c r="T1163" s="58" t="str" cm="1">
        <f t="array" ref="T1163">_xlfn._xlws.FILTER(Competitions[exhibition], (Fixtures[[#This Row],[competition]] = Competitions[name]), "N/A")</f>
        <v>N/A</v>
      </c>
      <c r="U1163" s="58" t="str" cm="1">
        <f t="array" ref="U1163">_xlfn._xlws.FILTER(Competitions[compID], (Fixtures[[#This Row],[competition]] = Competitions[name]), "N/A")</f>
        <v>N/A</v>
      </c>
      <c r="V116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3" s="58" t="str" cm="1">
        <f t="array" ref="W116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3" s="58" t="str" cm="1">
        <f t="array" ref="X1163">_xlfn._xlws.FILTER(Teams[name], (Fixtures[[#This Row],[userTeamID]] = Teams[teamID]), "N/A")</f>
        <v>N/A</v>
      </c>
      <c r="Y1163" s="58" t="str" cm="1">
        <f t="array" ref="Y1163">_xlfn._xlws.FILTER(Teams[teamType], (Fixtures[[#This Row],[userTeamID]] = Teams[teamID]), "N/A")</f>
        <v>N/A</v>
      </c>
      <c r="Z1163" s="58" t="str" cm="1">
        <f t="array" ref="Z116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3" s="58" t="str">
        <f>IF(Fixtures[[#This Row],[userSide]] = "N/A", "N/A", IF(Fixtures[[#This Row],[userSide]] = "H", Fixtures[[#This Row],[awayTeam]], Fixtures[[#This Row],[homeTeam]]))</f>
        <v>N/A</v>
      </c>
      <c r="AB1163" s="58" t="str" cm="1">
        <f t="array" ref="AB1163">_xlfn._xlws.FILTER(Teams[teamID], Fixtures[[#This Row],[oppTeam]] = Teams[name], "N/A")</f>
        <v>N/A</v>
      </c>
      <c r="AC1163" s="58" t="str" cm="1">
        <f t="array" ref="AC1163">_xlfn._xlws.FILTER(Teams[teamType], Fixtures[[#This Row],[oppTeam]] = Teams[name], "N/A")</f>
        <v>N/A</v>
      </c>
      <c r="AD1163" s="58" t="str">
        <f>IF(ISBLANK(Fixtures[[#This Row],[date]]), "N/A", IF(Fixtures[[#This Row],[userSide]]="H", Fixtures[[#This Row],[homeScore]], Fixtures[[#This Row],[awayScore]]))</f>
        <v>N/A</v>
      </c>
      <c r="AE1163" s="58" t="str">
        <f>IF(ISBLANK(Fixtures[[#This Row],[date]]), "N/A", IF(Fixtures[[#This Row],[userScore]] = Fixtures[[#This Row],[homeScore]], Fixtures[[#This Row],[awayScore]], Fixtures[[#This Row],[homeScore]]))</f>
        <v>N/A</v>
      </c>
      <c r="AF1163" s="58" t="b">
        <f>NOT(AND(ISBLANK(Fixtures[[#This Row],[homePens]]), ISBLANK(Fixtures[[#This Row],[awayPens]])))</f>
        <v>0</v>
      </c>
      <c r="AG1163" s="58" t="str">
        <f>IF(Fixtures[[#This Row],[penalties]], IF(Fixtures[[#This Row],[userSide]]="H", Fixtures[[#This Row],[homePens]], Fixtures[[#This Row],[awayPens]]), "N/A")</f>
        <v>N/A</v>
      </c>
      <c r="AH1163" s="58" t="str">
        <f>IF(Fixtures[[#This Row],[penalties]], IF(Fixtures[[#This Row],[userPens]]=Fixtures[[#This Row],[homePens]],Fixtures[[#This Row],[awayPens]],Fixtures[[#This Row],[homePens]]), "N/A")</f>
        <v>N/A</v>
      </c>
      <c r="AI1163" s="58" t="b">
        <f>COUNTBLANK(Fixtures[[#This Row],[G]:[MOTM]]) = 0</f>
        <v>0</v>
      </c>
      <c r="AJ1163" s="58" t="str">
        <f>IF(Fixtures[[#This Row],[APP]], Fixtures[[#This Row],[G]]+Fixtures[[#This Row],[A]], "N/A")</f>
        <v>N/A</v>
      </c>
      <c r="AK116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4" spans="1:39" ht="13">
      <c r="A1164" s="55"/>
      <c r="B1164" s="61"/>
      <c r="C1164" s="56"/>
      <c r="D1164" s="56"/>
      <c r="E1164" s="56"/>
      <c r="F1164" s="56"/>
      <c r="G1164" s="56"/>
      <c r="H1164" s="56"/>
      <c r="I1164" s="56"/>
      <c r="J1164" s="56"/>
      <c r="K1164" s="56"/>
      <c r="L1164" s="56"/>
      <c r="M1164" s="56"/>
      <c r="N1164" s="56"/>
      <c r="O1164" s="56"/>
      <c r="P1164" s="56"/>
      <c r="Q1164" s="57"/>
      <c r="R1164" s="56"/>
      <c r="S1164" s="58" t="str" cm="1">
        <f t="array" ref="S1164">_xlfn._xlws.FILTER(Competitions[compType], (Fixtures[[#This Row],[competition]] = Competitions[name]), "N/A")</f>
        <v>N/A</v>
      </c>
      <c r="T1164" s="58" t="str" cm="1">
        <f t="array" ref="T1164">_xlfn._xlws.FILTER(Competitions[exhibition], (Fixtures[[#This Row],[competition]] = Competitions[name]), "N/A")</f>
        <v>N/A</v>
      </c>
      <c r="U1164" s="58" t="str" cm="1">
        <f t="array" ref="U1164">_xlfn._xlws.FILTER(Competitions[compID], (Fixtures[[#This Row],[competition]] = Competitions[name]), "N/A")</f>
        <v>N/A</v>
      </c>
      <c r="V116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4" s="58" t="str" cm="1">
        <f t="array" ref="W116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4" s="58" t="str" cm="1">
        <f t="array" ref="X1164">_xlfn._xlws.FILTER(Teams[name], (Fixtures[[#This Row],[userTeamID]] = Teams[teamID]), "N/A")</f>
        <v>N/A</v>
      </c>
      <c r="Y1164" s="58" t="str" cm="1">
        <f t="array" ref="Y1164">_xlfn._xlws.FILTER(Teams[teamType], (Fixtures[[#This Row],[userTeamID]] = Teams[teamID]), "N/A")</f>
        <v>N/A</v>
      </c>
      <c r="Z1164" s="58" t="str" cm="1">
        <f t="array" ref="Z116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4" s="58" t="str">
        <f>IF(Fixtures[[#This Row],[userSide]] = "N/A", "N/A", IF(Fixtures[[#This Row],[userSide]] = "H", Fixtures[[#This Row],[awayTeam]], Fixtures[[#This Row],[homeTeam]]))</f>
        <v>N/A</v>
      </c>
      <c r="AB1164" s="58" t="str" cm="1">
        <f t="array" ref="AB1164">_xlfn._xlws.FILTER(Teams[teamID], Fixtures[[#This Row],[oppTeam]] = Teams[name], "N/A")</f>
        <v>N/A</v>
      </c>
      <c r="AC1164" s="58" t="str" cm="1">
        <f t="array" ref="AC1164">_xlfn._xlws.FILTER(Teams[teamType], Fixtures[[#This Row],[oppTeam]] = Teams[name], "N/A")</f>
        <v>N/A</v>
      </c>
      <c r="AD1164" s="58" t="str">
        <f>IF(ISBLANK(Fixtures[[#This Row],[date]]), "N/A", IF(Fixtures[[#This Row],[userSide]]="H", Fixtures[[#This Row],[homeScore]], Fixtures[[#This Row],[awayScore]]))</f>
        <v>N/A</v>
      </c>
      <c r="AE1164" s="58" t="str">
        <f>IF(ISBLANK(Fixtures[[#This Row],[date]]), "N/A", IF(Fixtures[[#This Row],[userScore]] = Fixtures[[#This Row],[homeScore]], Fixtures[[#This Row],[awayScore]], Fixtures[[#This Row],[homeScore]]))</f>
        <v>N/A</v>
      </c>
      <c r="AF1164" s="58" t="b">
        <f>NOT(AND(ISBLANK(Fixtures[[#This Row],[homePens]]), ISBLANK(Fixtures[[#This Row],[awayPens]])))</f>
        <v>0</v>
      </c>
      <c r="AG1164" s="58" t="str">
        <f>IF(Fixtures[[#This Row],[penalties]], IF(Fixtures[[#This Row],[userSide]]="H", Fixtures[[#This Row],[homePens]], Fixtures[[#This Row],[awayPens]]), "N/A")</f>
        <v>N/A</v>
      </c>
      <c r="AH1164" s="58" t="str">
        <f>IF(Fixtures[[#This Row],[penalties]], IF(Fixtures[[#This Row],[userPens]]=Fixtures[[#This Row],[homePens]],Fixtures[[#This Row],[awayPens]],Fixtures[[#This Row],[homePens]]), "N/A")</f>
        <v>N/A</v>
      </c>
      <c r="AI1164" s="58" t="b">
        <f>COUNTBLANK(Fixtures[[#This Row],[G]:[MOTM]]) = 0</f>
        <v>0</v>
      </c>
      <c r="AJ1164" s="58" t="str">
        <f>IF(Fixtures[[#This Row],[APP]], Fixtures[[#This Row],[G]]+Fixtures[[#This Row],[A]], "N/A")</f>
        <v>N/A</v>
      </c>
      <c r="AK116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5" spans="1:39" ht="13">
      <c r="A1165" s="55"/>
      <c r="B1165" s="61"/>
      <c r="C1165" s="56"/>
      <c r="D1165" s="56"/>
      <c r="E1165" s="56"/>
      <c r="F1165" s="56"/>
      <c r="G1165" s="56"/>
      <c r="H1165" s="56"/>
      <c r="I1165" s="56"/>
      <c r="J1165" s="56"/>
      <c r="K1165" s="56"/>
      <c r="L1165" s="56"/>
      <c r="M1165" s="56"/>
      <c r="N1165" s="56"/>
      <c r="O1165" s="56"/>
      <c r="P1165" s="56"/>
      <c r="Q1165" s="57"/>
      <c r="R1165" s="56"/>
      <c r="S1165" s="58" t="str" cm="1">
        <f t="array" ref="S1165">_xlfn._xlws.FILTER(Competitions[compType], (Fixtures[[#This Row],[competition]] = Competitions[name]), "N/A")</f>
        <v>N/A</v>
      </c>
      <c r="T1165" s="58" t="str" cm="1">
        <f t="array" ref="T1165">_xlfn._xlws.FILTER(Competitions[exhibition], (Fixtures[[#This Row],[competition]] = Competitions[name]), "N/A")</f>
        <v>N/A</v>
      </c>
      <c r="U1165" s="58" t="str" cm="1">
        <f t="array" ref="U1165">_xlfn._xlws.FILTER(Competitions[compID], (Fixtures[[#This Row],[competition]] = Competitions[name]), "N/A")</f>
        <v>N/A</v>
      </c>
      <c r="V116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5" s="58" t="str" cm="1">
        <f t="array" ref="W116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5" s="58" t="str" cm="1">
        <f t="array" ref="X1165">_xlfn._xlws.FILTER(Teams[name], (Fixtures[[#This Row],[userTeamID]] = Teams[teamID]), "N/A")</f>
        <v>N/A</v>
      </c>
      <c r="Y1165" s="58" t="str" cm="1">
        <f t="array" ref="Y1165">_xlfn._xlws.FILTER(Teams[teamType], (Fixtures[[#This Row],[userTeamID]] = Teams[teamID]), "N/A")</f>
        <v>N/A</v>
      </c>
      <c r="Z1165" s="58" t="str" cm="1">
        <f t="array" ref="Z116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5" s="58" t="str">
        <f>IF(Fixtures[[#This Row],[userSide]] = "N/A", "N/A", IF(Fixtures[[#This Row],[userSide]] = "H", Fixtures[[#This Row],[awayTeam]], Fixtures[[#This Row],[homeTeam]]))</f>
        <v>N/A</v>
      </c>
      <c r="AB1165" s="58" t="str" cm="1">
        <f t="array" ref="AB1165">_xlfn._xlws.FILTER(Teams[teamID], Fixtures[[#This Row],[oppTeam]] = Teams[name], "N/A")</f>
        <v>N/A</v>
      </c>
      <c r="AC1165" s="58" t="str" cm="1">
        <f t="array" ref="AC1165">_xlfn._xlws.FILTER(Teams[teamType], Fixtures[[#This Row],[oppTeam]] = Teams[name], "N/A")</f>
        <v>N/A</v>
      </c>
      <c r="AD1165" s="58" t="str">
        <f>IF(ISBLANK(Fixtures[[#This Row],[date]]), "N/A", IF(Fixtures[[#This Row],[userSide]]="H", Fixtures[[#This Row],[homeScore]], Fixtures[[#This Row],[awayScore]]))</f>
        <v>N/A</v>
      </c>
      <c r="AE1165" s="58" t="str">
        <f>IF(ISBLANK(Fixtures[[#This Row],[date]]), "N/A", IF(Fixtures[[#This Row],[userScore]] = Fixtures[[#This Row],[homeScore]], Fixtures[[#This Row],[awayScore]], Fixtures[[#This Row],[homeScore]]))</f>
        <v>N/A</v>
      </c>
      <c r="AF1165" s="58" t="b">
        <f>NOT(AND(ISBLANK(Fixtures[[#This Row],[homePens]]), ISBLANK(Fixtures[[#This Row],[awayPens]])))</f>
        <v>0</v>
      </c>
      <c r="AG1165" s="58" t="str">
        <f>IF(Fixtures[[#This Row],[penalties]], IF(Fixtures[[#This Row],[userSide]]="H", Fixtures[[#This Row],[homePens]], Fixtures[[#This Row],[awayPens]]), "N/A")</f>
        <v>N/A</v>
      </c>
      <c r="AH1165" s="58" t="str">
        <f>IF(Fixtures[[#This Row],[penalties]], IF(Fixtures[[#This Row],[userPens]]=Fixtures[[#This Row],[homePens]],Fixtures[[#This Row],[awayPens]],Fixtures[[#This Row],[homePens]]), "N/A")</f>
        <v>N/A</v>
      </c>
      <c r="AI1165" s="58" t="b">
        <f>COUNTBLANK(Fixtures[[#This Row],[G]:[MOTM]]) = 0</f>
        <v>0</v>
      </c>
      <c r="AJ1165" s="58" t="str">
        <f>IF(Fixtures[[#This Row],[APP]], Fixtures[[#This Row],[G]]+Fixtures[[#This Row],[A]], "N/A")</f>
        <v>N/A</v>
      </c>
      <c r="AK116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6" spans="1:39" ht="13">
      <c r="A1166" s="55"/>
      <c r="B1166" s="61"/>
      <c r="C1166" s="56"/>
      <c r="D1166" s="56"/>
      <c r="E1166" s="56"/>
      <c r="F1166" s="56"/>
      <c r="G1166" s="56"/>
      <c r="H1166" s="56"/>
      <c r="I1166" s="56"/>
      <c r="J1166" s="56"/>
      <c r="K1166" s="56"/>
      <c r="L1166" s="56"/>
      <c r="M1166" s="56"/>
      <c r="N1166" s="56"/>
      <c r="O1166" s="56"/>
      <c r="P1166" s="56"/>
      <c r="Q1166" s="57"/>
      <c r="R1166" s="56"/>
      <c r="S1166" s="58" t="str" cm="1">
        <f t="array" ref="S1166">_xlfn._xlws.FILTER(Competitions[compType], (Fixtures[[#This Row],[competition]] = Competitions[name]), "N/A")</f>
        <v>N/A</v>
      </c>
      <c r="T1166" s="58" t="str" cm="1">
        <f t="array" ref="T1166">_xlfn._xlws.FILTER(Competitions[exhibition], (Fixtures[[#This Row],[competition]] = Competitions[name]), "N/A")</f>
        <v>N/A</v>
      </c>
      <c r="U1166" s="58" t="str" cm="1">
        <f t="array" ref="U1166">_xlfn._xlws.FILTER(Competitions[compID], (Fixtures[[#This Row],[competition]] = Competitions[name]), "N/A")</f>
        <v>N/A</v>
      </c>
      <c r="V116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6" s="58" t="str" cm="1">
        <f t="array" ref="W116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6" s="58" t="str" cm="1">
        <f t="array" ref="X1166">_xlfn._xlws.FILTER(Teams[name], (Fixtures[[#This Row],[userTeamID]] = Teams[teamID]), "N/A")</f>
        <v>N/A</v>
      </c>
      <c r="Y1166" s="58" t="str" cm="1">
        <f t="array" ref="Y1166">_xlfn._xlws.FILTER(Teams[teamType], (Fixtures[[#This Row],[userTeamID]] = Teams[teamID]), "N/A")</f>
        <v>N/A</v>
      </c>
      <c r="Z1166" s="58" t="str" cm="1">
        <f t="array" ref="Z116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6" s="58" t="str">
        <f>IF(Fixtures[[#This Row],[userSide]] = "N/A", "N/A", IF(Fixtures[[#This Row],[userSide]] = "H", Fixtures[[#This Row],[awayTeam]], Fixtures[[#This Row],[homeTeam]]))</f>
        <v>N/A</v>
      </c>
      <c r="AB1166" s="58" t="str" cm="1">
        <f t="array" ref="AB1166">_xlfn._xlws.FILTER(Teams[teamID], Fixtures[[#This Row],[oppTeam]] = Teams[name], "N/A")</f>
        <v>N/A</v>
      </c>
      <c r="AC1166" s="58" t="str" cm="1">
        <f t="array" ref="AC1166">_xlfn._xlws.FILTER(Teams[teamType], Fixtures[[#This Row],[oppTeam]] = Teams[name], "N/A")</f>
        <v>N/A</v>
      </c>
      <c r="AD1166" s="58" t="str">
        <f>IF(ISBLANK(Fixtures[[#This Row],[date]]), "N/A", IF(Fixtures[[#This Row],[userSide]]="H", Fixtures[[#This Row],[homeScore]], Fixtures[[#This Row],[awayScore]]))</f>
        <v>N/A</v>
      </c>
      <c r="AE1166" s="58" t="str">
        <f>IF(ISBLANK(Fixtures[[#This Row],[date]]), "N/A", IF(Fixtures[[#This Row],[userScore]] = Fixtures[[#This Row],[homeScore]], Fixtures[[#This Row],[awayScore]], Fixtures[[#This Row],[homeScore]]))</f>
        <v>N/A</v>
      </c>
      <c r="AF1166" s="58" t="b">
        <f>NOT(AND(ISBLANK(Fixtures[[#This Row],[homePens]]), ISBLANK(Fixtures[[#This Row],[awayPens]])))</f>
        <v>0</v>
      </c>
      <c r="AG1166" s="58" t="str">
        <f>IF(Fixtures[[#This Row],[penalties]], IF(Fixtures[[#This Row],[userSide]]="H", Fixtures[[#This Row],[homePens]], Fixtures[[#This Row],[awayPens]]), "N/A")</f>
        <v>N/A</v>
      </c>
      <c r="AH1166" s="58" t="str">
        <f>IF(Fixtures[[#This Row],[penalties]], IF(Fixtures[[#This Row],[userPens]]=Fixtures[[#This Row],[homePens]],Fixtures[[#This Row],[awayPens]],Fixtures[[#This Row],[homePens]]), "N/A")</f>
        <v>N/A</v>
      </c>
      <c r="AI1166" s="58" t="b">
        <f>COUNTBLANK(Fixtures[[#This Row],[G]:[MOTM]]) = 0</f>
        <v>0</v>
      </c>
      <c r="AJ1166" s="58" t="str">
        <f>IF(Fixtures[[#This Row],[APP]], Fixtures[[#This Row],[G]]+Fixtures[[#This Row],[A]], "N/A")</f>
        <v>N/A</v>
      </c>
      <c r="AK116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7" spans="1:39" ht="13">
      <c r="A1167" s="55"/>
      <c r="B1167" s="61"/>
      <c r="C1167" s="56"/>
      <c r="D1167" s="56"/>
      <c r="E1167" s="56"/>
      <c r="F1167" s="56"/>
      <c r="G1167" s="56"/>
      <c r="H1167" s="56"/>
      <c r="I1167" s="56"/>
      <c r="J1167" s="56"/>
      <c r="K1167" s="56"/>
      <c r="L1167" s="56"/>
      <c r="M1167" s="56"/>
      <c r="N1167" s="56"/>
      <c r="O1167" s="56"/>
      <c r="P1167" s="56"/>
      <c r="Q1167" s="57"/>
      <c r="R1167" s="56"/>
      <c r="S1167" s="58" t="str" cm="1">
        <f t="array" ref="S1167">_xlfn._xlws.FILTER(Competitions[compType], (Fixtures[[#This Row],[competition]] = Competitions[name]), "N/A")</f>
        <v>N/A</v>
      </c>
      <c r="T1167" s="58" t="str" cm="1">
        <f t="array" ref="T1167">_xlfn._xlws.FILTER(Competitions[exhibition], (Fixtures[[#This Row],[competition]] = Competitions[name]), "N/A")</f>
        <v>N/A</v>
      </c>
      <c r="U1167" s="58" t="str" cm="1">
        <f t="array" ref="U1167">_xlfn._xlws.FILTER(Competitions[compID], (Fixtures[[#This Row],[competition]] = Competitions[name]), "N/A")</f>
        <v>N/A</v>
      </c>
      <c r="V116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7" s="58" t="str" cm="1">
        <f t="array" ref="W116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7" s="58" t="str" cm="1">
        <f t="array" ref="X1167">_xlfn._xlws.FILTER(Teams[name], (Fixtures[[#This Row],[userTeamID]] = Teams[teamID]), "N/A")</f>
        <v>N/A</v>
      </c>
      <c r="Y1167" s="58" t="str" cm="1">
        <f t="array" ref="Y1167">_xlfn._xlws.FILTER(Teams[teamType], (Fixtures[[#This Row],[userTeamID]] = Teams[teamID]), "N/A")</f>
        <v>N/A</v>
      </c>
      <c r="Z1167" s="58" t="str" cm="1">
        <f t="array" ref="Z116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7" s="58" t="str">
        <f>IF(Fixtures[[#This Row],[userSide]] = "N/A", "N/A", IF(Fixtures[[#This Row],[userSide]] = "H", Fixtures[[#This Row],[awayTeam]], Fixtures[[#This Row],[homeTeam]]))</f>
        <v>N/A</v>
      </c>
      <c r="AB1167" s="58" t="str" cm="1">
        <f t="array" ref="AB1167">_xlfn._xlws.FILTER(Teams[teamID], Fixtures[[#This Row],[oppTeam]] = Teams[name], "N/A")</f>
        <v>N/A</v>
      </c>
      <c r="AC1167" s="58" t="str" cm="1">
        <f t="array" ref="AC1167">_xlfn._xlws.FILTER(Teams[teamType], Fixtures[[#This Row],[oppTeam]] = Teams[name], "N/A")</f>
        <v>N/A</v>
      </c>
      <c r="AD1167" s="58" t="str">
        <f>IF(ISBLANK(Fixtures[[#This Row],[date]]), "N/A", IF(Fixtures[[#This Row],[userSide]]="H", Fixtures[[#This Row],[homeScore]], Fixtures[[#This Row],[awayScore]]))</f>
        <v>N/A</v>
      </c>
      <c r="AE1167" s="58" t="str">
        <f>IF(ISBLANK(Fixtures[[#This Row],[date]]), "N/A", IF(Fixtures[[#This Row],[userScore]] = Fixtures[[#This Row],[homeScore]], Fixtures[[#This Row],[awayScore]], Fixtures[[#This Row],[homeScore]]))</f>
        <v>N/A</v>
      </c>
      <c r="AF1167" s="58" t="b">
        <f>NOT(AND(ISBLANK(Fixtures[[#This Row],[homePens]]), ISBLANK(Fixtures[[#This Row],[awayPens]])))</f>
        <v>0</v>
      </c>
      <c r="AG1167" s="58" t="str">
        <f>IF(Fixtures[[#This Row],[penalties]], IF(Fixtures[[#This Row],[userSide]]="H", Fixtures[[#This Row],[homePens]], Fixtures[[#This Row],[awayPens]]), "N/A")</f>
        <v>N/A</v>
      </c>
      <c r="AH1167" s="58" t="str">
        <f>IF(Fixtures[[#This Row],[penalties]], IF(Fixtures[[#This Row],[userPens]]=Fixtures[[#This Row],[homePens]],Fixtures[[#This Row],[awayPens]],Fixtures[[#This Row],[homePens]]), "N/A")</f>
        <v>N/A</v>
      </c>
      <c r="AI1167" s="58" t="b">
        <f>COUNTBLANK(Fixtures[[#This Row],[G]:[MOTM]]) = 0</f>
        <v>0</v>
      </c>
      <c r="AJ1167" s="58" t="str">
        <f>IF(Fixtures[[#This Row],[APP]], Fixtures[[#This Row],[G]]+Fixtures[[#This Row],[A]], "N/A")</f>
        <v>N/A</v>
      </c>
      <c r="AK116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8" spans="1:39" ht="13">
      <c r="A1168" s="55"/>
      <c r="B1168" s="61"/>
      <c r="C1168" s="56"/>
      <c r="D1168" s="56"/>
      <c r="E1168" s="56"/>
      <c r="F1168" s="56"/>
      <c r="G1168" s="56"/>
      <c r="H1168" s="56"/>
      <c r="I1168" s="56"/>
      <c r="J1168" s="56"/>
      <c r="K1168" s="56"/>
      <c r="L1168" s="56"/>
      <c r="M1168" s="56"/>
      <c r="N1168" s="56"/>
      <c r="O1168" s="56"/>
      <c r="P1168" s="56"/>
      <c r="Q1168" s="57"/>
      <c r="R1168" s="56"/>
      <c r="S1168" s="58" t="str" cm="1">
        <f t="array" ref="S1168">_xlfn._xlws.FILTER(Competitions[compType], (Fixtures[[#This Row],[competition]] = Competitions[name]), "N/A")</f>
        <v>N/A</v>
      </c>
      <c r="T1168" s="58" t="str" cm="1">
        <f t="array" ref="T1168">_xlfn._xlws.FILTER(Competitions[exhibition], (Fixtures[[#This Row],[competition]] = Competitions[name]), "N/A")</f>
        <v>N/A</v>
      </c>
      <c r="U1168" s="58" t="str" cm="1">
        <f t="array" ref="U1168">_xlfn._xlws.FILTER(Competitions[compID], (Fixtures[[#This Row],[competition]] = Competitions[name]), "N/A")</f>
        <v>N/A</v>
      </c>
      <c r="V116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8" s="58" t="str" cm="1">
        <f t="array" ref="W116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8" s="58" t="str" cm="1">
        <f t="array" ref="X1168">_xlfn._xlws.FILTER(Teams[name], (Fixtures[[#This Row],[userTeamID]] = Teams[teamID]), "N/A")</f>
        <v>N/A</v>
      </c>
      <c r="Y1168" s="58" t="str" cm="1">
        <f t="array" ref="Y1168">_xlfn._xlws.FILTER(Teams[teamType], (Fixtures[[#This Row],[userTeamID]] = Teams[teamID]), "N/A")</f>
        <v>N/A</v>
      </c>
      <c r="Z1168" s="58" t="str" cm="1">
        <f t="array" ref="Z116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8" s="58" t="str">
        <f>IF(Fixtures[[#This Row],[userSide]] = "N/A", "N/A", IF(Fixtures[[#This Row],[userSide]] = "H", Fixtures[[#This Row],[awayTeam]], Fixtures[[#This Row],[homeTeam]]))</f>
        <v>N/A</v>
      </c>
      <c r="AB1168" s="58" t="str" cm="1">
        <f t="array" ref="AB1168">_xlfn._xlws.FILTER(Teams[teamID], Fixtures[[#This Row],[oppTeam]] = Teams[name], "N/A")</f>
        <v>N/A</v>
      </c>
      <c r="AC1168" s="58" t="str" cm="1">
        <f t="array" ref="AC1168">_xlfn._xlws.FILTER(Teams[teamType], Fixtures[[#This Row],[oppTeam]] = Teams[name], "N/A")</f>
        <v>N/A</v>
      </c>
      <c r="AD1168" s="58" t="str">
        <f>IF(ISBLANK(Fixtures[[#This Row],[date]]), "N/A", IF(Fixtures[[#This Row],[userSide]]="H", Fixtures[[#This Row],[homeScore]], Fixtures[[#This Row],[awayScore]]))</f>
        <v>N/A</v>
      </c>
      <c r="AE1168" s="58" t="str">
        <f>IF(ISBLANK(Fixtures[[#This Row],[date]]), "N/A", IF(Fixtures[[#This Row],[userScore]] = Fixtures[[#This Row],[homeScore]], Fixtures[[#This Row],[awayScore]], Fixtures[[#This Row],[homeScore]]))</f>
        <v>N/A</v>
      </c>
      <c r="AF1168" s="58" t="b">
        <f>NOT(AND(ISBLANK(Fixtures[[#This Row],[homePens]]), ISBLANK(Fixtures[[#This Row],[awayPens]])))</f>
        <v>0</v>
      </c>
      <c r="AG1168" s="58" t="str">
        <f>IF(Fixtures[[#This Row],[penalties]], IF(Fixtures[[#This Row],[userSide]]="H", Fixtures[[#This Row],[homePens]], Fixtures[[#This Row],[awayPens]]), "N/A")</f>
        <v>N/A</v>
      </c>
      <c r="AH1168" s="58" t="str">
        <f>IF(Fixtures[[#This Row],[penalties]], IF(Fixtures[[#This Row],[userPens]]=Fixtures[[#This Row],[homePens]],Fixtures[[#This Row],[awayPens]],Fixtures[[#This Row],[homePens]]), "N/A")</f>
        <v>N/A</v>
      </c>
      <c r="AI1168" s="58" t="b">
        <f>COUNTBLANK(Fixtures[[#This Row],[G]:[MOTM]]) = 0</f>
        <v>0</v>
      </c>
      <c r="AJ1168" s="58" t="str">
        <f>IF(Fixtures[[#This Row],[APP]], Fixtures[[#This Row],[G]]+Fixtures[[#This Row],[A]], "N/A")</f>
        <v>N/A</v>
      </c>
      <c r="AK116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69" spans="1:39" ht="13">
      <c r="A1169" s="55"/>
      <c r="B1169" s="61"/>
      <c r="C1169" s="56"/>
      <c r="D1169" s="56"/>
      <c r="E1169" s="56"/>
      <c r="F1169" s="56"/>
      <c r="G1169" s="56"/>
      <c r="H1169" s="56"/>
      <c r="I1169" s="56"/>
      <c r="J1169" s="56"/>
      <c r="K1169" s="56"/>
      <c r="L1169" s="56"/>
      <c r="M1169" s="56"/>
      <c r="N1169" s="56"/>
      <c r="O1169" s="56"/>
      <c r="P1169" s="56"/>
      <c r="Q1169" s="57"/>
      <c r="R1169" s="56"/>
      <c r="S1169" s="58" t="str" cm="1">
        <f t="array" ref="S1169">_xlfn._xlws.FILTER(Competitions[compType], (Fixtures[[#This Row],[competition]] = Competitions[name]), "N/A")</f>
        <v>N/A</v>
      </c>
      <c r="T1169" s="58" t="str" cm="1">
        <f t="array" ref="T1169">_xlfn._xlws.FILTER(Competitions[exhibition], (Fixtures[[#This Row],[competition]] = Competitions[name]), "N/A")</f>
        <v>N/A</v>
      </c>
      <c r="U1169" s="58" t="str" cm="1">
        <f t="array" ref="U1169">_xlfn._xlws.FILTER(Competitions[compID], (Fixtures[[#This Row],[competition]] = Competitions[name]), "N/A")</f>
        <v>N/A</v>
      </c>
      <c r="V116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69" s="58" t="str" cm="1">
        <f t="array" ref="W116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69" s="58" t="str" cm="1">
        <f t="array" ref="X1169">_xlfn._xlws.FILTER(Teams[name], (Fixtures[[#This Row],[userTeamID]] = Teams[teamID]), "N/A")</f>
        <v>N/A</v>
      </c>
      <c r="Y1169" s="58" t="str" cm="1">
        <f t="array" ref="Y1169">_xlfn._xlws.FILTER(Teams[teamType], (Fixtures[[#This Row],[userTeamID]] = Teams[teamID]), "N/A")</f>
        <v>N/A</v>
      </c>
      <c r="Z1169" s="58" t="str" cm="1">
        <f t="array" ref="Z116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69" s="58" t="str">
        <f>IF(Fixtures[[#This Row],[userSide]] = "N/A", "N/A", IF(Fixtures[[#This Row],[userSide]] = "H", Fixtures[[#This Row],[awayTeam]], Fixtures[[#This Row],[homeTeam]]))</f>
        <v>N/A</v>
      </c>
      <c r="AB1169" s="58" t="str" cm="1">
        <f t="array" ref="AB1169">_xlfn._xlws.FILTER(Teams[teamID], Fixtures[[#This Row],[oppTeam]] = Teams[name], "N/A")</f>
        <v>N/A</v>
      </c>
      <c r="AC1169" s="58" t="str" cm="1">
        <f t="array" ref="AC1169">_xlfn._xlws.FILTER(Teams[teamType], Fixtures[[#This Row],[oppTeam]] = Teams[name], "N/A")</f>
        <v>N/A</v>
      </c>
      <c r="AD1169" s="58" t="str">
        <f>IF(ISBLANK(Fixtures[[#This Row],[date]]), "N/A", IF(Fixtures[[#This Row],[userSide]]="H", Fixtures[[#This Row],[homeScore]], Fixtures[[#This Row],[awayScore]]))</f>
        <v>N/A</v>
      </c>
      <c r="AE1169" s="58" t="str">
        <f>IF(ISBLANK(Fixtures[[#This Row],[date]]), "N/A", IF(Fixtures[[#This Row],[userScore]] = Fixtures[[#This Row],[homeScore]], Fixtures[[#This Row],[awayScore]], Fixtures[[#This Row],[homeScore]]))</f>
        <v>N/A</v>
      </c>
      <c r="AF1169" s="58" t="b">
        <f>NOT(AND(ISBLANK(Fixtures[[#This Row],[homePens]]), ISBLANK(Fixtures[[#This Row],[awayPens]])))</f>
        <v>0</v>
      </c>
      <c r="AG1169" s="58" t="str">
        <f>IF(Fixtures[[#This Row],[penalties]], IF(Fixtures[[#This Row],[userSide]]="H", Fixtures[[#This Row],[homePens]], Fixtures[[#This Row],[awayPens]]), "N/A")</f>
        <v>N/A</v>
      </c>
      <c r="AH1169" s="58" t="str">
        <f>IF(Fixtures[[#This Row],[penalties]], IF(Fixtures[[#This Row],[userPens]]=Fixtures[[#This Row],[homePens]],Fixtures[[#This Row],[awayPens]],Fixtures[[#This Row],[homePens]]), "N/A")</f>
        <v>N/A</v>
      </c>
      <c r="AI1169" s="58" t="b">
        <f>COUNTBLANK(Fixtures[[#This Row],[G]:[MOTM]]) = 0</f>
        <v>0</v>
      </c>
      <c r="AJ1169" s="58" t="str">
        <f>IF(Fixtures[[#This Row],[APP]], Fixtures[[#This Row],[G]]+Fixtures[[#This Row],[A]], "N/A")</f>
        <v>N/A</v>
      </c>
      <c r="AK116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6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6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0" spans="1:39" ht="13">
      <c r="A1170" s="55"/>
      <c r="B1170" s="61"/>
      <c r="C1170" s="56"/>
      <c r="D1170" s="56"/>
      <c r="E1170" s="56"/>
      <c r="F1170" s="56"/>
      <c r="G1170" s="56"/>
      <c r="H1170" s="56"/>
      <c r="I1170" s="56"/>
      <c r="J1170" s="56"/>
      <c r="K1170" s="56"/>
      <c r="L1170" s="56"/>
      <c r="M1170" s="56"/>
      <c r="N1170" s="56"/>
      <c r="O1170" s="56"/>
      <c r="P1170" s="56"/>
      <c r="Q1170" s="57"/>
      <c r="R1170" s="56"/>
      <c r="S1170" s="58" t="str" cm="1">
        <f t="array" ref="S1170">_xlfn._xlws.FILTER(Competitions[compType], (Fixtures[[#This Row],[competition]] = Competitions[name]), "N/A")</f>
        <v>N/A</v>
      </c>
      <c r="T1170" s="58" t="str" cm="1">
        <f t="array" ref="T1170">_xlfn._xlws.FILTER(Competitions[exhibition], (Fixtures[[#This Row],[competition]] = Competitions[name]), "N/A")</f>
        <v>N/A</v>
      </c>
      <c r="U1170" s="58" t="str" cm="1">
        <f t="array" ref="U1170">_xlfn._xlws.FILTER(Competitions[compID], (Fixtures[[#This Row],[competition]] = Competitions[name]), "N/A")</f>
        <v>N/A</v>
      </c>
      <c r="V117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0" s="58" t="str" cm="1">
        <f t="array" ref="W117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0" s="58" t="str" cm="1">
        <f t="array" ref="X1170">_xlfn._xlws.FILTER(Teams[name], (Fixtures[[#This Row],[userTeamID]] = Teams[teamID]), "N/A")</f>
        <v>N/A</v>
      </c>
      <c r="Y1170" s="58" t="str" cm="1">
        <f t="array" ref="Y1170">_xlfn._xlws.FILTER(Teams[teamType], (Fixtures[[#This Row],[userTeamID]] = Teams[teamID]), "N/A")</f>
        <v>N/A</v>
      </c>
      <c r="Z1170" s="58" t="str" cm="1">
        <f t="array" ref="Z117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0" s="58" t="str">
        <f>IF(Fixtures[[#This Row],[userSide]] = "N/A", "N/A", IF(Fixtures[[#This Row],[userSide]] = "H", Fixtures[[#This Row],[awayTeam]], Fixtures[[#This Row],[homeTeam]]))</f>
        <v>N/A</v>
      </c>
      <c r="AB1170" s="58" t="str" cm="1">
        <f t="array" ref="AB1170">_xlfn._xlws.FILTER(Teams[teamID], Fixtures[[#This Row],[oppTeam]] = Teams[name], "N/A")</f>
        <v>N/A</v>
      </c>
      <c r="AC1170" s="58" t="str" cm="1">
        <f t="array" ref="AC1170">_xlfn._xlws.FILTER(Teams[teamType], Fixtures[[#This Row],[oppTeam]] = Teams[name], "N/A")</f>
        <v>N/A</v>
      </c>
      <c r="AD1170" s="58" t="str">
        <f>IF(ISBLANK(Fixtures[[#This Row],[date]]), "N/A", IF(Fixtures[[#This Row],[userSide]]="H", Fixtures[[#This Row],[homeScore]], Fixtures[[#This Row],[awayScore]]))</f>
        <v>N/A</v>
      </c>
      <c r="AE1170" s="58" t="str">
        <f>IF(ISBLANK(Fixtures[[#This Row],[date]]), "N/A", IF(Fixtures[[#This Row],[userScore]] = Fixtures[[#This Row],[homeScore]], Fixtures[[#This Row],[awayScore]], Fixtures[[#This Row],[homeScore]]))</f>
        <v>N/A</v>
      </c>
      <c r="AF1170" s="58" t="b">
        <f>NOT(AND(ISBLANK(Fixtures[[#This Row],[homePens]]), ISBLANK(Fixtures[[#This Row],[awayPens]])))</f>
        <v>0</v>
      </c>
      <c r="AG1170" s="58" t="str">
        <f>IF(Fixtures[[#This Row],[penalties]], IF(Fixtures[[#This Row],[userSide]]="H", Fixtures[[#This Row],[homePens]], Fixtures[[#This Row],[awayPens]]), "N/A")</f>
        <v>N/A</v>
      </c>
      <c r="AH1170" s="58" t="str">
        <f>IF(Fixtures[[#This Row],[penalties]], IF(Fixtures[[#This Row],[userPens]]=Fixtures[[#This Row],[homePens]],Fixtures[[#This Row],[awayPens]],Fixtures[[#This Row],[homePens]]), "N/A")</f>
        <v>N/A</v>
      </c>
      <c r="AI1170" s="58" t="b">
        <f>COUNTBLANK(Fixtures[[#This Row],[G]:[MOTM]]) = 0</f>
        <v>0</v>
      </c>
      <c r="AJ1170" s="58" t="str">
        <f>IF(Fixtures[[#This Row],[APP]], Fixtures[[#This Row],[G]]+Fixtures[[#This Row],[A]], "N/A")</f>
        <v>N/A</v>
      </c>
      <c r="AK117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1" spans="1:39" ht="13">
      <c r="A1171" s="55"/>
      <c r="B1171" s="61"/>
      <c r="C1171" s="56"/>
      <c r="D1171" s="56"/>
      <c r="E1171" s="56"/>
      <c r="F1171" s="56"/>
      <c r="G1171" s="56"/>
      <c r="H1171" s="56"/>
      <c r="I1171" s="56"/>
      <c r="J1171" s="56"/>
      <c r="K1171" s="56"/>
      <c r="L1171" s="56"/>
      <c r="M1171" s="56"/>
      <c r="N1171" s="56"/>
      <c r="O1171" s="56"/>
      <c r="P1171" s="56"/>
      <c r="Q1171" s="57"/>
      <c r="R1171" s="56"/>
      <c r="S1171" s="58" t="str" cm="1">
        <f t="array" ref="S1171">_xlfn._xlws.FILTER(Competitions[compType], (Fixtures[[#This Row],[competition]] = Competitions[name]), "N/A")</f>
        <v>N/A</v>
      </c>
      <c r="T1171" s="58" t="str" cm="1">
        <f t="array" ref="T1171">_xlfn._xlws.FILTER(Competitions[exhibition], (Fixtures[[#This Row],[competition]] = Competitions[name]), "N/A")</f>
        <v>N/A</v>
      </c>
      <c r="U1171" s="58" t="str" cm="1">
        <f t="array" ref="U1171">_xlfn._xlws.FILTER(Competitions[compID], (Fixtures[[#This Row],[competition]] = Competitions[name]), "N/A")</f>
        <v>N/A</v>
      </c>
      <c r="V117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1" s="58" t="str" cm="1">
        <f t="array" ref="W117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1" s="58" t="str" cm="1">
        <f t="array" ref="X1171">_xlfn._xlws.FILTER(Teams[name], (Fixtures[[#This Row],[userTeamID]] = Teams[teamID]), "N/A")</f>
        <v>N/A</v>
      </c>
      <c r="Y1171" s="58" t="str" cm="1">
        <f t="array" ref="Y1171">_xlfn._xlws.FILTER(Teams[teamType], (Fixtures[[#This Row],[userTeamID]] = Teams[teamID]), "N/A")</f>
        <v>N/A</v>
      </c>
      <c r="Z1171" s="58" t="str" cm="1">
        <f t="array" ref="Z117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1" s="58" t="str">
        <f>IF(Fixtures[[#This Row],[userSide]] = "N/A", "N/A", IF(Fixtures[[#This Row],[userSide]] = "H", Fixtures[[#This Row],[awayTeam]], Fixtures[[#This Row],[homeTeam]]))</f>
        <v>N/A</v>
      </c>
      <c r="AB1171" s="58" t="str" cm="1">
        <f t="array" ref="AB1171">_xlfn._xlws.FILTER(Teams[teamID], Fixtures[[#This Row],[oppTeam]] = Teams[name], "N/A")</f>
        <v>N/A</v>
      </c>
      <c r="AC1171" s="58" t="str" cm="1">
        <f t="array" ref="AC1171">_xlfn._xlws.FILTER(Teams[teamType], Fixtures[[#This Row],[oppTeam]] = Teams[name], "N/A")</f>
        <v>N/A</v>
      </c>
      <c r="AD1171" s="58" t="str">
        <f>IF(ISBLANK(Fixtures[[#This Row],[date]]), "N/A", IF(Fixtures[[#This Row],[userSide]]="H", Fixtures[[#This Row],[homeScore]], Fixtures[[#This Row],[awayScore]]))</f>
        <v>N/A</v>
      </c>
      <c r="AE1171" s="58" t="str">
        <f>IF(ISBLANK(Fixtures[[#This Row],[date]]), "N/A", IF(Fixtures[[#This Row],[userScore]] = Fixtures[[#This Row],[homeScore]], Fixtures[[#This Row],[awayScore]], Fixtures[[#This Row],[homeScore]]))</f>
        <v>N/A</v>
      </c>
      <c r="AF1171" s="58" t="b">
        <f>NOT(AND(ISBLANK(Fixtures[[#This Row],[homePens]]), ISBLANK(Fixtures[[#This Row],[awayPens]])))</f>
        <v>0</v>
      </c>
      <c r="AG1171" s="58" t="str">
        <f>IF(Fixtures[[#This Row],[penalties]], IF(Fixtures[[#This Row],[userSide]]="H", Fixtures[[#This Row],[homePens]], Fixtures[[#This Row],[awayPens]]), "N/A")</f>
        <v>N/A</v>
      </c>
      <c r="AH1171" s="58" t="str">
        <f>IF(Fixtures[[#This Row],[penalties]], IF(Fixtures[[#This Row],[userPens]]=Fixtures[[#This Row],[homePens]],Fixtures[[#This Row],[awayPens]],Fixtures[[#This Row],[homePens]]), "N/A")</f>
        <v>N/A</v>
      </c>
      <c r="AI1171" s="58" t="b">
        <f>COUNTBLANK(Fixtures[[#This Row],[G]:[MOTM]]) = 0</f>
        <v>0</v>
      </c>
      <c r="AJ1171" s="58" t="str">
        <f>IF(Fixtures[[#This Row],[APP]], Fixtures[[#This Row],[G]]+Fixtures[[#This Row],[A]], "N/A")</f>
        <v>N/A</v>
      </c>
      <c r="AK117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2" spans="1:39" ht="13">
      <c r="A1172" s="55"/>
      <c r="B1172" s="61"/>
      <c r="C1172" s="56"/>
      <c r="D1172" s="56"/>
      <c r="E1172" s="56"/>
      <c r="F1172" s="56"/>
      <c r="G1172" s="56"/>
      <c r="H1172" s="56"/>
      <c r="I1172" s="56"/>
      <c r="J1172" s="56"/>
      <c r="K1172" s="56"/>
      <c r="L1172" s="56"/>
      <c r="M1172" s="56"/>
      <c r="N1172" s="56"/>
      <c r="O1172" s="56"/>
      <c r="P1172" s="56"/>
      <c r="Q1172" s="57"/>
      <c r="R1172" s="56"/>
      <c r="S1172" s="58" t="str" cm="1">
        <f t="array" ref="S1172">_xlfn._xlws.FILTER(Competitions[compType], (Fixtures[[#This Row],[competition]] = Competitions[name]), "N/A")</f>
        <v>N/A</v>
      </c>
      <c r="T1172" s="58" t="str" cm="1">
        <f t="array" ref="T1172">_xlfn._xlws.FILTER(Competitions[exhibition], (Fixtures[[#This Row],[competition]] = Competitions[name]), "N/A")</f>
        <v>N/A</v>
      </c>
      <c r="U1172" s="58" t="str" cm="1">
        <f t="array" ref="U1172">_xlfn._xlws.FILTER(Competitions[compID], (Fixtures[[#This Row],[competition]] = Competitions[name]), "N/A")</f>
        <v>N/A</v>
      </c>
      <c r="V117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2" s="58" t="str" cm="1">
        <f t="array" ref="W117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2" s="58" t="str" cm="1">
        <f t="array" ref="X1172">_xlfn._xlws.FILTER(Teams[name], (Fixtures[[#This Row],[userTeamID]] = Teams[teamID]), "N/A")</f>
        <v>N/A</v>
      </c>
      <c r="Y1172" s="58" t="str" cm="1">
        <f t="array" ref="Y1172">_xlfn._xlws.FILTER(Teams[teamType], (Fixtures[[#This Row],[userTeamID]] = Teams[teamID]), "N/A")</f>
        <v>N/A</v>
      </c>
      <c r="Z1172" s="58" t="str" cm="1">
        <f t="array" ref="Z117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2" s="58" t="str">
        <f>IF(Fixtures[[#This Row],[userSide]] = "N/A", "N/A", IF(Fixtures[[#This Row],[userSide]] = "H", Fixtures[[#This Row],[awayTeam]], Fixtures[[#This Row],[homeTeam]]))</f>
        <v>N/A</v>
      </c>
      <c r="AB1172" s="58" t="str" cm="1">
        <f t="array" ref="AB1172">_xlfn._xlws.FILTER(Teams[teamID], Fixtures[[#This Row],[oppTeam]] = Teams[name], "N/A")</f>
        <v>N/A</v>
      </c>
      <c r="AC1172" s="58" t="str" cm="1">
        <f t="array" ref="AC1172">_xlfn._xlws.FILTER(Teams[teamType], Fixtures[[#This Row],[oppTeam]] = Teams[name], "N/A")</f>
        <v>N/A</v>
      </c>
      <c r="AD1172" s="58" t="str">
        <f>IF(ISBLANK(Fixtures[[#This Row],[date]]), "N/A", IF(Fixtures[[#This Row],[userSide]]="H", Fixtures[[#This Row],[homeScore]], Fixtures[[#This Row],[awayScore]]))</f>
        <v>N/A</v>
      </c>
      <c r="AE1172" s="58" t="str">
        <f>IF(ISBLANK(Fixtures[[#This Row],[date]]), "N/A", IF(Fixtures[[#This Row],[userScore]] = Fixtures[[#This Row],[homeScore]], Fixtures[[#This Row],[awayScore]], Fixtures[[#This Row],[homeScore]]))</f>
        <v>N/A</v>
      </c>
      <c r="AF1172" s="58" t="b">
        <f>NOT(AND(ISBLANK(Fixtures[[#This Row],[homePens]]), ISBLANK(Fixtures[[#This Row],[awayPens]])))</f>
        <v>0</v>
      </c>
      <c r="AG1172" s="58" t="str">
        <f>IF(Fixtures[[#This Row],[penalties]], IF(Fixtures[[#This Row],[userSide]]="H", Fixtures[[#This Row],[homePens]], Fixtures[[#This Row],[awayPens]]), "N/A")</f>
        <v>N/A</v>
      </c>
      <c r="AH1172" s="58" t="str">
        <f>IF(Fixtures[[#This Row],[penalties]], IF(Fixtures[[#This Row],[userPens]]=Fixtures[[#This Row],[homePens]],Fixtures[[#This Row],[awayPens]],Fixtures[[#This Row],[homePens]]), "N/A")</f>
        <v>N/A</v>
      </c>
      <c r="AI1172" s="58" t="b">
        <f>COUNTBLANK(Fixtures[[#This Row],[G]:[MOTM]]) = 0</f>
        <v>0</v>
      </c>
      <c r="AJ1172" s="58" t="str">
        <f>IF(Fixtures[[#This Row],[APP]], Fixtures[[#This Row],[G]]+Fixtures[[#This Row],[A]], "N/A")</f>
        <v>N/A</v>
      </c>
      <c r="AK117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3" spans="1:39" ht="13">
      <c r="A1173" s="55"/>
      <c r="B1173" s="61"/>
      <c r="C1173" s="56"/>
      <c r="D1173" s="56"/>
      <c r="E1173" s="56"/>
      <c r="F1173" s="56"/>
      <c r="G1173" s="56"/>
      <c r="H1173" s="56"/>
      <c r="I1173" s="56"/>
      <c r="J1173" s="56"/>
      <c r="K1173" s="56"/>
      <c r="L1173" s="56"/>
      <c r="M1173" s="56"/>
      <c r="N1173" s="56"/>
      <c r="O1173" s="56"/>
      <c r="P1173" s="56"/>
      <c r="Q1173" s="57"/>
      <c r="R1173" s="56"/>
      <c r="S1173" s="58" t="str" cm="1">
        <f t="array" ref="S1173">_xlfn._xlws.FILTER(Competitions[compType], (Fixtures[[#This Row],[competition]] = Competitions[name]), "N/A")</f>
        <v>N/A</v>
      </c>
      <c r="T1173" s="58" t="str" cm="1">
        <f t="array" ref="T1173">_xlfn._xlws.FILTER(Competitions[exhibition], (Fixtures[[#This Row],[competition]] = Competitions[name]), "N/A")</f>
        <v>N/A</v>
      </c>
      <c r="U1173" s="58" t="str" cm="1">
        <f t="array" ref="U1173">_xlfn._xlws.FILTER(Competitions[compID], (Fixtures[[#This Row],[competition]] = Competitions[name]), "N/A")</f>
        <v>N/A</v>
      </c>
      <c r="V117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3" s="58" t="str" cm="1">
        <f t="array" ref="W117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3" s="58" t="str" cm="1">
        <f t="array" ref="X1173">_xlfn._xlws.FILTER(Teams[name], (Fixtures[[#This Row],[userTeamID]] = Teams[teamID]), "N/A")</f>
        <v>N/A</v>
      </c>
      <c r="Y1173" s="58" t="str" cm="1">
        <f t="array" ref="Y1173">_xlfn._xlws.FILTER(Teams[teamType], (Fixtures[[#This Row],[userTeamID]] = Teams[teamID]), "N/A")</f>
        <v>N/A</v>
      </c>
      <c r="Z1173" s="58" t="str" cm="1">
        <f t="array" ref="Z117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3" s="58" t="str">
        <f>IF(Fixtures[[#This Row],[userSide]] = "N/A", "N/A", IF(Fixtures[[#This Row],[userSide]] = "H", Fixtures[[#This Row],[awayTeam]], Fixtures[[#This Row],[homeTeam]]))</f>
        <v>N/A</v>
      </c>
      <c r="AB1173" s="58" t="str" cm="1">
        <f t="array" ref="AB1173">_xlfn._xlws.FILTER(Teams[teamID], Fixtures[[#This Row],[oppTeam]] = Teams[name], "N/A")</f>
        <v>N/A</v>
      </c>
      <c r="AC1173" s="58" t="str" cm="1">
        <f t="array" ref="AC1173">_xlfn._xlws.FILTER(Teams[teamType], Fixtures[[#This Row],[oppTeam]] = Teams[name], "N/A")</f>
        <v>N/A</v>
      </c>
      <c r="AD1173" s="58" t="str">
        <f>IF(ISBLANK(Fixtures[[#This Row],[date]]), "N/A", IF(Fixtures[[#This Row],[userSide]]="H", Fixtures[[#This Row],[homeScore]], Fixtures[[#This Row],[awayScore]]))</f>
        <v>N/A</v>
      </c>
      <c r="AE1173" s="58" t="str">
        <f>IF(ISBLANK(Fixtures[[#This Row],[date]]), "N/A", IF(Fixtures[[#This Row],[userScore]] = Fixtures[[#This Row],[homeScore]], Fixtures[[#This Row],[awayScore]], Fixtures[[#This Row],[homeScore]]))</f>
        <v>N/A</v>
      </c>
      <c r="AF1173" s="58" t="b">
        <f>NOT(AND(ISBLANK(Fixtures[[#This Row],[homePens]]), ISBLANK(Fixtures[[#This Row],[awayPens]])))</f>
        <v>0</v>
      </c>
      <c r="AG1173" s="58" t="str">
        <f>IF(Fixtures[[#This Row],[penalties]], IF(Fixtures[[#This Row],[userSide]]="H", Fixtures[[#This Row],[homePens]], Fixtures[[#This Row],[awayPens]]), "N/A")</f>
        <v>N/A</v>
      </c>
      <c r="AH1173" s="58" t="str">
        <f>IF(Fixtures[[#This Row],[penalties]], IF(Fixtures[[#This Row],[userPens]]=Fixtures[[#This Row],[homePens]],Fixtures[[#This Row],[awayPens]],Fixtures[[#This Row],[homePens]]), "N/A")</f>
        <v>N/A</v>
      </c>
      <c r="AI1173" s="58" t="b">
        <f>COUNTBLANK(Fixtures[[#This Row],[G]:[MOTM]]) = 0</f>
        <v>0</v>
      </c>
      <c r="AJ1173" s="58" t="str">
        <f>IF(Fixtures[[#This Row],[APP]], Fixtures[[#This Row],[G]]+Fixtures[[#This Row],[A]], "N/A")</f>
        <v>N/A</v>
      </c>
      <c r="AK117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4" spans="1:39" ht="13">
      <c r="A1174" s="55"/>
      <c r="B1174" s="61"/>
      <c r="C1174" s="56"/>
      <c r="D1174" s="56"/>
      <c r="E1174" s="56"/>
      <c r="F1174" s="56"/>
      <c r="G1174" s="56"/>
      <c r="H1174" s="56"/>
      <c r="I1174" s="56"/>
      <c r="J1174" s="56"/>
      <c r="K1174" s="56"/>
      <c r="L1174" s="56"/>
      <c r="M1174" s="56"/>
      <c r="N1174" s="56"/>
      <c r="O1174" s="56"/>
      <c r="P1174" s="56"/>
      <c r="Q1174" s="57"/>
      <c r="R1174" s="56"/>
      <c r="S1174" s="58" t="str" cm="1">
        <f t="array" ref="S1174">_xlfn._xlws.FILTER(Competitions[compType], (Fixtures[[#This Row],[competition]] = Competitions[name]), "N/A")</f>
        <v>N/A</v>
      </c>
      <c r="T1174" s="58" t="str" cm="1">
        <f t="array" ref="T1174">_xlfn._xlws.FILTER(Competitions[exhibition], (Fixtures[[#This Row],[competition]] = Competitions[name]), "N/A")</f>
        <v>N/A</v>
      </c>
      <c r="U1174" s="58" t="str" cm="1">
        <f t="array" ref="U1174">_xlfn._xlws.FILTER(Competitions[compID], (Fixtures[[#This Row],[competition]] = Competitions[name]), "N/A")</f>
        <v>N/A</v>
      </c>
      <c r="V117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4" s="58" t="str" cm="1">
        <f t="array" ref="W117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4" s="58" t="str" cm="1">
        <f t="array" ref="X1174">_xlfn._xlws.FILTER(Teams[name], (Fixtures[[#This Row],[userTeamID]] = Teams[teamID]), "N/A")</f>
        <v>N/A</v>
      </c>
      <c r="Y1174" s="58" t="str" cm="1">
        <f t="array" ref="Y1174">_xlfn._xlws.FILTER(Teams[teamType], (Fixtures[[#This Row],[userTeamID]] = Teams[teamID]), "N/A")</f>
        <v>N/A</v>
      </c>
      <c r="Z1174" s="58" t="str" cm="1">
        <f t="array" ref="Z117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4" s="58" t="str">
        <f>IF(Fixtures[[#This Row],[userSide]] = "N/A", "N/A", IF(Fixtures[[#This Row],[userSide]] = "H", Fixtures[[#This Row],[awayTeam]], Fixtures[[#This Row],[homeTeam]]))</f>
        <v>N/A</v>
      </c>
      <c r="AB1174" s="58" t="str" cm="1">
        <f t="array" ref="AB1174">_xlfn._xlws.FILTER(Teams[teamID], Fixtures[[#This Row],[oppTeam]] = Teams[name], "N/A")</f>
        <v>N/A</v>
      </c>
      <c r="AC1174" s="58" t="str" cm="1">
        <f t="array" ref="AC1174">_xlfn._xlws.FILTER(Teams[teamType], Fixtures[[#This Row],[oppTeam]] = Teams[name], "N/A")</f>
        <v>N/A</v>
      </c>
      <c r="AD1174" s="58" t="str">
        <f>IF(ISBLANK(Fixtures[[#This Row],[date]]), "N/A", IF(Fixtures[[#This Row],[userSide]]="H", Fixtures[[#This Row],[homeScore]], Fixtures[[#This Row],[awayScore]]))</f>
        <v>N/A</v>
      </c>
      <c r="AE1174" s="58" t="str">
        <f>IF(ISBLANK(Fixtures[[#This Row],[date]]), "N/A", IF(Fixtures[[#This Row],[userScore]] = Fixtures[[#This Row],[homeScore]], Fixtures[[#This Row],[awayScore]], Fixtures[[#This Row],[homeScore]]))</f>
        <v>N/A</v>
      </c>
      <c r="AF1174" s="58" t="b">
        <f>NOT(AND(ISBLANK(Fixtures[[#This Row],[homePens]]), ISBLANK(Fixtures[[#This Row],[awayPens]])))</f>
        <v>0</v>
      </c>
      <c r="AG1174" s="58" t="str">
        <f>IF(Fixtures[[#This Row],[penalties]], IF(Fixtures[[#This Row],[userSide]]="H", Fixtures[[#This Row],[homePens]], Fixtures[[#This Row],[awayPens]]), "N/A")</f>
        <v>N/A</v>
      </c>
      <c r="AH1174" s="58" t="str">
        <f>IF(Fixtures[[#This Row],[penalties]], IF(Fixtures[[#This Row],[userPens]]=Fixtures[[#This Row],[homePens]],Fixtures[[#This Row],[awayPens]],Fixtures[[#This Row],[homePens]]), "N/A")</f>
        <v>N/A</v>
      </c>
      <c r="AI1174" s="58" t="b">
        <f>COUNTBLANK(Fixtures[[#This Row],[G]:[MOTM]]) = 0</f>
        <v>0</v>
      </c>
      <c r="AJ1174" s="58" t="str">
        <f>IF(Fixtures[[#This Row],[APP]], Fixtures[[#This Row],[G]]+Fixtures[[#This Row],[A]], "N/A")</f>
        <v>N/A</v>
      </c>
      <c r="AK117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5" spans="1:39" ht="13">
      <c r="A1175" s="55"/>
      <c r="B1175" s="61"/>
      <c r="C1175" s="56"/>
      <c r="D1175" s="56"/>
      <c r="E1175" s="56"/>
      <c r="F1175" s="56"/>
      <c r="G1175" s="56"/>
      <c r="H1175" s="56"/>
      <c r="I1175" s="56"/>
      <c r="J1175" s="56"/>
      <c r="K1175" s="56"/>
      <c r="L1175" s="56"/>
      <c r="M1175" s="56"/>
      <c r="N1175" s="56"/>
      <c r="O1175" s="56"/>
      <c r="P1175" s="56"/>
      <c r="Q1175" s="57"/>
      <c r="R1175" s="56"/>
      <c r="S1175" s="58" t="str" cm="1">
        <f t="array" ref="S1175">_xlfn._xlws.FILTER(Competitions[compType], (Fixtures[[#This Row],[competition]] = Competitions[name]), "N/A")</f>
        <v>N/A</v>
      </c>
      <c r="T1175" s="58" t="str" cm="1">
        <f t="array" ref="T1175">_xlfn._xlws.FILTER(Competitions[exhibition], (Fixtures[[#This Row],[competition]] = Competitions[name]), "N/A")</f>
        <v>N/A</v>
      </c>
      <c r="U1175" s="58" t="str" cm="1">
        <f t="array" ref="U1175">_xlfn._xlws.FILTER(Competitions[compID], (Fixtures[[#This Row],[competition]] = Competitions[name]), "N/A")</f>
        <v>N/A</v>
      </c>
      <c r="V117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5" s="58" t="str" cm="1">
        <f t="array" ref="W117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5" s="58" t="str" cm="1">
        <f t="array" ref="X1175">_xlfn._xlws.FILTER(Teams[name], (Fixtures[[#This Row],[userTeamID]] = Teams[teamID]), "N/A")</f>
        <v>N/A</v>
      </c>
      <c r="Y1175" s="58" t="str" cm="1">
        <f t="array" ref="Y1175">_xlfn._xlws.FILTER(Teams[teamType], (Fixtures[[#This Row],[userTeamID]] = Teams[teamID]), "N/A")</f>
        <v>N/A</v>
      </c>
      <c r="Z1175" s="58" t="str" cm="1">
        <f t="array" ref="Z117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5" s="58" t="str">
        <f>IF(Fixtures[[#This Row],[userSide]] = "N/A", "N/A", IF(Fixtures[[#This Row],[userSide]] = "H", Fixtures[[#This Row],[awayTeam]], Fixtures[[#This Row],[homeTeam]]))</f>
        <v>N/A</v>
      </c>
      <c r="AB1175" s="58" t="str" cm="1">
        <f t="array" ref="AB1175">_xlfn._xlws.FILTER(Teams[teamID], Fixtures[[#This Row],[oppTeam]] = Teams[name], "N/A")</f>
        <v>N/A</v>
      </c>
      <c r="AC1175" s="58" t="str" cm="1">
        <f t="array" ref="AC1175">_xlfn._xlws.FILTER(Teams[teamType], Fixtures[[#This Row],[oppTeam]] = Teams[name], "N/A")</f>
        <v>N/A</v>
      </c>
      <c r="AD1175" s="58" t="str">
        <f>IF(ISBLANK(Fixtures[[#This Row],[date]]), "N/A", IF(Fixtures[[#This Row],[userSide]]="H", Fixtures[[#This Row],[homeScore]], Fixtures[[#This Row],[awayScore]]))</f>
        <v>N/A</v>
      </c>
      <c r="AE1175" s="58" t="str">
        <f>IF(ISBLANK(Fixtures[[#This Row],[date]]), "N/A", IF(Fixtures[[#This Row],[userScore]] = Fixtures[[#This Row],[homeScore]], Fixtures[[#This Row],[awayScore]], Fixtures[[#This Row],[homeScore]]))</f>
        <v>N/A</v>
      </c>
      <c r="AF1175" s="58" t="b">
        <f>NOT(AND(ISBLANK(Fixtures[[#This Row],[homePens]]), ISBLANK(Fixtures[[#This Row],[awayPens]])))</f>
        <v>0</v>
      </c>
      <c r="AG1175" s="58" t="str">
        <f>IF(Fixtures[[#This Row],[penalties]], IF(Fixtures[[#This Row],[userSide]]="H", Fixtures[[#This Row],[homePens]], Fixtures[[#This Row],[awayPens]]), "N/A")</f>
        <v>N/A</v>
      </c>
      <c r="AH1175" s="58" t="str">
        <f>IF(Fixtures[[#This Row],[penalties]], IF(Fixtures[[#This Row],[userPens]]=Fixtures[[#This Row],[homePens]],Fixtures[[#This Row],[awayPens]],Fixtures[[#This Row],[homePens]]), "N/A")</f>
        <v>N/A</v>
      </c>
      <c r="AI1175" s="58" t="b">
        <f>COUNTBLANK(Fixtures[[#This Row],[G]:[MOTM]]) = 0</f>
        <v>0</v>
      </c>
      <c r="AJ1175" s="58" t="str">
        <f>IF(Fixtures[[#This Row],[APP]], Fixtures[[#This Row],[G]]+Fixtures[[#This Row],[A]], "N/A")</f>
        <v>N/A</v>
      </c>
      <c r="AK117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6" spans="1:39" ht="13">
      <c r="A1176" s="55"/>
      <c r="B1176" s="61"/>
      <c r="C1176" s="56"/>
      <c r="D1176" s="56"/>
      <c r="E1176" s="56"/>
      <c r="F1176" s="56"/>
      <c r="G1176" s="56"/>
      <c r="H1176" s="56"/>
      <c r="I1176" s="56"/>
      <c r="J1176" s="56"/>
      <c r="K1176" s="56"/>
      <c r="L1176" s="56"/>
      <c r="M1176" s="56"/>
      <c r="N1176" s="56"/>
      <c r="O1176" s="56"/>
      <c r="P1176" s="56"/>
      <c r="Q1176" s="57"/>
      <c r="R1176" s="56"/>
      <c r="S1176" s="58" t="str" cm="1">
        <f t="array" ref="S1176">_xlfn._xlws.FILTER(Competitions[compType], (Fixtures[[#This Row],[competition]] = Competitions[name]), "N/A")</f>
        <v>N/A</v>
      </c>
      <c r="T1176" s="58" t="str" cm="1">
        <f t="array" ref="T1176">_xlfn._xlws.FILTER(Competitions[exhibition], (Fixtures[[#This Row],[competition]] = Competitions[name]), "N/A")</f>
        <v>N/A</v>
      </c>
      <c r="U1176" s="58" t="str" cm="1">
        <f t="array" ref="U1176">_xlfn._xlws.FILTER(Competitions[compID], (Fixtures[[#This Row],[competition]] = Competitions[name]), "N/A")</f>
        <v>N/A</v>
      </c>
      <c r="V117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6" s="58" t="str" cm="1">
        <f t="array" ref="W117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6" s="58" t="str" cm="1">
        <f t="array" ref="X1176">_xlfn._xlws.FILTER(Teams[name], (Fixtures[[#This Row],[userTeamID]] = Teams[teamID]), "N/A")</f>
        <v>N/A</v>
      </c>
      <c r="Y1176" s="58" t="str" cm="1">
        <f t="array" ref="Y1176">_xlfn._xlws.FILTER(Teams[teamType], (Fixtures[[#This Row],[userTeamID]] = Teams[teamID]), "N/A")</f>
        <v>N/A</v>
      </c>
      <c r="Z1176" s="58" t="str" cm="1">
        <f t="array" ref="Z117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6" s="58" t="str">
        <f>IF(Fixtures[[#This Row],[userSide]] = "N/A", "N/A", IF(Fixtures[[#This Row],[userSide]] = "H", Fixtures[[#This Row],[awayTeam]], Fixtures[[#This Row],[homeTeam]]))</f>
        <v>N/A</v>
      </c>
      <c r="AB1176" s="58" t="str" cm="1">
        <f t="array" ref="AB1176">_xlfn._xlws.FILTER(Teams[teamID], Fixtures[[#This Row],[oppTeam]] = Teams[name], "N/A")</f>
        <v>N/A</v>
      </c>
      <c r="AC1176" s="58" t="str" cm="1">
        <f t="array" ref="AC1176">_xlfn._xlws.FILTER(Teams[teamType], Fixtures[[#This Row],[oppTeam]] = Teams[name], "N/A")</f>
        <v>N/A</v>
      </c>
      <c r="AD1176" s="58" t="str">
        <f>IF(ISBLANK(Fixtures[[#This Row],[date]]), "N/A", IF(Fixtures[[#This Row],[userSide]]="H", Fixtures[[#This Row],[homeScore]], Fixtures[[#This Row],[awayScore]]))</f>
        <v>N/A</v>
      </c>
      <c r="AE1176" s="58" t="str">
        <f>IF(ISBLANK(Fixtures[[#This Row],[date]]), "N/A", IF(Fixtures[[#This Row],[userScore]] = Fixtures[[#This Row],[homeScore]], Fixtures[[#This Row],[awayScore]], Fixtures[[#This Row],[homeScore]]))</f>
        <v>N/A</v>
      </c>
      <c r="AF1176" s="58" t="b">
        <f>NOT(AND(ISBLANK(Fixtures[[#This Row],[homePens]]), ISBLANK(Fixtures[[#This Row],[awayPens]])))</f>
        <v>0</v>
      </c>
      <c r="AG1176" s="58" t="str">
        <f>IF(Fixtures[[#This Row],[penalties]], IF(Fixtures[[#This Row],[userSide]]="H", Fixtures[[#This Row],[homePens]], Fixtures[[#This Row],[awayPens]]), "N/A")</f>
        <v>N/A</v>
      </c>
      <c r="AH1176" s="58" t="str">
        <f>IF(Fixtures[[#This Row],[penalties]], IF(Fixtures[[#This Row],[userPens]]=Fixtures[[#This Row],[homePens]],Fixtures[[#This Row],[awayPens]],Fixtures[[#This Row],[homePens]]), "N/A")</f>
        <v>N/A</v>
      </c>
      <c r="AI1176" s="58" t="b">
        <f>COUNTBLANK(Fixtures[[#This Row],[G]:[MOTM]]) = 0</f>
        <v>0</v>
      </c>
      <c r="AJ1176" s="58" t="str">
        <f>IF(Fixtures[[#This Row],[APP]], Fixtures[[#This Row],[G]]+Fixtures[[#This Row],[A]], "N/A")</f>
        <v>N/A</v>
      </c>
      <c r="AK117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7" spans="1:39" ht="13">
      <c r="A1177" s="55"/>
      <c r="B1177" s="61"/>
      <c r="C1177" s="56"/>
      <c r="D1177" s="56"/>
      <c r="E1177" s="56"/>
      <c r="F1177" s="56"/>
      <c r="G1177" s="56"/>
      <c r="H1177" s="56"/>
      <c r="I1177" s="56"/>
      <c r="J1177" s="56"/>
      <c r="K1177" s="56"/>
      <c r="L1177" s="56"/>
      <c r="M1177" s="56"/>
      <c r="N1177" s="56"/>
      <c r="O1177" s="56"/>
      <c r="P1177" s="56"/>
      <c r="Q1177" s="57"/>
      <c r="R1177" s="56"/>
      <c r="S1177" s="58" t="str" cm="1">
        <f t="array" ref="S1177">_xlfn._xlws.FILTER(Competitions[compType], (Fixtures[[#This Row],[competition]] = Competitions[name]), "N/A")</f>
        <v>N/A</v>
      </c>
      <c r="T1177" s="58" t="str" cm="1">
        <f t="array" ref="T1177">_xlfn._xlws.FILTER(Competitions[exhibition], (Fixtures[[#This Row],[competition]] = Competitions[name]), "N/A")</f>
        <v>N/A</v>
      </c>
      <c r="U1177" s="58" t="str" cm="1">
        <f t="array" ref="U1177">_xlfn._xlws.FILTER(Competitions[compID], (Fixtures[[#This Row],[competition]] = Competitions[name]), "N/A")</f>
        <v>N/A</v>
      </c>
      <c r="V117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7" s="58" t="str" cm="1">
        <f t="array" ref="W117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7" s="58" t="str" cm="1">
        <f t="array" ref="X1177">_xlfn._xlws.FILTER(Teams[name], (Fixtures[[#This Row],[userTeamID]] = Teams[teamID]), "N/A")</f>
        <v>N/A</v>
      </c>
      <c r="Y1177" s="58" t="str" cm="1">
        <f t="array" ref="Y1177">_xlfn._xlws.FILTER(Teams[teamType], (Fixtures[[#This Row],[userTeamID]] = Teams[teamID]), "N/A")</f>
        <v>N/A</v>
      </c>
      <c r="Z1177" s="58" t="str" cm="1">
        <f t="array" ref="Z117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7" s="58" t="str">
        <f>IF(Fixtures[[#This Row],[userSide]] = "N/A", "N/A", IF(Fixtures[[#This Row],[userSide]] = "H", Fixtures[[#This Row],[awayTeam]], Fixtures[[#This Row],[homeTeam]]))</f>
        <v>N/A</v>
      </c>
      <c r="AB1177" s="58" t="str" cm="1">
        <f t="array" ref="AB1177">_xlfn._xlws.FILTER(Teams[teamID], Fixtures[[#This Row],[oppTeam]] = Teams[name], "N/A")</f>
        <v>N/A</v>
      </c>
      <c r="AC1177" s="58" t="str" cm="1">
        <f t="array" ref="AC1177">_xlfn._xlws.FILTER(Teams[teamType], Fixtures[[#This Row],[oppTeam]] = Teams[name], "N/A")</f>
        <v>N/A</v>
      </c>
      <c r="AD1177" s="58" t="str">
        <f>IF(ISBLANK(Fixtures[[#This Row],[date]]), "N/A", IF(Fixtures[[#This Row],[userSide]]="H", Fixtures[[#This Row],[homeScore]], Fixtures[[#This Row],[awayScore]]))</f>
        <v>N/A</v>
      </c>
      <c r="AE1177" s="58" t="str">
        <f>IF(ISBLANK(Fixtures[[#This Row],[date]]), "N/A", IF(Fixtures[[#This Row],[userScore]] = Fixtures[[#This Row],[homeScore]], Fixtures[[#This Row],[awayScore]], Fixtures[[#This Row],[homeScore]]))</f>
        <v>N/A</v>
      </c>
      <c r="AF1177" s="58" t="b">
        <f>NOT(AND(ISBLANK(Fixtures[[#This Row],[homePens]]), ISBLANK(Fixtures[[#This Row],[awayPens]])))</f>
        <v>0</v>
      </c>
      <c r="AG1177" s="58" t="str">
        <f>IF(Fixtures[[#This Row],[penalties]], IF(Fixtures[[#This Row],[userSide]]="H", Fixtures[[#This Row],[homePens]], Fixtures[[#This Row],[awayPens]]), "N/A")</f>
        <v>N/A</v>
      </c>
      <c r="AH1177" s="58" t="str">
        <f>IF(Fixtures[[#This Row],[penalties]], IF(Fixtures[[#This Row],[userPens]]=Fixtures[[#This Row],[homePens]],Fixtures[[#This Row],[awayPens]],Fixtures[[#This Row],[homePens]]), "N/A")</f>
        <v>N/A</v>
      </c>
      <c r="AI1177" s="58" t="b">
        <f>COUNTBLANK(Fixtures[[#This Row],[G]:[MOTM]]) = 0</f>
        <v>0</v>
      </c>
      <c r="AJ1177" s="58" t="str">
        <f>IF(Fixtures[[#This Row],[APP]], Fixtures[[#This Row],[G]]+Fixtures[[#This Row],[A]], "N/A")</f>
        <v>N/A</v>
      </c>
      <c r="AK117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8" spans="1:39" ht="13">
      <c r="A1178" s="55"/>
      <c r="B1178" s="61"/>
      <c r="C1178" s="56"/>
      <c r="D1178" s="56"/>
      <c r="E1178" s="56"/>
      <c r="F1178" s="56"/>
      <c r="G1178" s="56"/>
      <c r="H1178" s="56"/>
      <c r="I1178" s="56"/>
      <c r="J1178" s="56"/>
      <c r="K1178" s="56"/>
      <c r="L1178" s="56"/>
      <c r="M1178" s="56"/>
      <c r="N1178" s="56"/>
      <c r="O1178" s="56"/>
      <c r="P1178" s="56"/>
      <c r="Q1178" s="57"/>
      <c r="R1178" s="56"/>
      <c r="S1178" s="58" t="str" cm="1">
        <f t="array" ref="S1178">_xlfn._xlws.FILTER(Competitions[compType], (Fixtures[[#This Row],[competition]] = Competitions[name]), "N/A")</f>
        <v>N/A</v>
      </c>
      <c r="T1178" s="58" t="str" cm="1">
        <f t="array" ref="T1178">_xlfn._xlws.FILTER(Competitions[exhibition], (Fixtures[[#This Row],[competition]] = Competitions[name]), "N/A")</f>
        <v>N/A</v>
      </c>
      <c r="U1178" s="58" t="str" cm="1">
        <f t="array" ref="U1178">_xlfn._xlws.FILTER(Competitions[compID], (Fixtures[[#This Row],[competition]] = Competitions[name]), "N/A")</f>
        <v>N/A</v>
      </c>
      <c r="V117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8" s="58" t="str" cm="1">
        <f t="array" ref="W117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8" s="58" t="str" cm="1">
        <f t="array" ref="X1178">_xlfn._xlws.FILTER(Teams[name], (Fixtures[[#This Row],[userTeamID]] = Teams[teamID]), "N/A")</f>
        <v>N/A</v>
      </c>
      <c r="Y1178" s="58" t="str" cm="1">
        <f t="array" ref="Y1178">_xlfn._xlws.FILTER(Teams[teamType], (Fixtures[[#This Row],[userTeamID]] = Teams[teamID]), "N/A")</f>
        <v>N/A</v>
      </c>
      <c r="Z1178" s="58" t="str" cm="1">
        <f t="array" ref="Z117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8" s="58" t="str">
        <f>IF(Fixtures[[#This Row],[userSide]] = "N/A", "N/A", IF(Fixtures[[#This Row],[userSide]] = "H", Fixtures[[#This Row],[awayTeam]], Fixtures[[#This Row],[homeTeam]]))</f>
        <v>N/A</v>
      </c>
      <c r="AB1178" s="58" t="str" cm="1">
        <f t="array" ref="AB1178">_xlfn._xlws.FILTER(Teams[teamID], Fixtures[[#This Row],[oppTeam]] = Teams[name], "N/A")</f>
        <v>N/A</v>
      </c>
      <c r="AC1178" s="58" t="str" cm="1">
        <f t="array" ref="AC1178">_xlfn._xlws.FILTER(Teams[teamType], Fixtures[[#This Row],[oppTeam]] = Teams[name], "N/A")</f>
        <v>N/A</v>
      </c>
      <c r="AD1178" s="58" t="str">
        <f>IF(ISBLANK(Fixtures[[#This Row],[date]]), "N/A", IF(Fixtures[[#This Row],[userSide]]="H", Fixtures[[#This Row],[homeScore]], Fixtures[[#This Row],[awayScore]]))</f>
        <v>N/A</v>
      </c>
      <c r="AE1178" s="58" t="str">
        <f>IF(ISBLANK(Fixtures[[#This Row],[date]]), "N/A", IF(Fixtures[[#This Row],[userScore]] = Fixtures[[#This Row],[homeScore]], Fixtures[[#This Row],[awayScore]], Fixtures[[#This Row],[homeScore]]))</f>
        <v>N/A</v>
      </c>
      <c r="AF1178" s="58" t="b">
        <f>NOT(AND(ISBLANK(Fixtures[[#This Row],[homePens]]), ISBLANK(Fixtures[[#This Row],[awayPens]])))</f>
        <v>0</v>
      </c>
      <c r="AG1178" s="58" t="str">
        <f>IF(Fixtures[[#This Row],[penalties]], IF(Fixtures[[#This Row],[userSide]]="H", Fixtures[[#This Row],[homePens]], Fixtures[[#This Row],[awayPens]]), "N/A")</f>
        <v>N/A</v>
      </c>
      <c r="AH1178" s="58" t="str">
        <f>IF(Fixtures[[#This Row],[penalties]], IF(Fixtures[[#This Row],[userPens]]=Fixtures[[#This Row],[homePens]],Fixtures[[#This Row],[awayPens]],Fixtures[[#This Row],[homePens]]), "N/A")</f>
        <v>N/A</v>
      </c>
      <c r="AI1178" s="58" t="b">
        <f>COUNTBLANK(Fixtures[[#This Row],[G]:[MOTM]]) = 0</f>
        <v>0</v>
      </c>
      <c r="AJ1178" s="58" t="str">
        <f>IF(Fixtures[[#This Row],[APP]], Fixtures[[#This Row],[G]]+Fixtures[[#This Row],[A]], "N/A")</f>
        <v>N/A</v>
      </c>
      <c r="AK117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79" spans="1:39" ht="13">
      <c r="A1179" s="55"/>
      <c r="B1179" s="61"/>
      <c r="C1179" s="56"/>
      <c r="D1179" s="56"/>
      <c r="E1179" s="56"/>
      <c r="F1179" s="56"/>
      <c r="G1179" s="56"/>
      <c r="H1179" s="56"/>
      <c r="I1179" s="56"/>
      <c r="J1179" s="56"/>
      <c r="K1179" s="56"/>
      <c r="L1179" s="56"/>
      <c r="M1179" s="56"/>
      <c r="N1179" s="56"/>
      <c r="O1179" s="56"/>
      <c r="P1179" s="56"/>
      <c r="Q1179" s="57"/>
      <c r="R1179" s="56"/>
      <c r="S1179" s="58" t="str" cm="1">
        <f t="array" ref="S1179">_xlfn._xlws.FILTER(Competitions[compType], (Fixtures[[#This Row],[competition]] = Competitions[name]), "N/A")</f>
        <v>N/A</v>
      </c>
      <c r="T1179" s="58" t="str" cm="1">
        <f t="array" ref="T1179">_xlfn._xlws.FILTER(Competitions[exhibition], (Fixtures[[#This Row],[competition]] = Competitions[name]), "N/A")</f>
        <v>N/A</v>
      </c>
      <c r="U1179" s="58" t="str" cm="1">
        <f t="array" ref="U1179">_xlfn._xlws.FILTER(Competitions[compID], (Fixtures[[#This Row],[competition]] = Competitions[name]), "N/A")</f>
        <v>N/A</v>
      </c>
      <c r="V117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79" s="58" t="str" cm="1">
        <f t="array" ref="W117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79" s="58" t="str" cm="1">
        <f t="array" ref="X1179">_xlfn._xlws.FILTER(Teams[name], (Fixtures[[#This Row],[userTeamID]] = Teams[teamID]), "N/A")</f>
        <v>N/A</v>
      </c>
      <c r="Y1179" s="58" t="str" cm="1">
        <f t="array" ref="Y1179">_xlfn._xlws.FILTER(Teams[teamType], (Fixtures[[#This Row],[userTeamID]] = Teams[teamID]), "N/A")</f>
        <v>N/A</v>
      </c>
      <c r="Z1179" s="58" t="str" cm="1">
        <f t="array" ref="Z117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79" s="58" t="str">
        <f>IF(Fixtures[[#This Row],[userSide]] = "N/A", "N/A", IF(Fixtures[[#This Row],[userSide]] = "H", Fixtures[[#This Row],[awayTeam]], Fixtures[[#This Row],[homeTeam]]))</f>
        <v>N/A</v>
      </c>
      <c r="AB1179" s="58" t="str" cm="1">
        <f t="array" ref="AB1179">_xlfn._xlws.FILTER(Teams[teamID], Fixtures[[#This Row],[oppTeam]] = Teams[name], "N/A")</f>
        <v>N/A</v>
      </c>
      <c r="AC1179" s="58" t="str" cm="1">
        <f t="array" ref="AC1179">_xlfn._xlws.FILTER(Teams[teamType], Fixtures[[#This Row],[oppTeam]] = Teams[name], "N/A")</f>
        <v>N/A</v>
      </c>
      <c r="AD1179" s="58" t="str">
        <f>IF(ISBLANK(Fixtures[[#This Row],[date]]), "N/A", IF(Fixtures[[#This Row],[userSide]]="H", Fixtures[[#This Row],[homeScore]], Fixtures[[#This Row],[awayScore]]))</f>
        <v>N/A</v>
      </c>
      <c r="AE1179" s="58" t="str">
        <f>IF(ISBLANK(Fixtures[[#This Row],[date]]), "N/A", IF(Fixtures[[#This Row],[userScore]] = Fixtures[[#This Row],[homeScore]], Fixtures[[#This Row],[awayScore]], Fixtures[[#This Row],[homeScore]]))</f>
        <v>N/A</v>
      </c>
      <c r="AF1179" s="58" t="b">
        <f>NOT(AND(ISBLANK(Fixtures[[#This Row],[homePens]]), ISBLANK(Fixtures[[#This Row],[awayPens]])))</f>
        <v>0</v>
      </c>
      <c r="AG1179" s="58" t="str">
        <f>IF(Fixtures[[#This Row],[penalties]], IF(Fixtures[[#This Row],[userSide]]="H", Fixtures[[#This Row],[homePens]], Fixtures[[#This Row],[awayPens]]), "N/A")</f>
        <v>N/A</v>
      </c>
      <c r="AH1179" s="58" t="str">
        <f>IF(Fixtures[[#This Row],[penalties]], IF(Fixtures[[#This Row],[userPens]]=Fixtures[[#This Row],[homePens]],Fixtures[[#This Row],[awayPens]],Fixtures[[#This Row],[homePens]]), "N/A")</f>
        <v>N/A</v>
      </c>
      <c r="AI1179" s="58" t="b">
        <f>COUNTBLANK(Fixtures[[#This Row],[G]:[MOTM]]) = 0</f>
        <v>0</v>
      </c>
      <c r="AJ1179" s="58" t="str">
        <f>IF(Fixtures[[#This Row],[APP]], Fixtures[[#This Row],[G]]+Fixtures[[#This Row],[A]], "N/A")</f>
        <v>N/A</v>
      </c>
      <c r="AK117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7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7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0" spans="1:39" ht="13">
      <c r="A1180" s="55"/>
      <c r="B1180" s="61"/>
      <c r="C1180" s="56"/>
      <c r="D1180" s="56"/>
      <c r="E1180" s="56"/>
      <c r="F1180" s="56"/>
      <c r="G1180" s="56"/>
      <c r="H1180" s="56"/>
      <c r="I1180" s="56"/>
      <c r="J1180" s="56"/>
      <c r="K1180" s="56"/>
      <c r="L1180" s="56"/>
      <c r="M1180" s="56"/>
      <c r="N1180" s="56"/>
      <c r="O1180" s="56"/>
      <c r="P1180" s="56"/>
      <c r="Q1180" s="57"/>
      <c r="R1180" s="56"/>
      <c r="S1180" s="58" t="str" cm="1">
        <f t="array" ref="S1180">_xlfn._xlws.FILTER(Competitions[compType], (Fixtures[[#This Row],[competition]] = Competitions[name]), "N/A")</f>
        <v>N/A</v>
      </c>
      <c r="T1180" s="58" t="str" cm="1">
        <f t="array" ref="T1180">_xlfn._xlws.FILTER(Competitions[exhibition], (Fixtures[[#This Row],[competition]] = Competitions[name]), "N/A")</f>
        <v>N/A</v>
      </c>
      <c r="U1180" s="58" t="str" cm="1">
        <f t="array" ref="U1180">_xlfn._xlws.FILTER(Competitions[compID], (Fixtures[[#This Row],[competition]] = Competitions[name]), "N/A")</f>
        <v>N/A</v>
      </c>
      <c r="V118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0" s="58" t="str" cm="1">
        <f t="array" ref="W118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0" s="58" t="str" cm="1">
        <f t="array" ref="X1180">_xlfn._xlws.FILTER(Teams[name], (Fixtures[[#This Row],[userTeamID]] = Teams[teamID]), "N/A")</f>
        <v>N/A</v>
      </c>
      <c r="Y1180" s="58" t="str" cm="1">
        <f t="array" ref="Y1180">_xlfn._xlws.FILTER(Teams[teamType], (Fixtures[[#This Row],[userTeamID]] = Teams[teamID]), "N/A")</f>
        <v>N/A</v>
      </c>
      <c r="Z1180" s="58" t="str" cm="1">
        <f t="array" ref="Z118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0" s="58" t="str">
        <f>IF(Fixtures[[#This Row],[userSide]] = "N/A", "N/A", IF(Fixtures[[#This Row],[userSide]] = "H", Fixtures[[#This Row],[awayTeam]], Fixtures[[#This Row],[homeTeam]]))</f>
        <v>N/A</v>
      </c>
      <c r="AB1180" s="58" t="str" cm="1">
        <f t="array" ref="AB1180">_xlfn._xlws.FILTER(Teams[teamID], Fixtures[[#This Row],[oppTeam]] = Teams[name], "N/A")</f>
        <v>N/A</v>
      </c>
      <c r="AC1180" s="58" t="str" cm="1">
        <f t="array" ref="AC1180">_xlfn._xlws.FILTER(Teams[teamType], Fixtures[[#This Row],[oppTeam]] = Teams[name], "N/A")</f>
        <v>N/A</v>
      </c>
      <c r="AD1180" s="58" t="str">
        <f>IF(ISBLANK(Fixtures[[#This Row],[date]]), "N/A", IF(Fixtures[[#This Row],[userSide]]="H", Fixtures[[#This Row],[homeScore]], Fixtures[[#This Row],[awayScore]]))</f>
        <v>N/A</v>
      </c>
      <c r="AE1180" s="58" t="str">
        <f>IF(ISBLANK(Fixtures[[#This Row],[date]]), "N/A", IF(Fixtures[[#This Row],[userScore]] = Fixtures[[#This Row],[homeScore]], Fixtures[[#This Row],[awayScore]], Fixtures[[#This Row],[homeScore]]))</f>
        <v>N/A</v>
      </c>
      <c r="AF1180" s="58" t="b">
        <f>NOT(AND(ISBLANK(Fixtures[[#This Row],[homePens]]), ISBLANK(Fixtures[[#This Row],[awayPens]])))</f>
        <v>0</v>
      </c>
      <c r="AG1180" s="58" t="str">
        <f>IF(Fixtures[[#This Row],[penalties]], IF(Fixtures[[#This Row],[userSide]]="H", Fixtures[[#This Row],[homePens]], Fixtures[[#This Row],[awayPens]]), "N/A")</f>
        <v>N/A</v>
      </c>
      <c r="AH1180" s="58" t="str">
        <f>IF(Fixtures[[#This Row],[penalties]], IF(Fixtures[[#This Row],[userPens]]=Fixtures[[#This Row],[homePens]],Fixtures[[#This Row],[awayPens]],Fixtures[[#This Row],[homePens]]), "N/A")</f>
        <v>N/A</v>
      </c>
      <c r="AI1180" s="58" t="b">
        <f>COUNTBLANK(Fixtures[[#This Row],[G]:[MOTM]]) = 0</f>
        <v>0</v>
      </c>
      <c r="AJ1180" s="58" t="str">
        <f>IF(Fixtures[[#This Row],[APP]], Fixtures[[#This Row],[G]]+Fixtures[[#This Row],[A]], "N/A")</f>
        <v>N/A</v>
      </c>
      <c r="AK118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1" spans="1:39" ht="13">
      <c r="A1181" s="55"/>
      <c r="B1181" s="61"/>
      <c r="C1181" s="56"/>
      <c r="D1181" s="56"/>
      <c r="E1181" s="56"/>
      <c r="F1181" s="56"/>
      <c r="G1181" s="56"/>
      <c r="H1181" s="56"/>
      <c r="I1181" s="56"/>
      <c r="J1181" s="56"/>
      <c r="K1181" s="56"/>
      <c r="L1181" s="56"/>
      <c r="M1181" s="56"/>
      <c r="N1181" s="56"/>
      <c r="O1181" s="56"/>
      <c r="P1181" s="56"/>
      <c r="Q1181" s="57"/>
      <c r="R1181" s="56"/>
      <c r="S1181" s="58" t="str" cm="1">
        <f t="array" ref="S1181">_xlfn._xlws.FILTER(Competitions[compType], (Fixtures[[#This Row],[competition]] = Competitions[name]), "N/A")</f>
        <v>N/A</v>
      </c>
      <c r="T1181" s="58" t="str" cm="1">
        <f t="array" ref="T1181">_xlfn._xlws.FILTER(Competitions[exhibition], (Fixtures[[#This Row],[competition]] = Competitions[name]), "N/A")</f>
        <v>N/A</v>
      </c>
      <c r="U1181" s="58" t="str" cm="1">
        <f t="array" ref="U1181">_xlfn._xlws.FILTER(Competitions[compID], (Fixtures[[#This Row],[competition]] = Competitions[name]), "N/A")</f>
        <v>N/A</v>
      </c>
      <c r="V118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1" s="58" t="str" cm="1">
        <f t="array" ref="W118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1" s="58" t="str" cm="1">
        <f t="array" ref="X1181">_xlfn._xlws.FILTER(Teams[name], (Fixtures[[#This Row],[userTeamID]] = Teams[teamID]), "N/A")</f>
        <v>N/A</v>
      </c>
      <c r="Y1181" s="58" t="str" cm="1">
        <f t="array" ref="Y1181">_xlfn._xlws.FILTER(Teams[teamType], (Fixtures[[#This Row],[userTeamID]] = Teams[teamID]), "N/A")</f>
        <v>N/A</v>
      </c>
      <c r="Z1181" s="58" t="str" cm="1">
        <f t="array" ref="Z118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1" s="58" t="str">
        <f>IF(Fixtures[[#This Row],[userSide]] = "N/A", "N/A", IF(Fixtures[[#This Row],[userSide]] = "H", Fixtures[[#This Row],[awayTeam]], Fixtures[[#This Row],[homeTeam]]))</f>
        <v>N/A</v>
      </c>
      <c r="AB1181" s="58" t="str" cm="1">
        <f t="array" ref="AB1181">_xlfn._xlws.FILTER(Teams[teamID], Fixtures[[#This Row],[oppTeam]] = Teams[name], "N/A")</f>
        <v>N/A</v>
      </c>
      <c r="AC1181" s="58" t="str" cm="1">
        <f t="array" ref="AC1181">_xlfn._xlws.FILTER(Teams[teamType], Fixtures[[#This Row],[oppTeam]] = Teams[name], "N/A")</f>
        <v>N/A</v>
      </c>
      <c r="AD1181" s="58" t="str">
        <f>IF(ISBLANK(Fixtures[[#This Row],[date]]), "N/A", IF(Fixtures[[#This Row],[userSide]]="H", Fixtures[[#This Row],[homeScore]], Fixtures[[#This Row],[awayScore]]))</f>
        <v>N/A</v>
      </c>
      <c r="AE1181" s="58" t="str">
        <f>IF(ISBLANK(Fixtures[[#This Row],[date]]), "N/A", IF(Fixtures[[#This Row],[userScore]] = Fixtures[[#This Row],[homeScore]], Fixtures[[#This Row],[awayScore]], Fixtures[[#This Row],[homeScore]]))</f>
        <v>N/A</v>
      </c>
      <c r="AF1181" s="58" t="b">
        <f>NOT(AND(ISBLANK(Fixtures[[#This Row],[homePens]]), ISBLANK(Fixtures[[#This Row],[awayPens]])))</f>
        <v>0</v>
      </c>
      <c r="AG1181" s="58" t="str">
        <f>IF(Fixtures[[#This Row],[penalties]], IF(Fixtures[[#This Row],[userSide]]="H", Fixtures[[#This Row],[homePens]], Fixtures[[#This Row],[awayPens]]), "N/A")</f>
        <v>N/A</v>
      </c>
      <c r="AH1181" s="58" t="str">
        <f>IF(Fixtures[[#This Row],[penalties]], IF(Fixtures[[#This Row],[userPens]]=Fixtures[[#This Row],[homePens]],Fixtures[[#This Row],[awayPens]],Fixtures[[#This Row],[homePens]]), "N/A")</f>
        <v>N/A</v>
      </c>
      <c r="AI1181" s="58" t="b">
        <f>COUNTBLANK(Fixtures[[#This Row],[G]:[MOTM]]) = 0</f>
        <v>0</v>
      </c>
      <c r="AJ1181" s="58" t="str">
        <f>IF(Fixtures[[#This Row],[APP]], Fixtures[[#This Row],[G]]+Fixtures[[#This Row],[A]], "N/A")</f>
        <v>N/A</v>
      </c>
      <c r="AK118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2" spans="1:39" ht="13">
      <c r="A1182" s="55"/>
      <c r="B1182" s="61"/>
      <c r="C1182" s="56"/>
      <c r="D1182" s="56"/>
      <c r="E1182" s="56"/>
      <c r="F1182" s="56"/>
      <c r="G1182" s="56"/>
      <c r="H1182" s="56"/>
      <c r="I1182" s="56"/>
      <c r="J1182" s="56"/>
      <c r="K1182" s="56"/>
      <c r="L1182" s="56"/>
      <c r="M1182" s="56"/>
      <c r="N1182" s="56"/>
      <c r="O1182" s="56"/>
      <c r="P1182" s="56"/>
      <c r="Q1182" s="57"/>
      <c r="R1182" s="56"/>
      <c r="S1182" s="58" t="str" cm="1">
        <f t="array" ref="S1182">_xlfn._xlws.FILTER(Competitions[compType], (Fixtures[[#This Row],[competition]] = Competitions[name]), "N/A")</f>
        <v>N/A</v>
      </c>
      <c r="T1182" s="58" t="str" cm="1">
        <f t="array" ref="T1182">_xlfn._xlws.FILTER(Competitions[exhibition], (Fixtures[[#This Row],[competition]] = Competitions[name]), "N/A")</f>
        <v>N/A</v>
      </c>
      <c r="U1182" s="58" t="str" cm="1">
        <f t="array" ref="U1182">_xlfn._xlws.FILTER(Competitions[compID], (Fixtures[[#This Row],[competition]] = Competitions[name]), "N/A")</f>
        <v>N/A</v>
      </c>
      <c r="V118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2" s="58" t="str" cm="1">
        <f t="array" ref="W118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2" s="58" t="str" cm="1">
        <f t="array" ref="X1182">_xlfn._xlws.FILTER(Teams[name], (Fixtures[[#This Row],[userTeamID]] = Teams[teamID]), "N/A")</f>
        <v>N/A</v>
      </c>
      <c r="Y1182" s="58" t="str" cm="1">
        <f t="array" ref="Y1182">_xlfn._xlws.FILTER(Teams[teamType], (Fixtures[[#This Row],[userTeamID]] = Teams[teamID]), "N/A")</f>
        <v>N/A</v>
      </c>
      <c r="Z1182" s="58" t="str" cm="1">
        <f t="array" ref="Z118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2" s="58" t="str">
        <f>IF(Fixtures[[#This Row],[userSide]] = "N/A", "N/A", IF(Fixtures[[#This Row],[userSide]] = "H", Fixtures[[#This Row],[awayTeam]], Fixtures[[#This Row],[homeTeam]]))</f>
        <v>N/A</v>
      </c>
      <c r="AB1182" s="58" t="str" cm="1">
        <f t="array" ref="AB1182">_xlfn._xlws.FILTER(Teams[teamID], Fixtures[[#This Row],[oppTeam]] = Teams[name], "N/A")</f>
        <v>N/A</v>
      </c>
      <c r="AC1182" s="58" t="str" cm="1">
        <f t="array" ref="AC1182">_xlfn._xlws.FILTER(Teams[teamType], Fixtures[[#This Row],[oppTeam]] = Teams[name], "N/A")</f>
        <v>N/A</v>
      </c>
      <c r="AD1182" s="58" t="str">
        <f>IF(ISBLANK(Fixtures[[#This Row],[date]]), "N/A", IF(Fixtures[[#This Row],[userSide]]="H", Fixtures[[#This Row],[homeScore]], Fixtures[[#This Row],[awayScore]]))</f>
        <v>N/A</v>
      </c>
      <c r="AE1182" s="58" t="str">
        <f>IF(ISBLANK(Fixtures[[#This Row],[date]]), "N/A", IF(Fixtures[[#This Row],[userScore]] = Fixtures[[#This Row],[homeScore]], Fixtures[[#This Row],[awayScore]], Fixtures[[#This Row],[homeScore]]))</f>
        <v>N/A</v>
      </c>
      <c r="AF1182" s="58" t="b">
        <f>NOT(AND(ISBLANK(Fixtures[[#This Row],[homePens]]), ISBLANK(Fixtures[[#This Row],[awayPens]])))</f>
        <v>0</v>
      </c>
      <c r="AG1182" s="58" t="str">
        <f>IF(Fixtures[[#This Row],[penalties]], IF(Fixtures[[#This Row],[userSide]]="H", Fixtures[[#This Row],[homePens]], Fixtures[[#This Row],[awayPens]]), "N/A")</f>
        <v>N/A</v>
      </c>
      <c r="AH1182" s="58" t="str">
        <f>IF(Fixtures[[#This Row],[penalties]], IF(Fixtures[[#This Row],[userPens]]=Fixtures[[#This Row],[homePens]],Fixtures[[#This Row],[awayPens]],Fixtures[[#This Row],[homePens]]), "N/A")</f>
        <v>N/A</v>
      </c>
      <c r="AI1182" s="58" t="b">
        <f>COUNTBLANK(Fixtures[[#This Row],[G]:[MOTM]]) = 0</f>
        <v>0</v>
      </c>
      <c r="AJ1182" s="58" t="str">
        <f>IF(Fixtures[[#This Row],[APP]], Fixtures[[#This Row],[G]]+Fixtures[[#This Row],[A]], "N/A")</f>
        <v>N/A</v>
      </c>
      <c r="AK118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3" spans="1:39" ht="13">
      <c r="A1183" s="55"/>
      <c r="B1183" s="61"/>
      <c r="C1183" s="56"/>
      <c r="D1183" s="56"/>
      <c r="E1183" s="56"/>
      <c r="F1183" s="56"/>
      <c r="G1183" s="56"/>
      <c r="H1183" s="56"/>
      <c r="I1183" s="56"/>
      <c r="J1183" s="56"/>
      <c r="K1183" s="56"/>
      <c r="L1183" s="56"/>
      <c r="M1183" s="56"/>
      <c r="N1183" s="56"/>
      <c r="O1183" s="56"/>
      <c r="P1183" s="56"/>
      <c r="Q1183" s="57"/>
      <c r="R1183" s="56"/>
      <c r="S1183" s="58" t="str" cm="1">
        <f t="array" ref="S1183">_xlfn._xlws.FILTER(Competitions[compType], (Fixtures[[#This Row],[competition]] = Competitions[name]), "N/A")</f>
        <v>N/A</v>
      </c>
      <c r="T1183" s="58" t="str" cm="1">
        <f t="array" ref="T1183">_xlfn._xlws.FILTER(Competitions[exhibition], (Fixtures[[#This Row],[competition]] = Competitions[name]), "N/A")</f>
        <v>N/A</v>
      </c>
      <c r="U1183" s="58" t="str" cm="1">
        <f t="array" ref="U1183">_xlfn._xlws.FILTER(Competitions[compID], (Fixtures[[#This Row],[competition]] = Competitions[name]), "N/A")</f>
        <v>N/A</v>
      </c>
      <c r="V118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3" s="58" t="str" cm="1">
        <f t="array" ref="W118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3" s="58" t="str" cm="1">
        <f t="array" ref="X1183">_xlfn._xlws.FILTER(Teams[name], (Fixtures[[#This Row],[userTeamID]] = Teams[teamID]), "N/A")</f>
        <v>N/A</v>
      </c>
      <c r="Y1183" s="58" t="str" cm="1">
        <f t="array" ref="Y1183">_xlfn._xlws.FILTER(Teams[teamType], (Fixtures[[#This Row],[userTeamID]] = Teams[teamID]), "N/A")</f>
        <v>N/A</v>
      </c>
      <c r="Z1183" s="58" t="str" cm="1">
        <f t="array" ref="Z118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3" s="58" t="str">
        <f>IF(Fixtures[[#This Row],[userSide]] = "N/A", "N/A", IF(Fixtures[[#This Row],[userSide]] = "H", Fixtures[[#This Row],[awayTeam]], Fixtures[[#This Row],[homeTeam]]))</f>
        <v>N/A</v>
      </c>
      <c r="AB1183" s="58" t="str" cm="1">
        <f t="array" ref="AB1183">_xlfn._xlws.FILTER(Teams[teamID], Fixtures[[#This Row],[oppTeam]] = Teams[name], "N/A")</f>
        <v>N/A</v>
      </c>
      <c r="AC1183" s="58" t="str" cm="1">
        <f t="array" ref="AC1183">_xlfn._xlws.FILTER(Teams[teamType], Fixtures[[#This Row],[oppTeam]] = Teams[name], "N/A")</f>
        <v>N/A</v>
      </c>
      <c r="AD1183" s="58" t="str">
        <f>IF(ISBLANK(Fixtures[[#This Row],[date]]), "N/A", IF(Fixtures[[#This Row],[userSide]]="H", Fixtures[[#This Row],[homeScore]], Fixtures[[#This Row],[awayScore]]))</f>
        <v>N/A</v>
      </c>
      <c r="AE1183" s="58" t="str">
        <f>IF(ISBLANK(Fixtures[[#This Row],[date]]), "N/A", IF(Fixtures[[#This Row],[userScore]] = Fixtures[[#This Row],[homeScore]], Fixtures[[#This Row],[awayScore]], Fixtures[[#This Row],[homeScore]]))</f>
        <v>N/A</v>
      </c>
      <c r="AF1183" s="58" t="b">
        <f>NOT(AND(ISBLANK(Fixtures[[#This Row],[homePens]]), ISBLANK(Fixtures[[#This Row],[awayPens]])))</f>
        <v>0</v>
      </c>
      <c r="AG1183" s="58" t="str">
        <f>IF(Fixtures[[#This Row],[penalties]], IF(Fixtures[[#This Row],[userSide]]="H", Fixtures[[#This Row],[homePens]], Fixtures[[#This Row],[awayPens]]), "N/A")</f>
        <v>N/A</v>
      </c>
      <c r="AH1183" s="58" t="str">
        <f>IF(Fixtures[[#This Row],[penalties]], IF(Fixtures[[#This Row],[userPens]]=Fixtures[[#This Row],[homePens]],Fixtures[[#This Row],[awayPens]],Fixtures[[#This Row],[homePens]]), "N/A")</f>
        <v>N/A</v>
      </c>
      <c r="AI1183" s="58" t="b">
        <f>COUNTBLANK(Fixtures[[#This Row],[G]:[MOTM]]) = 0</f>
        <v>0</v>
      </c>
      <c r="AJ1183" s="58" t="str">
        <f>IF(Fixtures[[#This Row],[APP]], Fixtures[[#This Row],[G]]+Fixtures[[#This Row],[A]], "N/A")</f>
        <v>N/A</v>
      </c>
      <c r="AK118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4" spans="1:39" ht="13">
      <c r="A1184" s="55"/>
      <c r="B1184" s="61"/>
      <c r="C1184" s="56"/>
      <c r="D1184" s="56"/>
      <c r="E1184" s="56"/>
      <c r="F1184" s="56"/>
      <c r="G1184" s="56"/>
      <c r="H1184" s="56"/>
      <c r="I1184" s="56"/>
      <c r="J1184" s="56"/>
      <c r="K1184" s="56"/>
      <c r="L1184" s="56"/>
      <c r="M1184" s="56"/>
      <c r="N1184" s="56"/>
      <c r="O1184" s="56"/>
      <c r="P1184" s="56"/>
      <c r="Q1184" s="57"/>
      <c r="R1184" s="56"/>
      <c r="S1184" s="58" t="str" cm="1">
        <f t="array" ref="S1184">_xlfn._xlws.FILTER(Competitions[compType], (Fixtures[[#This Row],[competition]] = Competitions[name]), "N/A")</f>
        <v>N/A</v>
      </c>
      <c r="T1184" s="58" t="str" cm="1">
        <f t="array" ref="T1184">_xlfn._xlws.FILTER(Competitions[exhibition], (Fixtures[[#This Row],[competition]] = Competitions[name]), "N/A")</f>
        <v>N/A</v>
      </c>
      <c r="U1184" s="58" t="str" cm="1">
        <f t="array" ref="U1184">_xlfn._xlws.FILTER(Competitions[compID], (Fixtures[[#This Row],[competition]] = Competitions[name]), "N/A")</f>
        <v>N/A</v>
      </c>
      <c r="V118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4" s="58" t="str" cm="1">
        <f t="array" ref="W118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4" s="58" t="str" cm="1">
        <f t="array" ref="X1184">_xlfn._xlws.FILTER(Teams[name], (Fixtures[[#This Row],[userTeamID]] = Teams[teamID]), "N/A")</f>
        <v>N/A</v>
      </c>
      <c r="Y1184" s="58" t="str" cm="1">
        <f t="array" ref="Y1184">_xlfn._xlws.FILTER(Teams[teamType], (Fixtures[[#This Row],[userTeamID]] = Teams[teamID]), "N/A")</f>
        <v>N/A</v>
      </c>
      <c r="Z1184" s="58" t="str" cm="1">
        <f t="array" ref="Z118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4" s="58" t="str">
        <f>IF(Fixtures[[#This Row],[userSide]] = "N/A", "N/A", IF(Fixtures[[#This Row],[userSide]] = "H", Fixtures[[#This Row],[awayTeam]], Fixtures[[#This Row],[homeTeam]]))</f>
        <v>N/A</v>
      </c>
      <c r="AB1184" s="58" t="str" cm="1">
        <f t="array" ref="AB1184">_xlfn._xlws.FILTER(Teams[teamID], Fixtures[[#This Row],[oppTeam]] = Teams[name], "N/A")</f>
        <v>N/A</v>
      </c>
      <c r="AC1184" s="58" t="str" cm="1">
        <f t="array" ref="AC1184">_xlfn._xlws.FILTER(Teams[teamType], Fixtures[[#This Row],[oppTeam]] = Teams[name], "N/A")</f>
        <v>N/A</v>
      </c>
      <c r="AD1184" s="58" t="str">
        <f>IF(ISBLANK(Fixtures[[#This Row],[date]]), "N/A", IF(Fixtures[[#This Row],[userSide]]="H", Fixtures[[#This Row],[homeScore]], Fixtures[[#This Row],[awayScore]]))</f>
        <v>N/A</v>
      </c>
      <c r="AE1184" s="58" t="str">
        <f>IF(ISBLANK(Fixtures[[#This Row],[date]]), "N/A", IF(Fixtures[[#This Row],[userScore]] = Fixtures[[#This Row],[homeScore]], Fixtures[[#This Row],[awayScore]], Fixtures[[#This Row],[homeScore]]))</f>
        <v>N/A</v>
      </c>
      <c r="AF1184" s="58" t="b">
        <f>NOT(AND(ISBLANK(Fixtures[[#This Row],[homePens]]), ISBLANK(Fixtures[[#This Row],[awayPens]])))</f>
        <v>0</v>
      </c>
      <c r="AG1184" s="58" t="str">
        <f>IF(Fixtures[[#This Row],[penalties]], IF(Fixtures[[#This Row],[userSide]]="H", Fixtures[[#This Row],[homePens]], Fixtures[[#This Row],[awayPens]]), "N/A")</f>
        <v>N/A</v>
      </c>
      <c r="AH1184" s="58" t="str">
        <f>IF(Fixtures[[#This Row],[penalties]], IF(Fixtures[[#This Row],[userPens]]=Fixtures[[#This Row],[homePens]],Fixtures[[#This Row],[awayPens]],Fixtures[[#This Row],[homePens]]), "N/A")</f>
        <v>N/A</v>
      </c>
      <c r="AI1184" s="58" t="b">
        <f>COUNTBLANK(Fixtures[[#This Row],[G]:[MOTM]]) = 0</f>
        <v>0</v>
      </c>
      <c r="AJ1184" s="58" t="str">
        <f>IF(Fixtures[[#This Row],[APP]], Fixtures[[#This Row],[G]]+Fixtures[[#This Row],[A]], "N/A")</f>
        <v>N/A</v>
      </c>
      <c r="AK118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5" spans="1:39" ht="13">
      <c r="A1185" s="55"/>
      <c r="B1185" s="61"/>
      <c r="C1185" s="56"/>
      <c r="D1185" s="56"/>
      <c r="E1185" s="56"/>
      <c r="F1185" s="56"/>
      <c r="G1185" s="56"/>
      <c r="H1185" s="56"/>
      <c r="I1185" s="56"/>
      <c r="J1185" s="56"/>
      <c r="K1185" s="56"/>
      <c r="L1185" s="56"/>
      <c r="M1185" s="56"/>
      <c r="N1185" s="56"/>
      <c r="O1185" s="56"/>
      <c r="P1185" s="56"/>
      <c r="Q1185" s="57"/>
      <c r="R1185" s="56"/>
      <c r="S1185" s="58" t="str" cm="1">
        <f t="array" ref="S1185">_xlfn._xlws.FILTER(Competitions[compType], (Fixtures[[#This Row],[competition]] = Competitions[name]), "N/A")</f>
        <v>N/A</v>
      </c>
      <c r="T1185" s="58" t="str" cm="1">
        <f t="array" ref="T1185">_xlfn._xlws.FILTER(Competitions[exhibition], (Fixtures[[#This Row],[competition]] = Competitions[name]), "N/A")</f>
        <v>N/A</v>
      </c>
      <c r="U1185" s="58" t="str" cm="1">
        <f t="array" ref="U1185">_xlfn._xlws.FILTER(Competitions[compID], (Fixtures[[#This Row],[competition]] = Competitions[name]), "N/A")</f>
        <v>N/A</v>
      </c>
      <c r="V118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5" s="58" t="str" cm="1">
        <f t="array" ref="W118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5" s="58" t="str" cm="1">
        <f t="array" ref="X1185">_xlfn._xlws.FILTER(Teams[name], (Fixtures[[#This Row],[userTeamID]] = Teams[teamID]), "N/A")</f>
        <v>N/A</v>
      </c>
      <c r="Y1185" s="58" t="str" cm="1">
        <f t="array" ref="Y1185">_xlfn._xlws.FILTER(Teams[teamType], (Fixtures[[#This Row],[userTeamID]] = Teams[teamID]), "N/A")</f>
        <v>N/A</v>
      </c>
      <c r="Z1185" s="58" t="str" cm="1">
        <f t="array" ref="Z118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5" s="58" t="str">
        <f>IF(Fixtures[[#This Row],[userSide]] = "N/A", "N/A", IF(Fixtures[[#This Row],[userSide]] = "H", Fixtures[[#This Row],[awayTeam]], Fixtures[[#This Row],[homeTeam]]))</f>
        <v>N/A</v>
      </c>
      <c r="AB1185" s="58" t="str" cm="1">
        <f t="array" ref="AB1185">_xlfn._xlws.FILTER(Teams[teamID], Fixtures[[#This Row],[oppTeam]] = Teams[name], "N/A")</f>
        <v>N/A</v>
      </c>
      <c r="AC1185" s="58" t="str" cm="1">
        <f t="array" ref="AC1185">_xlfn._xlws.FILTER(Teams[teamType], Fixtures[[#This Row],[oppTeam]] = Teams[name], "N/A")</f>
        <v>N/A</v>
      </c>
      <c r="AD1185" s="58" t="str">
        <f>IF(ISBLANK(Fixtures[[#This Row],[date]]), "N/A", IF(Fixtures[[#This Row],[userSide]]="H", Fixtures[[#This Row],[homeScore]], Fixtures[[#This Row],[awayScore]]))</f>
        <v>N/A</v>
      </c>
      <c r="AE1185" s="58" t="str">
        <f>IF(ISBLANK(Fixtures[[#This Row],[date]]), "N/A", IF(Fixtures[[#This Row],[userScore]] = Fixtures[[#This Row],[homeScore]], Fixtures[[#This Row],[awayScore]], Fixtures[[#This Row],[homeScore]]))</f>
        <v>N/A</v>
      </c>
      <c r="AF1185" s="58" t="b">
        <f>NOT(AND(ISBLANK(Fixtures[[#This Row],[homePens]]), ISBLANK(Fixtures[[#This Row],[awayPens]])))</f>
        <v>0</v>
      </c>
      <c r="AG1185" s="58" t="str">
        <f>IF(Fixtures[[#This Row],[penalties]], IF(Fixtures[[#This Row],[userSide]]="H", Fixtures[[#This Row],[homePens]], Fixtures[[#This Row],[awayPens]]), "N/A")</f>
        <v>N/A</v>
      </c>
      <c r="AH1185" s="58" t="str">
        <f>IF(Fixtures[[#This Row],[penalties]], IF(Fixtures[[#This Row],[userPens]]=Fixtures[[#This Row],[homePens]],Fixtures[[#This Row],[awayPens]],Fixtures[[#This Row],[homePens]]), "N/A")</f>
        <v>N/A</v>
      </c>
      <c r="AI1185" s="58" t="b">
        <f>COUNTBLANK(Fixtures[[#This Row],[G]:[MOTM]]) = 0</f>
        <v>0</v>
      </c>
      <c r="AJ1185" s="58" t="str">
        <f>IF(Fixtures[[#This Row],[APP]], Fixtures[[#This Row],[G]]+Fixtures[[#This Row],[A]], "N/A")</f>
        <v>N/A</v>
      </c>
      <c r="AK118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6" spans="1:39" ht="13">
      <c r="A1186" s="55"/>
      <c r="B1186" s="61"/>
      <c r="C1186" s="56"/>
      <c r="D1186" s="56"/>
      <c r="E1186" s="56"/>
      <c r="F1186" s="56"/>
      <c r="G1186" s="56"/>
      <c r="H1186" s="56"/>
      <c r="I1186" s="56"/>
      <c r="J1186" s="56"/>
      <c r="K1186" s="56"/>
      <c r="L1186" s="56"/>
      <c r="M1186" s="56"/>
      <c r="N1186" s="56"/>
      <c r="O1186" s="56"/>
      <c r="P1186" s="56"/>
      <c r="Q1186" s="57"/>
      <c r="R1186" s="56"/>
      <c r="S1186" s="58" t="str" cm="1">
        <f t="array" ref="S1186">_xlfn._xlws.FILTER(Competitions[compType], (Fixtures[[#This Row],[competition]] = Competitions[name]), "N/A")</f>
        <v>N/A</v>
      </c>
      <c r="T1186" s="58" t="str" cm="1">
        <f t="array" ref="T1186">_xlfn._xlws.FILTER(Competitions[exhibition], (Fixtures[[#This Row],[competition]] = Competitions[name]), "N/A")</f>
        <v>N/A</v>
      </c>
      <c r="U1186" s="58" t="str" cm="1">
        <f t="array" ref="U1186">_xlfn._xlws.FILTER(Competitions[compID], (Fixtures[[#This Row],[competition]] = Competitions[name]), "N/A")</f>
        <v>N/A</v>
      </c>
      <c r="V118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6" s="58" t="str" cm="1">
        <f t="array" ref="W118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6" s="58" t="str" cm="1">
        <f t="array" ref="X1186">_xlfn._xlws.FILTER(Teams[name], (Fixtures[[#This Row],[userTeamID]] = Teams[teamID]), "N/A")</f>
        <v>N/A</v>
      </c>
      <c r="Y1186" s="58" t="str" cm="1">
        <f t="array" ref="Y1186">_xlfn._xlws.FILTER(Teams[teamType], (Fixtures[[#This Row],[userTeamID]] = Teams[teamID]), "N/A")</f>
        <v>N/A</v>
      </c>
      <c r="Z1186" s="58" t="str" cm="1">
        <f t="array" ref="Z118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6" s="58" t="str">
        <f>IF(Fixtures[[#This Row],[userSide]] = "N/A", "N/A", IF(Fixtures[[#This Row],[userSide]] = "H", Fixtures[[#This Row],[awayTeam]], Fixtures[[#This Row],[homeTeam]]))</f>
        <v>N/A</v>
      </c>
      <c r="AB1186" s="58" t="str" cm="1">
        <f t="array" ref="AB1186">_xlfn._xlws.FILTER(Teams[teamID], Fixtures[[#This Row],[oppTeam]] = Teams[name], "N/A")</f>
        <v>N/A</v>
      </c>
      <c r="AC1186" s="58" t="str" cm="1">
        <f t="array" ref="AC1186">_xlfn._xlws.FILTER(Teams[teamType], Fixtures[[#This Row],[oppTeam]] = Teams[name], "N/A")</f>
        <v>N/A</v>
      </c>
      <c r="AD1186" s="58" t="str">
        <f>IF(ISBLANK(Fixtures[[#This Row],[date]]), "N/A", IF(Fixtures[[#This Row],[userSide]]="H", Fixtures[[#This Row],[homeScore]], Fixtures[[#This Row],[awayScore]]))</f>
        <v>N/A</v>
      </c>
      <c r="AE1186" s="58" t="str">
        <f>IF(ISBLANK(Fixtures[[#This Row],[date]]), "N/A", IF(Fixtures[[#This Row],[userScore]] = Fixtures[[#This Row],[homeScore]], Fixtures[[#This Row],[awayScore]], Fixtures[[#This Row],[homeScore]]))</f>
        <v>N/A</v>
      </c>
      <c r="AF1186" s="58" t="b">
        <f>NOT(AND(ISBLANK(Fixtures[[#This Row],[homePens]]), ISBLANK(Fixtures[[#This Row],[awayPens]])))</f>
        <v>0</v>
      </c>
      <c r="AG1186" s="58" t="str">
        <f>IF(Fixtures[[#This Row],[penalties]], IF(Fixtures[[#This Row],[userSide]]="H", Fixtures[[#This Row],[homePens]], Fixtures[[#This Row],[awayPens]]), "N/A")</f>
        <v>N/A</v>
      </c>
      <c r="AH1186" s="58" t="str">
        <f>IF(Fixtures[[#This Row],[penalties]], IF(Fixtures[[#This Row],[userPens]]=Fixtures[[#This Row],[homePens]],Fixtures[[#This Row],[awayPens]],Fixtures[[#This Row],[homePens]]), "N/A")</f>
        <v>N/A</v>
      </c>
      <c r="AI1186" s="58" t="b">
        <f>COUNTBLANK(Fixtures[[#This Row],[G]:[MOTM]]) = 0</f>
        <v>0</v>
      </c>
      <c r="AJ1186" s="58" t="str">
        <f>IF(Fixtures[[#This Row],[APP]], Fixtures[[#This Row],[G]]+Fixtures[[#This Row],[A]], "N/A")</f>
        <v>N/A</v>
      </c>
      <c r="AK118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7" spans="1:39" ht="13">
      <c r="A1187" s="55"/>
      <c r="B1187" s="61"/>
      <c r="C1187" s="56"/>
      <c r="D1187" s="56"/>
      <c r="E1187" s="56"/>
      <c r="F1187" s="56"/>
      <c r="G1187" s="56"/>
      <c r="H1187" s="56"/>
      <c r="I1187" s="56"/>
      <c r="J1187" s="56"/>
      <c r="K1187" s="56"/>
      <c r="L1187" s="56"/>
      <c r="M1187" s="56"/>
      <c r="N1187" s="56"/>
      <c r="O1187" s="56"/>
      <c r="P1187" s="56"/>
      <c r="Q1187" s="57"/>
      <c r="R1187" s="56"/>
      <c r="S1187" s="58" t="str" cm="1">
        <f t="array" ref="S1187">_xlfn._xlws.FILTER(Competitions[compType], (Fixtures[[#This Row],[competition]] = Competitions[name]), "N/A")</f>
        <v>N/A</v>
      </c>
      <c r="T1187" s="58" t="str" cm="1">
        <f t="array" ref="T1187">_xlfn._xlws.FILTER(Competitions[exhibition], (Fixtures[[#This Row],[competition]] = Competitions[name]), "N/A")</f>
        <v>N/A</v>
      </c>
      <c r="U1187" s="58" t="str" cm="1">
        <f t="array" ref="U1187">_xlfn._xlws.FILTER(Competitions[compID], (Fixtures[[#This Row],[competition]] = Competitions[name]), "N/A")</f>
        <v>N/A</v>
      </c>
      <c r="V118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7" s="58" t="str" cm="1">
        <f t="array" ref="W118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7" s="58" t="str" cm="1">
        <f t="array" ref="X1187">_xlfn._xlws.FILTER(Teams[name], (Fixtures[[#This Row],[userTeamID]] = Teams[teamID]), "N/A")</f>
        <v>N/A</v>
      </c>
      <c r="Y1187" s="58" t="str" cm="1">
        <f t="array" ref="Y1187">_xlfn._xlws.FILTER(Teams[teamType], (Fixtures[[#This Row],[userTeamID]] = Teams[teamID]), "N/A")</f>
        <v>N/A</v>
      </c>
      <c r="Z1187" s="58" t="str" cm="1">
        <f t="array" ref="Z118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7" s="58" t="str">
        <f>IF(Fixtures[[#This Row],[userSide]] = "N/A", "N/A", IF(Fixtures[[#This Row],[userSide]] = "H", Fixtures[[#This Row],[awayTeam]], Fixtures[[#This Row],[homeTeam]]))</f>
        <v>N/A</v>
      </c>
      <c r="AB1187" s="58" t="str" cm="1">
        <f t="array" ref="AB1187">_xlfn._xlws.FILTER(Teams[teamID], Fixtures[[#This Row],[oppTeam]] = Teams[name], "N/A")</f>
        <v>N/A</v>
      </c>
      <c r="AC1187" s="58" t="str" cm="1">
        <f t="array" ref="AC1187">_xlfn._xlws.FILTER(Teams[teamType], Fixtures[[#This Row],[oppTeam]] = Teams[name], "N/A")</f>
        <v>N/A</v>
      </c>
      <c r="AD1187" s="58" t="str">
        <f>IF(ISBLANK(Fixtures[[#This Row],[date]]), "N/A", IF(Fixtures[[#This Row],[userSide]]="H", Fixtures[[#This Row],[homeScore]], Fixtures[[#This Row],[awayScore]]))</f>
        <v>N/A</v>
      </c>
      <c r="AE1187" s="58" t="str">
        <f>IF(ISBLANK(Fixtures[[#This Row],[date]]), "N/A", IF(Fixtures[[#This Row],[userScore]] = Fixtures[[#This Row],[homeScore]], Fixtures[[#This Row],[awayScore]], Fixtures[[#This Row],[homeScore]]))</f>
        <v>N/A</v>
      </c>
      <c r="AF1187" s="58" t="b">
        <f>NOT(AND(ISBLANK(Fixtures[[#This Row],[homePens]]), ISBLANK(Fixtures[[#This Row],[awayPens]])))</f>
        <v>0</v>
      </c>
      <c r="AG1187" s="58" t="str">
        <f>IF(Fixtures[[#This Row],[penalties]], IF(Fixtures[[#This Row],[userSide]]="H", Fixtures[[#This Row],[homePens]], Fixtures[[#This Row],[awayPens]]), "N/A")</f>
        <v>N/A</v>
      </c>
      <c r="AH1187" s="58" t="str">
        <f>IF(Fixtures[[#This Row],[penalties]], IF(Fixtures[[#This Row],[userPens]]=Fixtures[[#This Row],[homePens]],Fixtures[[#This Row],[awayPens]],Fixtures[[#This Row],[homePens]]), "N/A")</f>
        <v>N/A</v>
      </c>
      <c r="AI1187" s="58" t="b">
        <f>COUNTBLANK(Fixtures[[#This Row],[G]:[MOTM]]) = 0</f>
        <v>0</v>
      </c>
      <c r="AJ1187" s="58" t="str">
        <f>IF(Fixtures[[#This Row],[APP]], Fixtures[[#This Row],[G]]+Fixtures[[#This Row],[A]], "N/A")</f>
        <v>N/A</v>
      </c>
      <c r="AK118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8" spans="1:39" ht="13">
      <c r="A1188" s="55"/>
      <c r="B1188" s="61"/>
      <c r="C1188" s="56"/>
      <c r="D1188" s="56"/>
      <c r="E1188" s="56"/>
      <c r="F1188" s="56"/>
      <c r="G1188" s="56"/>
      <c r="H1188" s="56"/>
      <c r="I1188" s="56"/>
      <c r="J1188" s="56"/>
      <c r="K1188" s="56"/>
      <c r="L1188" s="56"/>
      <c r="M1188" s="56"/>
      <c r="N1188" s="56"/>
      <c r="O1188" s="56"/>
      <c r="P1188" s="56"/>
      <c r="Q1188" s="57"/>
      <c r="R1188" s="56"/>
      <c r="S1188" s="58" t="str" cm="1">
        <f t="array" ref="S1188">_xlfn._xlws.FILTER(Competitions[compType], (Fixtures[[#This Row],[competition]] = Competitions[name]), "N/A")</f>
        <v>N/A</v>
      </c>
      <c r="T1188" s="58" t="str" cm="1">
        <f t="array" ref="T1188">_xlfn._xlws.FILTER(Competitions[exhibition], (Fixtures[[#This Row],[competition]] = Competitions[name]), "N/A")</f>
        <v>N/A</v>
      </c>
      <c r="U1188" s="58" t="str" cm="1">
        <f t="array" ref="U1188">_xlfn._xlws.FILTER(Competitions[compID], (Fixtures[[#This Row],[competition]] = Competitions[name]), "N/A")</f>
        <v>N/A</v>
      </c>
      <c r="V118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8" s="58" t="str" cm="1">
        <f t="array" ref="W118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8" s="58" t="str" cm="1">
        <f t="array" ref="X1188">_xlfn._xlws.FILTER(Teams[name], (Fixtures[[#This Row],[userTeamID]] = Teams[teamID]), "N/A")</f>
        <v>N/A</v>
      </c>
      <c r="Y1188" s="58" t="str" cm="1">
        <f t="array" ref="Y1188">_xlfn._xlws.FILTER(Teams[teamType], (Fixtures[[#This Row],[userTeamID]] = Teams[teamID]), "N/A")</f>
        <v>N/A</v>
      </c>
      <c r="Z1188" s="58" t="str" cm="1">
        <f t="array" ref="Z118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8" s="58" t="str">
        <f>IF(Fixtures[[#This Row],[userSide]] = "N/A", "N/A", IF(Fixtures[[#This Row],[userSide]] = "H", Fixtures[[#This Row],[awayTeam]], Fixtures[[#This Row],[homeTeam]]))</f>
        <v>N/A</v>
      </c>
      <c r="AB1188" s="58" t="str" cm="1">
        <f t="array" ref="AB1188">_xlfn._xlws.FILTER(Teams[teamID], Fixtures[[#This Row],[oppTeam]] = Teams[name], "N/A")</f>
        <v>N/A</v>
      </c>
      <c r="AC1188" s="58" t="str" cm="1">
        <f t="array" ref="AC1188">_xlfn._xlws.FILTER(Teams[teamType], Fixtures[[#This Row],[oppTeam]] = Teams[name], "N/A")</f>
        <v>N/A</v>
      </c>
      <c r="AD1188" s="58" t="str">
        <f>IF(ISBLANK(Fixtures[[#This Row],[date]]), "N/A", IF(Fixtures[[#This Row],[userSide]]="H", Fixtures[[#This Row],[homeScore]], Fixtures[[#This Row],[awayScore]]))</f>
        <v>N/A</v>
      </c>
      <c r="AE1188" s="58" t="str">
        <f>IF(ISBLANK(Fixtures[[#This Row],[date]]), "N/A", IF(Fixtures[[#This Row],[userScore]] = Fixtures[[#This Row],[homeScore]], Fixtures[[#This Row],[awayScore]], Fixtures[[#This Row],[homeScore]]))</f>
        <v>N/A</v>
      </c>
      <c r="AF1188" s="58" t="b">
        <f>NOT(AND(ISBLANK(Fixtures[[#This Row],[homePens]]), ISBLANK(Fixtures[[#This Row],[awayPens]])))</f>
        <v>0</v>
      </c>
      <c r="AG1188" s="58" t="str">
        <f>IF(Fixtures[[#This Row],[penalties]], IF(Fixtures[[#This Row],[userSide]]="H", Fixtures[[#This Row],[homePens]], Fixtures[[#This Row],[awayPens]]), "N/A")</f>
        <v>N/A</v>
      </c>
      <c r="AH1188" s="58" t="str">
        <f>IF(Fixtures[[#This Row],[penalties]], IF(Fixtures[[#This Row],[userPens]]=Fixtures[[#This Row],[homePens]],Fixtures[[#This Row],[awayPens]],Fixtures[[#This Row],[homePens]]), "N/A")</f>
        <v>N/A</v>
      </c>
      <c r="AI1188" s="58" t="b">
        <f>COUNTBLANK(Fixtures[[#This Row],[G]:[MOTM]]) = 0</f>
        <v>0</v>
      </c>
      <c r="AJ1188" s="58" t="str">
        <f>IF(Fixtures[[#This Row],[APP]], Fixtures[[#This Row],[G]]+Fixtures[[#This Row],[A]], "N/A")</f>
        <v>N/A</v>
      </c>
      <c r="AK118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89" spans="1:39" ht="13">
      <c r="A1189" s="55"/>
      <c r="B1189" s="61"/>
      <c r="C1189" s="56"/>
      <c r="D1189" s="56"/>
      <c r="E1189" s="56"/>
      <c r="F1189" s="56"/>
      <c r="G1189" s="56"/>
      <c r="H1189" s="56"/>
      <c r="I1189" s="56"/>
      <c r="J1189" s="56"/>
      <c r="K1189" s="56"/>
      <c r="L1189" s="56"/>
      <c r="M1189" s="56"/>
      <c r="N1189" s="56"/>
      <c r="O1189" s="56"/>
      <c r="P1189" s="56"/>
      <c r="Q1189" s="57"/>
      <c r="R1189" s="56"/>
      <c r="S1189" s="58" t="str" cm="1">
        <f t="array" ref="S1189">_xlfn._xlws.FILTER(Competitions[compType], (Fixtures[[#This Row],[competition]] = Competitions[name]), "N/A")</f>
        <v>N/A</v>
      </c>
      <c r="T1189" s="58" t="str" cm="1">
        <f t="array" ref="T1189">_xlfn._xlws.FILTER(Competitions[exhibition], (Fixtures[[#This Row],[competition]] = Competitions[name]), "N/A")</f>
        <v>N/A</v>
      </c>
      <c r="U1189" s="58" t="str" cm="1">
        <f t="array" ref="U1189">_xlfn._xlws.FILTER(Competitions[compID], (Fixtures[[#This Row],[competition]] = Competitions[name]), "N/A")</f>
        <v>N/A</v>
      </c>
      <c r="V118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89" s="58" t="str" cm="1">
        <f t="array" ref="W118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89" s="58" t="str" cm="1">
        <f t="array" ref="X1189">_xlfn._xlws.FILTER(Teams[name], (Fixtures[[#This Row],[userTeamID]] = Teams[teamID]), "N/A")</f>
        <v>N/A</v>
      </c>
      <c r="Y1189" s="58" t="str" cm="1">
        <f t="array" ref="Y1189">_xlfn._xlws.FILTER(Teams[teamType], (Fixtures[[#This Row],[userTeamID]] = Teams[teamID]), "N/A")</f>
        <v>N/A</v>
      </c>
      <c r="Z1189" s="58" t="str" cm="1">
        <f t="array" ref="Z118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89" s="58" t="str">
        <f>IF(Fixtures[[#This Row],[userSide]] = "N/A", "N/A", IF(Fixtures[[#This Row],[userSide]] = "H", Fixtures[[#This Row],[awayTeam]], Fixtures[[#This Row],[homeTeam]]))</f>
        <v>N/A</v>
      </c>
      <c r="AB1189" s="58" t="str" cm="1">
        <f t="array" ref="AB1189">_xlfn._xlws.FILTER(Teams[teamID], Fixtures[[#This Row],[oppTeam]] = Teams[name], "N/A")</f>
        <v>N/A</v>
      </c>
      <c r="AC1189" s="58" t="str" cm="1">
        <f t="array" ref="AC1189">_xlfn._xlws.FILTER(Teams[teamType], Fixtures[[#This Row],[oppTeam]] = Teams[name], "N/A")</f>
        <v>N/A</v>
      </c>
      <c r="AD1189" s="58" t="str">
        <f>IF(ISBLANK(Fixtures[[#This Row],[date]]), "N/A", IF(Fixtures[[#This Row],[userSide]]="H", Fixtures[[#This Row],[homeScore]], Fixtures[[#This Row],[awayScore]]))</f>
        <v>N/A</v>
      </c>
      <c r="AE1189" s="58" t="str">
        <f>IF(ISBLANK(Fixtures[[#This Row],[date]]), "N/A", IF(Fixtures[[#This Row],[userScore]] = Fixtures[[#This Row],[homeScore]], Fixtures[[#This Row],[awayScore]], Fixtures[[#This Row],[homeScore]]))</f>
        <v>N/A</v>
      </c>
      <c r="AF1189" s="58" t="b">
        <f>NOT(AND(ISBLANK(Fixtures[[#This Row],[homePens]]), ISBLANK(Fixtures[[#This Row],[awayPens]])))</f>
        <v>0</v>
      </c>
      <c r="AG1189" s="58" t="str">
        <f>IF(Fixtures[[#This Row],[penalties]], IF(Fixtures[[#This Row],[userSide]]="H", Fixtures[[#This Row],[homePens]], Fixtures[[#This Row],[awayPens]]), "N/A")</f>
        <v>N/A</v>
      </c>
      <c r="AH1189" s="58" t="str">
        <f>IF(Fixtures[[#This Row],[penalties]], IF(Fixtures[[#This Row],[userPens]]=Fixtures[[#This Row],[homePens]],Fixtures[[#This Row],[awayPens]],Fixtures[[#This Row],[homePens]]), "N/A")</f>
        <v>N/A</v>
      </c>
      <c r="AI1189" s="58" t="b">
        <f>COUNTBLANK(Fixtures[[#This Row],[G]:[MOTM]]) = 0</f>
        <v>0</v>
      </c>
      <c r="AJ1189" s="58" t="str">
        <f>IF(Fixtures[[#This Row],[APP]], Fixtures[[#This Row],[G]]+Fixtures[[#This Row],[A]], "N/A")</f>
        <v>N/A</v>
      </c>
      <c r="AK118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8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8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0" spans="1:39" ht="13">
      <c r="A1190" s="55"/>
      <c r="B1190" s="61"/>
      <c r="C1190" s="56"/>
      <c r="D1190" s="56"/>
      <c r="E1190" s="56"/>
      <c r="F1190" s="56"/>
      <c r="G1190" s="56"/>
      <c r="H1190" s="56"/>
      <c r="I1190" s="56"/>
      <c r="J1190" s="56"/>
      <c r="K1190" s="56"/>
      <c r="L1190" s="56"/>
      <c r="M1190" s="56"/>
      <c r="N1190" s="56"/>
      <c r="O1190" s="56"/>
      <c r="P1190" s="56"/>
      <c r="Q1190" s="57"/>
      <c r="R1190" s="56"/>
      <c r="S1190" s="58" t="str" cm="1">
        <f t="array" ref="S1190">_xlfn._xlws.FILTER(Competitions[compType], (Fixtures[[#This Row],[competition]] = Competitions[name]), "N/A")</f>
        <v>N/A</v>
      </c>
      <c r="T1190" s="58" t="str" cm="1">
        <f t="array" ref="T1190">_xlfn._xlws.FILTER(Competitions[exhibition], (Fixtures[[#This Row],[competition]] = Competitions[name]), "N/A")</f>
        <v>N/A</v>
      </c>
      <c r="U1190" s="58" t="str" cm="1">
        <f t="array" ref="U1190">_xlfn._xlws.FILTER(Competitions[compID], (Fixtures[[#This Row],[competition]] = Competitions[name]), "N/A")</f>
        <v>N/A</v>
      </c>
      <c r="V119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0" s="58" t="str" cm="1">
        <f t="array" ref="W119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0" s="58" t="str" cm="1">
        <f t="array" ref="X1190">_xlfn._xlws.FILTER(Teams[name], (Fixtures[[#This Row],[userTeamID]] = Teams[teamID]), "N/A")</f>
        <v>N/A</v>
      </c>
      <c r="Y1190" s="58" t="str" cm="1">
        <f t="array" ref="Y1190">_xlfn._xlws.FILTER(Teams[teamType], (Fixtures[[#This Row],[userTeamID]] = Teams[teamID]), "N/A")</f>
        <v>N/A</v>
      </c>
      <c r="Z1190" s="58" t="str" cm="1">
        <f t="array" ref="Z119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0" s="58" t="str">
        <f>IF(Fixtures[[#This Row],[userSide]] = "N/A", "N/A", IF(Fixtures[[#This Row],[userSide]] = "H", Fixtures[[#This Row],[awayTeam]], Fixtures[[#This Row],[homeTeam]]))</f>
        <v>N/A</v>
      </c>
      <c r="AB1190" s="58" t="str" cm="1">
        <f t="array" ref="AB1190">_xlfn._xlws.FILTER(Teams[teamID], Fixtures[[#This Row],[oppTeam]] = Teams[name], "N/A")</f>
        <v>N/A</v>
      </c>
      <c r="AC1190" s="58" t="str" cm="1">
        <f t="array" ref="AC1190">_xlfn._xlws.FILTER(Teams[teamType], Fixtures[[#This Row],[oppTeam]] = Teams[name], "N/A")</f>
        <v>N/A</v>
      </c>
      <c r="AD1190" s="58" t="str">
        <f>IF(ISBLANK(Fixtures[[#This Row],[date]]), "N/A", IF(Fixtures[[#This Row],[userSide]]="H", Fixtures[[#This Row],[homeScore]], Fixtures[[#This Row],[awayScore]]))</f>
        <v>N/A</v>
      </c>
      <c r="AE1190" s="58" t="str">
        <f>IF(ISBLANK(Fixtures[[#This Row],[date]]), "N/A", IF(Fixtures[[#This Row],[userScore]] = Fixtures[[#This Row],[homeScore]], Fixtures[[#This Row],[awayScore]], Fixtures[[#This Row],[homeScore]]))</f>
        <v>N/A</v>
      </c>
      <c r="AF1190" s="58" t="b">
        <f>NOT(AND(ISBLANK(Fixtures[[#This Row],[homePens]]), ISBLANK(Fixtures[[#This Row],[awayPens]])))</f>
        <v>0</v>
      </c>
      <c r="AG1190" s="58" t="str">
        <f>IF(Fixtures[[#This Row],[penalties]], IF(Fixtures[[#This Row],[userSide]]="H", Fixtures[[#This Row],[homePens]], Fixtures[[#This Row],[awayPens]]), "N/A")</f>
        <v>N/A</v>
      </c>
      <c r="AH1190" s="58" t="str">
        <f>IF(Fixtures[[#This Row],[penalties]], IF(Fixtures[[#This Row],[userPens]]=Fixtures[[#This Row],[homePens]],Fixtures[[#This Row],[awayPens]],Fixtures[[#This Row],[homePens]]), "N/A")</f>
        <v>N/A</v>
      </c>
      <c r="AI1190" s="58" t="b">
        <f>COUNTBLANK(Fixtures[[#This Row],[G]:[MOTM]]) = 0</f>
        <v>0</v>
      </c>
      <c r="AJ1190" s="58" t="str">
        <f>IF(Fixtures[[#This Row],[APP]], Fixtures[[#This Row],[G]]+Fixtures[[#This Row],[A]], "N/A")</f>
        <v>N/A</v>
      </c>
      <c r="AK119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1" spans="1:39" ht="13">
      <c r="A1191" s="55"/>
      <c r="B1191" s="61"/>
      <c r="C1191" s="56"/>
      <c r="D1191" s="56"/>
      <c r="E1191" s="56"/>
      <c r="F1191" s="56"/>
      <c r="G1191" s="56"/>
      <c r="H1191" s="56"/>
      <c r="I1191" s="56"/>
      <c r="J1191" s="56"/>
      <c r="K1191" s="56"/>
      <c r="L1191" s="56"/>
      <c r="M1191" s="56"/>
      <c r="N1191" s="56"/>
      <c r="O1191" s="56"/>
      <c r="P1191" s="56"/>
      <c r="Q1191" s="57"/>
      <c r="R1191" s="56"/>
      <c r="S1191" s="58" t="str" cm="1">
        <f t="array" ref="S1191">_xlfn._xlws.FILTER(Competitions[compType], (Fixtures[[#This Row],[competition]] = Competitions[name]), "N/A")</f>
        <v>N/A</v>
      </c>
      <c r="T1191" s="58" t="str" cm="1">
        <f t="array" ref="T1191">_xlfn._xlws.FILTER(Competitions[exhibition], (Fixtures[[#This Row],[competition]] = Competitions[name]), "N/A")</f>
        <v>N/A</v>
      </c>
      <c r="U1191" s="58" t="str" cm="1">
        <f t="array" ref="U1191">_xlfn._xlws.FILTER(Competitions[compID], (Fixtures[[#This Row],[competition]] = Competitions[name]), "N/A")</f>
        <v>N/A</v>
      </c>
      <c r="V119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1" s="58" t="str" cm="1">
        <f t="array" ref="W119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1" s="58" t="str" cm="1">
        <f t="array" ref="X1191">_xlfn._xlws.FILTER(Teams[name], (Fixtures[[#This Row],[userTeamID]] = Teams[teamID]), "N/A")</f>
        <v>N/A</v>
      </c>
      <c r="Y1191" s="58" t="str" cm="1">
        <f t="array" ref="Y1191">_xlfn._xlws.FILTER(Teams[teamType], (Fixtures[[#This Row],[userTeamID]] = Teams[teamID]), "N/A")</f>
        <v>N/A</v>
      </c>
      <c r="Z1191" s="58" t="str" cm="1">
        <f t="array" ref="Z119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1" s="58" t="str">
        <f>IF(Fixtures[[#This Row],[userSide]] = "N/A", "N/A", IF(Fixtures[[#This Row],[userSide]] = "H", Fixtures[[#This Row],[awayTeam]], Fixtures[[#This Row],[homeTeam]]))</f>
        <v>N/A</v>
      </c>
      <c r="AB1191" s="58" t="str" cm="1">
        <f t="array" ref="AB1191">_xlfn._xlws.FILTER(Teams[teamID], Fixtures[[#This Row],[oppTeam]] = Teams[name], "N/A")</f>
        <v>N/A</v>
      </c>
      <c r="AC1191" s="58" t="str" cm="1">
        <f t="array" ref="AC1191">_xlfn._xlws.FILTER(Teams[teamType], Fixtures[[#This Row],[oppTeam]] = Teams[name], "N/A")</f>
        <v>N/A</v>
      </c>
      <c r="AD1191" s="58" t="str">
        <f>IF(ISBLANK(Fixtures[[#This Row],[date]]), "N/A", IF(Fixtures[[#This Row],[userSide]]="H", Fixtures[[#This Row],[homeScore]], Fixtures[[#This Row],[awayScore]]))</f>
        <v>N/A</v>
      </c>
      <c r="AE1191" s="58" t="str">
        <f>IF(ISBLANK(Fixtures[[#This Row],[date]]), "N/A", IF(Fixtures[[#This Row],[userScore]] = Fixtures[[#This Row],[homeScore]], Fixtures[[#This Row],[awayScore]], Fixtures[[#This Row],[homeScore]]))</f>
        <v>N/A</v>
      </c>
      <c r="AF1191" s="58" t="b">
        <f>NOT(AND(ISBLANK(Fixtures[[#This Row],[homePens]]), ISBLANK(Fixtures[[#This Row],[awayPens]])))</f>
        <v>0</v>
      </c>
      <c r="AG1191" s="58" t="str">
        <f>IF(Fixtures[[#This Row],[penalties]], IF(Fixtures[[#This Row],[userSide]]="H", Fixtures[[#This Row],[homePens]], Fixtures[[#This Row],[awayPens]]), "N/A")</f>
        <v>N/A</v>
      </c>
      <c r="AH1191" s="58" t="str">
        <f>IF(Fixtures[[#This Row],[penalties]], IF(Fixtures[[#This Row],[userPens]]=Fixtures[[#This Row],[homePens]],Fixtures[[#This Row],[awayPens]],Fixtures[[#This Row],[homePens]]), "N/A")</f>
        <v>N/A</v>
      </c>
      <c r="AI1191" s="58" t="b">
        <f>COUNTBLANK(Fixtures[[#This Row],[G]:[MOTM]]) = 0</f>
        <v>0</v>
      </c>
      <c r="AJ1191" s="58" t="str">
        <f>IF(Fixtures[[#This Row],[APP]], Fixtures[[#This Row],[G]]+Fixtures[[#This Row],[A]], "N/A")</f>
        <v>N/A</v>
      </c>
      <c r="AK119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2" spans="1:39" ht="13">
      <c r="A1192" s="55"/>
      <c r="B1192" s="61"/>
      <c r="C1192" s="56"/>
      <c r="D1192" s="56"/>
      <c r="E1192" s="56"/>
      <c r="F1192" s="56"/>
      <c r="G1192" s="56"/>
      <c r="H1192" s="56"/>
      <c r="I1192" s="56"/>
      <c r="J1192" s="56"/>
      <c r="K1192" s="56"/>
      <c r="L1192" s="56"/>
      <c r="M1192" s="56"/>
      <c r="N1192" s="56"/>
      <c r="O1192" s="56"/>
      <c r="P1192" s="56"/>
      <c r="Q1192" s="57"/>
      <c r="R1192" s="56"/>
      <c r="S1192" s="58" t="str" cm="1">
        <f t="array" ref="S1192">_xlfn._xlws.FILTER(Competitions[compType], (Fixtures[[#This Row],[competition]] = Competitions[name]), "N/A")</f>
        <v>N/A</v>
      </c>
      <c r="T1192" s="58" t="str" cm="1">
        <f t="array" ref="T1192">_xlfn._xlws.FILTER(Competitions[exhibition], (Fixtures[[#This Row],[competition]] = Competitions[name]), "N/A")</f>
        <v>N/A</v>
      </c>
      <c r="U1192" s="58" t="str" cm="1">
        <f t="array" ref="U1192">_xlfn._xlws.FILTER(Competitions[compID], (Fixtures[[#This Row],[competition]] = Competitions[name]), "N/A")</f>
        <v>N/A</v>
      </c>
      <c r="V119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2" s="58" t="str" cm="1">
        <f t="array" ref="W119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2" s="58" t="str" cm="1">
        <f t="array" ref="X1192">_xlfn._xlws.FILTER(Teams[name], (Fixtures[[#This Row],[userTeamID]] = Teams[teamID]), "N/A")</f>
        <v>N/A</v>
      </c>
      <c r="Y1192" s="58" t="str" cm="1">
        <f t="array" ref="Y1192">_xlfn._xlws.FILTER(Teams[teamType], (Fixtures[[#This Row],[userTeamID]] = Teams[teamID]), "N/A")</f>
        <v>N/A</v>
      </c>
      <c r="Z1192" s="58" t="str" cm="1">
        <f t="array" ref="Z119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2" s="58" t="str">
        <f>IF(Fixtures[[#This Row],[userSide]] = "N/A", "N/A", IF(Fixtures[[#This Row],[userSide]] = "H", Fixtures[[#This Row],[awayTeam]], Fixtures[[#This Row],[homeTeam]]))</f>
        <v>N/A</v>
      </c>
      <c r="AB1192" s="58" t="str" cm="1">
        <f t="array" ref="AB1192">_xlfn._xlws.FILTER(Teams[teamID], Fixtures[[#This Row],[oppTeam]] = Teams[name], "N/A")</f>
        <v>N/A</v>
      </c>
      <c r="AC1192" s="58" t="str" cm="1">
        <f t="array" ref="AC1192">_xlfn._xlws.FILTER(Teams[teamType], Fixtures[[#This Row],[oppTeam]] = Teams[name], "N/A")</f>
        <v>N/A</v>
      </c>
      <c r="AD1192" s="58" t="str">
        <f>IF(ISBLANK(Fixtures[[#This Row],[date]]), "N/A", IF(Fixtures[[#This Row],[userSide]]="H", Fixtures[[#This Row],[homeScore]], Fixtures[[#This Row],[awayScore]]))</f>
        <v>N/A</v>
      </c>
      <c r="AE1192" s="58" t="str">
        <f>IF(ISBLANK(Fixtures[[#This Row],[date]]), "N/A", IF(Fixtures[[#This Row],[userScore]] = Fixtures[[#This Row],[homeScore]], Fixtures[[#This Row],[awayScore]], Fixtures[[#This Row],[homeScore]]))</f>
        <v>N/A</v>
      </c>
      <c r="AF1192" s="58" t="b">
        <f>NOT(AND(ISBLANK(Fixtures[[#This Row],[homePens]]), ISBLANK(Fixtures[[#This Row],[awayPens]])))</f>
        <v>0</v>
      </c>
      <c r="AG1192" s="58" t="str">
        <f>IF(Fixtures[[#This Row],[penalties]], IF(Fixtures[[#This Row],[userSide]]="H", Fixtures[[#This Row],[homePens]], Fixtures[[#This Row],[awayPens]]), "N/A")</f>
        <v>N/A</v>
      </c>
      <c r="AH1192" s="58" t="str">
        <f>IF(Fixtures[[#This Row],[penalties]], IF(Fixtures[[#This Row],[userPens]]=Fixtures[[#This Row],[homePens]],Fixtures[[#This Row],[awayPens]],Fixtures[[#This Row],[homePens]]), "N/A")</f>
        <v>N/A</v>
      </c>
      <c r="AI1192" s="58" t="b">
        <f>COUNTBLANK(Fixtures[[#This Row],[G]:[MOTM]]) = 0</f>
        <v>0</v>
      </c>
      <c r="AJ1192" s="58" t="str">
        <f>IF(Fixtures[[#This Row],[APP]], Fixtures[[#This Row],[G]]+Fixtures[[#This Row],[A]], "N/A")</f>
        <v>N/A</v>
      </c>
      <c r="AK119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3" spans="1:39" ht="13">
      <c r="A1193" s="55"/>
      <c r="B1193" s="61"/>
      <c r="C1193" s="56"/>
      <c r="D1193" s="56"/>
      <c r="E1193" s="56"/>
      <c r="F1193" s="56"/>
      <c r="G1193" s="56"/>
      <c r="H1193" s="56"/>
      <c r="I1193" s="56"/>
      <c r="J1193" s="56"/>
      <c r="K1193" s="56"/>
      <c r="L1193" s="56"/>
      <c r="M1193" s="56"/>
      <c r="N1193" s="56"/>
      <c r="O1193" s="56"/>
      <c r="P1193" s="56"/>
      <c r="Q1193" s="57"/>
      <c r="R1193" s="56"/>
      <c r="S1193" s="58" t="str" cm="1">
        <f t="array" ref="S1193">_xlfn._xlws.FILTER(Competitions[compType], (Fixtures[[#This Row],[competition]] = Competitions[name]), "N/A")</f>
        <v>N/A</v>
      </c>
      <c r="T1193" s="58" t="str" cm="1">
        <f t="array" ref="T1193">_xlfn._xlws.FILTER(Competitions[exhibition], (Fixtures[[#This Row],[competition]] = Competitions[name]), "N/A")</f>
        <v>N/A</v>
      </c>
      <c r="U1193" s="58" t="str" cm="1">
        <f t="array" ref="U1193">_xlfn._xlws.FILTER(Competitions[compID], (Fixtures[[#This Row],[competition]] = Competitions[name]), "N/A")</f>
        <v>N/A</v>
      </c>
      <c r="V119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3" s="58" t="str" cm="1">
        <f t="array" ref="W119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3" s="58" t="str" cm="1">
        <f t="array" ref="X1193">_xlfn._xlws.FILTER(Teams[name], (Fixtures[[#This Row],[userTeamID]] = Teams[teamID]), "N/A")</f>
        <v>N/A</v>
      </c>
      <c r="Y1193" s="58" t="str" cm="1">
        <f t="array" ref="Y1193">_xlfn._xlws.FILTER(Teams[teamType], (Fixtures[[#This Row],[userTeamID]] = Teams[teamID]), "N/A")</f>
        <v>N/A</v>
      </c>
      <c r="Z1193" s="58" t="str" cm="1">
        <f t="array" ref="Z119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3" s="58" t="str">
        <f>IF(Fixtures[[#This Row],[userSide]] = "N/A", "N/A", IF(Fixtures[[#This Row],[userSide]] = "H", Fixtures[[#This Row],[awayTeam]], Fixtures[[#This Row],[homeTeam]]))</f>
        <v>N/A</v>
      </c>
      <c r="AB1193" s="58" t="str" cm="1">
        <f t="array" ref="AB1193">_xlfn._xlws.FILTER(Teams[teamID], Fixtures[[#This Row],[oppTeam]] = Teams[name], "N/A")</f>
        <v>N/A</v>
      </c>
      <c r="AC1193" s="58" t="str" cm="1">
        <f t="array" ref="AC1193">_xlfn._xlws.FILTER(Teams[teamType], Fixtures[[#This Row],[oppTeam]] = Teams[name], "N/A")</f>
        <v>N/A</v>
      </c>
      <c r="AD1193" s="58" t="str">
        <f>IF(ISBLANK(Fixtures[[#This Row],[date]]), "N/A", IF(Fixtures[[#This Row],[userSide]]="H", Fixtures[[#This Row],[homeScore]], Fixtures[[#This Row],[awayScore]]))</f>
        <v>N/A</v>
      </c>
      <c r="AE1193" s="58" t="str">
        <f>IF(ISBLANK(Fixtures[[#This Row],[date]]), "N/A", IF(Fixtures[[#This Row],[userScore]] = Fixtures[[#This Row],[homeScore]], Fixtures[[#This Row],[awayScore]], Fixtures[[#This Row],[homeScore]]))</f>
        <v>N/A</v>
      </c>
      <c r="AF1193" s="58" t="b">
        <f>NOT(AND(ISBLANK(Fixtures[[#This Row],[homePens]]), ISBLANK(Fixtures[[#This Row],[awayPens]])))</f>
        <v>0</v>
      </c>
      <c r="AG1193" s="58" t="str">
        <f>IF(Fixtures[[#This Row],[penalties]], IF(Fixtures[[#This Row],[userSide]]="H", Fixtures[[#This Row],[homePens]], Fixtures[[#This Row],[awayPens]]), "N/A")</f>
        <v>N/A</v>
      </c>
      <c r="AH1193" s="58" t="str">
        <f>IF(Fixtures[[#This Row],[penalties]], IF(Fixtures[[#This Row],[userPens]]=Fixtures[[#This Row],[homePens]],Fixtures[[#This Row],[awayPens]],Fixtures[[#This Row],[homePens]]), "N/A")</f>
        <v>N/A</v>
      </c>
      <c r="AI1193" s="58" t="b">
        <f>COUNTBLANK(Fixtures[[#This Row],[G]:[MOTM]]) = 0</f>
        <v>0</v>
      </c>
      <c r="AJ1193" s="58" t="str">
        <f>IF(Fixtures[[#This Row],[APP]], Fixtures[[#This Row],[G]]+Fixtures[[#This Row],[A]], "N/A")</f>
        <v>N/A</v>
      </c>
      <c r="AK119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4" spans="1:39" ht="13">
      <c r="A1194" s="55"/>
      <c r="B1194" s="61"/>
      <c r="C1194" s="56"/>
      <c r="D1194" s="56"/>
      <c r="E1194" s="56"/>
      <c r="F1194" s="56"/>
      <c r="G1194" s="56"/>
      <c r="H1194" s="56"/>
      <c r="I1194" s="56"/>
      <c r="J1194" s="56"/>
      <c r="K1194" s="56"/>
      <c r="L1194" s="56"/>
      <c r="M1194" s="56"/>
      <c r="N1194" s="56"/>
      <c r="O1194" s="56"/>
      <c r="P1194" s="56"/>
      <c r="Q1194" s="57"/>
      <c r="R1194" s="56"/>
      <c r="S1194" s="58" t="str" cm="1">
        <f t="array" ref="S1194">_xlfn._xlws.FILTER(Competitions[compType], (Fixtures[[#This Row],[competition]] = Competitions[name]), "N/A")</f>
        <v>N/A</v>
      </c>
      <c r="T1194" s="58" t="str" cm="1">
        <f t="array" ref="T1194">_xlfn._xlws.FILTER(Competitions[exhibition], (Fixtures[[#This Row],[competition]] = Competitions[name]), "N/A")</f>
        <v>N/A</v>
      </c>
      <c r="U1194" s="58" t="str" cm="1">
        <f t="array" ref="U1194">_xlfn._xlws.FILTER(Competitions[compID], (Fixtures[[#This Row],[competition]] = Competitions[name]), "N/A")</f>
        <v>N/A</v>
      </c>
      <c r="V119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4" s="58" t="str" cm="1">
        <f t="array" ref="W119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4" s="58" t="str" cm="1">
        <f t="array" ref="X1194">_xlfn._xlws.FILTER(Teams[name], (Fixtures[[#This Row],[userTeamID]] = Teams[teamID]), "N/A")</f>
        <v>N/A</v>
      </c>
      <c r="Y1194" s="58" t="str" cm="1">
        <f t="array" ref="Y1194">_xlfn._xlws.FILTER(Teams[teamType], (Fixtures[[#This Row],[userTeamID]] = Teams[teamID]), "N/A")</f>
        <v>N/A</v>
      </c>
      <c r="Z1194" s="58" t="str" cm="1">
        <f t="array" ref="Z119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4" s="58" t="str">
        <f>IF(Fixtures[[#This Row],[userSide]] = "N/A", "N/A", IF(Fixtures[[#This Row],[userSide]] = "H", Fixtures[[#This Row],[awayTeam]], Fixtures[[#This Row],[homeTeam]]))</f>
        <v>N/A</v>
      </c>
      <c r="AB1194" s="58" t="str" cm="1">
        <f t="array" ref="AB1194">_xlfn._xlws.FILTER(Teams[teamID], Fixtures[[#This Row],[oppTeam]] = Teams[name], "N/A")</f>
        <v>N/A</v>
      </c>
      <c r="AC1194" s="58" t="str" cm="1">
        <f t="array" ref="AC1194">_xlfn._xlws.FILTER(Teams[teamType], Fixtures[[#This Row],[oppTeam]] = Teams[name], "N/A")</f>
        <v>N/A</v>
      </c>
      <c r="AD1194" s="58" t="str">
        <f>IF(ISBLANK(Fixtures[[#This Row],[date]]), "N/A", IF(Fixtures[[#This Row],[userSide]]="H", Fixtures[[#This Row],[homeScore]], Fixtures[[#This Row],[awayScore]]))</f>
        <v>N/A</v>
      </c>
      <c r="AE1194" s="58" t="str">
        <f>IF(ISBLANK(Fixtures[[#This Row],[date]]), "N/A", IF(Fixtures[[#This Row],[userScore]] = Fixtures[[#This Row],[homeScore]], Fixtures[[#This Row],[awayScore]], Fixtures[[#This Row],[homeScore]]))</f>
        <v>N/A</v>
      </c>
      <c r="AF1194" s="58" t="b">
        <f>NOT(AND(ISBLANK(Fixtures[[#This Row],[homePens]]), ISBLANK(Fixtures[[#This Row],[awayPens]])))</f>
        <v>0</v>
      </c>
      <c r="AG1194" s="58" t="str">
        <f>IF(Fixtures[[#This Row],[penalties]], IF(Fixtures[[#This Row],[userSide]]="H", Fixtures[[#This Row],[homePens]], Fixtures[[#This Row],[awayPens]]), "N/A")</f>
        <v>N/A</v>
      </c>
      <c r="AH1194" s="58" t="str">
        <f>IF(Fixtures[[#This Row],[penalties]], IF(Fixtures[[#This Row],[userPens]]=Fixtures[[#This Row],[homePens]],Fixtures[[#This Row],[awayPens]],Fixtures[[#This Row],[homePens]]), "N/A")</f>
        <v>N/A</v>
      </c>
      <c r="AI1194" s="58" t="b">
        <f>COUNTBLANK(Fixtures[[#This Row],[G]:[MOTM]]) = 0</f>
        <v>0</v>
      </c>
      <c r="AJ1194" s="58" t="str">
        <f>IF(Fixtures[[#This Row],[APP]], Fixtures[[#This Row],[G]]+Fixtures[[#This Row],[A]], "N/A")</f>
        <v>N/A</v>
      </c>
      <c r="AK119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5" spans="1:39" ht="13">
      <c r="A1195" s="55"/>
      <c r="B1195" s="61"/>
      <c r="C1195" s="56"/>
      <c r="D1195" s="56"/>
      <c r="E1195" s="56"/>
      <c r="F1195" s="56"/>
      <c r="G1195" s="56"/>
      <c r="H1195" s="56"/>
      <c r="I1195" s="56"/>
      <c r="J1195" s="56"/>
      <c r="K1195" s="56"/>
      <c r="L1195" s="56"/>
      <c r="M1195" s="56"/>
      <c r="N1195" s="56"/>
      <c r="O1195" s="56"/>
      <c r="P1195" s="56"/>
      <c r="Q1195" s="57"/>
      <c r="R1195" s="56"/>
      <c r="S1195" s="58" t="str" cm="1">
        <f t="array" ref="S1195">_xlfn._xlws.FILTER(Competitions[compType], (Fixtures[[#This Row],[competition]] = Competitions[name]), "N/A")</f>
        <v>N/A</v>
      </c>
      <c r="T1195" s="58" t="str" cm="1">
        <f t="array" ref="T1195">_xlfn._xlws.FILTER(Competitions[exhibition], (Fixtures[[#This Row],[competition]] = Competitions[name]), "N/A")</f>
        <v>N/A</v>
      </c>
      <c r="U1195" s="58" t="str" cm="1">
        <f t="array" ref="U1195">_xlfn._xlws.FILTER(Competitions[compID], (Fixtures[[#This Row],[competition]] = Competitions[name]), "N/A")</f>
        <v>N/A</v>
      </c>
      <c r="V119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5" s="58" t="str" cm="1">
        <f t="array" ref="W119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5" s="58" t="str" cm="1">
        <f t="array" ref="X1195">_xlfn._xlws.FILTER(Teams[name], (Fixtures[[#This Row],[userTeamID]] = Teams[teamID]), "N/A")</f>
        <v>N/A</v>
      </c>
      <c r="Y1195" s="58" t="str" cm="1">
        <f t="array" ref="Y1195">_xlfn._xlws.FILTER(Teams[teamType], (Fixtures[[#This Row],[userTeamID]] = Teams[teamID]), "N/A")</f>
        <v>N/A</v>
      </c>
      <c r="Z1195" s="58" t="str" cm="1">
        <f t="array" ref="Z119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5" s="58" t="str">
        <f>IF(Fixtures[[#This Row],[userSide]] = "N/A", "N/A", IF(Fixtures[[#This Row],[userSide]] = "H", Fixtures[[#This Row],[awayTeam]], Fixtures[[#This Row],[homeTeam]]))</f>
        <v>N/A</v>
      </c>
      <c r="AB1195" s="58" t="str" cm="1">
        <f t="array" ref="AB1195">_xlfn._xlws.FILTER(Teams[teamID], Fixtures[[#This Row],[oppTeam]] = Teams[name], "N/A")</f>
        <v>N/A</v>
      </c>
      <c r="AC1195" s="58" t="str" cm="1">
        <f t="array" ref="AC1195">_xlfn._xlws.FILTER(Teams[teamType], Fixtures[[#This Row],[oppTeam]] = Teams[name], "N/A")</f>
        <v>N/A</v>
      </c>
      <c r="AD1195" s="58" t="str">
        <f>IF(ISBLANK(Fixtures[[#This Row],[date]]), "N/A", IF(Fixtures[[#This Row],[userSide]]="H", Fixtures[[#This Row],[homeScore]], Fixtures[[#This Row],[awayScore]]))</f>
        <v>N/A</v>
      </c>
      <c r="AE1195" s="58" t="str">
        <f>IF(ISBLANK(Fixtures[[#This Row],[date]]), "N/A", IF(Fixtures[[#This Row],[userScore]] = Fixtures[[#This Row],[homeScore]], Fixtures[[#This Row],[awayScore]], Fixtures[[#This Row],[homeScore]]))</f>
        <v>N/A</v>
      </c>
      <c r="AF1195" s="58" t="b">
        <f>NOT(AND(ISBLANK(Fixtures[[#This Row],[homePens]]), ISBLANK(Fixtures[[#This Row],[awayPens]])))</f>
        <v>0</v>
      </c>
      <c r="AG1195" s="58" t="str">
        <f>IF(Fixtures[[#This Row],[penalties]], IF(Fixtures[[#This Row],[userSide]]="H", Fixtures[[#This Row],[homePens]], Fixtures[[#This Row],[awayPens]]), "N/A")</f>
        <v>N/A</v>
      </c>
      <c r="AH1195" s="58" t="str">
        <f>IF(Fixtures[[#This Row],[penalties]], IF(Fixtures[[#This Row],[userPens]]=Fixtures[[#This Row],[homePens]],Fixtures[[#This Row],[awayPens]],Fixtures[[#This Row],[homePens]]), "N/A")</f>
        <v>N/A</v>
      </c>
      <c r="AI1195" s="58" t="b">
        <f>COUNTBLANK(Fixtures[[#This Row],[G]:[MOTM]]) = 0</f>
        <v>0</v>
      </c>
      <c r="AJ1195" s="58" t="str">
        <f>IF(Fixtures[[#This Row],[APP]], Fixtures[[#This Row],[G]]+Fixtures[[#This Row],[A]], "N/A")</f>
        <v>N/A</v>
      </c>
      <c r="AK119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6" spans="1:39" ht="13">
      <c r="A1196" s="55"/>
      <c r="B1196" s="61"/>
      <c r="C1196" s="56"/>
      <c r="D1196" s="56"/>
      <c r="E1196" s="56"/>
      <c r="F1196" s="56"/>
      <c r="G1196" s="56"/>
      <c r="H1196" s="56"/>
      <c r="I1196" s="56"/>
      <c r="J1196" s="56"/>
      <c r="K1196" s="56"/>
      <c r="L1196" s="56"/>
      <c r="M1196" s="56"/>
      <c r="N1196" s="56"/>
      <c r="O1196" s="56"/>
      <c r="P1196" s="56"/>
      <c r="Q1196" s="57"/>
      <c r="R1196" s="56"/>
      <c r="S1196" s="58" t="str" cm="1">
        <f t="array" ref="S1196">_xlfn._xlws.FILTER(Competitions[compType], (Fixtures[[#This Row],[competition]] = Competitions[name]), "N/A")</f>
        <v>N/A</v>
      </c>
      <c r="T1196" s="58" t="str" cm="1">
        <f t="array" ref="T1196">_xlfn._xlws.FILTER(Competitions[exhibition], (Fixtures[[#This Row],[competition]] = Competitions[name]), "N/A")</f>
        <v>N/A</v>
      </c>
      <c r="U1196" s="58" t="str" cm="1">
        <f t="array" ref="U1196">_xlfn._xlws.FILTER(Competitions[compID], (Fixtures[[#This Row],[competition]] = Competitions[name]), "N/A")</f>
        <v>N/A</v>
      </c>
      <c r="V119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6" s="58" t="str" cm="1">
        <f t="array" ref="W119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6" s="58" t="str" cm="1">
        <f t="array" ref="X1196">_xlfn._xlws.FILTER(Teams[name], (Fixtures[[#This Row],[userTeamID]] = Teams[teamID]), "N/A")</f>
        <v>N/A</v>
      </c>
      <c r="Y1196" s="58" t="str" cm="1">
        <f t="array" ref="Y1196">_xlfn._xlws.FILTER(Teams[teamType], (Fixtures[[#This Row],[userTeamID]] = Teams[teamID]), "N/A")</f>
        <v>N/A</v>
      </c>
      <c r="Z1196" s="58" t="str" cm="1">
        <f t="array" ref="Z119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6" s="58" t="str">
        <f>IF(Fixtures[[#This Row],[userSide]] = "N/A", "N/A", IF(Fixtures[[#This Row],[userSide]] = "H", Fixtures[[#This Row],[awayTeam]], Fixtures[[#This Row],[homeTeam]]))</f>
        <v>N/A</v>
      </c>
      <c r="AB1196" s="58" t="str" cm="1">
        <f t="array" ref="AB1196">_xlfn._xlws.FILTER(Teams[teamID], Fixtures[[#This Row],[oppTeam]] = Teams[name], "N/A")</f>
        <v>N/A</v>
      </c>
      <c r="AC1196" s="58" t="str" cm="1">
        <f t="array" ref="AC1196">_xlfn._xlws.FILTER(Teams[teamType], Fixtures[[#This Row],[oppTeam]] = Teams[name], "N/A")</f>
        <v>N/A</v>
      </c>
      <c r="AD1196" s="58" t="str">
        <f>IF(ISBLANK(Fixtures[[#This Row],[date]]), "N/A", IF(Fixtures[[#This Row],[userSide]]="H", Fixtures[[#This Row],[homeScore]], Fixtures[[#This Row],[awayScore]]))</f>
        <v>N/A</v>
      </c>
      <c r="AE1196" s="58" t="str">
        <f>IF(ISBLANK(Fixtures[[#This Row],[date]]), "N/A", IF(Fixtures[[#This Row],[userScore]] = Fixtures[[#This Row],[homeScore]], Fixtures[[#This Row],[awayScore]], Fixtures[[#This Row],[homeScore]]))</f>
        <v>N/A</v>
      </c>
      <c r="AF1196" s="58" t="b">
        <f>NOT(AND(ISBLANK(Fixtures[[#This Row],[homePens]]), ISBLANK(Fixtures[[#This Row],[awayPens]])))</f>
        <v>0</v>
      </c>
      <c r="AG1196" s="58" t="str">
        <f>IF(Fixtures[[#This Row],[penalties]], IF(Fixtures[[#This Row],[userSide]]="H", Fixtures[[#This Row],[homePens]], Fixtures[[#This Row],[awayPens]]), "N/A")</f>
        <v>N/A</v>
      </c>
      <c r="AH1196" s="58" t="str">
        <f>IF(Fixtures[[#This Row],[penalties]], IF(Fixtures[[#This Row],[userPens]]=Fixtures[[#This Row],[homePens]],Fixtures[[#This Row],[awayPens]],Fixtures[[#This Row],[homePens]]), "N/A")</f>
        <v>N/A</v>
      </c>
      <c r="AI1196" s="58" t="b">
        <f>COUNTBLANK(Fixtures[[#This Row],[G]:[MOTM]]) = 0</f>
        <v>0</v>
      </c>
      <c r="AJ1196" s="58" t="str">
        <f>IF(Fixtures[[#This Row],[APP]], Fixtures[[#This Row],[G]]+Fixtures[[#This Row],[A]], "N/A")</f>
        <v>N/A</v>
      </c>
      <c r="AK119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7" spans="1:39" ht="13">
      <c r="A1197" s="55"/>
      <c r="B1197" s="61"/>
      <c r="C1197" s="56"/>
      <c r="D1197" s="56"/>
      <c r="E1197" s="56"/>
      <c r="F1197" s="56"/>
      <c r="G1197" s="56"/>
      <c r="H1197" s="56"/>
      <c r="I1197" s="56"/>
      <c r="J1197" s="56"/>
      <c r="K1197" s="56"/>
      <c r="L1197" s="56"/>
      <c r="M1197" s="56"/>
      <c r="N1197" s="56"/>
      <c r="O1197" s="56"/>
      <c r="P1197" s="56"/>
      <c r="Q1197" s="57"/>
      <c r="R1197" s="56"/>
      <c r="S1197" s="58" t="str" cm="1">
        <f t="array" ref="S1197">_xlfn._xlws.FILTER(Competitions[compType], (Fixtures[[#This Row],[competition]] = Competitions[name]), "N/A")</f>
        <v>N/A</v>
      </c>
      <c r="T1197" s="58" t="str" cm="1">
        <f t="array" ref="T1197">_xlfn._xlws.FILTER(Competitions[exhibition], (Fixtures[[#This Row],[competition]] = Competitions[name]), "N/A")</f>
        <v>N/A</v>
      </c>
      <c r="U1197" s="58" t="str" cm="1">
        <f t="array" ref="U1197">_xlfn._xlws.FILTER(Competitions[compID], (Fixtures[[#This Row],[competition]] = Competitions[name]), "N/A")</f>
        <v>N/A</v>
      </c>
      <c r="V119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7" s="58" t="str" cm="1">
        <f t="array" ref="W119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7" s="58" t="str" cm="1">
        <f t="array" ref="X1197">_xlfn._xlws.FILTER(Teams[name], (Fixtures[[#This Row],[userTeamID]] = Teams[teamID]), "N/A")</f>
        <v>N/A</v>
      </c>
      <c r="Y1197" s="58" t="str" cm="1">
        <f t="array" ref="Y1197">_xlfn._xlws.FILTER(Teams[teamType], (Fixtures[[#This Row],[userTeamID]] = Teams[teamID]), "N/A")</f>
        <v>N/A</v>
      </c>
      <c r="Z1197" s="58" t="str" cm="1">
        <f t="array" ref="Z119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7" s="58" t="str">
        <f>IF(Fixtures[[#This Row],[userSide]] = "N/A", "N/A", IF(Fixtures[[#This Row],[userSide]] = "H", Fixtures[[#This Row],[awayTeam]], Fixtures[[#This Row],[homeTeam]]))</f>
        <v>N/A</v>
      </c>
      <c r="AB1197" s="58" t="str" cm="1">
        <f t="array" ref="AB1197">_xlfn._xlws.FILTER(Teams[teamID], Fixtures[[#This Row],[oppTeam]] = Teams[name], "N/A")</f>
        <v>N/A</v>
      </c>
      <c r="AC1197" s="58" t="str" cm="1">
        <f t="array" ref="AC1197">_xlfn._xlws.FILTER(Teams[teamType], Fixtures[[#This Row],[oppTeam]] = Teams[name], "N/A")</f>
        <v>N/A</v>
      </c>
      <c r="AD1197" s="58" t="str">
        <f>IF(ISBLANK(Fixtures[[#This Row],[date]]), "N/A", IF(Fixtures[[#This Row],[userSide]]="H", Fixtures[[#This Row],[homeScore]], Fixtures[[#This Row],[awayScore]]))</f>
        <v>N/A</v>
      </c>
      <c r="AE1197" s="58" t="str">
        <f>IF(ISBLANK(Fixtures[[#This Row],[date]]), "N/A", IF(Fixtures[[#This Row],[userScore]] = Fixtures[[#This Row],[homeScore]], Fixtures[[#This Row],[awayScore]], Fixtures[[#This Row],[homeScore]]))</f>
        <v>N/A</v>
      </c>
      <c r="AF1197" s="58" t="b">
        <f>NOT(AND(ISBLANK(Fixtures[[#This Row],[homePens]]), ISBLANK(Fixtures[[#This Row],[awayPens]])))</f>
        <v>0</v>
      </c>
      <c r="AG1197" s="58" t="str">
        <f>IF(Fixtures[[#This Row],[penalties]], IF(Fixtures[[#This Row],[userSide]]="H", Fixtures[[#This Row],[homePens]], Fixtures[[#This Row],[awayPens]]), "N/A")</f>
        <v>N/A</v>
      </c>
      <c r="AH1197" s="58" t="str">
        <f>IF(Fixtures[[#This Row],[penalties]], IF(Fixtures[[#This Row],[userPens]]=Fixtures[[#This Row],[homePens]],Fixtures[[#This Row],[awayPens]],Fixtures[[#This Row],[homePens]]), "N/A")</f>
        <v>N/A</v>
      </c>
      <c r="AI1197" s="58" t="b">
        <f>COUNTBLANK(Fixtures[[#This Row],[G]:[MOTM]]) = 0</f>
        <v>0</v>
      </c>
      <c r="AJ1197" s="58" t="str">
        <f>IF(Fixtures[[#This Row],[APP]], Fixtures[[#This Row],[G]]+Fixtures[[#This Row],[A]], "N/A")</f>
        <v>N/A</v>
      </c>
      <c r="AK119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8" spans="1:39" ht="13">
      <c r="A1198" s="55"/>
      <c r="B1198" s="61"/>
      <c r="C1198" s="56"/>
      <c r="D1198" s="56"/>
      <c r="E1198" s="56"/>
      <c r="F1198" s="56"/>
      <c r="G1198" s="56"/>
      <c r="H1198" s="56"/>
      <c r="I1198" s="56"/>
      <c r="J1198" s="56"/>
      <c r="K1198" s="56"/>
      <c r="L1198" s="56"/>
      <c r="M1198" s="56"/>
      <c r="N1198" s="56"/>
      <c r="O1198" s="56"/>
      <c r="P1198" s="56"/>
      <c r="Q1198" s="57"/>
      <c r="R1198" s="56"/>
      <c r="S1198" s="58" t="str" cm="1">
        <f t="array" ref="S1198">_xlfn._xlws.FILTER(Competitions[compType], (Fixtures[[#This Row],[competition]] = Competitions[name]), "N/A")</f>
        <v>N/A</v>
      </c>
      <c r="T1198" s="58" t="str" cm="1">
        <f t="array" ref="T1198">_xlfn._xlws.FILTER(Competitions[exhibition], (Fixtures[[#This Row],[competition]] = Competitions[name]), "N/A")</f>
        <v>N/A</v>
      </c>
      <c r="U1198" s="58" t="str" cm="1">
        <f t="array" ref="U1198">_xlfn._xlws.FILTER(Competitions[compID], (Fixtures[[#This Row],[competition]] = Competitions[name]), "N/A")</f>
        <v>N/A</v>
      </c>
      <c r="V119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8" s="58" t="str" cm="1">
        <f t="array" ref="W119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8" s="58" t="str" cm="1">
        <f t="array" ref="X1198">_xlfn._xlws.FILTER(Teams[name], (Fixtures[[#This Row],[userTeamID]] = Teams[teamID]), "N/A")</f>
        <v>N/A</v>
      </c>
      <c r="Y1198" s="58" t="str" cm="1">
        <f t="array" ref="Y1198">_xlfn._xlws.FILTER(Teams[teamType], (Fixtures[[#This Row],[userTeamID]] = Teams[teamID]), "N/A")</f>
        <v>N/A</v>
      </c>
      <c r="Z1198" s="58" t="str" cm="1">
        <f t="array" ref="Z119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8" s="58" t="str">
        <f>IF(Fixtures[[#This Row],[userSide]] = "N/A", "N/A", IF(Fixtures[[#This Row],[userSide]] = "H", Fixtures[[#This Row],[awayTeam]], Fixtures[[#This Row],[homeTeam]]))</f>
        <v>N/A</v>
      </c>
      <c r="AB1198" s="58" t="str" cm="1">
        <f t="array" ref="AB1198">_xlfn._xlws.FILTER(Teams[teamID], Fixtures[[#This Row],[oppTeam]] = Teams[name], "N/A")</f>
        <v>N/A</v>
      </c>
      <c r="AC1198" s="58" t="str" cm="1">
        <f t="array" ref="AC1198">_xlfn._xlws.FILTER(Teams[teamType], Fixtures[[#This Row],[oppTeam]] = Teams[name], "N/A")</f>
        <v>N/A</v>
      </c>
      <c r="AD1198" s="58" t="str">
        <f>IF(ISBLANK(Fixtures[[#This Row],[date]]), "N/A", IF(Fixtures[[#This Row],[userSide]]="H", Fixtures[[#This Row],[homeScore]], Fixtures[[#This Row],[awayScore]]))</f>
        <v>N/A</v>
      </c>
      <c r="AE1198" s="58" t="str">
        <f>IF(ISBLANK(Fixtures[[#This Row],[date]]), "N/A", IF(Fixtures[[#This Row],[userScore]] = Fixtures[[#This Row],[homeScore]], Fixtures[[#This Row],[awayScore]], Fixtures[[#This Row],[homeScore]]))</f>
        <v>N/A</v>
      </c>
      <c r="AF1198" s="58" t="b">
        <f>NOT(AND(ISBLANK(Fixtures[[#This Row],[homePens]]), ISBLANK(Fixtures[[#This Row],[awayPens]])))</f>
        <v>0</v>
      </c>
      <c r="AG1198" s="58" t="str">
        <f>IF(Fixtures[[#This Row],[penalties]], IF(Fixtures[[#This Row],[userSide]]="H", Fixtures[[#This Row],[homePens]], Fixtures[[#This Row],[awayPens]]), "N/A")</f>
        <v>N/A</v>
      </c>
      <c r="AH1198" s="58" t="str">
        <f>IF(Fixtures[[#This Row],[penalties]], IF(Fixtures[[#This Row],[userPens]]=Fixtures[[#This Row],[homePens]],Fixtures[[#This Row],[awayPens]],Fixtures[[#This Row],[homePens]]), "N/A")</f>
        <v>N/A</v>
      </c>
      <c r="AI1198" s="58" t="b">
        <f>COUNTBLANK(Fixtures[[#This Row],[G]:[MOTM]]) = 0</f>
        <v>0</v>
      </c>
      <c r="AJ1198" s="58" t="str">
        <f>IF(Fixtures[[#This Row],[APP]], Fixtures[[#This Row],[G]]+Fixtures[[#This Row],[A]], "N/A")</f>
        <v>N/A</v>
      </c>
      <c r="AK119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199" spans="1:39" ht="13">
      <c r="A1199" s="55"/>
      <c r="B1199" s="61"/>
      <c r="C1199" s="56"/>
      <c r="D1199" s="56"/>
      <c r="E1199" s="56"/>
      <c r="F1199" s="56"/>
      <c r="G1199" s="56"/>
      <c r="H1199" s="56"/>
      <c r="I1199" s="56"/>
      <c r="J1199" s="56"/>
      <c r="K1199" s="56"/>
      <c r="L1199" s="56"/>
      <c r="M1199" s="56"/>
      <c r="N1199" s="56"/>
      <c r="O1199" s="56"/>
      <c r="P1199" s="56"/>
      <c r="Q1199" s="57"/>
      <c r="R1199" s="56"/>
      <c r="S1199" s="58" t="str" cm="1">
        <f t="array" ref="S1199">_xlfn._xlws.FILTER(Competitions[compType], (Fixtures[[#This Row],[competition]] = Competitions[name]), "N/A")</f>
        <v>N/A</v>
      </c>
      <c r="T1199" s="58" t="str" cm="1">
        <f t="array" ref="T1199">_xlfn._xlws.FILTER(Competitions[exhibition], (Fixtures[[#This Row],[competition]] = Competitions[name]), "N/A")</f>
        <v>N/A</v>
      </c>
      <c r="U1199" s="58" t="str" cm="1">
        <f t="array" ref="U1199">_xlfn._xlws.FILTER(Competitions[compID], (Fixtures[[#This Row],[competition]] = Competitions[name]), "N/A")</f>
        <v>N/A</v>
      </c>
      <c r="V119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199" s="58" t="str" cm="1">
        <f t="array" ref="W119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199" s="58" t="str" cm="1">
        <f t="array" ref="X1199">_xlfn._xlws.FILTER(Teams[name], (Fixtures[[#This Row],[userTeamID]] = Teams[teamID]), "N/A")</f>
        <v>N/A</v>
      </c>
      <c r="Y1199" s="58" t="str" cm="1">
        <f t="array" ref="Y1199">_xlfn._xlws.FILTER(Teams[teamType], (Fixtures[[#This Row],[userTeamID]] = Teams[teamID]), "N/A")</f>
        <v>N/A</v>
      </c>
      <c r="Z1199" s="58" t="str" cm="1">
        <f t="array" ref="Z119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199" s="58" t="str">
        <f>IF(Fixtures[[#This Row],[userSide]] = "N/A", "N/A", IF(Fixtures[[#This Row],[userSide]] = "H", Fixtures[[#This Row],[awayTeam]], Fixtures[[#This Row],[homeTeam]]))</f>
        <v>N/A</v>
      </c>
      <c r="AB1199" s="58" t="str" cm="1">
        <f t="array" ref="AB1199">_xlfn._xlws.FILTER(Teams[teamID], Fixtures[[#This Row],[oppTeam]] = Teams[name], "N/A")</f>
        <v>N/A</v>
      </c>
      <c r="AC1199" s="58" t="str" cm="1">
        <f t="array" ref="AC1199">_xlfn._xlws.FILTER(Teams[teamType], Fixtures[[#This Row],[oppTeam]] = Teams[name], "N/A")</f>
        <v>N/A</v>
      </c>
      <c r="AD1199" s="58" t="str">
        <f>IF(ISBLANK(Fixtures[[#This Row],[date]]), "N/A", IF(Fixtures[[#This Row],[userSide]]="H", Fixtures[[#This Row],[homeScore]], Fixtures[[#This Row],[awayScore]]))</f>
        <v>N/A</v>
      </c>
      <c r="AE1199" s="58" t="str">
        <f>IF(ISBLANK(Fixtures[[#This Row],[date]]), "N/A", IF(Fixtures[[#This Row],[userScore]] = Fixtures[[#This Row],[homeScore]], Fixtures[[#This Row],[awayScore]], Fixtures[[#This Row],[homeScore]]))</f>
        <v>N/A</v>
      </c>
      <c r="AF1199" s="58" t="b">
        <f>NOT(AND(ISBLANK(Fixtures[[#This Row],[homePens]]), ISBLANK(Fixtures[[#This Row],[awayPens]])))</f>
        <v>0</v>
      </c>
      <c r="AG1199" s="58" t="str">
        <f>IF(Fixtures[[#This Row],[penalties]], IF(Fixtures[[#This Row],[userSide]]="H", Fixtures[[#This Row],[homePens]], Fixtures[[#This Row],[awayPens]]), "N/A")</f>
        <v>N/A</v>
      </c>
      <c r="AH1199" s="58" t="str">
        <f>IF(Fixtures[[#This Row],[penalties]], IF(Fixtures[[#This Row],[userPens]]=Fixtures[[#This Row],[homePens]],Fixtures[[#This Row],[awayPens]],Fixtures[[#This Row],[homePens]]), "N/A")</f>
        <v>N/A</v>
      </c>
      <c r="AI1199" s="58" t="b">
        <f>COUNTBLANK(Fixtures[[#This Row],[G]:[MOTM]]) = 0</f>
        <v>0</v>
      </c>
      <c r="AJ1199" s="58" t="str">
        <f>IF(Fixtures[[#This Row],[APP]], Fixtures[[#This Row],[G]]+Fixtures[[#This Row],[A]], "N/A")</f>
        <v>N/A</v>
      </c>
      <c r="AK119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19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19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0" spans="1:39" ht="13">
      <c r="A1200" s="55"/>
      <c r="B1200" s="61"/>
      <c r="C1200" s="56"/>
      <c r="D1200" s="56"/>
      <c r="E1200" s="56"/>
      <c r="F1200" s="56"/>
      <c r="G1200" s="56"/>
      <c r="H1200" s="56"/>
      <c r="I1200" s="56"/>
      <c r="J1200" s="56"/>
      <c r="K1200" s="56"/>
      <c r="L1200" s="56"/>
      <c r="M1200" s="56"/>
      <c r="N1200" s="56"/>
      <c r="O1200" s="56"/>
      <c r="P1200" s="56"/>
      <c r="Q1200" s="57"/>
      <c r="R1200" s="56"/>
      <c r="S1200" s="58" t="str" cm="1">
        <f t="array" ref="S1200">_xlfn._xlws.FILTER(Competitions[compType], (Fixtures[[#This Row],[competition]] = Competitions[name]), "N/A")</f>
        <v>N/A</v>
      </c>
      <c r="T1200" s="58" t="str" cm="1">
        <f t="array" ref="T1200">_xlfn._xlws.FILTER(Competitions[exhibition], (Fixtures[[#This Row],[competition]] = Competitions[name]), "N/A")</f>
        <v>N/A</v>
      </c>
      <c r="U1200" s="58" t="str" cm="1">
        <f t="array" ref="U1200">_xlfn._xlws.FILTER(Competitions[compID], (Fixtures[[#This Row],[competition]] = Competitions[name]), "N/A")</f>
        <v>N/A</v>
      </c>
      <c r="V120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0" s="58" t="str" cm="1">
        <f t="array" ref="W120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0" s="58" t="str" cm="1">
        <f t="array" ref="X1200">_xlfn._xlws.FILTER(Teams[name], (Fixtures[[#This Row],[userTeamID]] = Teams[teamID]), "N/A")</f>
        <v>N/A</v>
      </c>
      <c r="Y1200" s="58" t="str" cm="1">
        <f t="array" ref="Y1200">_xlfn._xlws.FILTER(Teams[teamType], (Fixtures[[#This Row],[userTeamID]] = Teams[teamID]), "N/A")</f>
        <v>N/A</v>
      </c>
      <c r="Z1200" s="58" t="str" cm="1">
        <f t="array" ref="Z120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0" s="58" t="str">
        <f>IF(Fixtures[[#This Row],[userSide]] = "N/A", "N/A", IF(Fixtures[[#This Row],[userSide]] = "H", Fixtures[[#This Row],[awayTeam]], Fixtures[[#This Row],[homeTeam]]))</f>
        <v>N/A</v>
      </c>
      <c r="AB1200" s="58" t="str" cm="1">
        <f t="array" ref="AB1200">_xlfn._xlws.FILTER(Teams[teamID], Fixtures[[#This Row],[oppTeam]] = Teams[name], "N/A")</f>
        <v>N/A</v>
      </c>
      <c r="AC1200" s="58" t="str" cm="1">
        <f t="array" ref="AC1200">_xlfn._xlws.FILTER(Teams[teamType], Fixtures[[#This Row],[oppTeam]] = Teams[name], "N/A")</f>
        <v>N/A</v>
      </c>
      <c r="AD1200" s="58" t="str">
        <f>IF(ISBLANK(Fixtures[[#This Row],[date]]), "N/A", IF(Fixtures[[#This Row],[userSide]]="H", Fixtures[[#This Row],[homeScore]], Fixtures[[#This Row],[awayScore]]))</f>
        <v>N/A</v>
      </c>
      <c r="AE1200" s="58" t="str">
        <f>IF(ISBLANK(Fixtures[[#This Row],[date]]), "N/A", IF(Fixtures[[#This Row],[userScore]] = Fixtures[[#This Row],[homeScore]], Fixtures[[#This Row],[awayScore]], Fixtures[[#This Row],[homeScore]]))</f>
        <v>N/A</v>
      </c>
      <c r="AF1200" s="58" t="b">
        <f>NOT(AND(ISBLANK(Fixtures[[#This Row],[homePens]]), ISBLANK(Fixtures[[#This Row],[awayPens]])))</f>
        <v>0</v>
      </c>
      <c r="AG1200" s="58" t="str">
        <f>IF(Fixtures[[#This Row],[penalties]], IF(Fixtures[[#This Row],[userSide]]="H", Fixtures[[#This Row],[homePens]], Fixtures[[#This Row],[awayPens]]), "N/A")</f>
        <v>N/A</v>
      </c>
      <c r="AH1200" s="58" t="str">
        <f>IF(Fixtures[[#This Row],[penalties]], IF(Fixtures[[#This Row],[userPens]]=Fixtures[[#This Row],[homePens]],Fixtures[[#This Row],[awayPens]],Fixtures[[#This Row],[homePens]]), "N/A")</f>
        <v>N/A</v>
      </c>
      <c r="AI1200" s="58" t="b">
        <f>COUNTBLANK(Fixtures[[#This Row],[G]:[MOTM]]) = 0</f>
        <v>0</v>
      </c>
      <c r="AJ1200" s="58" t="str">
        <f>IF(Fixtures[[#This Row],[APP]], Fixtures[[#This Row],[G]]+Fixtures[[#This Row],[A]], "N/A")</f>
        <v>N/A</v>
      </c>
      <c r="AK120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1" spans="1:39" ht="13">
      <c r="A1201" s="55"/>
      <c r="B1201" s="61"/>
      <c r="C1201" s="56"/>
      <c r="D1201" s="56"/>
      <c r="E1201" s="56"/>
      <c r="F1201" s="56"/>
      <c r="G1201" s="56"/>
      <c r="H1201" s="56"/>
      <c r="I1201" s="56"/>
      <c r="J1201" s="56"/>
      <c r="K1201" s="56"/>
      <c r="L1201" s="56"/>
      <c r="M1201" s="56"/>
      <c r="N1201" s="56"/>
      <c r="O1201" s="56"/>
      <c r="P1201" s="56"/>
      <c r="Q1201" s="57"/>
      <c r="R1201" s="56"/>
      <c r="S1201" s="58" t="str" cm="1">
        <f t="array" ref="S1201">_xlfn._xlws.FILTER(Competitions[compType], (Fixtures[[#This Row],[competition]] = Competitions[name]), "N/A")</f>
        <v>N/A</v>
      </c>
      <c r="T1201" s="58" t="str" cm="1">
        <f t="array" ref="T1201">_xlfn._xlws.FILTER(Competitions[exhibition], (Fixtures[[#This Row],[competition]] = Competitions[name]), "N/A")</f>
        <v>N/A</v>
      </c>
      <c r="U1201" s="58" t="str" cm="1">
        <f t="array" ref="U1201">_xlfn._xlws.FILTER(Competitions[compID], (Fixtures[[#This Row],[competition]] = Competitions[name]), "N/A")</f>
        <v>N/A</v>
      </c>
      <c r="V120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1" s="58" t="str" cm="1">
        <f t="array" ref="W120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1" s="58" t="str" cm="1">
        <f t="array" ref="X1201">_xlfn._xlws.FILTER(Teams[name], (Fixtures[[#This Row],[userTeamID]] = Teams[teamID]), "N/A")</f>
        <v>N/A</v>
      </c>
      <c r="Y1201" s="58" t="str" cm="1">
        <f t="array" ref="Y1201">_xlfn._xlws.FILTER(Teams[teamType], (Fixtures[[#This Row],[userTeamID]] = Teams[teamID]), "N/A")</f>
        <v>N/A</v>
      </c>
      <c r="Z1201" s="58" t="str" cm="1">
        <f t="array" ref="Z120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1" s="58" t="str">
        <f>IF(Fixtures[[#This Row],[userSide]] = "N/A", "N/A", IF(Fixtures[[#This Row],[userSide]] = "H", Fixtures[[#This Row],[awayTeam]], Fixtures[[#This Row],[homeTeam]]))</f>
        <v>N/A</v>
      </c>
      <c r="AB1201" s="58" t="str" cm="1">
        <f t="array" ref="AB1201">_xlfn._xlws.FILTER(Teams[teamID], Fixtures[[#This Row],[oppTeam]] = Teams[name], "N/A")</f>
        <v>N/A</v>
      </c>
      <c r="AC1201" s="58" t="str" cm="1">
        <f t="array" ref="AC1201">_xlfn._xlws.FILTER(Teams[teamType], Fixtures[[#This Row],[oppTeam]] = Teams[name], "N/A")</f>
        <v>N/A</v>
      </c>
      <c r="AD1201" s="58" t="str">
        <f>IF(ISBLANK(Fixtures[[#This Row],[date]]), "N/A", IF(Fixtures[[#This Row],[userSide]]="H", Fixtures[[#This Row],[homeScore]], Fixtures[[#This Row],[awayScore]]))</f>
        <v>N/A</v>
      </c>
      <c r="AE1201" s="58" t="str">
        <f>IF(ISBLANK(Fixtures[[#This Row],[date]]), "N/A", IF(Fixtures[[#This Row],[userScore]] = Fixtures[[#This Row],[homeScore]], Fixtures[[#This Row],[awayScore]], Fixtures[[#This Row],[homeScore]]))</f>
        <v>N/A</v>
      </c>
      <c r="AF1201" s="58" t="b">
        <f>NOT(AND(ISBLANK(Fixtures[[#This Row],[homePens]]), ISBLANK(Fixtures[[#This Row],[awayPens]])))</f>
        <v>0</v>
      </c>
      <c r="AG1201" s="58" t="str">
        <f>IF(Fixtures[[#This Row],[penalties]], IF(Fixtures[[#This Row],[userSide]]="H", Fixtures[[#This Row],[homePens]], Fixtures[[#This Row],[awayPens]]), "N/A")</f>
        <v>N/A</v>
      </c>
      <c r="AH1201" s="58" t="str">
        <f>IF(Fixtures[[#This Row],[penalties]], IF(Fixtures[[#This Row],[userPens]]=Fixtures[[#This Row],[homePens]],Fixtures[[#This Row],[awayPens]],Fixtures[[#This Row],[homePens]]), "N/A")</f>
        <v>N/A</v>
      </c>
      <c r="AI1201" s="58" t="b">
        <f>COUNTBLANK(Fixtures[[#This Row],[G]:[MOTM]]) = 0</f>
        <v>0</v>
      </c>
      <c r="AJ1201" s="58" t="str">
        <f>IF(Fixtures[[#This Row],[APP]], Fixtures[[#This Row],[G]]+Fixtures[[#This Row],[A]], "N/A")</f>
        <v>N/A</v>
      </c>
      <c r="AK120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2" spans="1:39" ht="13">
      <c r="A1202" s="55"/>
      <c r="B1202" s="61"/>
      <c r="C1202" s="56"/>
      <c r="D1202" s="56"/>
      <c r="E1202" s="56"/>
      <c r="F1202" s="56"/>
      <c r="G1202" s="56"/>
      <c r="H1202" s="56"/>
      <c r="I1202" s="56"/>
      <c r="J1202" s="56"/>
      <c r="K1202" s="56"/>
      <c r="L1202" s="56"/>
      <c r="M1202" s="56"/>
      <c r="N1202" s="56"/>
      <c r="O1202" s="56"/>
      <c r="P1202" s="56"/>
      <c r="Q1202" s="57"/>
      <c r="R1202" s="56"/>
      <c r="S1202" s="58" t="str" cm="1">
        <f t="array" ref="S1202">_xlfn._xlws.FILTER(Competitions[compType], (Fixtures[[#This Row],[competition]] = Competitions[name]), "N/A")</f>
        <v>N/A</v>
      </c>
      <c r="T1202" s="58" t="str" cm="1">
        <f t="array" ref="T1202">_xlfn._xlws.FILTER(Competitions[exhibition], (Fixtures[[#This Row],[competition]] = Competitions[name]), "N/A")</f>
        <v>N/A</v>
      </c>
      <c r="U1202" s="58" t="str" cm="1">
        <f t="array" ref="U1202">_xlfn._xlws.FILTER(Competitions[compID], (Fixtures[[#This Row],[competition]] = Competitions[name]), "N/A")</f>
        <v>N/A</v>
      </c>
      <c r="V120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2" s="58" t="str" cm="1">
        <f t="array" ref="W120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2" s="58" t="str" cm="1">
        <f t="array" ref="X1202">_xlfn._xlws.FILTER(Teams[name], (Fixtures[[#This Row],[userTeamID]] = Teams[teamID]), "N/A")</f>
        <v>N/A</v>
      </c>
      <c r="Y1202" s="58" t="str" cm="1">
        <f t="array" ref="Y1202">_xlfn._xlws.FILTER(Teams[teamType], (Fixtures[[#This Row],[userTeamID]] = Teams[teamID]), "N/A")</f>
        <v>N/A</v>
      </c>
      <c r="Z1202" s="58" t="str" cm="1">
        <f t="array" ref="Z120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2" s="58" t="str">
        <f>IF(Fixtures[[#This Row],[userSide]] = "N/A", "N/A", IF(Fixtures[[#This Row],[userSide]] = "H", Fixtures[[#This Row],[awayTeam]], Fixtures[[#This Row],[homeTeam]]))</f>
        <v>N/A</v>
      </c>
      <c r="AB1202" s="58" t="str" cm="1">
        <f t="array" ref="AB1202">_xlfn._xlws.FILTER(Teams[teamID], Fixtures[[#This Row],[oppTeam]] = Teams[name], "N/A")</f>
        <v>N/A</v>
      </c>
      <c r="AC1202" s="58" t="str" cm="1">
        <f t="array" ref="AC1202">_xlfn._xlws.FILTER(Teams[teamType], Fixtures[[#This Row],[oppTeam]] = Teams[name], "N/A")</f>
        <v>N/A</v>
      </c>
      <c r="AD1202" s="58" t="str">
        <f>IF(ISBLANK(Fixtures[[#This Row],[date]]), "N/A", IF(Fixtures[[#This Row],[userSide]]="H", Fixtures[[#This Row],[homeScore]], Fixtures[[#This Row],[awayScore]]))</f>
        <v>N/A</v>
      </c>
      <c r="AE1202" s="58" t="str">
        <f>IF(ISBLANK(Fixtures[[#This Row],[date]]), "N/A", IF(Fixtures[[#This Row],[userScore]] = Fixtures[[#This Row],[homeScore]], Fixtures[[#This Row],[awayScore]], Fixtures[[#This Row],[homeScore]]))</f>
        <v>N/A</v>
      </c>
      <c r="AF1202" s="58" t="b">
        <f>NOT(AND(ISBLANK(Fixtures[[#This Row],[homePens]]), ISBLANK(Fixtures[[#This Row],[awayPens]])))</f>
        <v>0</v>
      </c>
      <c r="AG1202" s="58" t="str">
        <f>IF(Fixtures[[#This Row],[penalties]], IF(Fixtures[[#This Row],[userSide]]="H", Fixtures[[#This Row],[homePens]], Fixtures[[#This Row],[awayPens]]), "N/A")</f>
        <v>N/A</v>
      </c>
      <c r="AH1202" s="58" t="str">
        <f>IF(Fixtures[[#This Row],[penalties]], IF(Fixtures[[#This Row],[userPens]]=Fixtures[[#This Row],[homePens]],Fixtures[[#This Row],[awayPens]],Fixtures[[#This Row],[homePens]]), "N/A")</f>
        <v>N/A</v>
      </c>
      <c r="AI1202" s="58" t="b">
        <f>COUNTBLANK(Fixtures[[#This Row],[G]:[MOTM]]) = 0</f>
        <v>0</v>
      </c>
      <c r="AJ1202" s="58" t="str">
        <f>IF(Fixtures[[#This Row],[APP]], Fixtures[[#This Row],[G]]+Fixtures[[#This Row],[A]], "N/A")</f>
        <v>N/A</v>
      </c>
      <c r="AK120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3" spans="1:39" ht="13">
      <c r="A1203" s="55"/>
      <c r="B1203" s="61"/>
      <c r="C1203" s="56"/>
      <c r="D1203" s="56"/>
      <c r="E1203" s="56"/>
      <c r="F1203" s="56"/>
      <c r="G1203" s="56"/>
      <c r="H1203" s="56"/>
      <c r="I1203" s="56"/>
      <c r="J1203" s="56"/>
      <c r="K1203" s="56"/>
      <c r="L1203" s="56"/>
      <c r="M1203" s="56"/>
      <c r="N1203" s="56"/>
      <c r="O1203" s="56"/>
      <c r="P1203" s="56"/>
      <c r="Q1203" s="57"/>
      <c r="R1203" s="56"/>
      <c r="S1203" s="58" t="str" cm="1">
        <f t="array" ref="S1203">_xlfn._xlws.FILTER(Competitions[compType], (Fixtures[[#This Row],[competition]] = Competitions[name]), "N/A")</f>
        <v>N/A</v>
      </c>
      <c r="T1203" s="58" t="str" cm="1">
        <f t="array" ref="T1203">_xlfn._xlws.FILTER(Competitions[exhibition], (Fixtures[[#This Row],[competition]] = Competitions[name]), "N/A")</f>
        <v>N/A</v>
      </c>
      <c r="U1203" s="58" t="str" cm="1">
        <f t="array" ref="U1203">_xlfn._xlws.FILTER(Competitions[compID], (Fixtures[[#This Row],[competition]] = Competitions[name]), "N/A")</f>
        <v>N/A</v>
      </c>
      <c r="V120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3" s="58" t="str" cm="1">
        <f t="array" ref="W120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3" s="58" t="str" cm="1">
        <f t="array" ref="X1203">_xlfn._xlws.FILTER(Teams[name], (Fixtures[[#This Row],[userTeamID]] = Teams[teamID]), "N/A")</f>
        <v>N/A</v>
      </c>
      <c r="Y1203" s="58" t="str" cm="1">
        <f t="array" ref="Y1203">_xlfn._xlws.FILTER(Teams[teamType], (Fixtures[[#This Row],[userTeamID]] = Teams[teamID]), "N/A")</f>
        <v>N/A</v>
      </c>
      <c r="Z1203" s="58" t="str" cm="1">
        <f t="array" ref="Z120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3" s="58" t="str">
        <f>IF(Fixtures[[#This Row],[userSide]] = "N/A", "N/A", IF(Fixtures[[#This Row],[userSide]] = "H", Fixtures[[#This Row],[awayTeam]], Fixtures[[#This Row],[homeTeam]]))</f>
        <v>N/A</v>
      </c>
      <c r="AB1203" s="58" t="str" cm="1">
        <f t="array" ref="AB1203">_xlfn._xlws.FILTER(Teams[teamID], Fixtures[[#This Row],[oppTeam]] = Teams[name], "N/A")</f>
        <v>N/A</v>
      </c>
      <c r="AC1203" s="58" t="str" cm="1">
        <f t="array" ref="AC1203">_xlfn._xlws.FILTER(Teams[teamType], Fixtures[[#This Row],[oppTeam]] = Teams[name], "N/A")</f>
        <v>N/A</v>
      </c>
      <c r="AD1203" s="58" t="str">
        <f>IF(ISBLANK(Fixtures[[#This Row],[date]]), "N/A", IF(Fixtures[[#This Row],[userSide]]="H", Fixtures[[#This Row],[homeScore]], Fixtures[[#This Row],[awayScore]]))</f>
        <v>N/A</v>
      </c>
      <c r="AE1203" s="58" t="str">
        <f>IF(ISBLANK(Fixtures[[#This Row],[date]]), "N/A", IF(Fixtures[[#This Row],[userScore]] = Fixtures[[#This Row],[homeScore]], Fixtures[[#This Row],[awayScore]], Fixtures[[#This Row],[homeScore]]))</f>
        <v>N/A</v>
      </c>
      <c r="AF1203" s="58" t="b">
        <f>NOT(AND(ISBLANK(Fixtures[[#This Row],[homePens]]), ISBLANK(Fixtures[[#This Row],[awayPens]])))</f>
        <v>0</v>
      </c>
      <c r="AG1203" s="58" t="str">
        <f>IF(Fixtures[[#This Row],[penalties]], IF(Fixtures[[#This Row],[userSide]]="H", Fixtures[[#This Row],[homePens]], Fixtures[[#This Row],[awayPens]]), "N/A")</f>
        <v>N/A</v>
      </c>
      <c r="AH1203" s="58" t="str">
        <f>IF(Fixtures[[#This Row],[penalties]], IF(Fixtures[[#This Row],[userPens]]=Fixtures[[#This Row],[homePens]],Fixtures[[#This Row],[awayPens]],Fixtures[[#This Row],[homePens]]), "N/A")</f>
        <v>N/A</v>
      </c>
      <c r="AI1203" s="58" t="b">
        <f>COUNTBLANK(Fixtures[[#This Row],[G]:[MOTM]]) = 0</f>
        <v>0</v>
      </c>
      <c r="AJ1203" s="58" t="str">
        <f>IF(Fixtures[[#This Row],[APP]], Fixtures[[#This Row],[G]]+Fixtures[[#This Row],[A]], "N/A")</f>
        <v>N/A</v>
      </c>
      <c r="AK120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4" spans="1:39" ht="13">
      <c r="A1204" s="55"/>
      <c r="B1204" s="61"/>
      <c r="C1204" s="56"/>
      <c r="D1204" s="56"/>
      <c r="E1204" s="56"/>
      <c r="F1204" s="56"/>
      <c r="G1204" s="56"/>
      <c r="H1204" s="56"/>
      <c r="I1204" s="56"/>
      <c r="J1204" s="56"/>
      <c r="K1204" s="56"/>
      <c r="L1204" s="56"/>
      <c r="M1204" s="56"/>
      <c r="N1204" s="56"/>
      <c r="O1204" s="56"/>
      <c r="P1204" s="56"/>
      <c r="Q1204" s="57"/>
      <c r="R1204" s="56"/>
      <c r="S1204" s="58" t="str" cm="1">
        <f t="array" ref="S1204">_xlfn._xlws.FILTER(Competitions[compType], (Fixtures[[#This Row],[competition]] = Competitions[name]), "N/A")</f>
        <v>N/A</v>
      </c>
      <c r="T1204" s="58" t="str" cm="1">
        <f t="array" ref="T1204">_xlfn._xlws.FILTER(Competitions[exhibition], (Fixtures[[#This Row],[competition]] = Competitions[name]), "N/A")</f>
        <v>N/A</v>
      </c>
      <c r="U1204" s="58" t="str" cm="1">
        <f t="array" ref="U1204">_xlfn._xlws.FILTER(Competitions[compID], (Fixtures[[#This Row],[competition]] = Competitions[name]), "N/A")</f>
        <v>N/A</v>
      </c>
      <c r="V120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4" s="58" t="str" cm="1">
        <f t="array" ref="W120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4" s="58" t="str" cm="1">
        <f t="array" ref="X1204">_xlfn._xlws.FILTER(Teams[name], (Fixtures[[#This Row],[userTeamID]] = Teams[teamID]), "N/A")</f>
        <v>N/A</v>
      </c>
      <c r="Y1204" s="58" t="str" cm="1">
        <f t="array" ref="Y1204">_xlfn._xlws.FILTER(Teams[teamType], (Fixtures[[#This Row],[userTeamID]] = Teams[teamID]), "N/A")</f>
        <v>N/A</v>
      </c>
      <c r="Z1204" s="58" t="str" cm="1">
        <f t="array" ref="Z120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4" s="58" t="str">
        <f>IF(Fixtures[[#This Row],[userSide]] = "N/A", "N/A", IF(Fixtures[[#This Row],[userSide]] = "H", Fixtures[[#This Row],[awayTeam]], Fixtures[[#This Row],[homeTeam]]))</f>
        <v>N/A</v>
      </c>
      <c r="AB1204" s="58" t="str" cm="1">
        <f t="array" ref="AB1204">_xlfn._xlws.FILTER(Teams[teamID], Fixtures[[#This Row],[oppTeam]] = Teams[name], "N/A")</f>
        <v>N/A</v>
      </c>
      <c r="AC1204" s="58" t="str" cm="1">
        <f t="array" ref="AC1204">_xlfn._xlws.FILTER(Teams[teamType], Fixtures[[#This Row],[oppTeam]] = Teams[name], "N/A")</f>
        <v>N/A</v>
      </c>
      <c r="AD1204" s="58" t="str">
        <f>IF(ISBLANK(Fixtures[[#This Row],[date]]), "N/A", IF(Fixtures[[#This Row],[userSide]]="H", Fixtures[[#This Row],[homeScore]], Fixtures[[#This Row],[awayScore]]))</f>
        <v>N/A</v>
      </c>
      <c r="AE1204" s="58" t="str">
        <f>IF(ISBLANK(Fixtures[[#This Row],[date]]), "N/A", IF(Fixtures[[#This Row],[userScore]] = Fixtures[[#This Row],[homeScore]], Fixtures[[#This Row],[awayScore]], Fixtures[[#This Row],[homeScore]]))</f>
        <v>N/A</v>
      </c>
      <c r="AF1204" s="58" t="b">
        <f>NOT(AND(ISBLANK(Fixtures[[#This Row],[homePens]]), ISBLANK(Fixtures[[#This Row],[awayPens]])))</f>
        <v>0</v>
      </c>
      <c r="AG1204" s="58" t="str">
        <f>IF(Fixtures[[#This Row],[penalties]], IF(Fixtures[[#This Row],[userSide]]="H", Fixtures[[#This Row],[homePens]], Fixtures[[#This Row],[awayPens]]), "N/A")</f>
        <v>N/A</v>
      </c>
      <c r="AH1204" s="58" t="str">
        <f>IF(Fixtures[[#This Row],[penalties]], IF(Fixtures[[#This Row],[userPens]]=Fixtures[[#This Row],[homePens]],Fixtures[[#This Row],[awayPens]],Fixtures[[#This Row],[homePens]]), "N/A")</f>
        <v>N/A</v>
      </c>
      <c r="AI1204" s="58" t="b">
        <f>COUNTBLANK(Fixtures[[#This Row],[G]:[MOTM]]) = 0</f>
        <v>0</v>
      </c>
      <c r="AJ1204" s="58" t="str">
        <f>IF(Fixtures[[#This Row],[APP]], Fixtures[[#This Row],[G]]+Fixtures[[#This Row],[A]], "N/A")</f>
        <v>N/A</v>
      </c>
      <c r="AK120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5" spans="1:39" ht="13">
      <c r="A1205" s="55"/>
      <c r="B1205" s="61"/>
      <c r="C1205" s="56"/>
      <c r="D1205" s="56"/>
      <c r="E1205" s="56"/>
      <c r="F1205" s="56"/>
      <c r="G1205" s="56"/>
      <c r="H1205" s="56"/>
      <c r="I1205" s="56"/>
      <c r="J1205" s="56"/>
      <c r="K1205" s="56"/>
      <c r="L1205" s="56"/>
      <c r="M1205" s="56"/>
      <c r="N1205" s="56"/>
      <c r="O1205" s="56"/>
      <c r="P1205" s="56"/>
      <c r="Q1205" s="57"/>
      <c r="R1205" s="56"/>
      <c r="S1205" s="58" t="str" cm="1">
        <f t="array" ref="S1205">_xlfn._xlws.FILTER(Competitions[compType], (Fixtures[[#This Row],[competition]] = Competitions[name]), "N/A")</f>
        <v>N/A</v>
      </c>
      <c r="T1205" s="58" t="str" cm="1">
        <f t="array" ref="T1205">_xlfn._xlws.FILTER(Competitions[exhibition], (Fixtures[[#This Row],[competition]] = Competitions[name]), "N/A")</f>
        <v>N/A</v>
      </c>
      <c r="U1205" s="58" t="str" cm="1">
        <f t="array" ref="U1205">_xlfn._xlws.FILTER(Competitions[compID], (Fixtures[[#This Row],[competition]] = Competitions[name]), "N/A")</f>
        <v>N/A</v>
      </c>
      <c r="V120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5" s="58" t="str" cm="1">
        <f t="array" ref="W120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5" s="58" t="str" cm="1">
        <f t="array" ref="X1205">_xlfn._xlws.FILTER(Teams[name], (Fixtures[[#This Row],[userTeamID]] = Teams[teamID]), "N/A")</f>
        <v>N/A</v>
      </c>
      <c r="Y1205" s="58" t="str" cm="1">
        <f t="array" ref="Y1205">_xlfn._xlws.FILTER(Teams[teamType], (Fixtures[[#This Row],[userTeamID]] = Teams[teamID]), "N/A")</f>
        <v>N/A</v>
      </c>
      <c r="Z1205" s="58" t="str" cm="1">
        <f t="array" ref="Z120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5" s="58" t="str">
        <f>IF(Fixtures[[#This Row],[userSide]] = "N/A", "N/A", IF(Fixtures[[#This Row],[userSide]] = "H", Fixtures[[#This Row],[awayTeam]], Fixtures[[#This Row],[homeTeam]]))</f>
        <v>N/A</v>
      </c>
      <c r="AB1205" s="58" t="str" cm="1">
        <f t="array" ref="AB1205">_xlfn._xlws.FILTER(Teams[teamID], Fixtures[[#This Row],[oppTeam]] = Teams[name], "N/A")</f>
        <v>N/A</v>
      </c>
      <c r="AC1205" s="58" t="str" cm="1">
        <f t="array" ref="AC1205">_xlfn._xlws.FILTER(Teams[teamType], Fixtures[[#This Row],[oppTeam]] = Teams[name], "N/A")</f>
        <v>N/A</v>
      </c>
      <c r="AD1205" s="58" t="str">
        <f>IF(ISBLANK(Fixtures[[#This Row],[date]]), "N/A", IF(Fixtures[[#This Row],[userSide]]="H", Fixtures[[#This Row],[homeScore]], Fixtures[[#This Row],[awayScore]]))</f>
        <v>N/A</v>
      </c>
      <c r="AE1205" s="58" t="str">
        <f>IF(ISBLANK(Fixtures[[#This Row],[date]]), "N/A", IF(Fixtures[[#This Row],[userScore]] = Fixtures[[#This Row],[homeScore]], Fixtures[[#This Row],[awayScore]], Fixtures[[#This Row],[homeScore]]))</f>
        <v>N/A</v>
      </c>
      <c r="AF1205" s="58" t="b">
        <f>NOT(AND(ISBLANK(Fixtures[[#This Row],[homePens]]), ISBLANK(Fixtures[[#This Row],[awayPens]])))</f>
        <v>0</v>
      </c>
      <c r="AG1205" s="58" t="str">
        <f>IF(Fixtures[[#This Row],[penalties]], IF(Fixtures[[#This Row],[userSide]]="H", Fixtures[[#This Row],[homePens]], Fixtures[[#This Row],[awayPens]]), "N/A")</f>
        <v>N/A</v>
      </c>
      <c r="AH1205" s="58" t="str">
        <f>IF(Fixtures[[#This Row],[penalties]], IF(Fixtures[[#This Row],[userPens]]=Fixtures[[#This Row],[homePens]],Fixtures[[#This Row],[awayPens]],Fixtures[[#This Row],[homePens]]), "N/A")</f>
        <v>N/A</v>
      </c>
      <c r="AI1205" s="58" t="b">
        <f>COUNTBLANK(Fixtures[[#This Row],[G]:[MOTM]]) = 0</f>
        <v>0</v>
      </c>
      <c r="AJ1205" s="58" t="str">
        <f>IF(Fixtures[[#This Row],[APP]], Fixtures[[#This Row],[G]]+Fixtures[[#This Row],[A]], "N/A")</f>
        <v>N/A</v>
      </c>
      <c r="AK120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6" spans="1:39" ht="13">
      <c r="A1206" s="55"/>
      <c r="B1206" s="61"/>
      <c r="C1206" s="56"/>
      <c r="D1206" s="56"/>
      <c r="E1206" s="56"/>
      <c r="F1206" s="56"/>
      <c r="G1206" s="56"/>
      <c r="H1206" s="56"/>
      <c r="I1206" s="56"/>
      <c r="J1206" s="56"/>
      <c r="K1206" s="56"/>
      <c r="L1206" s="56"/>
      <c r="M1206" s="56"/>
      <c r="N1206" s="56"/>
      <c r="O1206" s="56"/>
      <c r="P1206" s="56"/>
      <c r="Q1206" s="57"/>
      <c r="R1206" s="56"/>
      <c r="S1206" s="58" t="str" cm="1">
        <f t="array" ref="S1206">_xlfn._xlws.FILTER(Competitions[compType], (Fixtures[[#This Row],[competition]] = Competitions[name]), "N/A")</f>
        <v>N/A</v>
      </c>
      <c r="T1206" s="58" t="str" cm="1">
        <f t="array" ref="T1206">_xlfn._xlws.FILTER(Competitions[exhibition], (Fixtures[[#This Row],[competition]] = Competitions[name]), "N/A")</f>
        <v>N/A</v>
      </c>
      <c r="U1206" s="58" t="str" cm="1">
        <f t="array" ref="U1206">_xlfn._xlws.FILTER(Competitions[compID], (Fixtures[[#This Row],[competition]] = Competitions[name]), "N/A")</f>
        <v>N/A</v>
      </c>
      <c r="V120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6" s="58" t="str" cm="1">
        <f t="array" ref="W120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6" s="58" t="str" cm="1">
        <f t="array" ref="X1206">_xlfn._xlws.FILTER(Teams[name], (Fixtures[[#This Row],[userTeamID]] = Teams[teamID]), "N/A")</f>
        <v>N/A</v>
      </c>
      <c r="Y1206" s="58" t="str" cm="1">
        <f t="array" ref="Y1206">_xlfn._xlws.FILTER(Teams[teamType], (Fixtures[[#This Row],[userTeamID]] = Teams[teamID]), "N/A")</f>
        <v>N/A</v>
      </c>
      <c r="Z1206" s="58" t="str" cm="1">
        <f t="array" ref="Z120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6" s="58" t="str">
        <f>IF(Fixtures[[#This Row],[userSide]] = "N/A", "N/A", IF(Fixtures[[#This Row],[userSide]] = "H", Fixtures[[#This Row],[awayTeam]], Fixtures[[#This Row],[homeTeam]]))</f>
        <v>N/A</v>
      </c>
      <c r="AB1206" s="58" t="str" cm="1">
        <f t="array" ref="AB1206">_xlfn._xlws.FILTER(Teams[teamID], Fixtures[[#This Row],[oppTeam]] = Teams[name], "N/A")</f>
        <v>N/A</v>
      </c>
      <c r="AC1206" s="58" t="str" cm="1">
        <f t="array" ref="AC1206">_xlfn._xlws.FILTER(Teams[teamType], Fixtures[[#This Row],[oppTeam]] = Teams[name], "N/A")</f>
        <v>N/A</v>
      </c>
      <c r="AD1206" s="58" t="str">
        <f>IF(ISBLANK(Fixtures[[#This Row],[date]]), "N/A", IF(Fixtures[[#This Row],[userSide]]="H", Fixtures[[#This Row],[homeScore]], Fixtures[[#This Row],[awayScore]]))</f>
        <v>N/A</v>
      </c>
      <c r="AE1206" s="58" t="str">
        <f>IF(ISBLANK(Fixtures[[#This Row],[date]]), "N/A", IF(Fixtures[[#This Row],[userScore]] = Fixtures[[#This Row],[homeScore]], Fixtures[[#This Row],[awayScore]], Fixtures[[#This Row],[homeScore]]))</f>
        <v>N/A</v>
      </c>
      <c r="AF1206" s="58" t="b">
        <f>NOT(AND(ISBLANK(Fixtures[[#This Row],[homePens]]), ISBLANK(Fixtures[[#This Row],[awayPens]])))</f>
        <v>0</v>
      </c>
      <c r="AG1206" s="58" t="str">
        <f>IF(Fixtures[[#This Row],[penalties]], IF(Fixtures[[#This Row],[userSide]]="H", Fixtures[[#This Row],[homePens]], Fixtures[[#This Row],[awayPens]]), "N/A")</f>
        <v>N/A</v>
      </c>
      <c r="AH1206" s="58" t="str">
        <f>IF(Fixtures[[#This Row],[penalties]], IF(Fixtures[[#This Row],[userPens]]=Fixtures[[#This Row],[homePens]],Fixtures[[#This Row],[awayPens]],Fixtures[[#This Row],[homePens]]), "N/A")</f>
        <v>N/A</v>
      </c>
      <c r="AI1206" s="58" t="b">
        <f>COUNTBLANK(Fixtures[[#This Row],[G]:[MOTM]]) = 0</f>
        <v>0</v>
      </c>
      <c r="AJ1206" s="58" t="str">
        <f>IF(Fixtures[[#This Row],[APP]], Fixtures[[#This Row],[G]]+Fixtures[[#This Row],[A]], "N/A")</f>
        <v>N/A</v>
      </c>
      <c r="AK120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7" spans="1:39" ht="13">
      <c r="A1207" s="55"/>
      <c r="B1207" s="61"/>
      <c r="C1207" s="56"/>
      <c r="D1207" s="56"/>
      <c r="E1207" s="56"/>
      <c r="F1207" s="56"/>
      <c r="G1207" s="56"/>
      <c r="H1207" s="56"/>
      <c r="I1207" s="56"/>
      <c r="J1207" s="56"/>
      <c r="K1207" s="56"/>
      <c r="L1207" s="56"/>
      <c r="M1207" s="56"/>
      <c r="N1207" s="56"/>
      <c r="O1207" s="56"/>
      <c r="P1207" s="56"/>
      <c r="Q1207" s="57"/>
      <c r="R1207" s="56"/>
      <c r="S1207" s="58" t="str" cm="1">
        <f t="array" ref="S1207">_xlfn._xlws.FILTER(Competitions[compType], (Fixtures[[#This Row],[competition]] = Competitions[name]), "N/A")</f>
        <v>N/A</v>
      </c>
      <c r="T1207" s="58" t="str" cm="1">
        <f t="array" ref="T1207">_xlfn._xlws.FILTER(Competitions[exhibition], (Fixtures[[#This Row],[competition]] = Competitions[name]), "N/A")</f>
        <v>N/A</v>
      </c>
      <c r="U1207" s="58" t="str" cm="1">
        <f t="array" ref="U1207">_xlfn._xlws.FILTER(Competitions[compID], (Fixtures[[#This Row],[competition]] = Competitions[name]), "N/A")</f>
        <v>N/A</v>
      </c>
      <c r="V120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7" s="58" t="str" cm="1">
        <f t="array" ref="W120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7" s="58" t="str" cm="1">
        <f t="array" ref="X1207">_xlfn._xlws.FILTER(Teams[name], (Fixtures[[#This Row],[userTeamID]] = Teams[teamID]), "N/A")</f>
        <v>N/A</v>
      </c>
      <c r="Y1207" s="58" t="str" cm="1">
        <f t="array" ref="Y1207">_xlfn._xlws.FILTER(Teams[teamType], (Fixtures[[#This Row],[userTeamID]] = Teams[teamID]), "N/A")</f>
        <v>N/A</v>
      </c>
      <c r="Z1207" s="58" t="str" cm="1">
        <f t="array" ref="Z120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7" s="58" t="str">
        <f>IF(Fixtures[[#This Row],[userSide]] = "N/A", "N/A", IF(Fixtures[[#This Row],[userSide]] = "H", Fixtures[[#This Row],[awayTeam]], Fixtures[[#This Row],[homeTeam]]))</f>
        <v>N/A</v>
      </c>
      <c r="AB1207" s="58" t="str" cm="1">
        <f t="array" ref="AB1207">_xlfn._xlws.FILTER(Teams[teamID], Fixtures[[#This Row],[oppTeam]] = Teams[name], "N/A")</f>
        <v>N/A</v>
      </c>
      <c r="AC1207" s="58" t="str" cm="1">
        <f t="array" ref="AC1207">_xlfn._xlws.FILTER(Teams[teamType], Fixtures[[#This Row],[oppTeam]] = Teams[name], "N/A")</f>
        <v>N/A</v>
      </c>
      <c r="AD1207" s="58" t="str">
        <f>IF(ISBLANK(Fixtures[[#This Row],[date]]), "N/A", IF(Fixtures[[#This Row],[userSide]]="H", Fixtures[[#This Row],[homeScore]], Fixtures[[#This Row],[awayScore]]))</f>
        <v>N/A</v>
      </c>
      <c r="AE1207" s="58" t="str">
        <f>IF(ISBLANK(Fixtures[[#This Row],[date]]), "N/A", IF(Fixtures[[#This Row],[userScore]] = Fixtures[[#This Row],[homeScore]], Fixtures[[#This Row],[awayScore]], Fixtures[[#This Row],[homeScore]]))</f>
        <v>N/A</v>
      </c>
      <c r="AF1207" s="58" t="b">
        <f>NOT(AND(ISBLANK(Fixtures[[#This Row],[homePens]]), ISBLANK(Fixtures[[#This Row],[awayPens]])))</f>
        <v>0</v>
      </c>
      <c r="AG1207" s="58" t="str">
        <f>IF(Fixtures[[#This Row],[penalties]], IF(Fixtures[[#This Row],[userSide]]="H", Fixtures[[#This Row],[homePens]], Fixtures[[#This Row],[awayPens]]), "N/A")</f>
        <v>N/A</v>
      </c>
      <c r="AH1207" s="58" t="str">
        <f>IF(Fixtures[[#This Row],[penalties]], IF(Fixtures[[#This Row],[userPens]]=Fixtures[[#This Row],[homePens]],Fixtures[[#This Row],[awayPens]],Fixtures[[#This Row],[homePens]]), "N/A")</f>
        <v>N/A</v>
      </c>
      <c r="AI1207" s="58" t="b">
        <f>COUNTBLANK(Fixtures[[#This Row],[G]:[MOTM]]) = 0</f>
        <v>0</v>
      </c>
      <c r="AJ1207" s="58" t="str">
        <f>IF(Fixtures[[#This Row],[APP]], Fixtures[[#This Row],[G]]+Fixtures[[#This Row],[A]], "N/A")</f>
        <v>N/A</v>
      </c>
      <c r="AK120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8" spans="1:39" ht="13">
      <c r="A1208" s="55"/>
      <c r="B1208" s="61"/>
      <c r="C1208" s="56"/>
      <c r="D1208" s="56"/>
      <c r="E1208" s="56"/>
      <c r="F1208" s="56"/>
      <c r="G1208" s="56"/>
      <c r="H1208" s="56"/>
      <c r="I1208" s="56"/>
      <c r="J1208" s="56"/>
      <c r="K1208" s="56"/>
      <c r="L1208" s="56"/>
      <c r="M1208" s="56"/>
      <c r="N1208" s="56"/>
      <c r="O1208" s="56"/>
      <c r="P1208" s="56"/>
      <c r="Q1208" s="57"/>
      <c r="R1208" s="56"/>
      <c r="S1208" s="58" t="str" cm="1">
        <f t="array" ref="S1208">_xlfn._xlws.FILTER(Competitions[compType], (Fixtures[[#This Row],[competition]] = Competitions[name]), "N/A")</f>
        <v>N/A</v>
      </c>
      <c r="T1208" s="58" t="str" cm="1">
        <f t="array" ref="T1208">_xlfn._xlws.FILTER(Competitions[exhibition], (Fixtures[[#This Row],[competition]] = Competitions[name]), "N/A")</f>
        <v>N/A</v>
      </c>
      <c r="U1208" s="58" t="str" cm="1">
        <f t="array" ref="U1208">_xlfn._xlws.FILTER(Competitions[compID], (Fixtures[[#This Row],[competition]] = Competitions[name]), "N/A")</f>
        <v>N/A</v>
      </c>
      <c r="V120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8" s="58" t="str" cm="1">
        <f t="array" ref="W120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8" s="58" t="str" cm="1">
        <f t="array" ref="X1208">_xlfn._xlws.FILTER(Teams[name], (Fixtures[[#This Row],[userTeamID]] = Teams[teamID]), "N/A")</f>
        <v>N/A</v>
      </c>
      <c r="Y1208" s="58" t="str" cm="1">
        <f t="array" ref="Y1208">_xlfn._xlws.FILTER(Teams[teamType], (Fixtures[[#This Row],[userTeamID]] = Teams[teamID]), "N/A")</f>
        <v>N/A</v>
      </c>
      <c r="Z1208" s="58" t="str" cm="1">
        <f t="array" ref="Z120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8" s="58" t="str">
        <f>IF(Fixtures[[#This Row],[userSide]] = "N/A", "N/A", IF(Fixtures[[#This Row],[userSide]] = "H", Fixtures[[#This Row],[awayTeam]], Fixtures[[#This Row],[homeTeam]]))</f>
        <v>N/A</v>
      </c>
      <c r="AB1208" s="58" t="str" cm="1">
        <f t="array" ref="AB1208">_xlfn._xlws.FILTER(Teams[teamID], Fixtures[[#This Row],[oppTeam]] = Teams[name], "N/A")</f>
        <v>N/A</v>
      </c>
      <c r="AC1208" s="58" t="str" cm="1">
        <f t="array" ref="AC1208">_xlfn._xlws.FILTER(Teams[teamType], Fixtures[[#This Row],[oppTeam]] = Teams[name], "N/A")</f>
        <v>N/A</v>
      </c>
      <c r="AD1208" s="58" t="str">
        <f>IF(ISBLANK(Fixtures[[#This Row],[date]]), "N/A", IF(Fixtures[[#This Row],[userSide]]="H", Fixtures[[#This Row],[homeScore]], Fixtures[[#This Row],[awayScore]]))</f>
        <v>N/A</v>
      </c>
      <c r="AE1208" s="58" t="str">
        <f>IF(ISBLANK(Fixtures[[#This Row],[date]]), "N/A", IF(Fixtures[[#This Row],[userScore]] = Fixtures[[#This Row],[homeScore]], Fixtures[[#This Row],[awayScore]], Fixtures[[#This Row],[homeScore]]))</f>
        <v>N/A</v>
      </c>
      <c r="AF1208" s="58" t="b">
        <f>NOT(AND(ISBLANK(Fixtures[[#This Row],[homePens]]), ISBLANK(Fixtures[[#This Row],[awayPens]])))</f>
        <v>0</v>
      </c>
      <c r="AG1208" s="58" t="str">
        <f>IF(Fixtures[[#This Row],[penalties]], IF(Fixtures[[#This Row],[userSide]]="H", Fixtures[[#This Row],[homePens]], Fixtures[[#This Row],[awayPens]]), "N/A")</f>
        <v>N/A</v>
      </c>
      <c r="AH1208" s="58" t="str">
        <f>IF(Fixtures[[#This Row],[penalties]], IF(Fixtures[[#This Row],[userPens]]=Fixtures[[#This Row],[homePens]],Fixtures[[#This Row],[awayPens]],Fixtures[[#This Row],[homePens]]), "N/A")</f>
        <v>N/A</v>
      </c>
      <c r="AI1208" s="58" t="b">
        <f>COUNTBLANK(Fixtures[[#This Row],[G]:[MOTM]]) = 0</f>
        <v>0</v>
      </c>
      <c r="AJ1208" s="58" t="str">
        <f>IF(Fixtures[[#This Row],[APP]], Fixtures[[#This Row],[G]]+Fixtures[[#This Row],[A]], "N/A")</f>
        <v>N/A</v>
      </c>
      <c r="AK120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09" spans="1:39" ht="13">
      <c r="A1209" s="55"/>
      <c r="B1209" s="61"/>
      <c r="C1209" s="56"/>
      <c r="D1209" s="56"/>
      <c r="E1209" s="56"/>
      <c r="F1209" s="56"/>
      <c r="G1209" s="56"/>
      <c r="H1209" s="56"/>
      <c r="I1209" s="56"/>
      <c r="J1209" s="56"/>
      <c r="K1209" s="56"/>
      <c r="L1209" s="56"/>
      <c r="M1209" s="56"/>
      <c r="N1209" s="56"/>
      <c r="O1209" s="56"/>
      <c r="P1209" s="56"/>
      <c r="Q1209" s="57"/>
      <c r="R1209" s="56"/>
      <c r="S1209" s="58" t="str" cm="1">
        <f t="array" ref="S1209">_xlfn._xlws.FILTER(Competitions[compType], (Fixtures[[#This Row],[competition]] = Competitions[name]), "N/A")</f>
        <v>N/A</v>
      </c>
      <c r="T1209" s="58" t="str" cm="1">
        <f t="array" ref="T1209">_xlfn._xlws.FILTER(Competitions[exhibition], (Fixtures[[#This Row],[competition]] = Competitions[name]), "N/A")</f>
        <v>N/A</v>
      </c>
      <c r="U1209" s="58" t="str" cm="1">
        <f t="array" ref="U1209">_xlfn._xlws.FILTER(Competitions[compID], (Fixtures[[#This Row],[competition]] = Competitions[name]), "N/A")</f>
        <v>N/A</v>
      </c>
      <c r="V120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09" s="58" t="str" cm="1">
        <f t="array" ref="W120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09" s="58" t="str" cm="1">
        <f t="array" ref="X1209">_xlfn._xlws.FILTER(Teams[name], (Fixtures[[#This Row],[userTeamID]] = Teams[teamID]), "N/A")</f>
        <v>N/A</v>
      </c>
      <c r="Y1209" s="58" t="str" cm="1">
        <f t="array" ref="Y1209">_xlfn._xlws.FILTER(Teams[teamType], (Fixtures[[#This Row],[userTeamID]] = Teams[teamID]), "N/A")</f>
        <v>N/A</v>
      </c>
      <c r="Z1209" s="58" t="str" cm="1">
        <f t="array" ref="Z120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09" s="58" t="str">
        <f>IF(Fixtures[[#This Row],[userSide]] = "N/A", "N/A", IF(Fixtures[[#This Row],[userSide]] = "H", Fixtures[[#This Row],[awayTeam]], Fixtures[[#This Row],[homeTeam]]))</f>
        <v>N/A</v>
      </c>
      <c r="AB1209" s="58" t="str" cm="1">
        <f t="array" ref="AB1209">_xlfn._xlws.FILTER(Teams[teamID], Fixtures[[#This Row],[oppTeam]] = Teams[name], "N/A")</f>
        <v>N/A</v>
      </c>
      <c r="AC1209" s="58" t="str" cm="1">
        <f t="array" ref="AC1209">_xlfn._xlws.FILTER(Teams[teamType], Fixtures[[#This Row],[oppTeam]] = Teams[name], "N/A")</f>
        <v>N/A</v>
      </c>
      <c r="AD1209" s="58" t="str">
        <f>IF(ISBLANK(Fixtures[[#This Row],[date]]), "N/A", IF(Fixtures[[#This Row],[userSide]]="H", Fixtures[[#This Row],[homeScore]], Fixtures[[#This Row],[awayScore]]))</f>
        <v>N/A</v>
      </c>
      <c r="AE1209" s="58" t="str">
        <f>IF(ISBLANK(Fixtures[[#This Row],[date]]), "N/A", IF(Fixtures[[#This Row],[userScore]] = Fixtures[[#This Row],[homeScore]], Fixtures[[#This Row],[awayScore]], Fixtures[[#This Row],[homeScore]]))</f>
        <v>N/A</v>
      </c>
      <c r="AF1209" s="58" t="b">
        <f>NOT(AND(ISBLANK(Fixtures[[#This Row],[homePens]]), ISBLANK(Fixtures[[#This Row],[awayPens]])))</f>
        <v>0</v>
      </c>
      <c r="AG1209" s="58" t="str">
        <f>IF(Fixtures[[#This Row],[penalties]], IF(Fixtures[[#This Row],[userSide]]="H", Fixtures[[#This Row],[homePens]], Fixtures[[#This Row],[awayPens]]), "N/A")</f>
        <v>N/A</v>
      </c>
      <c r="AH1209" s="58" t="str">
        <f>IF(Fixtures[[#This Row],[penalties]], IF(Fixtures[[#This Row],[userPens]]=Fixtures[[#This Row],[homePens]],Fixtures[[#This Row],[awayPens]],Fixtures[[#This Row],[homePens]]), "N/A")</f>
        <v>N/A</v>
      </c>
      <c r="AI1209" s="58" t="b">
        <f>COUNTBLANK(Fixtures[[#This Row],[G]:[MOTM]]) = 0</f>
        <v>0</v>
      </c>
      <c r="AJ1209" s="58" t="str">
        <f>IF(Fixtures[[#This Row],[APP]], Fixtures[[#This Row],[G]]+Fixtures[[#This Row],[A]], "N/A")</f>
        <v>N/A</v>
      </c>
      <c r="AK120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0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0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0" spans="1:39" ht="13">
      <c r="A1210" s="55"/>
      <c r="B1210" s="61"/>
      <c r="C1210" s="56"/>
      <c r="D1210" s="56"/>
      <c r="E1210" s="56"/>
      <c r="F1210" s="56"/>
      <c r="G1210" s="56"/>
      <c r="H1210" s="56"/>
      <c r="I1210" s="56"/>
      <c r="J1210" s="56"/>
      <c r="K1210" s="56"/>
      <c r="L1210" s="56"/>
      <c r="M1210" s="56"/>
      <c r="N1210" s="56"/>
      <c r="O1210" s="56"/>
      <c r="P1210" s="56"/>
      <c r="Q1210" s="57"/>
      <c r="R1210" s="56"/>
      <c r="S1210" s="58" t="str" cm="1">
        <f t="array" ref="S1210">_xlfn._xlws.FILTER(Competitions[compType], (Fixtures[[#This Row],[competition]] = Competitions[name]), "N/A")</f>
        <v>N/A</v>
      </c>
      <c r="T1210" s="58" t="str" cm="1">
        <f t="array" ref="T1210">_xlfn._xlws.FILTER(Competitions[exhibition], (Fixtures[[#This Row],[competition]] = Competitions[name]), "N/A")</f>
        <v>N/A</v>
      </c>
      <c r="U1210" s="58" t="str" cm="1">
        <f t="array" ref="U1210">_xlfn._xlws.FILTER(Competitions[compID], (Fixtures[[#This Row],[competition]] = Competitions[name]), "N/A")</f>
        <v>N/A</v>
      </c>
      <c r="V121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0" s="58" t="str" cm="1">
        <f t="array" ref="W121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0" s="58" t="str" cm="1">
        <f t="array" ref="X1210">_xlfn._xlws.FILTER(Teams[name], (Fixtures[[#This Row],[userTeamID]] = Teams[teamID]), "N/A")</f>
        <v>N/A</v>
      </c>
      <c r="Y1210" s="58" t="str" cm="1">
        <f t="array" ref="Y1210">_xlfn._xlws.FILTER(Teams[teamType], (Fixtures[[#This Row],[userTeamID]] = Teams[teamID]), "N/A")</f>
        <v>N/A</v>
      </c>
      <c r="Z1210" s="58" t="str" cm="1">
        <f t="array" ref="Z121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0" s="58" t="str">
        <f>IF(Fixtures[[#This Row],[userSide]] = "N/A", "N/A", IF(Fixtures[[#This Row],[userSide]] = "H", Fixtures[[#This Row],[awayTeam]], Fixtures[[#This Row],[homeTeam]]))</f>
        <v>N/A</v>
      </c>
      <c r="AB1210" s="58" t="str" cm="1">
        <f t="array" ref="AB1210">_xlfn._xlws.FILTER(Teams[teamID], Fixtures[[#This Row],[oppTeam]] = Teams[name], "N/A")</f>
        <v>N/A</v>
      </c>
      <c r="AC1210" s="58" t="str" cm="1">
        <f t="array" ref="AC1210">_xlfn._xlws.FILTER(Teams[teamType], Fixtures[[#This Row],[oppTeam]] = Teams[name], "N/A")</f>
        <v>N/A</v>
      </c>
      <c r="AD1210" s="58" t="str">
        <f>IF(ISBLANK(Fixtures[[#This Row],[date]]), "N/A", IF(Fixtures[[#This Row],[userSide]]="H", Fixtures[[#This Row],[homeScore]], Fixtures[[#This Row],[awayScore]]))</f>
        <v>N/A</v>
      </c>
      <c r="AE1210" s="58" t="str">
        <f>IF(ISBLANK(Fixtures[[#This Row],[date]]), "N/A", IF(Fixtures[[#This Row],[userScore]] = Fixtures[[#This Row],[homeScore]], Fixtures[[#This Row],[awayScore]], Fixtures[[#This Row],[homeScore]]))</f>
        <v>N/A</v>
      </c>
      <c r="AF1210" s="58" t="b">
        <f>NOT(AND(ISBLANK(Fixtures[[#This Row],[homePens]]), ISBLANK(Fixtures[[#This Row],[awayPens]])))</f>
        <v>0</v>
      </c>
      <c r="AG1210" s="58" t="str">
        <f>IF(Fixtures[[#This Row],[penalties]], IF(Fixtures[[#This Row],[userSide]]="H", Fixtures[[#This Row],[homePens]], Fixtures[[#This Row],[awayPens]]), "N/A")</f>
        <v>N/A</v>
      </c>
      <c r="AH1210" s="58" t="str">
        <f>IF(Fixtures[[#This Row],[penalties]], IF(Fixtures[[#This Row],[userPens]]=Fixtures[[#This Row],[homePens]],Fixtures[[#This Row],[awayPens]],Fixtures[[#This Row],[homePens]]), "N/A")</f>
        <v>N/A</v>
      </c>
      <c r="AI1210" s="58" t="b">
        <f>COUNTBLANK(Fixtures[[#This Row],[G]:[MOTM]]) = 0</f>
        <v>0</v>
      </c>
      <c r="AJ1210" s="58" t="str">
        <f>IF(Fixtures[[#This Row],[APP]], Fixtures[[#This Row],[G]]+Fixtures[[#This Row],[A]], "N/A")</f>
        <v>N/A</v>
      </c>
      <c r="AK121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1" spans="1:39" ht="13">
      <c r="A1211" s="55"/>
      <c r="B1211" s="61"/>
      <c r="C1211" s="56"/>
      <c r="D1211" s="56"/>
      <c r="E1211" s="56"/>
      <c r="F1211" s="56"/>
      <c r="G1211" s="56"/>
      <c r="H1211" s="56"/>
      <c r="I1211" s="56"/>
      <c r="J1211" s="56"/>
      <c r="K1211" s="56"/>
      <c r="L1211" s="56"/>
      <c r="M1211" s="56"/>
      <c r="N1211" s="56"/>
      <c r="O1211" s="56"/>
      <c r="P1211" s="56"/>
      <c r="Q1211" s="57"/>
      <c r="R1211" s="56"/>
      <c r="S1211" s="58" t="str" cm="1">
        <f t="array" ref="S1211">_xlfn._xlws.FILTER(Competitions[compType], (Fixtures[[#This Row],[competition]] = Competitions[name]), "N/A")</f>
        <v>N/A</v>
      </c>
      <c r="T1211" s="58" t="str" cm="1">
        <f t="array" ref="T1211">_xlfn._xlws.FILTER(Competitions[exhibition], (Fixtures[[#This Row],[competition]] = Competitions[name]), "N/A")</f>
        <v>N/A</v>
      </c>
      <c r="U1211" s="58" t="str" cm="1">
        <f t="array" ref="U1211">_xlfn._xlws.FILTER(Competitions[compID], (Fixtures[[#This Row],[competition]] = Competitions[name]), "N/A")</f>
        <v>N/A</v>
      </c>
      <c r="V121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1" s="58" t="str" cm="1">
        <f t="array" ref="W121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1" s="58" t="str" cm="1">
        <f t="array" ref="X1211">_xlfn._xlws.FILTER(Teams[name], (Fixtures[[#This Row],[userTeamID]] = Teams[teamID]), "N/A")</f>
        <v>N/A</v>
      </c>
      <c r="Y1211" s="58" t="str" cm="1">
        <f t="array" ref="Y1211">_xlfn._xlws.FILTER(Teams[teamType], (Fixtures[[#This Row],[userTeamID]] = Teams[teamID]), "N/A")</f>
        <v>N/A</v>
      </c>
      <c r="Z1211" s="58" t="str" cm="1">
        <f t="array" ref="Z121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1" s="58" t="str">
        <f>IF(Fixtures[[#This Row],[userSide]] = "N/A", "N/A", IF(Fixtures[[#This Row],[userSide]] = "H", Fixtures[[#This Row],[awayTeam]], Fixtures[[#This Row],[homeTeam]]))</f>
        <v>N/A</v>
      </c>
      <c r="AB1211" s="58" t="str" cm="1">
        <f t="array" ref="AB1211">_xlfn._xlws.FILTER(Teams[teamID], Fixtures[[#This Row],[oppTeam]] = Teams[name], "N/A")</f>
        <v>N/A</v>
      </c>
      <c r="AC1211" s="58" t="str" cm="1">
        <f t="array" ref="AC1211">_xlfn._xlws.FILTER(Teams[teamType], Fixtures[[#This Row],[oppTeam]] = Teams[name], "N/A")</f>
        <v>N/A</v>
      </c>
      <c r="AD1211" s="58" t="str">
        <f>IF(ISBLANK(Fixtures[[#This Row],[date]]), "N/A", IF(Fixtures[[#This Row],[userSide]]="H", Fixtures[[#This Row],[homeScore]], Fixtures[[#This Row],[awayScore]]))</f>
        <v>N/A</v>
      </c>
      <c r="AE1211" s="58" t="str">
        <f>IF(ISBLANK(Fixtures[[#This Row],[date]]), "N/A", IF(Fixtures[[#This Row],[userScore]] = Fixtures[[#This Row],[homeScore]], Fixtures[[#This Row],[awayScore]], Fixtures[[#This Row],[homeScore]]))</f>
        <v>N/A</v>
      </c>
      <c r="AF1211" s="58" t="b">
        <f>NOT(AND(ISBLANK(Fixtures[[#This Row],[homePens]]), ISBLANK(Fixtures[[#This Row],[awayPens]])))</f>
        <v>0</v>
      </c>
      <c r="AG1211" s="58" t="str">
        <f>IF(Fixtures[[#This Row],[penalties]], IF(Fixtures[[#This Row],[userSide]]="H", Fixtures[[#This Row],[homePens]], Fixtures[[#This Row],[awayPens]]), "N/A")</f>
        <v>N/A</v>
      </c>
      <c r="AH1211" s="58" t="str">
        <f>IF(Fixtures[[#This Row],[penalties]], IF(Fixtures[[#This Row],[userPens]]=Fixtures[[#This Row],[homePens]],Fixtures[[#This Row],[awayPens]],Fixtures[[#This Row],[homePens]]), "N/A")</f>
        <v>N/A</v>
      </c>
      <c r="AI1211" s="58" t="b">
        <f>COUNTBLANK(Fixtures[[#This Row],[G]:[MOTM]]) = 0</f>
        <v>0</v>
      </c>
      <c r="AJ1211" s="58" t="str">
        <f>IF(Fixtures[[#This Row],[APP]], Fixtures[[#This Row],[G]]+Fixtures[[#This Row],[A]], "N/A")</f>
        <v>N/A</v>
      </c>
      <c r="AK121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2" spans="1:39" ht="13">
      <c r="A1212" s="55"/>
      <c r="B1212" s="61"/>
      <c r="C1212" s="56"/>
      <c r="D1212" s="56"/>
      <c r="E1212" s="56"/>
      <c r="F1212" s="56"/>
      <c r="G1212" s="56"/>
      <c r="H1212" s="56"/>
      <c r="I1212" s="56"/>
      <c r="J1212" s="56"/>
      <c r="K1212" s="56"/>
      <c r="L1212" s="56"/>
      <c r="M1212" s="56"/>
      <c r="N1212" s="56"/>
      <c r="O1212" s="56"/>
      <c r="P1212" s="56"/>
      <c r="Q1212" s="57"/>
      <c r="R1212" s="56"/>
      <c r="S1212" s="58" t="str" cm="1">
        <f t="array" ref="S1212">_xlfn._xlws.FILTER(Competitions[compType], (Fixtures[[#This Row],[competition]] = Competitions[name]), "N/A")</f>
        <v>N/A</v>
      </c>
      <c r="T1212" s="58" t="str" cm="1">
        <f t="array" ref="T1212">_xlfn._xlws.FILTER(Competitions[exhibition], (Fixtures[[#This Row],[competition]] = Competitions[name]), "N/A")</f>
        <v>N/A</v>
      </c>
      <c r="U1212" s="58" t="str" cm="1">
        <f t="array" ref="U1212">_xlfn._xlws.FILTER(Competitions[compID], (Fixtures[[#This Row],[competition]] = Competitions[name]), "N/A")</f>
        <v>N/A</v>
      </c>
      <c r="V121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2" s="58" t="str" cm="1">
        <f t="array" ref="W121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2" s="58" t="str" cm="1">
        <f t="array" ref="X1212">_xlfn._xlws.FILTER(Teams[name], (Fixtures[[#This Row],[userTeamID]] = Teams[teamID]), "N/A")</f>
        <v>N/A</v>
      </c>
      <c r="Y1212" s="58" t="str" cm="1">
        <f t="array" ref="Y1212">_xlfn._xlws.FILTER(Teams[teamType], (Fixtures[[#This Row],[userTeamID]] = Teams[teamID]), "N/A")</f>
        <v>N/A</v>
      </c>
      <c r="Z1212" s="58" t="str" cm="1">
        <f t="array" ref="Z121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2" s="58" t="str">
        <f>IF(Fixtures[[#This Row],[userSide]] = "N/A", "N/A", IF(Fixtures[[#This Row],[userSide]] = "H", Fixtures[[#This Row],[awayTeam]], Fixtures[[#This Row],[homeTeam]]))</f>
        <v>N/A</v>
      </c>
      <c r="AB1212" s="58" t="str" cm="1">
        <f t="array" ref="AB1212">_xlfn._xlws.FILTER(Teams[teamID], Fixtures[[#This Row],[oppTeam]] = Teams[name], "N/A")</f>
        <v>N/A</v>
      </c>
      <c r="AC1212" s="58" t="str" cm="1">
        <f t="array" ref="AC1212">_xlfn._xlws.FILTER(Teams[teamType], Fixtures[[#This Row],[oppTeam]] = Teams[name], "N/A")</f>
        <v>N/A</v>
      </c>
      <c r="AD1212" s="58" t="str">
        <f>IF(ISBLANK(Fixtures[[#This Row],[date]]), "N/A", IF(Fixtures[[#This Row],[userSide]]="H", Fixtures[[#This Row],[homeScore]], Fixtures[[#This Row],[awayScore]]))</f>
        <v>N/A</v>
      </c>
      <c r="AE1212" s="58" t="str">
        <f>IF(ISBLANK(Fixtures[[#This Row],[date]]), "N/A", IF(Fixtures[[#This Row],[userScore]] = Fixtures[[#This Row],[homeScore]], Fixtures[[#This Row],[awayScore]], Fixtures[[#This Row],[homeScore]]))</f>
        <v>N/A</v>
      </c>
      <c r="AF1212" s="58" t="b">
        <f>NOT(AND(ISBLANK(Fixtures[[#This Row],[homePens]]), ISBLANK(Fixtures[[#This Row],[awayPens]])))</f>
        <v>0</v>
      </c>
      <c r="AG1212" s="58" t="str">
        <f>IF(Fixtures[[#This Row],[penalties]], IF(Fixtures[[#This Row],[userSide]]="H", Fixtures[[#This Row],[homePens]], Fixtures[[#This Row],[awayPens]]), "N/A")</f>
        <v>N/A</v>
      </c>
      <c r="AH1212" s="58" t="str">
        <f>IF(Fixtures[[#This Row],[penalties]], IF(Fixtures[[#This Row],[userPens]]=Fixtures[[#This Row],[homePens]],Fixtures[[#This Row],[awayPens]],Fixtures[[#This Row],[homePens]]), "N/A")</f>
        <v>N/A</v>
      </c>
      <c r="AI1212" s="58" t="b">
        <f>COUNTBLANK(Fixtures[[#This Row],[G]:[MOTM]]) = 0</f>
        <v>0</v>
      </c>
      <c r="AJ1212" s="58" t="str">
        <f>IF(Fixtures[[#This Row],[APP]], Fixtures[[#This Row],[G]]+Fixtures[[#This Row],[A]], "N/A")</f>
        <v>N/A</v>
      </c>
      <c r="AK121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3" spans="1:39" ht="13">
      <c r="A1213" s="55"/>
      <c r="B1213" s="61"/>
      <c r="C1213" s="56"/>
      <c r="D1213" s="56"/>
      <c r="E1213" s="56"/>
      <c r="F1213" s="56"/>
      <c r="G1213" s="56"/>
      <c r="H1213" s="56"/>
      <c r="I1213" s="56"/>
      <c r="J1213" s="56"/>
      <c r="K1213" s="56"/>
      <c r="L1213" s="56"/>
      <c r="M1213" s="56"/>
      <c r="N1213" s="56"/>
      <c r="O1213" s="56"/>
      <c r="P1213" s="56"/>
      <c r="Q1213" s="57"/>
      <c r="R1213" s="56"/>
      <c r="S1213" s="58" t="str" cm="1">
        <f t="array" ref="S1213">_xlfn._xlws.FILTER(Competitions[compType], (Fixtures[[#This Row],[competition]] = Competitions[name]), "N/A")</f>
        <v>N/A</v>
      </c>
      <c r="T1213" s="58" t="str" cm="1">
        <f t="array" ref="T1213">_xlfn._xlws.FILTER(Competitions[exhibition], (Fixtures[[#This Row],[competition]] = Competitions[name]), "N/A")</f>
        <v>N/A</v>
      </c>
      <c r="U1213" s="58" t="str" cm="1">
        <f t="array" ref="U1213">_xlfn._xlws.FILTER(Competitions[compID], (Fixtures[[#This Row],[competition]] = Competitions[name]), "N/A")</f>
        <v>N/A</v>
      </c>
      <c r="V121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3" s="58" t="str" cm="1">
        <f t="array" ref="W121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3" s="58" t="str" cm="1">
        <f t="array" ref="X1213">_xlfn._xlws.FILTER(Teams[name], (Fixtures[[#This Row],[userTeamID]] = Teams[teamID]), "N/A")</f>
        <v>N/A</v>
      </c>
      <c r="Y1213" s="58" t="str" cm="1">
        <f t="array" ref="Y1213">_xlfn._xlws.FILTER(Teams[teamType], (Fixtures[[#This Row],[userTeamID]] = Teams[teamID]), "N/A")</f>
        <v>N/A</v>
      </c>
      <c r="Z1213" s="58" t="str" cm="1">
        <f t="array" ref="Z121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3" s="58" t="str">
        <f>IF(Fixtures[[#This Row],[userSide]] = "N/A", "N/A", IF(Fixtures[[#This Row],[userSide]] = "H", Fixtures[[#This Row],[awayTeam]], Fixtures[[#This Row],[homeTeam]]))</f>
        <v>N/A</v>
      </c>
      <c r="AB1213" s="58" t="str" cm="1">
        <f t="array" ref="AB1213">_xlfn._xlws.FILTER(Teams[teamID], Fixtures[[#This Row],[oppTeam]] = Teams[name], "N/A")</f>
        <v>N/A</v>
      </c>
      <c r="AC1213" s="58" t="str" cm="1">
        <f t="array" ref="AC1213">_xlfn._xlws.FILTER(Teams[teamType], Fixtures[[#This Row],[oppTeam]] = Teams[name], "N/A")</f>
        <v>N/A</v>
      </c>
      <c r="AD1213" s="58" t="str">
        <f>IF(ISBLANK(Fixtures[[#This Row],[date]]), "N/A", IF(Fixtures[[#This Row],[userSide]]="H", Fixtures[[#This Row],[homeScore]], Fixtures[[#This Row],[awayScore]]))</f>
        <v>N/A</v>
      </c>
      <c r="AE1213" s="58" t="str">
        <f>IF(ISBLANK(Fixtures[[#This Row],[date]]), "N/A", IF(Fixtures[[#This Row],[userScore]] = Fixtures[[#This Row],[homeScore]], Fixtures[[#This Row],[awayScore]], Fixtures[[#This Row],[homeScore]]))</f>
        <v>N/A</v>
      </c>
      <c r="AF1213" s="58" t="b">
        <f>NOT(AND(ISBLANK(Fixtures[[#This Row],[homePens]]), ISBLANK(Fixtures[[#This Row],[awayPens]])))</f>
        <v>0</v>
      </c>
      <c r="AG1213" s="58" t="str">
        <f>IF(Fixtures[[#This Row],[penalties]], IF(Fixtures[[#This Row],[userSide]]="H", Fixtures[[#This Row],[homePens]], Fixtures[[#This Row],[awayPens]]), "N/A")</f>
        <v>N/A</v>
      </c>
      <c r="AH1213" s="58" t="str">
        <f>IF(Fixtures[[#This Row],[penalties]], IF(Fixtures[[#This Row],[userPens]]=Fixtures[[#This Row],[homePens]],Fixtures[[#This Row],[awayPens]],Fixtures[[#This Row],[homePens]]), "N/A")</f>
        <v>N/A</v>
      </c>
      <c r="AI1213" s="58" t="b">
        <f>COUNTBLANK(Fixtures[[#This Row],[G]:[MOTM]]) = 0</f>
        <v>0</v>
      </c>
      <c r="AJ1213" s="58" t="str">
        <f>IF(Fixtures[[#This Row],[APP]], Fixtures[[#This Row],[G]]+Fixtures[[#This Row],[A]], "N/A")</f>
        <v>N/A</v>
      </c>
      <c r="AK121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4" spans="1:39" ht="13">
      <c r="A1214" s="55"/>
      <c r="B1214" s="61"/>
      <c r="C1214" s="56"/>
      <c r="D1214" s="56"/>
      <c r="E1214" s="56"/>
      <c r="F1214" s="56"/>
      <c r="G1214" s="56"/>
      <c r="H1214" s="56"/>
      <c r="I1214" s="56"/>
      <c r="J1214" s="56"/>
      <c r="K1214" s="56"/>
      <c r="L1214" s="56"/>
      <c r="M1214" s="56"/>
      <c r="N1214" s="56"/>
      <c r="O1214" s="56"/>
      <c r="P1214" s="56"/>
      <c r="Q1214" s="57"/>
      <c r="R1214" s="56"/>
      <c r="S1214" s="58" t="str" cm="1">
        <f t="array" ref="S1214">_xlfn._xlws.FILTER(Competitions[compType], (Fixtures[[#This Row],[competition]] = Competitions[name]), "N/A")</f>
        <v>N/A</v>
      </c>
      <c r="T1214" s="58" t="str" cm="1">
        <f t="array" ref="T1214">_xlfn._xlws.FILTER(Competitions[exhibition], (Fixtures[[#This Row],[competition]] = Competitions[name]), "N/A")</f>
        <v>N/A</v>
      </c>
      <c r="U1214" s="58" t="str" cm="1">
        <f t="array" ref="U1214">_xlfn._xlws.FILTER(Competitions[compID], (Fixtures[[#This Row],[competition]] = Competitions[name]), "N/A")</f>
        <v>N/A</v>
      </c>
      <c r="V121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4" s="58" t="str" cm="1">
        <f t="array" ref="W121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4" s="58" t="str" cm="1">
        <f t="array" ref="X1214">_xlfn._xlws.FILTER(Teams[name], (Fixtures[[#This Row],[userTeamID]] = Teams[teamID]), "N/A")</f>
        <v>N/A</v>
      </c>
      <c r="Y1214" s="58" t="str" cm="1">
        <f t="array" ref="Y1214">_xlfn._xlws.FILTER(Teams[teamType], (Fixtures[[#This Row],[userTeamID]] = Teams[teamID]), "N/A")</f>
        <v>N/A</v>
      </c>
      <c r="Z1214" s="58" t="str" cm="1">
        <f t="array" ref="Z121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4" s="58" t="str">
        <f>IF(Fixtures[[#This Row],[userSide]] = "N/A", "N/A", IF(Fixtures[[#This Row],[userSide]] = "H", Fixtures[[#This Row],[awayTeam]], Fixtures[[#This Row],[homeTeam]]))</f>
        <v>N/A</v>
      </c>
      <c r="AB1214" s="58" t="str" cm="1">
        <f t="array" ref="AB1214">_xlfn._xlws.FILTER(Teams[teamID], Fixtures[[#This Row],[oppTeam]] = Teams[name], "N/A")</f>
        <v>N/A</v>
      </c>
      <c r="AC1214" s="58" t="str" cm="1">
        <f t="array" ref="AC1214">_xlfn._xlws.FILTER(Teams[teamType], Fixtures[[#This Row],[oppTeam]] = Teams[name], "N/A")</f>
        <v>N/A</v>
      </c>
      <c r="AD1214" s="58" t="str">
        <f>IF(ISBLANK(Fixtures[[#This Row],[date]]), "N/A", IF(Fixtures[[#This Row],[userSide]]="H", Fixtures[[#This Row],[homeScore]], Fixtures[[#This Row],[awayScore]]))</f>
        <v>N/A</v>
      </c>
      <c r="AE1214" s="58" t="str">
        <f>IF(ISBLANK(Fixtures[[#This Row],[date]]), "N/A", IF(Fixtures[[#This Row],[userScore]] = Fixtures[[#This Row],[homeScore]], Fixtures[[#This Row],[awayScore]], Fixtures[[#This Row],[homeScore]]))</f>
        <v>N/A</v>
      </c>
      <c r="AF1214" s="58" t="b">
        <f>NOT(AND(ISBLANK(Fixtures[[#This Row],[homePens]]), ISBLANK(Fixtures[[#This Row],[awayPens]])))</f>
        <v>0</v>
      </c>
      <c r="AG1214" s="58" t="str">
        <f>IF(Fixtures[[#This Row],[penalties]], IF(Fixtures[[#This Row],[userSide]]="H", Fixtures[[#This Row],[homePens]], Fixtures[[#This Row],[awayPens]]), "N/A")</f>
        <v>N/A</v>
      </c>
      <c r="AH1214" s="58" t="str">
        <f>IF(Fixtures[[#This Row],[penalties]], IF(Fixtures[[#This Row],[userPens]]=Fixtures[[#This Row],[homePens]],Fixtures[[#This Row],[awayPens]],Fixtures[[#This Row],[homePens]]), "N/A")</f>
        <v>N/A</v>
      </c>
      <c r="AI1214" s="58" t="b">
        <f>COUNTBLANK(Fixtures[[#This Row],[G]:[MOTM]]) = 0</f>
        <v>0</v>
      </c>
      <c r="AJ1214" s="58" t="str">
        <f>IF(Fixtures[[#This Row],[APP]], Fixtures[[#This Row],[G]]+Fixtures[[#This Row],[A]], "N/A")</f>
        <v>N/A</v>
      </c>
      <c r="AK121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5" spans="1:39" ht="13">
      <c r="A1215" s="55"/>
      <c r="B1215" s="61"/>
      <c r="C1215" s="56"/>
      <c r="D1215" s="56"/>
      <c r="E1215" s="56"/>
      <c r="F1215" s="56"/>
      <c r="G1215" s="56"/>
      <c r="H1215" s="56"/>
      <c r="I1215" s="56"/>
      <c r="J1215" s="56"/>
      <c r="K1215" s="56"/>
      <c r="L1215" s="56"/>
      <c r="M1215" s="56"/>
      <c r="N1215" s="56"/>
      <c r="O1215" s="56"/>
      <c r="P1215" s="56"/>
      <c r="Q1215" s="57"/>
      <c r="R1215" s="56"/>
      <c r="S1215" s="58" t="str" cm="1">
        <f t="array" ref="S1215">_xlfn._xlws.FILTER(Competitions[compType], (Fixtures[[#This Row],[competition]] = Competitions[name]), "N/A")</f>
        <v>N/A</v>
      </c>
      <c r="T1215" s="58" t="str" cm="1">
        <f t="array" ref="T1215">_xlfn._xlws.FILTER(Competitions[exhibition], (Fixtures[[#This Row],[competition]] = Competitions[name]), "N/A")</f>
        <v>N/A</v>
      </c>
      <c r="U1215" s="58" t="str" cm="1">
        <f t="array" ref="U1215">_xlfn._xlws.FILTER(Competitions[compID], (Fixtures[[#This Row],[competition]] = Competitions[name]), "N/A")</f>
        <v>N/A</v>
      </c>
      <c r="V121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5" s="58" t="str" cm="1">
        <f t="array" ref="W121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5" s="58" t="str" cm="1">
        <f t="array" ref="X1215">_xlfn._xlws.FILTER(Teams[name], (Fixtures[[#This Row],[userTeamID]] = Teams[teamID]), "N/A")</f>
        <v>N/A</v>
      </c>
      <c r="Y1215" s="58" t="str" cm="1">
        <f t="array" ref="Y1215">_xlfn._xlws.FILTER(Teams[teamType], (Fixtures[[#This Row],[userTeamID]] = Teams[teamID]), "N/A")</f>
        <v>N/A</v>
      </c>
      <c r="Z1215" s="58" t="str" cm="1">
        <f t="array" ref="Z121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5" s="58" t="str">
        <f>IF(Fixtures[[#This Row],[userSide]] = "N/A", "N/A", IF(Fixtures[[#This Row],[userSide]] = "H", Fixtures[[#This Row],[awayTeam]], Fixtures[[#This Row],[homeTeam]]))</f>
        <v>N/A</v>
      </c>
      <c r="AB1215" s="58" t="str" cm="1">
        <f t="array" ref="AB1215">_xlfn._xlws.FILTER(Teams[teamID], Fixtures[[#This Row],[oppTeam]] = Teams[name], "N/A")</f>
        <v>N/A</v>
      </c>
      <c r="AC1215" s="58" t="str" cm="1">
        <f t="array" ref="AC1215">_xlfn._xlws.FILTER(Teams[teamType], Fixtures[[#This Row],[oppTeam]] = Teams[name], "N/A")</f>
        <v>N/A</v>
      </c>
      <c r="AD1215" s="58" t="str">
        <f>IF(ISBLANK(Fixtures[[#This Row],[date]]), "N/A", IF(Fixtures[[#This Row],[userSide]]="H", Fixtures[[#This Row],[homeScore]], Fixtures[[#This Row],[awayScore]]))</f>
        <v>N/A</v>
      </c>
      <c r="AE1215" s="58" t="str">
        <f>IF(ISBLANK(Fixtures[[#This Row],[date]]), "N/A", IF(Fixtures[[#This Row],[userScore]] = Fixtures[[#This Row],[homeScore]], Fixtures[[#This Row],[awayScore]], Fixtures[[#This Row],[homeScore]]))</f>
        <v>N/A</v>
      </c>
      <c r="AF1215" s="58" t="b">
        <f>NOT(AND(ISBLANK(Fixtures[[#This Row],[homePens]]), ISBLANK(Fixtures[[#This Row],[awayPens]])))</f>
        <v>0</v>
      </c>
      <c r="AG1215" s="58" t="str">
        <f>IF(Fixtures[[#This Row],[penalties]], IF(Fixtures[[#This Row],[userSide]]="H", Fixtures[[#This Row],[homePens]], Fixtures[[#This Row],[awayPens]]), "N/A")</f>
        <v>N/A</v>
      </c>
      <c r="AH1215" s="58" t="str">
        <f>IF(Fixtures[[#This Row],[penalties]], IF(Fixtures[[#This Row],[userPens]]=Fixtures[[#This Row],[homePens]],Fixtures[[#This Row],[awayPens]],Fixtures[[#This Row],[homePens]]), "N/A")</f>
        <v>N/A</v>
      </c>
      <c r="AI1215" s="58" t="b">
        <f>COUNTBLANK(Fixtures[[#This Row],[G]:[MOTM]]) = 0</f>
        <v>0</v>
      </c>
      <c r="AJ1215" s="58" t="str">
        <f>IF(Fixtures[[#This Row],[APP]], Fixtures[[#This Row],[G]]+Fixtures[[#This Row],[A]], "N/A")</f>
        <v>N/A</v>
      </c>
      <c r="AK121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6" spans="1:39" ht="13">
      <c r="A1216" s="55"/>
      <c r="B1216" s="61"/>
      <c r="C1216" s="56"/>
      <c r="D1216" s="56"/>
      <c r="E1216" s="56"/>
      <c r="F1216" s="56"/>
      <c r="G1216" s="56"/>
      <c r="H1216" s="56"/>
      <c r="I1216" s="56"/>
      <c r="J1216" s="56"/>
      <c r="K1216" s="56"/>
      <c r="L1216" s="56"/>
      <c r="M1216" s="56"/>
      <c r="N1216" s="56"/>
      <c r="O1216" s="56"/>
      <c r="P1216" s="56"/>
      <c r="Q1216" s="57"/>
      <c r="R1216" s="56"/>
      <c r="S1216" s="58" t="str" cm="1">
        <f t="array" ref="S1216">_xlfn._xlws.FILTER(Competitions[compType], (Fixtures[[#This Row],[competition]] = Competitions[name]), "N/A")</f>
        <v>N/A</v>
      </c>
      <c r="T1216" s="58" t="str" cm="1">
        <f t="array" ref="T1216">_xlfn._xlws.FILTER(Competitions[exhibition], (Fixtures[[#This Row],[competition]] = Competitions[name]), "N/A")</f>
        <v>N/A</v>
      </c>
      <c r="U1216" s="58" t="str" cm="1">
        <f t="array" ref="U1216">_xlfn._xlws.FILTER(Competitions[compID], (Fixtures[[#This Row],[competition]] = Competitions[name]), "N/A")</f>
        <v>N/A</v>
      </c>
      <c r="V121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6" s="58" t="str" cm="1">
        <f t="array" ref="W121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6" s="58" t="str" cm="1">
        <f t="array" ref="X1216">_xlfn._xlws.FILTER(Teams[name], (Fixtures[[#This Row],[userTeamID]] = Teams[teamID]), "N/A")</f>
        <v>N/A</v>
      </c>
      <c r="Y1216" s="58" t="str" cm="1">
        <f t="array" ref="Y1216">_xlfn._xlws.FILTER(Teams[teamType], (Fixtures[[#This Row],[userTeamID]] = Teams[teamID]), "N/A")</f>
        <v>N/A</v>
      </c>
      <c r="Z1216" s="58" t="str" cm="1">
        <f t="array" ref="Z121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6" s="58" t="str">
        <f>IF(Fixtures[[#This Row],[userSide]] = "N/A", "N/A", IF(Fixtures[[#This Row],[userSide]] = "H", Fixtures[[#This Row],[awayTeam]], Fixtures[[#This Row],[homeTeam]]))</f>
        <v>N/A</v>
      </c>
      <c r="AB1216" s="58" t="str" cm="1">
        <f t="array" ref="AB1216">_xlfn._xlws.FILTER(Teams[teamID], Fixtures[[#This Row],[oppTeam]] = Teams[name], "N/A")</f>
        <v>N/A</v>
      </c>
      <c r="AC1216" s="58" t="str" cm="1">
        <f t="array" ref="AC1216">_xlfn._xlws.FILTER(Teams[teamType], Fixtures[[#This Row],[oppTeam]] = Teams[name], "N/A")</f>
        <v>N/A</v>
      </c>
      <c r="AD1216" s="58" t="str">
        <f>IF(ISBLANK(Fixtures[[#This Row],[date]]), "N/A", IF(Fixtures[[#This Row],[userSide]]="H", Fixtures[[#This Row],[homeScore]], Fixtures[[#This Row],[awayScore]]))</f>
        <v>N/A</v>
      </c>
      <c r="AE1216" s="58" t="str">
        <f>IF(ISBLANK(Fixtures[[#This Row],[date]]), "N/A", IF(Fixtures[[#This Row],[userScore]] = Fixtures[[#This Row],[homeScore]], Fixtures[[#This Row],[awayScore]], Fixtures[[#This Row],[homeScore]]))</f>
        <v>N/A</v>
      </c>
      <c r="AF1216" s="58" t="b">
        <f>NOT(AND(ISBLANK(Fixtures[[#This Row],[homePens]]), ISBLANK(Fixtures[[#This Row],[awayPens]])))</f>
        <v>0</v>
      </c>
      <c r="AG1216" s="58" t="str">
        <f>IF(Fixtures[[#This Row],[penalties]], IF(Fixtures[[#This Row],[userSide]]="H", Fixtures[[#This Row],[homePens]], Fixtures[[#This Row],[awayPens]]), "N/A")</f>
        <v>N/A</v>
      </c>
      <c r="AH1216" s="58" t="str">
        <f>IF(Fixtures[[#This Row],[penalties]], IF(Fixtures[[#This Row],[userPens]]=Fixtures[[#This Row],[homePens]],Fixtures[[#This Row],[awayPens]],Fixtures[[#This Row],[homePens]]), "N/A")</f>
        <v>N/A</v>
      </c>
      <c r="AI1216" s="58" t="b">
        <f>COUNTBLANK(Fixtures[[#This Row],[G]:[MOTM]]) = 0</f>
        <v>0</v>
      </c>
      <c r="AJ1216" s="58" t="str">
        <f>IF(Fixtures[[#This Row],[APP]], Fixtures[[#This Row],[G]]+Fixtures[[#This Row],[A]], "N/A")</f>
        <v>N/A</v>
      </c>
      <c r="AK121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7" spans="1:39" ht="13">
      <c r="A1217" s="55"/>
      <c r="B1217" s="61"/>
      <c r="C1217" s="56"/>
      <c r="D1217" s="56"/>
      <c r="E1217" s="56"/>
      <c r="F1217" s="56"/>
      <c r="G1217" s="56"/>
      <c r="H1217" s="56"/>
      <c r="I1217" s="56"/>
      <c r="J1217" s="56"/>
      <c r="K1217" s="56"/>
      <c r="L1217" s="56"/>
      <c r="M1217" s="56"/>
      <c r="N1217" s="56"/>
      <c r="O1217" s="56"/>
      <c r="P1217" s="56"/>
      <c r="Q1217" s="57"/>
      <c r="R1217" s="56"/>
      <c r="S1217" s="58" t="str" cm="1">
        <f t="array" ref="S1217">_xlfn._xlws.FILTER(Competitions[compType], (Fixtures[[#This Row],[competition]] = Competitions[name]), "N/A")</f>
        <v>N/A</v>
      </c>
      <c r="T1217" s="58" t="str" cm="1">
        <f t="array" ref="T1217">_xlfn._xlws.FILTER(Competitions[exhibition], (Fixtures[[#This Row],[competition]] = Competitions[name]), "N/A")</f>
        <v>N/A</v>
      </c>
      <c r="U1217" s="58" t="str" cm="1">
        <f t="array" ref="U1217">_xlfn._xlws.FILTER(Competitions[compID], (Fixtures[[#This Row],[competition]] = Competitions[name]), "N/A")</f>
        <v>N/A</v>
      </c>
      <c r="V121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7" s="58" t="str" cm="1">
        <f t="array" ref="W121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7" s="58" t="str" cm="1">
        <f t="array" ref="X1217">_xlfn._xlws.FILTER(Teams[name], (Fixtures[[#This Row],[userTeamID]] = Teams[teamID]), "N/A")</f>
        <v>N/A</v>
      </c>
      <c r="Y1217" s="58" t="str" cm="1">
        <f t="array" ref="Y1217">_xlfn._xlws.FILTER(Teams[teamType], (Fixtures[[#This Row],[userTeamID]] = Teams[teamID]), "N/A")</f>
        <v>N/A</v>
      </c>
      <c r="Z1217" s="58" t="str" cm="1">
        <f t="array" ref="Z121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7" s="58" t="str">
        <f>IF(Fixtures[[#This Row],[userSide]] = "N/A", "N/A", IF(Fixtures[[#This Row],[userSide]] = "H", Fixtures[[#This Row],[awayTeam]], Fixtures[[#This Row],[homeTeam]]))</f>
        <v>N/A</v>
      </c>
      <c r="AB1217" s="58" t="str" cm="1">
        <f t="array" ref="AB1217">_xlfn._xlws.FILTER(Teams[teamID], Fixtures[[#This Row],[oppTeam]] = Teams[name], "N/A")</f>
        <v>N/A</v>
      </c>
      <c r="AC1217" s="58" t="str" cm="1">
        <f t="array" ref="AC1217">_xlfn._xlws.FILTER(Teams[teamType], Fixtures[[#This Row],[oppTeam]] = Teams[name], "N/A")</f>
        <v>N/A</v>
      </c>
      <c r="AD1217" s="58" t="str">
        <f>IF(ISBLANK(Fixtures[[#This Row],[date]]), "N/A", IF(Fixtures[[#This Row],[userSide]]="H", Fixtures[[#This Row],[homeScore]], Fixtures[[#This Row],[awayScore]]))</f>
        <v>N/A</v>
      </c>
      <c r="AE1217" s="58" t="str">
        <f>IF(ISBLANK(Fixtures[[#This Row],[date]]), "N/A", IF(Fixtures[[#This Row],[userScore]] = Fixtures[[#This Row],[homeScore]], Fixtures[[#This Row],[awayScore]], Fixtures[[#This Row],[homeScore]]))</f>
        <v>N/A</v>
      </c>
      <c r="AF1217" s="58" t="b">
        <f>NOT(AND(ISBLANK(Fixtures[[#This Row],[homePens]]), ISBLANK(Fixtures[[#This Row],[awayPens]])))</f>
        <v>0</v>
      </c>
      <c r="AG1217" s="58" t="str">
        <f>IF(Fixtures[[#This Row],[penalties]], IF(Fixtures[[#This Row],[userSide]]="H", Fixtures[[#This Row],[homePens]], Fixtures[[#This Row],[awayPens]]), "N/A")</f>
        <v>N/A</v>
      </c>
      <c r="AH1217" s="58" t="str">
        <f>IF(Fixtures[[#This Row],[penalties]], IF(Fixtures[[#This Row],[userPens]]=Fixtures[[#This Row],[homePens]],Fixtures[[#This Row],[awayPens]],Fixtures[[#This Row],[homePens]]), "N/A")</f>
        <v>N/A</v>
      </c>
      <c r="AI1217" s="58" t="b">
        <f>COUNTBLANK(Fixtures[[#This Row],[G]:[MOTM]]) = 0</f>
        <v>0</v>
      </c>
      <c r="AJ1217" s="58" t="str">
        <f>IF(Fixtures[[#This Row],[APP]], Fixtures[[#This Row],[G]]+Fixtures[[#This Row],[A]], "N/A")</f>
        <v>N/A</v>
      </c>
      <c r="AK121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8" spans="1:39" ht="13">
      <c r="A1218" s="55"/>
      <c r="B1218" s="61"/>
      <c r="C1218" s="56"/>
      <c r="D1218" s="56"/>
      <c r="E1218" s="56"/>
      <c r="F1218" s="56"/>
      <c r="G1218" s="56"/>
      <c r="H1218" s="56"/>
      <c r="I1218" s="56"/>
      <c r="J1218" s="56"/>
      <c r="K1218" s="56"/>
      <c r="L1218" s="56"/>
      <c r="M1218" s="56"/>
      <c r="N1218" s="56"/>
      <c r="O1218" s="56"/>
      <c r="P1218" s="56"/>
      <c r="Q1218" s="57"/>
      <c r="R1218" s="56"/>
      <c r="S1218" s="58" t="str" cm="1">
        <f t="array" ref="S1218">_xlfn._xlws.FILTER(Competitions[compType], (Fixtures[[#This Row],[competition]] = Competitions[name]), "N/A")</f>
        <v>N/A</v>
      </c>
      <c r="T1218" s="58" t="str" cm="1">
        <f t="array" ref="T1218">_xlfn._xlws.FILTER(Competitions[exhibition], (Fixtures[[#This Row],[competition]] = Competitions[name]), "N/A")</f>
        <v>N/A</v>
      </c>
      <c r="U1218" s="58" t="str" cm="1">
        <f t="array" ref="U1218">_xlfn._xlws.FILTER(Competitions[compID], (Fixtures[[#This Row],[competition]] = Competitions[name]), "N/A")</f>
        <v>N/A</v>
      </c>
      <c r="V121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8" s="58" t="str" cm="1">
        <f t="array" ref="W121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8" s="58" t="str" cm="1">
        <f t="array" ref="X1218">_xlfn._xlws.FILTER(Teams[name], (Fixtures[[#This Row],[userTeamID]] = Teams[teamID]), "N/A")</f>
        <v>N/A</v>
      </c>
      <c r="Y1218" s="58" t="str" cm="1">
        <f t="array" ref="Y1218">_xlfn._xlws.FILTER(Teams[teamType], (Fixtures[[#This Row],[userTeamID]] = Teams[teamID]), "N/A")</f>
        <v>N/A</v>
      </c>
      <c r="Z1218" s="58" t="str" cm="1">
        <f t="array" ref="Z121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8" s="58" t="str">
        <f>IF(Fixtures[[#This Row],[userSide]] = "N/A", "N/A", IF(Fixtures[[#This Row],[userSide]] = "H", Fixtures[[#This Row],[awayTeam]], Fixtures[[#This Row],[homeTeam]]))</f>
        <v>N/A</v>
      </c>
      <c r="AB1218" s="58" t="str" cm="1">
        <f t="array" ref="AB1218">_xlfn._xlws.FILTER(Teams[teamID], Fixtures[[#This Row],[oppTeam]] = Teams[name], "N/A")</f>
        <v>N/A</v>
      </c>
      <c r="AC1218" s="58" t="str" cm="1">
        <f t="array" ref="AC1218">_xlfn._xlws.FILTER(Teams[teamType], Fixtures[[#This Row],[oppTeam]] = Teams[name], "N/A")</f>
        <v>N/A</v>
      </c>
      <c r="AD1218" s="58" t="str">
        <f>IF(ISBLANK(Fixtures[[#This Row],[date]]), "N/A", IF(Fixtures[[#This Row],[userSide]]="H", Fixtures[[#This Row],[homeScore]], Fixtures[[#This Row],[awayScore]]))</f>
        <v>N/A</v>
      </c>
      <c r="AE1218" s="58" t="str">
        <f>IF(ISBLANK(Fixtures[[#This Row],[date]]), "N/A", IF(Fixtures[[#This Row],[userScore]] = Fixtures[[#This Row],[homeScore]], Fixtures[[#This Row],[awayScore]], Fixtures[[#This Row],[homeScore]]))</f>
        <v>N/A</v>
      </c>
      <c r="AF1218" s="58" t="b">
        <f>NOT(AND(ISBLANK(Fixtures[[#This Row],[homePens]]), ISBLANK(Fixtures[[#This Row],[awayPens]])))</f>
        <v>0</v>
      </c>
      <c r="AG1218" s="58" t="str">
        <f>IF(Fixtures[[#This Row],[penalties]], IF(Fixtures[[#This Row],[userSide]]="H", Fixtures[[#This Row],[homePens]], Fixtures[[#This Row],[awayPens]]), "N/A")</f>
        <v>N/A</v>
      </c>
      <c r="AH1218" s="58" t="str">
        <f>IF(Fixtures[[#This Row],[penalties]], IF(Fixtures[[#This Row],[userPens]]=Fixtures[[#This Row],[homePens]],Fixtures[[#This Row],[awayPens]],Fixtures[[#This Row],[homePens]]), "N/A")</f>
        <v>N/A</v>
      </c>
      <c r="AI1218" s="58" t="b">
        <f>COUNTBLANK(Fixtures[[#This Row],[G]:[MOTM]]) = 0</f>
        <v>0</v>
      </c>
      <c r="AJ1218" s="58" t="str">
        <f>IF(Fixtures[[#This Row],[APP]], Fixtures[[#This Row],[G]]+Fixtures[[#This Row],[A]], "N/A")</f>
        <v>N/A</v>
      </c>
      <c r="AK121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19" spans="1:39" ht="13">
      <c r="A1219" s="55"/>
      <c r="B1219" s="61"/>
      <c r="C1219" s="56"/>
      <c r="D1219" s="56"/>
      <c r="E1219" s="56"/>
      <c r="F1219" s="56"/>
      <c r="G1219" s="56"/>
      <c r="H1219" s="56"/>
      <c r="I1219" s="56"/>
      <c r="J1219" s="56"/>
      <c r="K1219" s="56"/>
      <c r="L1219" s="56"/>
      <c r="M1219" s="56"/>
      <c r="N1219" s="56"/>
      <c r="O1219" s="56"/>
      <c r="P1219" s="56"/>
      <c r="Q1219" s="57"/>
      <c r="R1219" s="56"/>
      <c r="S1219" s="58" t="str" cm="1">
        <f t="array" ref="S1219">_xlfn._xlws.FILTER(Competitions[compType], (Fixtures[[#This Row],[competition]] = Competitions[name]), "N/A")</f>
        <v>N/A</v>
      </c>
      <c r="T1219" s="58" t="str" cm="1">
        <f t="array" ref="T1219">_xlfn._xlws.FILTER(Competitions[exhibition], (Fixtures[[#This Row],[competition]] = Competitions[name]), "N/A")</f>
        <v>N/A</v>
      </c>
      <c r="U1219" s="58" t="str" cm="1">
        <f t="array" ref="U1219">_xlfn._xlws.FILTER(Competitions[compID], (Fixtures[[#This Row],[competition]] = Competitions[name]), "N/A")</f>
        <v>N/A</v>
      </c>
      <c r="V121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19" s="58" t="str" cm="1">
        <f t="array" ref="W121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19" s="58" t="str" cm="1">
        <f t="array" ref="X1219">_xlfn._xlws.FILTER(Teams[name], (Fixtures[[#This Row],[userTeamID]] = Teams[teamID]), "N/A")</f>
        <v>N/A</v>
      </c>
      <c r="Y1219" s="58" t="str" cm="1">
        <f t="array" ref="Y1219">_xlfn._xlws.FILTER(Teams[teamType], (Fixtures[[#This Row],[userTeamID]] = Teams[teamID]), "N/A")</f>
        <v>N/A</v>
      </c>
      <c r="Z1219" s="58" t="str" cm="1">
        <f t="array" ref="Z121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19" s="58" t="str">
        <f>IF(Fixtures[[#This Row],[userSide]] = "N/A", "N/A", IF(Fixtures[[#This Row],[userSide]] = "H", Fixtures[[#This Row],[awayTeam]], Fixtures[[#This Row],[homeTeam]]))</f>
        <v>N/A</v>
      </c>
      <c r="AB1219" s="58" t="str" cm="1">
        <f t="array" ref="AB1219">_xlfn._xlws.FILTER(Teams[teamID], Fixtures[[#This Row],[oppTeam]] = Teams[name], "N/A")</f>
        <v>N/A</v>
      </c>
      <c r="AC1219" s="58" t="str" cm="1">
        <f t="array" ref="AC1219">_xlfn._xlws.FILTER(Teams[teamType], Fixtures[[#This Row],[oppTeam]] = Teams[name], "N/A")</f>
        <v>N/A</v>
      </c>
      <c r="AD1219" s="58" t="str">
        <f>IF(ISBLANK(Fixtures[[#This Row],[date]]), "N/A", IF(Fixtures[[#This Row],[userSide]]="H", Fixtures[[#This Row],[homeScore]], Fixtures[[#This Row],[awayScore]]))</f>
        <v>N/A</v>
      </c>
      <c r="AE1219" s="58" t="str">
        <f>IF(ISBLANK(Fixtures[[#This Row],[date]]), "N/A", IF(Fixtures[[#This Row],[userScore]] = Fixtures[[#This Row],[homeScore]], Fixtures[[#This Row],[awayScore]], Fixtures[[#This Row],[homeScore]]))</f>
        <v>N/A</v>
      </c>
      <c r="AF1219" s="58" t="b">
        <f>NOT(AND(ISBLANK(Fixtures[[#This Row],[homePens]]), ISBLANK(Fixtures[[#This Row],[awayPens]])))</f>
        <v>0</v>
      </c>
      <c r="AG1219" s="58" t="str">
        <f>IF(Fixtures[[#This Row],[penalties]], IF(Fixtures[[#This Row],[userSide]]="H", Fixtures[[#This Row],[homePens]], Fixtures[[#This Row],[awayPens]]), "N/A")</f>
        <v>N/A</v>
      </c>
      <c r="AH1219" s="58" t="str">
        <f>IF(Fixtures[[#This Row],[penalties]], IF(Fixtures[[#This Row],[userPens]]=Fixtures[[#This Row],[homePens]],Fixtures[[#This Row],[awayPens]],Fixtures[[#This Row],[homePens]]), "N/A")</f>
        <v>N/A</v>
      </c>
      <c r="AI1219" s="58" t="b">
        <f>COUNTBLANK(Fixtures[[#This Row],[G]:[MOTM]]) = 0</f>
        <v>0</v>
      </c>
      <c r="AJ1219" s="58" t="str">
        <f>IF(Fixtures[[#This Row],[APP]], Fixtures[[#This Row],[G]]+Fixtures[[#This Row],[A]], "N/A")</f>
        <v>N/A</v>
      </c>
      <c r="AK121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1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1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0" spans="1:39" ht="13">
      <c r="A1220" s="55"/>
      <c r="B1220" s="61"/>
      <c r="C1220" s="56"/>
      <c r="D1220" s="56"/>
      <c r="E1220" s="56"/>
      <c r="F1220" s="56"/>
      <c r="G1220" s="56"/>
      <c r="H1220" s="56"/>
      <c r="I1220" s="56"/>
      <c r="J1220" s="56"/>
      <c r="K1220" s="56"/>
      <c r="L1220" s="56"/>
      <c r="M1220" s="56"/>
      <c r="N1220" s="56"/>
      <c r="O1220" s="56"/>
      <c r="P1220" s="56"/>
      <c r="Q1220" s="57"/>
      <c r="R1220" s="56"/>
      <c r="S1220" s="58" t="str" cm="1">
        <f t="array" ref="S1220">_xlfn._xlws.FILTER(Competitions[compType], (Fixtures[[#This Row],[competition]] = Competitions[name]), "N/A")</f>
        <v>N/A</v>
      </c>
      <c r="T1220" s="58" t="str" cm="1">
        <f t="array" ref="T1220">_xlfn._xlws.FILTER(Competitions[exhibition], (Fixtures[[#This Row],[competition]] = Competitions[name]), "N/A")</f>
        <v>N/A</v>
      </c>
      <c r="U1220" s="58" t="str" cm="1">
        <f t="array" ref="U1220">_xlfn._xlws.FILTER(Competitions[compID], (Fixtures[[#This Row],[competition]] = Competitions[name]), "N/A")</f>
        <v>N/A</v>
      </c>
      <c r="V122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0" s="58" t="str" cm="1">
        <f t="array" ref="W122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0" s="58" t="str" cm="1">
        <f t="array" ref="X1220">_xlfn._xlws.FILTER(Teams[name], (Fixtures[[#This Row],[userTeamID]] = Teams[teamID]), "N/A")</f>
        <v>N/A</v>
      </c>
      <c r="Y1220" s="58" t="str" cm="1">
        <f t="array" ref="Y1220">_xlfn._xlws.FILTER(Teams[teamType], (Fixtures[[#This Row],[userTeamID]] = Teams[teamID]), "N/A")</f>
        <v>N/A</v>
      </c>
      <c r="Z1220" s="58" t="str" cm="1">
        <f t="array" ref="Z122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0" s="58" t="str">
        <f>IF(Fixtures[[#This Row],[userSide]] = "N/A", "N/A", IF(Fixtures[[#This Row],[userSide]] = "H", Fixtures[[#This Row],[awayTeam]], Fixtures[[#This Row],[homeTeam]]))</f>
        <v>N/A</v>
      </c>
      <c r="AB1220" s="58" t="str" cm="1">
        <f t="array" ref="AB1220">_xlfn._xlws.FILTER(Teams[teamID], Fixtures[[#This Row],[oppTeam]] = Teams[name], "N/A")</f>
        <v>N/A</v>
      </c>
      <c r="AC1220" s="58" t="str" cm="1">
        <f t="array" ref="AC1220">_xlfn._xlws.FILTER(Teams[teamType], Fixtures[[#This Row],[oppTeam]] = Teams[name], "N/A")</f>
        <v>N/A</v>
      </c>
      <c r="AD1220" s="58" t="str">
        <f>IF(ISBLANK(Fixtures[[#This Row],[date]]), "N/A", IF(Fixtures[[#This Row],[userSide]]="H", Fixtures[[#This Row],[homeScore]], Fixtures[[#This Row],[awayScore]]))</f>
        <v>N/A</v>
      </c>
      <c r="AE1220" s="58" t="str">
        <f>IF(ISBLANK(Fixtures[[#This Row],[date]]), "N/A", IF(Fixtures[[#This Row],[userScore]] = Fixtures[[#This Row],[homeScore]], Fixtures[[#This Row],[awayScore]], Fixtures[[#This Row],[homeScore]]))</f>
        <v>N/A</v>
      </c>
      <c r="AF1220" s="58" t="b">
        <f>NOT(AND(ISBLANK(Fixtures[[#This Row],[homePens]]), ISBLANK(Fixtures[[#This Row],[awayPens]])))</f>
        <v>0</v>
      </c>
      <c r="AG1220" s="58" t="str">
        <f>IF(Fixtures[[#This Row],[penalties]], IF(Fixtures[[#This Row],[userSide]]="H", Fixtures[[#This Row],[homePens]], Fixtures[[#This Row],[awayPens]]), "N/A")</f>
        <v>N/A</v>
      </c>
      <c r="AH1220" s="58" t="str">
        <f>IF(Fixtures[[#This Row],[penalties]], IF(Fixtures[[#This Row],[userPens]]=Fixtures[[#This Row],[homePens]],Fixtures[[#This Row],[awayPens]],Fixtures[[#This Row],[homePens]]), "N/A")</f>
        <v>N/A</v>
      </c>
      <c r="AI1220" s="58" t="b">
        <f>COUNTBLANK(Fixtures[[#This Row],[G]:[MOTM]]) = 0</f>
        <v>0</v>
      </c>
      <c r="AJ1220" s="58" t="str">
        <f>IF(Fixtures[[#This Row],[APP]], Fixtures[[#This Row],[G]]+Fixtures[[#This Row],[A]], "N/A")</f>
        <v>N/A</v>
      </c>
      <c r="AK122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1" spans="1:39" ht="13">
      <c r="A1221" s="55"/>
      <c r="B1221" s="61"/>
      <c r="C1221" s="56"/>
      <c r="D1221" s="56"/>
      <c r="E1221" s="56"/>
      <c r="F1221" s="56"/>
      <c r="G1221" s="56"/>
      <c r="H1221" s="56"/>
      <c r="I1221" s="56"/>
      <c r="J1221" s="56"/>
      <c r="K1221" s="56"/>
      <c r="L1221" s="56"/>
      <c r="M1221" s="56"/>
      <c r="N1221" s="56"/>
      <c r="O1221" s="56"/>
      <c r="P1221" s="56"/>
      <c r="Q1221" s="57"/>
      <c r="R1221" s="56"/>
      <c r="S1221" s="58" t="str" cm="1">
        <f t="array" ref="S1221">_xlfn._xlws.FILTER(Competitions[compType], (Fixtures[[#This Row],[competition]] = Competitions[name]), "N/A")</f>
        <v>N/A</v>
      </c>
      <c r="T1221" s="58" t="str" cm="1">
        <f t="array" ref="T1221">_xlfn._xlws.FILTER(Competitions[exhibition], (Fixtures[[#This Row],[competition]] = Competitions[name]), "N/A")</f>
        <v>N/A</v>
      </c>
      <c r="U1221" s="58" t="str" cm="1">
        <f t="array" ref="U1221">_xlfn._xlws.FILTER(Competitions[compID], (Fixtures[[#This Row],[competition]] = Competitions[name]), "N/A")</f>
        <v>N/A</v>
      </c>
      <c r="V122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1" s="58" t="str" cm="1">
        <f t="array" ref="W122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1" s="58" t="str" cm="1">
        <f t="array" ref="X1221">_xlfn._xlws.FILTER(Teams[name], (Fixtures[[#This Row],[userTeamID]] = Teams[teamID]), "N/A")</f>
        <v>N/A</v>
      </c>
      <c r="Y1221" s="58" t="str" cm="1">
        <f t="array" ref="Y1221">_xlfn._xlws.FILTER(Teams[teamType], (Fixtures[[#This Row],[userTeamID]] = Teams[teamID]), "N/A")</f>
        <v>N/A</v>
      </c>
      <c r="Z1221" s="58" t="str" cm="1">
        <f t="array" ref="Z122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1" s="58" t="str">
        <f>IF(Fixtures[[#This Row],[userSide]] = "N/A", "N/A", IF(Fixtures[[#This Row],[userSide]] = "H", Fixtures[[#This Row],[awayTeam]], Fixtures[[#This Row],[homeTeam]]))</f>
        <v>N/A</v>
      </c>
      <c r="AB1221" s="58" t="str" cm="1">
        <f t="array" ref="AB1221">_xlfn._xlws.FILTER(Teams[teamID], Fixtures[[#This Row],[oppTeam]] = Teams[name], "N/A")</f>
        <v>N/A</v>
      </c>
      <c r="AC1221" s="58" t="str" cm="1">
        <f t="array" ref="AC1221">_xlfn._xlws.FILTER(Teams[teamType], Fixtures[[#This Row],[oppTeam]] = Teams[name], "N/A")</f>
        <v>N/A</v>
      </c>
      <c r="AD1221" s="58" t="str">
        <f>IF(ISBLANK(Fixtures[[#This Row],[date]]), "N/A", IF(Fixtures[[#This Row],[userSide]]="H", Fixtures[[#This Row],[homeScore]], Fixtures[[#This Row],[awayScore]]))</f>
        <v>N/A</v>
      </c>
      <c r="AE1221" s="58" t="str">
        <f>IF(ISBLANK(Fixtures[[#This Row],[date]]), "N/A", IF(Fixtures[[#This Row],[userScore]] = Fixtures[[#This Row],[homeScore]], Fixtures[[#This Row],[awayScore]], Fixtures[[#This Row],[homeScore]]))</f>
        <v>N/A</v>
      </c>
      <c r="AF1221" s="58" t="b">
        <f>NOT(AND(ISBLANK(Fixtures[[#This Row],[homePens]]), ISBLANK(Fixtures[[#This Row],[awayPens]])))</f>
        <v>0</v>
      </c>
      <c r="AG1221" s="58" t="str">
        <f>IF(Fixtures[[#This Row],[penalties]], IF(Fixtures[[#This Row],[userSide]]="H", Fixtures[[#This Row],[homePens]], Fixtures[[#This Row],[awayPens]]), "N/A")</f>
        <v>N/A</v>
      </c>
      <c r="AH1221" s="58" t="str">
        <f>IF(Fixtures[[#This Row],[penalties]], IF(Fixtures[[#This Row],[userPens]]=Fixtures[[#This Row],[homePens]],Fixtures[[#This Row],[awayPens]],Fixtures[[#This Row],[homePens]]), "N/A")</f>
        <v>N/A</v>
      </c>
      <c r="AI1221" s="58" t="b">
        <f>COUNTBLANK(Fixtures[[#This Row],[G]:[MOTM]]) = 0</f>
        <v>0</v>
      </c>
      <c r="AJ1221" s="58" t="str">
        <f>IF(Fixtures[[#This Row],[APP]], Fixtures[[#This Row],[G]]+Fixtures[[#This Row],[A]], "N/A")</f>
        <v>N/A</v>
      </c>
      <c r="AK122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2" spans="1:39" ht="13">
      <c r="A1222" s="55"/>
      <c r="B1222" s="61"/>
      <c r="C1222" s="56"/>
      <c r="D1222" s="56"/>
      <c r="E1222" s="56"/>
      <c r="F1222" s="56"/>
      <c r="G1222" s="56"/>
      <c r="H1222" s="56"/>
      <c r="I1222" s="56"/>
      <c r="J1222" s="56"/>
      <c r="K1222" s="56"/>
      <c r="L1222" s="56"/>
      <c r="M1222" s="56"/>
      <c r="N1222" s="56"/>
      <c r="O1222" s="56"/>
      <c r="P1222" s="56"/>
      <c r="Q1222" s="57"/>
      <c r="R1222" s="56"/>
      <c r="S1222" s="58" t="str" cm="1">
        <f t="array" ref="S1222">_xlfn._xlws.FILTER(Competitions[compType], (Fixtures[[#This Row],[competition]] = Competitions[name]), "N/A")</f>
        <v>N/A</v>
      </c>
      <c r="T1222" s="58" t="str" cm="1">
        <f t="array" ref="T1222">_xlfn._xlws.FILTER(Competitions[exhibition], (Fixtures[[#This Row],[competition]] = Competitions[name]), "N/A")</f>
        <v>N/A</v>
      </c>
      <c r="U1222" s="58" t="str" cm="1">
        <f t="array" ref="U1222">_xlfn._xlws.FILTER(Competitions[compID], (Fixtures[[#This Row],[competition]] = Competitions[name]), "N/A")</f>
        <v>N/A</v>
      </c>
      <c r="V122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2" s="58" t="str" cm="1">
        <f t="array" ref="W122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2" s="58" t="str" cm="1">
        <f t="array" ref="X1222">_xlfn._xlws.FILTER(Teams[name], (Fixtures[[#This Row],[userTeamID]] = Teams[teamID]), "N/A")</f>
        <v>N/A</v>
      </c>
      <c r="Y1222" s="58" t="str" cm="1">
        <f t="array" ref="Y1222">_xlfn._xlws.FILTER(Teams[teamType], (Fixtures[[#This Row],[userTeamID]] = Teams[teamID]), "N/A")</f>
        <v>N/A</v>
      </c>
      <c r="Z1222" s="58" t="str" cm="1">
        <f t="array" ref="Z122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2" s="58" t="str">
        <f>IF(Fixtures[[#This Row],[userSide]] = "N/A", "N/A", IF(Fixtures[[#This Row],[userSide]] = "H", Fixtures[[#This Row],[awayTeam]], Fixtures[[#This Row],[homeTeam]]))</f>
        <v>N/A</v>
      </c>
      <c r="AB1222" s="58" t="str" cm="1">
        <f t="array" ref="AB1222">_xlfn._xlws.FILTER(Teams[teamID], Fixtures[[#This Row],[oppTeam]] = Teams[name], "N/A")</f>
        <v>N/A</v>
      </c>
      <c r="AC1222" s="58" t="str" cm="1">
        <f t="array" ref="AC1222">_xlfn._xlws.FILTER(Teams[teamType], Fixtures[[#This Row],[oppTeam]] = Teams[name], "N/A")</f>
        <v>N/A</v>
      </c>
      <c r="AD1222" s="58" t="str">
        <f>IF(ISBLANK(Fixtures[[#This Row],[date]]), "N/A", IF(Fixtures[[#This Row],[userSide]]="H", Fixtures[[#This Row],[homeScore]], Fixtures[[#This Row],[awayScore]]))</f>
        <v>N/A</v>
      </c>
      <c r="AE1222" s="58" t="str">
        <f>IF(ISBLANK(Fixtures[[#This Row],[date]]), "N/A", IF(Fixtures[[#This Row],[userScore]] = Fixtures[[#This Row],[homeScore]], Fixtures[[#This Row],[awayScore]], Fixtures[[#This Row],[homeScore]]))</f>
        <v>N/A</v>
      </c>
      <c r="AF1222" s="58" t="b">
        <f>NOT(AND(ISBLANK(Fixtures[[#This Row],[homePens]]), ISBLANK(Fixtures[[#This Row],[awayPens]])))</f>
        <v>0</v>
      </c>
      <c r="AG1222" s="58" t="str">
        <f>IF(Fixtures[[#This Row],[penalties]], IF(Fixtures[[#This Row],[userSide]]="H", Fixtures[[#This Row],[homePens]], Fixtures[[#This Row],[awayPens]]), "N/A")</f>
        <v>N/A</v>
      </c>
      <c r="AH1222" s="58" t="str">
        <f>IF(Fixtures[[#This Row],[penalties]], IF(Fixtures[[#This Row],[userPens]]=Fixtures[[#This Row],[homePens]],Fixtures[[#This Row],[awayPens]],Fixtures[[#This Row],[homePens]]), "N/A")</f>
        <v>N/A</v>
      </c>
      <c r="AI1222" s="58" t="b">
        <f>COUNTBLANK(Fixtures[[#This Row],[G]:[MOTM]]) = 0</f>
        <v>0</v>
      </c>
      <c r="AJ1222" s="58" t="str">
        <f>IF(Fixtures[[#This Row],[APP]], Fixtures[[#This Row],[G]]+Fixtures[[#This Row],[A]], "N/A")</f>
        <v>N/A</v>
      </c>
      <c r="AK122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3" spans="1:39" ht="13">
      <c r="A1223" s="55"/>
      <c r="B1223" s="61"/>
      <c r="C1223" s="56"/>
      <c r="D1223" s="56"/>
      <c r="E1223" s="56"/>
      <c r="F1223" s="56"/>
      <c r="G1223" s="56"/>
      <c r="H1223" s="56"/>
      <c r="I1223" s="56"/>
      <c r="J1223" s="56"/>
      <c r="K1223" s="56"/>
      <c r="L1223" s="56"/>
      <c r="M1223" s="56"/>
      <c r="N1223" s="56"/>
      <c r="O1223" s="56"/>
      <c r="P1223" s="56"/>
      <c r="Q1223" s="57"/>
      <c r="R1223" s="56"/>
      <c r="S1223" s="58" t="str" cm="1">
        <f t="array" ref="S1223">_xlfn._xlws.FILTER(Competitions[compType], (Fixtures[[#This Row],[competition]] = Competitions[name]), "N/A")</f>
        <v>N/A</v>
      </c>
      <c r="T1223" s="58" t="str" cm="1">
        <f t="array" ref="T1223">_xlfn._xlws.FILTER(Competitions[exhibition], (Fixtures[[#This Row],[competition]] = Competitions[name]), "N/A")</f>
        <v>N/A</v>
      </c>
      <c r="U1223" s="58" t="str" cm="1">
        <f t="array" ref="U1223">_xlfn._xlws.FILTER(Competitions[compID], (Fixtures[[#This Row],[competition]] = Competitions[name]), "N/A")</f>
        <v>N/A</v>
      </c>
      <c r="V122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3" s="58" t="str" cm="1">
        <f t="array" ref="W122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3" s="58" t="str" cm="1">
        <f t="array" ref="X1223">_xlfn._xlws.FILTER(Teams[name], (Fixtures[[#This Row],[userTeamID]] = Teams[teamID]), "N/A")</f>
        <v>N/A</v>
      </c>
      <c r="Y1223" s="58" t="str" cm="1">
        <f t="array" ref="Y1223">_xlfn._xlws.FILTER(Teams[teamType], (Fixtures[[#This Row],[userTeamID]] = Teams[teamID]), "N/A")</f>
        <v>N/A</v>
      </c>
      <c r="Z1223" s="58" t="str" cm="1">
        <f t="array" ref="Z122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3" s="58" t="str">
        <f>IF(Fixtures[[#This Row],[userSide]] = "N/A", "N/A", IF(Fixtures[[#This Row],[userSide]] = "H", Fixtures[[#This Row],[awayTeam]], Fixtures[[#This Row],[homeTeam]]))</f>
        <v>N/A</v>
      </c>
      <c r="AB1223" s="58" t="str" cm="1">
        <f t="array" ref="AB1223">_xlfn._xlws.FILTER(Teams[teamID], Fixtures[[#This Row],[oppTeam]] = Teams[name], "N/A")</f>
        <v>N/A</v>
      </c>
      <c r="AC1223" s="58" t="str" cm="1">
        <f t="array" ref="AC1223">_xlfn._xlws.FILTER(Teams[teamType], Fixtures[[#This Row],[oppTeam]] = Teams[name], "N/A")</f>
        <v>N/A</v>
      </c>
      <c r="AD1223" s="58" t="str">
        <f>IF(ISBLANK(Fixtures[[#This Row],[date]]), "N/A", IF(Fixtures[[#This Row],[userSide]]="H", Fixtures[[#This Row],[homeScore]], Fixtures[[#This Row],[awayScore]]))</f>
        <v>N/A</v>
      </c>
      <c r="AE1223" s="58" t="str">
        <f>IF(ISBLANK(Fixtures[[#This Row],[date]]), "N/A", IF(Fixtures[[#This Row],[userScore]] = Fixtures[[#This Row],[homeScore]], Fixtures[[#This Row],[awayScore]], Fixtures[[#This Row],[homeScore]]))</f>
        <v>N/A</v>
      </c>
      <c r="AF1223" s="58" t="b">
        <f>NOT(AND(ISBLANK(Fixtures[[#This Row],[homePens]]), ISBLANK(Fixtures[[#This Row],[awayPens]])))</f>
        <v>0</v>
      </c>
      <c r="AG1223" s="58" t="str">
        <f>IF(Fixtures[[#This Row],[penalties]], IF(Fixtures[[#This Row],[userSide]]="H", Fixtures[[#This Row],[homePens]], Fixtures[[#This Row],[awayPens]]), "N/A")</f>
        <v>N/A</v>
      </c>
      <c r="AH1223" s="58" t="str">
        <f>IF(Fixtures[[#This Row],[penalties]], IF(Fixtures[[#This Row],[userPens]]=Fixtures[[#This Row],[homePens]],Fixtures[[#This Row],[awayPens]],Fixtures[[#This Row],[homePens]]), "N/A")</f>
        <v>N/A</v>
      </c>
      <c r="AI1223" s="58" t="b">
        <f>COUNTBLANK(Fixtures[[#This Row],[G]:[MOTM]]) = 0</f>
        <v>0</v>
      </c>
      <c r="AJ1223" s="58" t="str">
        <f>IF(Fixtures[[#This Row],[APP]], Fixtures[[#This Row],[G]]+Fixtures[[#This Row],[A]], "N/A")</f>
        <v>N/A</v>
      </c>
      <c r="AK122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4" spans="1:39" ht="13">
      <c r="A1224" s="55"/>
      <c r="B1224" s="61"/>
      <c r="C1224" s="56"/>
      <c r="D1224" s="56"/>
      <c r="E1224" s="56"/>
      <c r="F1224" s="56"/>
      <c r="G1224" s="56"/>
      <c r="H1224" s="56"/>
      <c r="I1224" s="56"/>
      <c r="J1224" s="56"/>
      <c r="K1224" s="56"/>
      <c r="L1224" s="56"/>
      <c r="M1224" s="56"/>
      <c r="N1224" s="56"/>
      <c r="O1224" s="56"/>
      <c r="P1224" s="56"/>
      <c r="Q1224" s="57"/>
      <c r="R1224" s="56"/>
      <c r="S1224" s="58" t="str" cm="1">
        <f t="array" ref="S1224">_xlfn._xlws.FILTER(Competitions[compType], (Fixtures[[#This Row],[competition]] = Competitions[name]), "N/A")</f>
        <v>N/A</v>
      </c>
      <c r="T1224" s="58" t="str" cm="1">
        <f t="array" ref="T1224">_xlfn._xlws.FILTER(Competitions[exhibition], (Fixtures[[#This Row],[competition]] = Competitions[name]), "N/A")</f>
        <v>N/A</v>
      </c>
      <c r="U1224" s="58" t="str" cm="1">
        <f t="array" ref="U1224">_xlfn._xlws.FILTER(Competitions[compID], (Fixtures[[#This Row],[competition]] = Competitions[name]), "N/A")</f>
        <v>N/A</v>
      </c>
      <c r="V122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4" s="58" t="str" cm="1">
        <f t="array" ref="W122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4" s="58" t="str" cm="1">
        <f t="array" ref="X1224">_xlfn._xlws.FILTER(Teams[name], (Fixtures[[#This Row],[userTeamID]] = Teams[teamID]), "N/A")</f>
        <v>N/A</v>
      </c>
      <c r="Y1224" s="58" t="str" cm="1">
        <f t="array" ref="Y1224">_xlfn._xlws.FILTER(Teams[teamType], (Fixtures[[#This Row],[userTeamID]] = Teams[teamID]), "N/A")</f>
        <v>N/A</v>
      </c>
      <c r="Z1224" s="58" t="str" cm="1">
        <f t="array" ref="Z122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4" s="58" t="str">
        <f>IF(Fixtures[[#This Row],[userSide]] = "N/A", "N/A", IF(Fixtures[[#This Row],[userSide]] = "H", Fixtures[[#This Row],[awayTeam]], Fixtures[[#This Row],[homeTeam]]))</f>
        <v>N/A</v>
      </c>
      <c r="AB1224" s="58" t="str" cm="1">
        <f t="array" ref="AB1224">_xlfn._xlws.FILTER(Teams[teamID], Fixtures[[#This Row],[oppTeam]] = Teams[name], "N/A")</f>
        <v>N/A</v>
      </c>
      <c r="AC1224" s="58" t="str" cm="1">
        <f t="array" ref="AC1224">_xlfn._xlws.FILTER(Teams[teamType], Fixtures[[#This Row],[oppTeam]] = Teams[name], "N/A")</f>
        <v>N/A</v>
      </c>
      <c r="AD1224" s="58" t="str">
        <f>IF(ISBLANK(Fixtures[[#This Row],[date]]), "N/A", IF(Fixtures[[#This Row],[userSide]]="H", Fixtures[[#This Row],[homeScore]], Fixtures[[#This Row],[awayScore]]))</f>
        <v>N/A</v>
      </c>
      <c r="AE1224" s="58" t="str">
        <f>IF(ISBLANK(Fixtures[[#This Row],[date]]), "N/A", IF(Fixtures[[#This Row],[userScore]] = Fixtures[[#This Row],[homeScore]], Fixtures[[#This Row],[awayScore]], Fixtures[[#This Row],[homeScore]]))</f>
        <v>N/A</v>
      </c>
      <c r="AF1224" s="58" t="b">
        <f>NOT(AND(ISBLANK(Fixtures[[#This Row],[homePens]]), ISBLANK(Fixtures[[#This Row],[awayPens]])))</f>
        <v>0</v>
      </c>
      <c r="AG1224" s="58" t="str">
        <f>IF(Fixtures[[#This Row],[penalties]], IF(Fixtures[[#This Row],[userSide]]="H", Fixtures[[#This Row],[homePens]], Fixtures[[#This Row],[awayPens]]), "N/A")</f>
        <v>N/A</v>
      </c>
      <c r="AH1224" s="58" t="str">
        <f>IF(Fixtures[[#This Row],[penalties]], IF(Fixtures[[#This Row],[userPens]]=Fixtures[[#This Row],[homePens]],Fixtures[[#This Row],[awayPens]],Fixtures[[#This Row],[homePens]]), "N/A")</f>
        <v>N/A</v>
      </c>
      <c r="AI1224" s="58" t="b">
        <f>COUNTBLANK(Fixtures[[#This Row],[G]:[MOTM]]) = 0</f>
        <v>0</v>
      </c>
      <c r="AJ1224" s="58" t="str">
        <f>IF(Fixtures[[#This Row],[APP]], Fixtures[[#This Row],[G]]+Fixtures[[#This Row],[A]], "N/A")</f>
        <v>N/A</v>
      </c>
      <c r="AK122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5" spans="1:39" ht="13">
      <c r="A1225" s="55"/>
      <c r="B1225" s="61"/>
      <c r="C1225" s="56"/>
      <c r="D1225" s="56"/>
      <c r="E1225" s="56"/>
      <c r="F1225" s="56"/>
      <c r="G1225" s="56"/>
      <c r="H1225" s="56"/>
      <c r="I1225" s="56"/>
      <c r="J1225" s="56"/>
      <c r="K1225" s="56"/>
      <c r="L1225" s="56"/>
      <c r="M1225" s="56"/>
      <c r="N1225" s="56"/>
      <c r="O1225" s="56"/>
      <c r="P1225" s="56"/>
      <c r="Q1225" s="57"/>
      <c r="R1225" s="56"/>
      <c r="S1225" s="58" t="str" cm="1">
        <f t="array" ref="S1225">_xlfn._xlws.FILTER(Competitions[compType], (Fixtures[[#This Row],[competition]] = Competitions[name]), "N/A")</f>
        <v>N/A</v>
      </c>
      <c r="T1225" s="58" t="str" cm="1">
        <f t="array" ref="T1225">_xlfn._xlws.FILTER(Competitions[exhibition], (Fixtures[[#This Row],[competition]] = Competitions[name]), "N/A")</f>
        <v>N/A</v>
      </c>
      <c r="U1225" s="58" t="str" cm="1">
        <f t="array" ref="U1225">_xlfn._xlws.FILTER(Competitions[compID], (Fixtures[[#This Row],[competition]] = Competitions[name]), "N/A")</f>
        <v>N/A</v>
      </c>
      <c r="V122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5" s="58" t="str" cm="1">
        <f t="array" ref="W122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5" s="58" t="str" cm="1">
        <f t="array" ref="X1225">_xlfn._xlws.FILTER(Teams[name], (Fixtures[[#This Row],[userTeamID]] = Teams[teamID]), "N/A")</f>
        <v>N/A</v>
      </c>
      <c r="Y1225" s="58" t="str" cm="1">
        <f t="array" ref="Y1225">_xlfn._xlws.FILTER(Teams[teamType], (Fixtures[[#This Row],[userTeamID]] = Teams[teamID]), "N/A")</f>
        <v>N/A</v>
      </c>
      <c r="Z1225" s="58" t="str" cm="1">
        <f t="array" ref="Z122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5" s="58" t="str">
        <f>IF(Fixtures[[#This Row],[userSide]] = "N/A", "N/A", IF(Fixtures[[#This Row],[userSide]] = "H", Fixtures[[#This Row],[awayTeam]], Fixtures[[#This Row],[homeTeam]]))</f>
        <v>N/A</v>
      </c>
      <c r="AB1225" s="58" t="str" cm="1">
        <f t="array" ref="AB1225">_xlfn._xlws.FILTER(Teams[teamID], Fixtures[[#This Row],[oppTeam]] = Teams[name], "N/A")</f>
        <v>N/A</v>
      </c>
      <c r="AC1225" s="58" t="str" cm="1">
        <f t="array" ref="AC1225">_xlfn._xlws.FILTER(Teams[teamType], Fixtures[[#This Row],[oppTeam]] = Teams[name], "N/A")</f>
        <v>N/A</v>
      </c>
      <c r="AD1225" s="58" t="str">
        <f>IF(ISBLANK(Fixtures[[#This Row],[date]]), "N/A", IF(Fixtures[[#This Row],[userSide]]="H", Fixtures[[#This Row],[homeScore]], Fixtures[[#This Row],[awayScore]]))</f>
        <v>N/A</v>
      </c>
      <c r="AE1225" s="58" t="str">
        <f>IF(ISBLANK(Fixtures[[#This Row],[date]]), "N/A", IF(Fixtures[[#This Row],[userScore]] = Fixtures[[#This Row],[homeScore]], Fixtures[[#This Row],[awayScore]], Fixtures[[#This Row],[homeScore]]))</f>
        <v>N/A</v>
      </c>
      <c r="AF1225" s="58" t="b">
        <f>NOT(AND(ISBLANK(Fixtures[[#This Row],[homePens]]), ISBLANK(Fixtures[[#This Row],[awayPens]])))</f>
        <v>0</v>
      </c>
      <c r="AG1225" s="58" t="str">
        <f>IF(Fixtures[[#This Row],[penalties]], IF(Fixtures[[#This Row],[userSide]]="H", Fixtures[[#This Row],[homePens]], Fixtures[[#This Row],[awayPens]]), "N/A")</f>
        <v>N/A</v>
      </c>
      <c r="AH1225" s="58" t="str">
        <f>IF(Fixtures[[#This Row],[penalties]], IF(Fixtures[[#This Row],[userPens]]=Fixtures[[#This Row],[homePens]],Fixtures[[#This Row],[awayPens]],Fixtures[[#This Row],[homePens]]), "N/A")</f>
        <v>N/A</v>
      </c>
      <c r="AI1225" s="58" t="b">
        <f>COUNTBLANK(Fixtures[[#This Row],[G]:[MOTM]]) = 0</f>
        <v>0</v>
      </c>
      <c r="AJ1225" s="58" t="str">
        <f>IF(Fixtures[[#This Row],[APP]], Fixtures[[#This Row],[G]]+Fixtures[[#This Row],[A]], "N/A")</f>
        <v>N/A</v>
      </c>
      <c r="AK122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6" spans="1:39" ht="13">
      <c r="A1226" s="55"/>
      <c r="B1226" s="61"/>
      <c r="C1226" s="56"/>
      <c r="D1226" s="56"/>
      <c r="E1226" s="56"/>
      <c r="F1226" s="56"/>
      <c r="G1226" s="56"/>
      <c r="H1226" s="56"/>
      <c r="I1226" s="56"/>
      <c r="J1226" s="56"/>
      <c r="K1226" s="56"/>
      <c r="L1226" s="56"/>
      <c r="M1226" s="56"/>
      <c r="N1226" s="56"/>
      <c r="O1226" s="56"/>
      <c r="P1226" s="56"/>
      <c r="Q1226" s="57"/>
      <c r="R1226" s="56"/>
      <c r="S1226" s="58" t="str" cm="1">
        <f t="array" ref="S1226">_xlfn._xlws.FILTER(Competitions[compType], (Fixtures[[#This Row],[competition]] = Competitions[name]), "N/A")</f>
        <v>N/A</v>
      </c>
      <c r="T1226" s="58" t="str" cm="1">
        <f t="array" ref="T1226">_xlfn._xlws.FILTER(Competitions[exhibition], (Fixtures[[#This Row],[competition]] = Competitions[name]), "N/A")</f>
        <v>N/A</v>
      </c>
      <c r="U1226" s="58" t="str" cm="1">
        <f t="array" ref="U1226">_xlfn._xlws.FILTER(Competitions[compID], (Fixtures[[#This Row],[competition]] = Competitions[name]), "N/A")</f>
        <v>N/A</v>
      </c>
      <c r="V122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6" s="58" t="str" cm="1">
        <f t="array" ref="W122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6" s="58" t="str" cm="1">
        <f t="array" ref="X1226">_xlfn._xlws.FILTER(Teams[name], (Fixtures[[#This Row],[userTeamID]] = Teams[teamID]), "N/A")</f>
        <v>N/A</v>
      </c>
      <c r="Y1226" s="58" t="str" cm="1">
        <f t="array" ref="Y1226">_xlfn._xlws.FILTER(Teams[teamType], (Fixtures[[#This Row],[userTeamID]] = Teams[teamID]), "N/A")</f>
        <v>N/A</v>
      </c>
      <c r="Z1226" s="58" t="str" cm="1">
        <f t="array" ref="Z122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6" s="58" t="str">
        <f>IF(Fixtures[[#This Row],[userSide]] = "N/A", "N/A", IF(Fixtures[[#This Row],[userSide]] = "H", Fixtures[[#This Row],[awayTeam]], Fixtures[[#This Row],[homeTeam]]))</f>
        <v>N/A</v>
      </c>
      <c r="AB1226" s="58" t="str" cm="1">
        <f t="array" ref="AB1226">_xlfn._xlws.FILTER(Teams[teamID], Fixtures[[#This Row],[oppTeam]] = Teams[name], "N/A")</f>
        <v>N/A</v>
      </c>
      <c r="AC1226" s="58" t="str" cm="1">
        <f t="array" ref="AC1226">_xlfn._xlws.FILTER(Teams[teamType], Fixtures[[#This Row],[oppTeam]] = Teams[name], "N/A")</f>
        <v>N/A</v>
      </c>
      <c r="AD1226" s="58" t="str">
        <f>IF(ISBLANK(Fixtures[[#This Row],[date]]), "N/A", IF(Fixtures[[#This Row],[userSide]]="H", Fixtures[[#This Row],[homeScore]], Fixtures[[#This Row],[awayScore]]))</f>
        <v>N/A</v>
      </c>
      <c r="AE1226" s="58" t="str">
        <f>IF(ISBLANK(Fixtures[[#This Row],[date]]), "N/A", IF(Fixtures[[#This Row],[userScore]] = Fixtures[[#This Row],[homeScore]], Fixtures[[#This Row],[awayScore]], Fixtures[[#This Row],[homeScore]]))</f>
        <v>N/A</v>
      </c>
      <c r="AF1226" s="58" t="b">
        <f>NOT(AND(ISBLANK(Fixtures[[#This Row],[homePens]]), ISBLANK(Fixtures[[#This Row],[awayPens]])))</f>
        <v>0</v>
      </c>
      <c r="AG1226" s="58" t="str">
        <f>IF(Fixtures[[#This Row],[penalties]], IF(Fixtures[[#This Row],[userSide]]="H", Fixtures[[#This Row],[homePens]], Fixtures[[#This Row],[awayPens]]), "N/A")</f>
        <v>N/A</v>
      </c>
      <c r="AH1226" s="58" t="str">
        <f>IF(Fixtures[[#This Row],[penalties]], IF(Fixtures[[#This Row],[userPens]]=Fixtures[[#This Row],[homePens]],Fixtures[[#This Row],[awayPens]],Fixtures[[#This Row],[homePens]]), "N/A")</f>
        <v>N/A</v>
      </c>
      <c r="AI1226" s="58" t="b">
        <f>COUNTBLANK(Fixtures[[#This Row],[G]:[MOTM]]) = 0</f>
        <v>0</v>
      </c>
      <c r="AJ1226" s="58" t="str">
        <f>IF(Fixtures[[#This Row],[APP]], Fixtures[[#This Row],[G]]+Fixtures[[#This Row],[A]], "N/A")</f>
        <v>N/A</v>
      </c>
      <c r="AK122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7" spans="1:39" ht="13">
      <c r="A1227" s="55"/>
      <c r="B1227" s="61"/>
      <c r="C1227" s="56"/>
      <c r="D1227" s="56"/>
      <c r="E1227" s="56"/>
      <c r="F1227" s="56"/>
      <c r="G1227" s="56"/>
      <c r="H1227" s="56"/>
      <c r="I1227" s="56"/>
      <c r="J1227" s="56"/>
      <c r="K1227" s="56"/>
      <c r="L1227" s="56"/>
      <c r="M1227" s="56"/>
      <c r="N1227" s="56"/>
      <c r="O1227" s="56"/>
      <c r="P1227" s="56"/>
      <c r="Q1227" s="57"/>
      <c r="R1227" s="56"/>
      <c r="S1227" s="58" t="str" cm="1">
        <f t="array" ref="S1227">_xlfn._xlws.FILTER(Competitions[compType], (Fixtures[[#This Row],[competition]] = Competitions[name]), "N/A")</f>
        <v>N/A</v>
      </c>
      <c r="T1227" s="58" t="str" cm="1">
        <f t="array" ref="T1227">_xlfn._xlws.FILTER(Competitions[exhibition], (Fixtures[[#This Row],[competition]] = Competitions[name]), "N/A")</f>
        <v>N/A</v>
      </c>
      <c r="U1227" s="58" t="str" cm="1">
        <f t="array" ref="U1227">_xlfn._xlws.FILTER(Competitions[compID], (Fixtures[[#This Row],[competition]] = Competitions[name]), "N/A")</f>
        <v>N/A</v>
      </c>
      <c r="V122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7" s="58" t="str" cm="1">
        <f t="array" ref="W122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7" s="58" t="str" cm="1">
        <f t="array" ref="X1227">_xlfn._xlws.FILTER(Teams[name], (Fixtures[[#This Row],[userTeamID]] = Teams[teamID]), "N/A")</f>
        <v>N/A</v>
      </c>
      <c r="Y1227" s="58" t="str" cm="1">
        <f t="array" ref="Y1227">_xlfn._xlws.FILTER(Teams[teamType], (Fixtures[[#This Row],[userTeamID]] = Teams[teamID]), "N/A")</f>
        <v>N/A</v>
      </c>
      <c r="Z1227" s="58" t="str" cm="1">
        <f t="array" ref="Z122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7" s="58" t="str">
        <f>IF(Fixtures[[#This Row],[userSide]] = "N/A", "N/A", IF(Fixtures[[#This Row],[userSide]] = "H", Fixtures[[#This Row],[awayTeam]], Fixtures[[#This Row],[homeTeam]]))</f>
        <v>N/A</v>
      </c>
      <c r="AB1227" s="58" t="str" cm="1">
        <f t="array" ref="AB1227">_xlfn._xlws.FILTER(Teams[teamID], Fixtures[[#This Row],[oppTeam]] = Teams[name], "N/A")</f>
        <v>N/A</v>
      </c>
      <c r="AC1227" s="58" t="str" cm="1">
        <f t="array" ref="AC1227">_xlfn._xlws.FILTER(Teams[teamType], Fixtures[[#This Row],[oppTeam]] = Teams[name], "N/A")</f>
        <v>N/A</v>
      </c>
      <c r="AD1227" s="58" t="str">
        <f>IF(ISBLANK(Fixtures[[#This Row],[date]]), "N/A", IF(Fixtures[[#This Row],[userSide]]="H", Fixtures[[#This Row],[homeScore]], Fixtures[[#This Row],[awayScore]]))</f>
        <v>N/A</v>
      </c>
      <c r="AE1227" s="58" t="str">
        <f>IF(ISBLANK(Fixtures[[#This Row],[date]]), "N/A", IF(Fixtures[[#This Row],[userScore]] = Fixtures[[#This Row],[homeScore]], Fixtures[[#This Row],[awayScore]], Fixtures[[#This Row],[homeScore]]))</f>
        <v>N/A</v>
      </c>
      <c r="AF1227" s="58" t="b">
        <f>NOT(AND(ISBLANK(Fixtures[[#This Row],[homePens]]), ISBLANK(Fixtures[[#This Row],[awayPens]])))</f>
        <v>0</v>
      </c>
      <c r="AG1227" s="58" t="str">
        <f>IF(Fixtures[[#This Row],[penalties]], IF(Fixtures[[#This Row],[userSide]]="H", Fixtures[[#This Row],[homePens]], Fixtures[[#This Row],[awayPens]]), "N/A")</f>
        <v>N/A</v>
      </c>
      <c r="AH1227" s="58" t="str">
        <f>IF(Fixtures[[#This Row],[penalties]], IF(Fixtures[[#This Row],[userPens]]=Fixtures[[#This Row],[homePens]],Fixtures[[#This Row],[awayPens]],Fixtures[[#This Row],[homePens]]), "N/A")</f>
        <v>N/A</v>
      </c>
      <c r="AI1227" s="58" t="b">
        <f>COUNTBLANK(Fixtures[[#This Row],[G]:[MOTM]]) = 0</f>
        <v>0</v>
      </c>
      <c r="AJ1227" s="58" t="str">
        <f>IF(Fixtures[[#This Row],[APP]], Fixtures[[#This Row],[G]]+Fixtures[[#This Row],[A]], "N/A")</f>
        <v>N/A</v>
      </c>
      <c r="AK122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8" spans="1:39" ht="13">
      <c r="A1228" s="55"/>
      <c r="B1228" s="61"/>
      <c r="C1228" s="56"/>
      <c r="D1228" s="56"/>
      <c r="E1228" s="56"/>
      <c r="F1228" s="56"/>
      <c r="G1228" s="56"/>
      <c r="H1228" s="56"/>
      <c r="I1228" s="56"/>
      <c r="J1228" s="56"/>
      <c r="K1228" s="56"/>
      <c r="L1228" s="56"/>
      <c r="M1228" s="56"/>
      <c r="N1228" s="56"/>
      <c r="O1228" s="56"/>
      <c r="P1228" s="56"/>
      <c r="Q1228" s="57"/>
      <c r="R1228" s="56"/>
      <c r="S1228" s="58" t="str" cm="1">
        <f t="array" ref="S1228">_xlfn._xlws.FILTER(Competitions[compType], (Fixtures[[#This Row],[competition]] = Competitions[name]), "N/A")</f>
        <v>N/A</v>
      </c>
      <c r="T1228" s="58" t="str" cm="1">
        <f t="array" ref="T1228">_xlfn._xlws.FILTER(Competitions[exhibition], (Fixtures[[#This Row],[competition]] = Competitions[name]), "N/A")</f>
        <v>N/A</v>
      </c>
      <c r="U1228" s="58" t="str" cm="1">
        <f t="array" ref="U1228">_xlfn._xlws.FILTER(Competitions[compID], (Fixtures[[#This Row],[competition]] = Competitions[name]), "N/A")</f>
        <v>N/A</v>
      </c>
      <c r="V122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8" s="58" t="str" cm="1">
        <f t="array" ref="W122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8" s="58" t="str" cm="1">
        <f t="array" ref="X1228">_xlfn._xlws.FILTER(Teams[name], (Fixtures[[#This Row],[userTeamID]] = Teams[teamID]), "N/A")</f>
        <v>N/A</v>
      </c>
      <c r="Y1228" s="58" t="str" cm="1">
        <f t="array" ref="Y1228">_xlfn._xlws.FILTER(Teams[teamType], (Fixtures[[#This Row],[userTeamID]] = Teams[teamID]), "N/A")</f>
        <v>N/A</v>
      </c>
      <c r="Z1228" s="58" t="str" cm="1">
        <f t="array" ref="Z122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8" s="58" t="str">
        <f>IF(Fixtures[[#This Row],[userSide]] = "N/A", "N/A", IF(Fixtures[[#This Row],[userSide]] = "H", Fixtures[[#This Row],[awayTeam]], Fixtures[[#This Row],[homeTeam]]))</f>
        <v>N/A</v>
      </c>
      <c r="AB1228" s="58" t="str" cm="1">
        <f t="array" ref="AB1228">_xlfn._xlws.FILTER(Teams[teamID], Fixtures[[#This Row],[oppTeam]] = Teams[name], "N/A")</f>
        <v>N/A</v>
      </c>
      <c r="AC1228" s="58" t="str" cm="1">
        <f t="array" ref="AC1228">_xlfn._xlws.FILTER(Teams[teamType], Fixtures[[#This Row],[oppTeam]] = Teams[name], "N/A")</f>
        <v>N/A</v>
      </c>
      <c r="AD1228" s="58" t="str">
        <f>IF(ISBLANK(Fixtures[[#This Row],[date]]), "N/A", IF(Fixtures[[#This Row],[userSide]]="H", Fixtures[[#This Row],[homeScore]], Fixtures[[#This Row],[awayScore]]))</f>
        <v>N/A</v>
      </c>
      <c r="AE1228" s="58" t="str">
        <f>IF(ISBLANK(Fixtures[[#This Row],[date]]), "N/A", IF(Fixtures[[#This Row],[userScore]] = Fixtures[[#This Row],[homeScore]], Fixtures[[#This Row],[awayScore]], Fixtures[[#This Row],[homeScore]]))</f>
        <v>N/A</v>
      </c>
      <c r="AF1228" s="58" t="b">
        <f>NOT(AND(ISBLANK(Fixtures[[#This Row],[homePens]]), ISBLANK(Fixtures[[#This Row],[awayPens]])))</f>
        <v>0</v>
      </c>
      <c r="AG1228" s="58" t="str">
        <f>IF(Fixtures[[#This Row],[penalties]], IF(Fixtures[[#This Row],[userSide]]="H", Fixtures[[#This Row],[homePens]], Fixtures[[#This Row],[awayPens]]), "N/A")</f>
        <v>N/A</v>
      </c>
      <c r="AH1228" s="58" t="str">
        <f>IF(Fixtures[[#This Row],[penalties]], IF(Fixtures[[#This Row],[userPens]]=Fixtures[[#This Row],[homePens]],Fixtures[[#This Row],[awayPens]],Fixtures[[#This Row],[homePens]]), "N/A")</f>
        <v>N/A</v>
      </c>
      <c r="AI1228" s="58" t="b">
        <f>COUNTBLANK(Fixtures[[#This Row],[G]:[MOTM]]) = 0</f>
        <v>0</v>
      </c>
      <c r="AJ1228" s="58" t="str">
        <f>IF(Fixtures[[#This Row],[APP]], Fixtures[[#This Row],[G]]+Fixtures[[#This Row],[A]], "N/A")</f>
        <v>N/A</v>
      </c>
      <c r="AK122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29" spans="1:39" ht="13">
      <c r="A1229" s="55"/>
      <c r="B1229" s="61"/>
      <c r="C1229" s="56"/>
      <c r="D1229" s="56"/>
      <c r="E1229" s="56"/>
      <c r="F1229" s="56"/>
      <c r="G1229" s="56"/>
      <c r="H1229" s="56"/>
      <c r="I1229" s="56"/>
      <c r="J1229" s="56"/>
      <c r="K1229" s="56"/>
      <c r="L1229" s="56"/>
      <c r="M1229" s="56"/>
      <c r="N1229" s="56"/>
      <c r="O1229" s="56"/>
      <c r="P1229" s="56"/>
      <c r="Q1229" s="57"/>
      <c r="R1229" s="56"/>
      <c r="S1229" s="58" t="str" cm="1">
        <f t="array" ref="S1229">_xlfn._xlws.FILTER(Competitions[compType], (Fixtures[[#This Row],[competition]] = Competitions[name]), "N/A")</f>
        <v>N/A</v>
      </c>
      <c r="T1229" s="58" t="str" cm="1">
        <f t="array" ref="T1229">_xlfn._xlws.FILTER(Competitions[exhibition], (Fixtures[[#This Row],[competition]] = Competitions[name]), "N/A")</f>
        <v>N/A</v>
      </c>
      <c r="U1229" s="58" t="str" cm="1">
        <f t="array" ref="U1229">_xlfn._xlws.FILTER(Competitions[compID], (Fixtures[[#This Row],[competition]] = Competitions[name]), "N/A")</f>
        <v>N/A</v>
      </c>
      <c r="V122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29" s="58" t="str" cm="1">
        <f t="array" ref="W122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29" s="58" t="str" cm="1">
        <f t="array" ref="X1229">_xlfn._xlws.FILTER(Teams[name], (Fixtures[[#This Row],[userTeamID]] = Teams[teamID]), "N/A")</f>
        <v>N/A</v>
      </c>
      <c r="Y1229" s="58" t="str" cm="1">
        <f t="array" ref="Y1229">_xlfn._xlws.FILTER(Teams[teamType], (Fixtures[[#This Row],[userTeamID]] = Teams[teamID]), "N/A")</f>
        <v>N/A</v>
      </c>
      <c r="Z1229" s="58" t="str" cm="1">
        <f t="array" ref="Z122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29" s="58" t="str">
        <f>IF(Fixtures[[#This Row],[userSide]] = "N/A", "N/A", IF(Fixtures[[#This Row],[userSide]] = "H", Fixtures[[#This Row],[awayTeam]], Fixtures[[#This Row],[homeTeam]]))</f>
        <v>N/A</v>
      </c>
      <c r="AB1229" s="58" t="str" cm="1">
        <f t="array" ref="AB1229">_xlfn._xlws.FILTER(Teams[teamID], Fixtures[[#This Row],[oppTeam]] = Teams[name], "N/A")</f>
        <v>N/A</v>
      </c>
      <c r="AC1229" s="58" t="str" cm="1">
        <f t="array" ref="AC1229">_xlfn._xlws.FILTER(Teams[teamType], Fixtures[[#This Row],[oppTeam]] = Teams[name], "N/A")</f>
        <v>N/A</v>
      </c>
      <c r="AD1229" s="58" t="str">
        <f>IF(ISBLANK(Fixtures[[#This Row],[date]]), "N/A", IF(Fixtures[[#This Row],[userSide]]="H", Fixtures[[#This Row],[homeScore]], Fixtures[[#This Row],[awayScore]]))</f>
        <v>N/A</v>
      </c>
      <c r="AE1229" s="58" t="str">
        <f>IF(ISBLANK(Fixtures[[#This Row],[date]]), "N/A", IF(Fixtures[[#This Row],[userScore]] = Fixtures[[#This Row],[homeScore]], Fixtures[[#This Row],[awayScore]], Fixtures[[#This Row],[homeScore]]))</f>
        <v>N/A</v>
      </c>
      <c r="AF1229" s="58" t="b">
        <f>NOT(AND(ISBLANK(Fixtures[[#This Row],[homePens]]), ISBLANK(Fixtures[[#This Row],[awayPens]])))</f>
        <v>0</v>
      </c>
      <c r="AG1229" s="58" t="str">
        <f>IF(Fixtures[[#This Row],[penalties]], IF(Fixtures[[#This Row],[userSide]]="H", Fixtures[[#This Row],[homePens]], Fixtures[[#This Row],[awayPens]]), "N/A")</f>
        <v>N/A</v>
      </c>
      <c r="AH1229" s="58" t="str">
        <f>IF(Fixtures[[#This Row],[penalties]], IF(Fixtures[[#This Row],[userPens]]=Fixtures[[#This Row],[homePens]],Fixtures[[#This Row],[awayPens]],Fixtures[[#This Row],[homePens]]), "N/A")</f>
        <v>N/A</v>
      </c>
      <c r="AI1229" s="58" t="b">
        <f>COUNTBLANK(Fixtures[[#This Row],[G]:[MOTM]]) = 0</f>
        <v>0</v>
      </c>
      <c r="AJ1229" s="58" t="str">
        <f>IF(Fixtures[[#This Row],[APP]], Fixtures[[#This Row],[G]]+Fixtures[[#This Row],[A]], "N/A")</f>
        <v>N/A</v>
      </c>
      <c r="AK122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2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2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0" spans="1:39" ht="13">
      <c r="A1230" s="55"/>
      <c r="B1230" s="61"/>
      <c r="C1230" s="56"/>
      <c r="D1230" s="56"/>
      <c r="E1230" s="56"/>
      <c r="F1230" s="56"/>
      <c r="G1230" s="56"/>
      <c r="H1230" s="56"/>
      <c r="I1230" s="56"/>
      <c r="J1230" s="56"/>
      <c r="K1230" s="56"/>
      <c r="L1230" s="56"/>
      <c r="M1230" s="56"/>
      <c r="N1230" s="56"/>
      <c r="O1230" s="56"/>
      <c r="P1230" s="56"/>
      <c r="Q1230" s="57"/>
      <c r="R1230" s="56"/>
      <c r="S1230" s="58" t="str" cm="1">
        <f t="array" ref="S1230">_xlfn._xlws.FILTER(Competitions[compType], (Fixtures[[#This Row],[competition]] = Competitions[name]), "N/A")</f>
        <v>N/A</v>
      </c>
      <c r="T1230" s="58" t="str" cm="1">
        <f t="array" ref="T1230">_xlfn._xlws.FILTER(Competitions[exhibition], (Fixtures[[#This Row],[competition]] = Competitions[name]), "N/A")</f>
        <v>N/A</v>
      </c>
      <c r="U1230" s="58" t="str" cm="1">
        <f t="array" ref="U1230">_xlfn._xlws.FILTER(Competitions[compID], (Fixtures[[#This Row],[competition]] = Competitions[name]), "N/A")</f>
        <v>N/A</v>
      </c>
      <c r="V123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0" s="58" t="str" cm="1">
        <f t="array" ref="W123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0" s="58" t="str" cm="1">
        <f t="array" ref="X1230">_xlfn._xlws.FILTER(Teams[name], (Fixtures[[#This Row],[userTeamID]] = Teams[teamID]), "N/A")</f>
        <v>N/A</v>
      </c>
      <c r="Y1230" s="58" t="str" cm="1">
        <f t="array" ref="Y1230">_xlfn._xlws.FILTER(Teams[teamType], (Fixtures[[#This Row],[userTeamID]] = Teams[teamID]), "N/A")</f>
        <v>N/A</v>
      </c>
      <c r="Z1230" s="58" t="str" cm="1">
        <f t="array" ref="Z123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0" s="58" t="str">
        <f>IF(Fixtures[[#This Row],[userSide]] = "N/A", "N/A", IF(Fixtures[[#This Row],[userSide]] = "H", Fixtures[[#This Row],[awayTeam]], Fixtures[[#This Row],[homeTeam]]))</f>
        <v>N/A</v>
      </c>
      <c r="AB1230" s="58" t="str" cm="1">
        <f t="array" ref="AB1230">_xlfn._xlws.FILTER(Teams[teamID], Fixtures[[#This Row],[oppTeam]] = Teams[name], "N/A")</f>
        <v>N/A</v>
      </c>
      <c r="AC1230" s="58" t="str" cm="1">
        <f t="array" ref="AC1230">_xlfn._xlws.FILTER(Teams[teamType], Fixtures[[#This Row],[oppTeam]] = Teams[name], "N/A")</f>
        <v>N/A</v>
      </c>
      <c r="AD1230" s="58" t="str">
        <f>IF(ISBLANK(Fixtures[[#This Row],[date]]), "N/A", IF(Fixtures[[#This Row],[userSide]]="H", Fixtures[[#This Row],[homeScore]], Fixtures[[#This Row],[awayScore]]))</f>
        <v>N/A</v>
      </c>
      <c r="AE1230" s="58" t="str">
        <f>IF(ISBLANK(Fixtures[[#This Row],[date]]), "N/A", IF(Fixtures[[#This Row],[userScore]] = Fixtures[[#This Row],[homeScore]], Fixtures[[#This Row],[awayScore]], Fixtures[[#This Row],[homeScore]]))</f>
        <v>N/A</v>
      </c>
      <c r="AF1230" s="58" t="b">
        <f>NOT(AND(ISBLANK(Fixtures[[#This Row],[homePens]]), ISBLANK(Fixtures[[#This Row],[awayPens]])))</f>
        <v>0</v>
      </c>
      <c r="AG1230" s="58" t="str">
        <f>IF(Fixtures[[#This Row],[penalties]], IF(Fixtures[[#This Row],[userSide]]="H", Fixtures[[#This Row],[homePens]], Fixtures[[#This Row],[awayPens]]), "N/A")</f>
        <v>N/A</v>
      </c>
      <c r="AH1230" s="58" t="str">
        <f>IF(Fixtures[[#This Row],[penalties]], IF(Fixtures[[#This Row],[userPens]]=Fixtures[[#This Row],[homePens]],Fixtures[[#This Row],[awayPens]],Fixtures[[#This Row],[homePens]]), "N/A")</f>
        <v>N/A</v>
      </c>
      <c r="AI1230" s="58" t="b">
        <f>COUNTBLANK(Fixtures[[#This Row],[G]:[MOTM]]) = 0</f>
        <v>0</v>
      </c>
      <c r="AJ1230" s="58" t="str">
        <f>IF(Fixtures[[#This Row],[APP]], Fixtures[[#This Row],[G]]+Fixtures[[#This Row],[A]], "N/A")</f>
        <v>N/A</v>
      </c>
      <c r="AK123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1" spans="1:39" ht="13">
      <c r="A1231" s="55"/>
      <c r="B1231" s="61"/>
      <c r="C1231" s="56"/>
      <c r="D1231" s="56"/>
      <c r="E1231" s="56"/>
      <c r="F1231" s="56"/>
      <c r="G1231" s="56"/>
      <c r="H1231" s="56"/>
      <c r="I1231" s="56"/>
      <c r="J1231" s="56"/>
      <c r="K1231" s="56"/>
      <c r="L1231" s="56"/>
      <c r="M1231" s="56"/>
      <c r="N1231" s="56"/>
      <c r="O1231" s="56"/>
      <c r="P1231" s="56"/>
      <c r="Q1231" s="57"/>
      <c r="R1231" s="56"/>
      <c r="S1231" s="58" t="str" cm="1">
        <f t="array" ref="S1231">_xlfn._xlws.FILTER(Competitions[compType], (Fixtures[[#This Row],[competition]] = Competitions[name]), "N/A")</f>
        <v>N/A</v>
      </c>
      <c r="T1231" s="58" t="str" cm="1">
        <f t="array" ref="T1231">_xlfn._xlws.FILTER(Competitions[exhibition], (Fixtures[[#This Row],[competition]] = Competitions[name]), "N/A")</f>
        <v>N/A</v>
      </c>
      <c r="U1231" s="58" t="str" cm="1">
        <f t="array" ref="U1231">_xlfn._xlws.FILTER(Competitions[compID], (Fixtures[[#This Row],[competition]] = Competitions[name]), "N/A")</f>
        <v>N/A</v>
      </c>
      <c r="V123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1" s="58" t="str" cm="1">
        <f t="array" ref="W123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1" s="58" t="str" cm="1">
        <f t="array" ref="X1231">_xlfn._xlws.FILTER(Teams[name], (Fixtures[[#This Row],[userTeamID]] = Teams[teamID]), "N/A")</f>
        <v>N/A</v>
      </c>
      <c r="Y1231" s="58" t="str" cm="1">
        <f t="array" ref="Y1231">_xlfn._xlws.FILTER(Teams[teamType], (Fixtures[[#This Row],[userTeamID]] = Teams[teamID]), "N/A")</f>
        <v>N/A</v>
      </c>
      <c r="Z1231" s="58" t="str" cm="1">
        <f t="array" ref="Z123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1" s="58" t="str">
        <f>IF(Fixtures[[#This Row],[userSide]] = "N/A", "N/A", IF(Fixtures[[#This Row],[userSide]] = "H", Fixtures[[#This Row],[awayTeam]], Fixtures[[#This Row],[homeTeam]]))</f>
        <v>N/A</v>
      </c>
      <c r="AB1231" s="58" t="str" cm="1">
        <f t="array" ref="AB1231">_xlfn._xlws.FILTER(Teams[teamID], Fixtures[[#This Row],[oppTeam]] = Teams[name], "N/A")</f>
        <v>N/A</v>
      </c>
      <c r="AC1231" s="58" t="str" cm="1">
        <f t="array" ref="AC1231">_xlfn._xlws.FILTER(Teams[teamType], Fixtures[[#This Row],[oppTeam]] = Teams[name], "N/A")</f>
        <v>N/A</v>
      </c>
      <c r="AD1231" s="58" t="str">
        <f>IF(ISBLANK(Fixtures[[#This Row],[date]]), "N/A", IF(Fixtures[[#This Row],[userSide]]="H", Fixtures[[#This Row],[homeScore]], Fixtures[[#This Row],[awayScore]]))</f>
        <v>N/A</v>
      </c>
      <c r="AE1231" s="58" t="str">
        <f>IF(ISBLANK(Fixtures[[#This Row],[date]]), "N/A", IF(Fixtures[[#This Row],[userScore]] = Fixtures[[#This Row],[homeScore]], Fixtures[[#This Row],[awayScore]], Fixtures[[#This Row],[homeScore]]))</f>
        <v>N/A</v>
      </c>
      <c r="AF1231" s="58" t="b">
        <f>NOT(AND(ISBLANK(Fixtures[[#This Row],[homePens]]), ISBLANK(Fixtures[[#This Row],[awayPens]])))</f>
        <v>0</v>
      </c>
      <c r="AG1231" s="58" t="str">
        <f>IF(Fixtures[[#This Row],[penalties]], IF(Fixtures[[#This Row],[userSide]]="H", Fixtures[[#This Row],[homePens]], Fixtures[[#This Row],[awayPens]]), "N/A")</f>
        <v>N/A</v>
      </c>
      <c r="AH1231" s="58" t="str">
        <f>IF(Fixtures[[#This Row],[penalties]], IF(Fixtures[[#This Row],[userPens]]=Fixtures[[#This Row],[homePens]],Fixtures[[#This Row],[awayPens]],Fixtures[[#This Row],[homePens]]), "N/A")</f>
        <v>N/A</v>
      </c>
      <c r="AI1231" s="58" t="b">
        <f>COUNTBLANK(Fixtures[[#This Row],[G]:[MOTM]]) = 0</f>
        <v>0</v>
      </c>
      <c r="AJ1231" s="58" t="str">
        <f>IF(Fixtures[[#This Row],[APP]], Fixtures[[#This Row],[G]]+Fixtures[[#This Row],[A]], "N/A")</f>
        <v>N/A</v>
      </c>
      <c r="AK123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2" spans="1:39" ht="13">
      <c r="A1232" s="55"/>
      <c r="B1232" s="61"/>
      <c r="C1232" s="56"/>
      <c r="D1232" s="56"/>
      <c r="E1232" s="56"/>
      <c r="F1232" s="56"/>
      <c r="G1232" s="56"/>
      <c r="H1232" s="56"/>
      <c r="I1232" s="56"/>
      <c r="J1232" s="56"/>
      <c r="K1232" s="56"/>
      <c r="L1232" s="56"/>
      <c r="M1232" s="56"/>
      <c r="N1232" s="56"/>
      <c r="O1232" s="56"/>
      <c r="P1232" s="56"/>
      <c r="Q1232" s="57"/>
      <c r="R1232" s="56"/>
      <c r="S1232" s="58" t="str" cm="1">
        <f t="array" ref="S1232">_xlfn._xlws.FILTER(Competitions[compType], (Fixtures[[#This Row],[competition]] = Competitions[name]), "N/A")</f>
        <v>N/A</v>
      </c>
      <c r="T1232" s="58" t="str" cm="1">
        <f t="array" ref="T1232">_xlfn._xlws.FILTER(Competitions[exhibition], (Fixtures[[#This Row],[competition]] = Competitions[name]), "N/A")</f>
        <v>N/A</v>
      </c>
      <c r="U1232" s="58" t="str" cm="1">
        <f t="array" ref="U1232">_xlfn._xlws.FILTER(Competitions[compID], (Fixtures[[#This Row],[competition]] = Competitions[name]), "N/A")</f>
        <v>N/A</v>
      </c>
      <c r="V123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2" s="58" t="str" cm="1">
        <f t="array" ref="W123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2" s="58" t="str" cm="1">
        <f t="array" ref="X1232">_xlfn._xlws.FILTER(Teams[name], (Fixtures[[#This Row],[userTeamID]] = Teams[teamID]), "N/A")</f>
        <v>N/A</v>
      </c>
      <c r="Y1232" s="58" t="str" cm="1">
        <f t="array" ref="Y1232">_xlfn._xlws.FILTER(Teams[teamType], (Fixtures[[#This Row],[userTeamID]] = Teams[teamID]), "N/A")</f>
        <v>N/A</v>
      </c>
      <c r="Z1232" s="58" t="str" cm="1">
        <f t="array" ref="Z123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2" s="58" t="str">
        <f>IF(Fixtures[[#This Row],[userSide]] = "N/A", "N/A", IF(Fixtures[[#This Row],[userSide]] = "H", Fixtures[[#This Row],[awayTeam]], Fixtures[[#This Row],[homeTeam]]))</f>
        <v>N/A</v>
      </c>
      <c r="AB1232" s="58" t="str" cm="1">
        <f t="array" ref="AB1232">_xlfn._xlws.FILTER(Teams[teamID], Fixtures[[#This Row],[oppTeam]] = Teams[name], "N/A")</f>
        <v>N/A</v>
      </c>
      <c r="AC1232" s="58" t="str" cm="1">
        <f t="array" ref="AC1232">_xlfn._xlws.FILTER(Teams[teamType], Fixtures[[#This Row],[oppTeam]] = Teams[name], "N/A")</f>
        <v>N/A</v>
      </c>
      <c r="AD1232" s="58" t="str">
        <f>IF(ISBLANK(Fixtures[[#This Row],[date]]), "N/A", IF(Fixtures[[#This Row],[userSide]]="H", Fixtures[[#This Row],[homeScore]], Fixtures[[#This Row],[awayScore]]))</f>
        <v>N/A</v>
      </c>
      <c r="AE1232" s="58" t="str">
        <f>IF(ISBLANK(Fixtures[[#This Row],[date]]), "N/A", IF(Fixtures[[#This Row],[userScore]] = Fixtures[[#This Row],[homeScore]], Fixtures[[#This Row],[awayScore]], Fixtures[[#This Row],[homeScore]]))</f>
        <v>N/A</v>
      </c>
      <c r="AF1232" s="58" t="b">
        <f>NOT(AND(ISBLANK(Fixtures[[#This Row],[homePens]]), ISBLANK(Fixtures[[#This Row],[awayPens]])))</f>
        <v>0</v>
      </c>
      <c r="AG1232" s="58" t="str">
        <f>IF(Fixtures[[#This Row],[penalties]], IF(Fixtures[[#This Row],[userSide]]="H", Fixtures[[#This Row],[homePens]], Fixtures[[#This Row],[awayPens]]), "N/A")</f>
        <v>N/A</v>
      </c>
      <c r="AH1232" s="58" t="str">
        <f>IF(Fixtures[[#This Row],[penalties]], IF(Fixtures[[#This Row],[userPens]]=Fixtures[[#This Row],[homePens]],Fixtures[[#This Row],[awayPens]],Fixtures[[#This Row],[homePens]]), "N/A")</f>
        <v>N/A</v>
      </c>
      <c r="AI1232" s="58" t="b">
        <f>COUNTBLANK(Fixtures[[#This Row],[G]:[MOTM]]) = 0</f>
        <v>0</v>
      </c>
      <c r="AJ1232" s="58" t="str">
        <f>IF(Fixtures[[#This Row],[APP]], Fixtures[[#This Row],[G]]+Fixtures[[#This Row],[A]], "N/A")</f>
        <v>N/A</v>
      </c>
      <c r="AK123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3" spans="1:39" ht="13">
      <c r="A1233" s="55"/>
      <c r="B1233" s="61"/>
      <c r="C1233" s="56"/>
      <c r="D1233" s="56"/>
      <c r="E1233" s="56"/>
      <c r="F1233" s="56"/>
      <c r="G1233" s="56"/>
      <c r="H1233" s="56"/>
      <c r="I1233" s="56"/>
      <c r="J1233" s="56"/>
      <c r="K1233" s="56"/>
      <c r="L1233" s="56"/>
      <c r="M1233" s="56"/>
      <c r="N1233" s="56"/>
      <c r="O1233" s="56"/>
      <c r="P1233" s="56"/>
      <c r="Q1233" s="57"/>
      <c r="R1233" s="56"/>
      <c r="S1233" s="58" t="str" cm="1">
        <f t="array" ref="S1233">_xlfn._xlws.FILTER(Competitions[compType], (Fixtures[[#This Row],[competition]] = Competitions[name]), "N/A")</f>
        <v>N/A</v>
      </c>
      <c r="T1233" s="58" t="str" cm="1">
        <f t="array" ref="T1233">_xlfn._xlws.FILTER(Competitions[exhibition], (Fixtures[[#This Row],[competition]] = Competitions[name]), "N/A")</f>
        <v>N/A</v>
      </c>
      <c r="U1233" s="58" t="str" cm="1">
        <f t="array" ref="U1233">_xlfn._xlws.FILTER(Competitions[compID], (Fixtures[[#This Row],[competition]] = Competitions[name]), "N/A")</f>
        <v>N/A</v>
      </c>
      <c r="V123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3" s="58" t="str" cm="1">
        <f t="array" ref="W123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3" s="58" t="str" cm="1">
        <f t="array" ref="X1233">_xlfn._xlws.FILTER(Teams[name], (Fixtures[[#This Row],[userTeamID]] = Teams[teamID]), "N/A")</f>
        <v>N/A</v>
      </c>
      <c r="Y1233" s="58" t="str" cm="1">
        <f t="array" ref="Y1233">_xlfn._xlws.FILTER(Teams[teamType], (Fixtures[[#This Row],[userTeamID]] = Teams[teamID]), "N/A")</f>
        <v>N/A</v>
      </c>
      <c r="Z1233" s="58" t="str" cm="1">
        <f t="array" ref="Z123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3" s="58" t="str">
        <f>IF(Fixtures[[#This Row],[userSide]] = "N/A", "N/A", IF(Fixtures[[#This Row],[userSide]] = "H", Fixtures[[#This Row],[awayTeam]], Fixtures[[#This Row],[homeTeam]]))</f>
        <v>N/A</v>
      </c>
      <c r="AB1233" s="58" t="str" cm="1">
        <f t="array" ref="AB1233">_xlfn._xlws.FILTER(Teams[teamID], Fixtures[[#This Row],[oppTeam]] = Teams[name], "N/A")</f>
        <v>N/A</v>
      </c>
      <c r="AC1233" s="58" t="str" cm="1">
        <f t="array" ref="AC1233">_xlfn._xlws.FILTER(Teams[teamType], Fixtures[[#This Row],[oppTeam]] = Teams[name], "N/A")</f>
        <v>N/A</v>
      </c>
      <c r="AD1233" s="58" t="str">
        <f>IF(ISBLANK(Fixtures[[#This Row],[date]]), "N/A", IF(Fixtures[[#This Row],[userSide]]="H", Fixtures[[#This Row],[homeScore]], Fixtures[[#This Row],[awayScore]]))</f>
        <v>N/A</v>
      </c>
      <c r="AE1233" s="58" t="str">
        <f>IF(ISBLANK(Fixtures[[#This Row],[date]]), "N/A", IF(Fixtures[[#This Row],[userScore]] = Fixtures[[#This Row],[homeScore]], Fixtures[[#This Row],[awayScore]], Fixtures[[#This Row],[homeScore]]))</f>
        <v>N/A</v>
      </c>
      <c r="AF1233" s="58" t="b">
        <f>NOT(AND(ISBLANK(Fixtures[[#This Row],[homePens]]), ISBLANK(Fixtures[[#This Row],[awayPens]])))</f>
        <v>0</v>
      </c>
      <c r="AG1233" s="58" t="str">
        <f>IF(Fixtures[[#This Row],[penalties]], IF(Fixtures[[#This Row],[userSide]]="H", Fixtures[[#This Row],[homePens]], Fixtures[[#This Row],[awayPens]]), "N/A")</f>
        <v>N/A</v>
      </c>
      <c r="AH1233" s="58" t="str">
        <f>IF(Fixtures[[#This Row],[penalties]], IF(Fixtures[[#This Row],[userPens]]=Fixtures[[#This Row],[homePens]],Fixtures[[#This Row],[awayPens]],Fixtures[[#This Row],[homePens]]), "N/A")</f>
        <v>N/A</v>
      </c>
      <c r="AI1233" s="58" t="b">
        <f>COUNTBLANK(Fixtures[[#This Row],[G]:[MOTM]]) = 0</f>
        <v>0</v>
      </c>
      <c r="AJ1233" s="58" t="str">
        <f>IF(Fixtures[[#This Row],[APP]], Fixtures[[#This Row],[G]]+Fixtures[[#This Row],[A]], "N/A")</f>
        <v>N/A</v>
      </c>
      <c r="AK123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4" spans="1:39" ht="13">
      <c r="A1234" s="55"/>
      <c r="B1234" s="61"/>
      <c r="C1234" s="56"/>
      <c r="D1234" s="56"/>
      <c r="E1234" s="56"/>
      <c r="F1234" s="56"/>
      <c r="G1234" s="56"/>
      <c r="H1234" s="56"/>
      <c r="I1234" s="56"/>
      <c r="J1234" s="56"/>
      <c r="K1234" s="56"/>
      <c r="L1234" s="56"/>
      <c r="M1234" s="56"/>
      <c r="N1234" s="56"/>
      <c r="O1234" s="56"/>
      <c r="P1234" s="56"/>
      <c r="Q1234" s="57"/>
      <c r="R1234" s="56"/>
      <c r="S1234" s="58" t="str" cm="1">
        <f t="array" ref="S1234">_xlfn._xlws.FILTER(Competitions[compType], (Fixtures[[#This Row],[competition]] = Competitions[name]), "N/A")</f>
        <v>N/A</v>
      </c>
      <c r="T1234" s="58" t="str" cm="1">
        <f t="array" ref="T1234">_xlfn._xlws.FILTER(Competitions[exhibition], (Fixtures[[#This Row],[competition]] = Competitions[name]), "N/A")</f>
        <v>N/A</v>
      </c>
      <c r="U1234" s="58" t="str" cm="1">
        <f t="array" ref="U1234">_xlfn._xlws.FILTER(Competitions[compID], (Fixtures[[#This Row],[competition]] = Competitions[name]), "N/A")</f>
        <v>N/A</v>
      </c>
      <c r="V123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4" s="58" t="str" cm="1">
        <f t="array" ref="W123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4" s="58" t="str" cm="1">
        <f t="array" ref="X1234">_xlfn._xlws.FILTER(Teams[name], (Fixtures[[#This Row],[userTeamID]] = Teams[teamID]), "N/A")</f>
        <v>N/A</v>
      </c>
      <c r="Y1234" s="58" t="str" cm="1">
        <f t="array" ref="Y1234">_xlfn._xlws.FILTER(Teams[teamType], (Fixtures[[#This Row],[userTeamID]] = Teams[teamID]), "N/A")</f>
        <v>N/A</v>
      </c>
      <c r="Z1234" s="58" t="str" cm="1">
        <f t="array" ref="Z123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4" s="58" t="str">
        <f>IF(Fixtures[[#This Row],[userSide]] = "N/A", "N/A", IF(Fixtures[[#This Row],[userSide]] = "H", Fixtures[[#This Row],[awayTeam]], Fixtures[[#This Row],[homeTeam]]))</f>
        <v>N/A</v>
      </c>
      <c r="AB1234" s="58" t="str" cm="1">
        <f t="array" ref="AB1234">_xlfn._xlws.FILTER(Teams[teamID], Fixtures[[#This Row],[oppTeam]] = Teams[name], "N/A")</f>
        <v>N/A</v>
      </c>
      <c r="AC1234" s="58" t="str" cm="1">
        <f t="array" ref="AC1234">_xlfn._xlws.FILTER(Teams[teamType], Fixtures[[#This Row],[oppTeam]] = Teams[name], "N/A")</f>
        <v>N/A</v>
      </c>
      <c r="AD1234" s="58" t="str">
        <f>IF(ISBLANK(Fixtures[[#This Row],[date]]), "N/A", IF(Fixtures[[#This Row],[userSide]]="H", Fixtures[[#This Row],[homeScore]], Fixtures[[#This Row],[awayScore]]))</f>
        <v>N/A</v>
      </c>
      <c r="AE1234" s="58" t="str">
        <f>IF(ISBLANK(Fixtures[[#This Row],[date]]), "N/A", IF(Fixtures[[#This Row],[userScore]] = Fixtures[[#This Row],[homeScore]], Fixtures[[#This Row],[awayScore]], Fixtures[[#This Row],[homeScore]]))</f>
        <v>N/A</v>
      </c>
      <c r="AF1234" s="58" t="b">
        <f>NOT(AND(ISBLANK(Fixtures[[#This Row],[homePens]]), ISBLANK(Fixtures[[#This Row],[awayPens]])))</f>
        <v>0</v>
      </c>
      <c r="AG1234" s="58" t="str">
        <f>IF(Fixtures[[#This Row],[penalties]], IF(Fixtures[[#This Row],[userSide]]="H", Fixtures[[#This Row],[homePens]], Fixtures[[#This Row],[awayPens]]), "N/A")</f>
        <v>N/A</v>
      </c>
      <c r="AH1234" s="58" t="str">
        <f>IF(Fixtures[[#This Row],[penalties]], IF(Fixtures[[#This Row],[userPens]]=Fixtures[[#This Row],[homePens]],Fixtures[[#This Row],[awayPens]],Fixtures[[#This Row],[homePens]]), "N/A")</f>
        <v>N/A</v>
      </c>
      <c r="AI1234" s="58" t="b">
        <f>COUNTBLANK(Fixtures[[#This Row],[G]:[MOTM]]) = 0</f>
        <v>0</v>
      </c>
      <c r="AJ1234" s="58" t="str">
        <f>IF(Fixtures[[#This Row],[APP]], Fixtures[[#This Row],[G]]+Fixtures[[#This Row],[A]], "N/A")</f>
        <v>N/A</v>
      </c>
      <c r="AK123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5" spans="1:39" ht="13">
      <c r="A1235" s="55"/>
      <c r="B1235" s="61"/>
      <c r="C1235" s="56"/>
      <c r="D1235" s="56"/>
      <c r="E1235" s="56"/>
      <c r="F1235" s="56"/>
      <c r="G1235" s="56"/>
      <c r="H1235" s="56"/>
      <c r="I1235" s="56"/>
      <c r="J1235" s="56"/>
      <c r="K1235" s="56"/>
      <c r="L1235" s="56"/>
      <c r="M1235" s="56"/>
      <c r="N1235" s="56"/>
      <c r="O1235" s="56"/>
      <c r="P1235" s="56"/>
      <c r="Q1235" s="57"/>
      <c r="R1235" s="56"/>
      <c r="S1235" s="58" t="str" cm="1">
        <f t="array" ref="S1235">_xlfn._xlws.FILTER(Competitions[compType], (Fixtures[[#This Row],[competition]] = Competitions[name]), "N/A")</f>
        <v>N/A</v>
      </c>
      <c r="T1235" s="58" t="str" cm="1">
        <f t="array" ref="T1235">_xlfn._xlws.FILTER(Competitions[exhibition], (Fixtures[[#This Row],[competition]] = Competitions[name]), "N/A")</f>
        <v>N/A</v>
      </c>
      <c r="U1235" s="58" t="str" cm="1">
        <f t="array" ref="U1235">_xlfn._xlws.FILTER(Competitions[compID], (Fixtures[[#This Row],[competition]] = Competitions[name]), "N/A")</f>
        <v>N/A</v>
      </c>
      <c r="V123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5" s="58" t="str" cm="1">
        <f t="array" ref="W123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5" s="58" t="str" cm="1">
        <f t="array" ref="X1235">_xlfn._xlws.FILTER(Teams[name], (Fixtures[[#This Row],[userTeamID]] = Teams[teamID]), "N/A")</f>
        <v>N/A</v>
      </c>
      <c r="Y1235" s="58" t="str" cm="1">
        <f t="array" ref="Y1235">_xlfn._xlws.FILTER(Teams[teamType], (Fixtures[[#This Row],[userTeamID]] = Teams[teamID]), "N/A")</f>
        <v>N/A</v>
      </c>
      <c r="Z1235" s="58" t="str" cm="1">
        <f t="array" ref="Z123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5" s="58" t="str">
        <f>IF(Fixtures[[#This Row],[userSide]] = "N/A", "N/A", IF(Fixtures[[#This Row],[userSide]] = "H", Fixtures[[#This Row],[awayTeam]], Fixtures[[#This Row],[homeTeam]]))</f>
        <v>N/A</v>
      </c>
      <c r="AB1235" s="58" t="str" cm="1">
        <f t="array" ref="AB1235">_xlfn._xlws.FILTER(Teams[teamID], Fixtures[[#This Row],[oppTeam]] = Teams[name], "N/A")</f>
        <v>N/A</v>
      </c>
      <c r="AC1235" s="58" t="str" cm="1">
        <f t="array" ref="AC1235">_xlfn._xlws.FILTER(Teams[teamType], Fixtures[[#This Row],[oppTeam]] = Teams[name], "N/A")</f>
        <v>N/A</v>
      </c>
      <c r="AD1235" s="58" t="str">
        <f>IF(ISBLANK(Fixtures[[#This Row],[date]]), "N/A", IF(Fixtures[[#This Row],[userSide]]="H", Fixtures[[#This Row],[homeScore]], Fixtures[[#This Row],[awayScore]]))</f>
        <v>N/A</v>
      </c>
      <c r="AE1235" s="58" t="str">
        <f>IF(ISBLANK(Fixtures[[#This Row],[date]]), "N/A", IF(Fixtures[[#This Row],[userScore]] = Fixtures[[#This Row],[homeScore]], Fixtures[[#This Row],[awayScore]], Fixtures[[#This Row],[homeScore]]))</f>
        <v>N/A</v>
      </c>
      <c r="AF1235" s="58" t="b">
        <f>NOT(AND(ISBLANK(Fixtures[[#This Row],[homePens]]), ISBLANK(Fixtures[[#This Row],[awayPens]])))</f>
        <v>0</v>
      </c>
      <c r="AG1235" s="58" t="str">
        <f>IF(Fixtures[[#This Row],[penalties]], IF(Fixtures[[#This Row],[userSide]]="H", Fixtures[[#This Row],[homePens]], Fixtures[[#This Row],[awayPens]]), "N/A")</f>
        <v>N/A</v>
      </c>
      <c r="AH1235" s="58" t="str">
        <f>IF(Fixtures[[#This Row],[penalties]], IF(Fixtures[[#This Row],[userPens]]=Fixtures[[#This Row],[homePens]],Fixtures[[#This Row],[awayPens]],Fixtures[[#This Row],[homePens]]), "N/A")</f>
        <v>N/A</v>
      </c>
      <c r="AI1235" s="58" t="b">
        <f>COUNTBLANK(Fixtures[[#This Row],[G]:[MOTM]]) = 0</f>
        <v>0</v>
      </c>
      <c r="AJ1235" s="58" t="str">
        <f>IF(Fixtures[[#This Row],[APP]], Fixtures[[#This Row],[G]]+Fixtures[[#This Row],[A]], "N/A")</f>
        <v>N/A</v>
      </c>
      <c r="AK123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6" spans="1:39" ht="13">
      <c r="A1236" s="55"/>
      <c r="B1236" s="61"/>
      <c r="C1236" s="56"/>
      <c r="D1236" s="56"/>
      <c r="E1236" s="56"/>
      <c r="F1236" s="56"/>
      <c r="G1236" s="56"/>
      <c r="H1236" s="56"/>
      <c r="I1236" s="56"/>
      <c r="J1236" s="56"/>
      <c r="K1236" s="56"/>
      <c r="L1236" s="56"/>
      <c r="M1236" s="56"/>
      <c r="N1236" s="56"/>
      <c r="O1236" s="56"/>
      <c r="P1236" s="56"/>
      <c r="Q1236" s="57"/>
      <c r="R1236" s="56"/>
      <c r="S1236" s="58" t="str" cm="1">
        <f t="array" ref="S1236">_xlfn._xlws.FILTER(Competitions[compType], (Fixtures[[#This Row],[competition]] = Competitions[name]), "N/A")</f>
        <v>N/A</v>
      </c>
      <c r="T1236" s="58" t="str" cm="1">
        <f t="array" ref="T1236">_xlfn._xlws.FILTER(Competitions[exhibition], (Fixtures[[#This Row],[competition]] = Competitions[name]), "N/A")</f>
        <v>N/A</v>
      </c>
      <c r="U1236" s="58" t="str" cm="1">
        <f t="array" ref="U1236">_xlfn._xlws.FILTER(Competitions[compID], (Fixtures[[#This Row],[competition]] = Competitions[name]), "N/A")</f>
        <v>N/A</v>
      </c>
      <c r="V123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6" s="58" t="str" cm="1">
        <f t="array" ref="W123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6" s="58" t="str" cm="1">
        <f t="array" ref="X1236">_xlfn._xlws.FILTER(Teams[name], (Fixtures[[#This Row],[userTeamID]] = Teams[teamID]), "N/A")</f>
        <v>N/A</v>
      </c>
      <c r="Y1236" s="58" t="str" cm="1">
        <f t="array" ref="Y1236">_xlfn._xlws.FILTER(Teams[teamType], (Fixtures[[#This Row],[userTeamID]] = Teams[teamID]), "N/A")</f>
        <v>N/A</v>
      </c>
      <c r="Z1236" s="58" t="str" cm="1">
        <f t="array" ref="Z123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6" s="58" t="str">
        <f>IF(Fixtures[[#This Row],[userSide]] = "N/A", "N/A", IF(Fixtures[[#This Row],[userSide]] = "H", Fixtures[[#This Row],[awayTeam]], Fixtures[[#This Row],[homeTeam]]))</f>
        <v>N/A</v>
      </c>
      <c r="AB1236" s="58" t="str" cm="1">
        <f t="array" ref="AB1236">_xlfn._xlws.FILTER(Teams[teamID], Fixtures[[#This Row],[oppTeam]] = Teams[name], "N/A")</f>
        <v>N/A</v>
      </c>
      <c r="AC1236" s="58" t="str" cm="1">
        <f t="array" ref="AC1236">_xlfn._xlws.FILTER(Teams[teamType], Fixtures[[#This Row],[oppTeam]] = Teams[name], "N/A")</f>
        <v>N/A</v>
      </c>
      <c r="AD1236" s="58" t="str">
        <f>IF(ISBLANK(Fixtures[[#This Row],[date]]), "N/A", IF(Fixtures[[#This Row],[userSide]]="H", Fixtures[[#This Row],[homeScore]], Fixtures[[#This Row],[awayScore]]))</f>
        <v>N/A</v>
      </c>
      <c r="AE1236" s="58" t="str">
        <f>IF(ISBLANK(Fixtures[[#This Row],[date]]), "N/A", IF(Fixtures[[#This Row],[userScore]] = Fixtures[[#This Row],[homeScore]], Fixtures[[#This Row],[awayScore]], Fixtures[[#This Row],[homeScore]]))</f>
        <v>N/A</v>
      </c>
      <c r="AF1236" s="58" t="b">
        <f>NOT(AND(ISBLANK(Fixtures[[#This Row],[homePens]]), ISBLANK(Fixtures[[#This Row],[awayPens]])))</f>
        <v>0</v>
      </c>
      <c r="AG1236" s="58" t="str">
        <f>IF(Fixtures[[#This Row],[penalties]], IF(Fixtures[[#This Row],[userSide]]="H", Fixtures[[#This Row],[homePens]], Fixtures[[#This Row],[awayPens]]), "N/A")</f>
        <v>N/A</v>
      </c>
      <c r="AH1236" s="58" t="str">
        <f>IF(Fixtures[[#This Row],[penalties]], IF(Fixtures[[#This Row],[userPens]]=Fixtures[[#This Row],[homePens]],Fixtures[[#This Row],[awayPens]],Fixtures[[#This Row],[homePens]]), "N/A")</f>
        <v>N/A</v>
      </c>
      <c r="AI1236" s="58" t="b">
        <f>COUNTBLANK(Fixtures[[#This Row],[G]:[MOTM]]) = 0</f>
        <v>0</v>
      </c>
      <c r="AJ1236" s="58" t="str">
        <f>IF(Fixtures[[#This Row],[APP]], Fixtures[[#This Row],[G]]+Fixtures[[#This Row],[A]], "N/A")</f>
        <v>N/A</v>
      </c>
      <c r="AK123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7" spans="1:39" ht="13">
      <c r="A1237" s="55"/>
      <c r="B1237" s="61"/>
      <c r="C1237" s="56"/>
      <c r="D1237" s="56"/>
      <c r="E1237" s="56"/>
      <c r="F1237" s="56"/>
      <c r="G1237" s="56"/>
      <c r="H1237" s="56"/>
      <c r="I1237" s="56"/>
      <c r="J1237" s="56"/>
      <c r="K1237" s="56"/>
      <c r="L1237" s="56"/>
      <c r="M1237" s="56"/>
      <c r="N1237" s="56"/>
      <c r="O1237" s="56"/>
      <c r="P1237" s="56"/>
      <c r="Q1237" s="57"/>
      <c r="R1237" s="56"/>
      <c r="S1237" s="58" t="str" cm="1">
        <f t="array" ref="S1237">_xlfn._xlws.FILTER(Competitions[compType], (Fixtures[[#This Row],[competition]] = Competitions[name]), "N/A")</f>
        <v>N/A</v>
      </c>
      <c r="T1237" s="58" t="str" cm="1">
        <f t="array" ref="T1237">_xlfn._xlws.FILTER(Competitions[exhibition], (Fixtures[[#This Row],[competition]] = Competitions[name]), "N/A")</f>
        <v>N/A</v>
      </c>
      <c r="U1237" s="58" t="str" cm="1">
        <f t="array" ref="U1237">_xlfn._xlws.FILTER(Competitions[compID], (Fixtures[[#This Row],[competition]] = Competitions[name]), "N/A")</f>
        <v>N/A</v>
      </c>
      <c r="V123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7" s="58" t="str" cm="1">
        <f t="array" ref="W123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7" s="58" t="str" cm="1">
        <f t="array" ref="X1237">_xlfn._xlws.FILTER(Teams[name], (Fixtures[[#This Row],[userTeamID]] = Teams[teamID]), "N/A")</f>
        <v>N/A</v>
      </c>
      <c r="Y1237" s="58" t="str" cm="1">
        <f t="array" ref="Y1237">_xlfn._xlws.FILTER(Teams[teamType], (Fixtures[[#This Row],[userTeamID]] = Teams[teamID]), "N/A")</f>
        <v>N/A</v>
      </c>
      <c r="Z1237" s="58" t="str" cm="1">
        <f t="array" ref="Z123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7" s="58" t="str">
        <f>IF(Fixtures[[#This Row],[userSide]] = "N/A", "N/A", IF(Fixtures[[#This Row],[userSide]] = "H", Fixtures[[#This Row],[awayTeam]], Fixtures[[#This Row],[homeTeam]]))</f>
        <v>N/A</v>
      </c>
      <c r="AB1237" s="58" t="str" cm="1">
        <f t="array" ref="AB1237">_xlfn._xlws.FILTER(Teams[teamID], Fixtures[[#This Row],[oppTeam]] = Teams[name], "N/A")</f>
        <v>N/A</v>
      </c>
      <c r="AC1237" s="58" t="str" cm="1">
        <f t="array" ref="AC1237">_xlfn._xlws.FILTER(Teams[teamType], Fixtures[[#This Row],[oppTeam]] = Teams[name], "N/A")</f>
        <v>N/A</v>
      </c>
      <c r="AD1237" s="58" t="str">
        <f>IF(ISBLANK(Fixtures[[#This Row],[date]]), "N/A", IF(Fixtures[[#This Row],[userSide]]="H", Fixtures[[#This Row],[homeScore]], Fixtures[[#This Row],[awayScore]]))</f>
        <v>N/A</v>
      </c>
      <c r="AE1237" s="58" t="str">
        <f>IF(ISBLANK(Fixtures[[#This Row],[date]]), "N/A", IF(Fixtures[[#This Row],[userScore]] = Fixtures[[#This Row],[homeScore]], Fixtures[[#This Row],[awayScore]], Fixtures[[#This Row],[homeScore]]))</f>
        <v>N/A</v>
      </c>
      <c r="AF1237" s="58" t="b">
        <f>NOT(AND(ISBLANK(Fixtures[[#This Row],[homePens]]), ISBLANK(Fixtures[[#This Row],[awayPens]])))</f>
        <v>0</v>
      </c>
      <c r="AG1237" s="58" t="str">
        <f>IF(Fixtures[[#This Row],[penalties]], IF(Fixtures[[#This Row],[userSide]]="H", Fixtures[[#This Row],[homePens]], Fixtures[[#This Row],[awayPens]]), "N/A")</f>
        <v>N/A</v>
      </c>
      <c r="AH1237" s="58" t="str">
        <f>IF(Fixtures[[#This Row],[penalties]], IF(Fixtures[[#This Row],[userPens]]=Fixtures[[#This Row],[homePens]],Fixtures[[#This Row],[awayPens]],Fixtures[[#This Row],[homePens]]), "N/A")</f>
        <v>N/A</v>
      </c>
      <c r="AI1237" s="58" t="b">
        <f>COUNTBLANK(Fixtures[[#This Row],[G]:[MOTM]]) = 0</f>
        <v>0</v>
      </c>
      <c r="AJ1237" s="58" t="str">
        <f>IF(Fixtures[[#This Row],[APP]], Fixtures[[#This Row],[G]]+Fixtures[[#This Row],[A]], "N/A")</f>
        <v>N/A</v>
      </c>
      <c r="AK123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8" spans="1:39" ht="13">
      <c r="A1238" s="55"/>
      <c r="B1238" s="61"/>
      <c r="C1238" s="56"/>
      <c r="D1238" s="56"/>
      <c r="E1238" s="56"/>
      <c r="F1238" s="56"/>
      <c r="G1238" s="56"/>
      <c r="H1238" s="56"/>
      <c r="I1238" s="56"/>
      <c r="J1238" s="56"/>
      <c r="K1238" s="56"/>
      <c r="L1238" s="56"/>
      <c r="M1238" s="56"/>
      <c r="N1238" s="56"/>
      <c r="O1238" s="56"/>
      <c r="P1238" s="56"/>
      <c r="Q1238" s="57"/>
      <c r="R1238" s="56"/>
      <c r="S1238" s="58" t="str" cm="1">
        <f t="array" ref="S1238">_xlfn._xlws.FILTER(Competitions[compType], (Fixtures[[#This Row],[competition]] = Competitions[name]), "N/A")</f>
        <v>N/A</v>
      </c>
      <c r="T1238" s="58" t="str" cm="1">
        <f t="array" ref="T1238">_xlfn._xlws.FILTER(Competitions[exhibition], (Fixtures[[#This Row],[competition]] = Competitions[name]), "N/A")</f>
        <v>N/A</v>
      </c>
      <c r="U1238" s="58" t="str" cm="1">
        <f t="array" ref="U1238">_xlfn._xlws.FILTER(Competitions[compID], (Fixtures[[#This Row],[competition]] = Competitions[name]), "N/A")</f>
        <v>N/A</v>
      </c>
      <c r="V123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8" s="58" t="str" cm="1">
        <f t="array" ref="W123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8" s="58" t="str" cm="1">
        <f t="array" ref="X1238">_xlfn._xlws.FILTER(Teams[name], (Fixtures[[#This Row],[userTeamID]] = Teams[teamID]), "N/A")</f>
        <v>N/A</v>
      </c>
      <c r="Y1238" s="58" t="str" cm="1">
        <f t="array" ref="Y1238">_xlfn._xlws.FILTER(Teams[teamType], (Fixtures[[#This Row],[userTeamID]] = Teams[teamID]), "N/A")</f>
        <v>N/A</v>
      </c>
      <c r="Z1238" s="58" t="str" cm="1">
        <f t="array" ref="Z123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8" s="58" t="str">
        <f>IF(Fixtures[[#This Row],[userSide]] = "N/A", "N/A", IF(Fixtures[[#This Row],[userSide]] = "H", Fixtures[[#This Row],[awayTeam]], Fixtures[[#This Row],[homeTeam]]))</f>
        <v>N/A</v>
      </c>
      <c r="AB1238" s="58" t="str" cm="1">
        <f t="array" ref="AB1238">_xlfn._xlws.FILTER(Teams[teamID], Fixtures[[#This Row],[oppTeam]] = Teams[name], "N/A")</f>
        <v>N/A</v>
      </c>
      <c r="AC1238" s="58" t="str" cm="1">
        <f t="array" ref="AC1238">_xlfn._xlws.FILTER(Teams[teamType], Fixtures[[#This Row],[oppTeam]] = Teams[name], "N/A")</f>
        <v>N/A</v>
      </c>
      <c r="AD1238" s="58" t="str">
        <f>IF(ISBLANK(Fixtures[[#This Row],[date]]), "N/A", IF(Fixtures[[#This Row],[userSide]]="H", Fixtures[[#This Row],[homeScore]], Fixtures[[#This Row],[awayScore]]))</f>
        <v>N/A</v>
      </c>
      <c r="AE1238" s="58" t="str">
        <f>IF(ISBLANK(Fixtures[[#This Row],[date]]), "N/A", IF(Fixtures[[#This Row],[userScore]] = Fixtures[[#This Row],[homeScore]], Fixtures[[#This Row],[awayScore]], Fixtures[[#This Row],[homeScore]]))</f>
        <v>N/A</v>
      </c>
      <c r="AF1238" s="58" t="b">
        <f>NOT(AND(ISBLANK(Fixtures[[#This Row],[homePens]]), ISBLANK(Fixtures[[#This Row],[awayPens]])))</f>
        <v>0</v>
      </c>
      <c r="AG1238" s="58" t="str">
        <f>IF(Fixtures[[#This Row],[penalties]], IF(Fixtures[[#This Row],[userSide]]="H", Fixtures[[#This Row],[homePens]], Fixtures[[#This Row],[awayPens]]), "N/A")</f>
        <v>N/A</v>
      </c>
      <c r="AH1238" s="58" t="str">
        <f>IF(Fixtures[[#This Row],[penalties]], IF(Fixtures[[#This Row],[userPens]]=Fixtures[[#This Row],[homePens]],Fixtures[[#This Row],[awayPens]],Fixtures[[#This Row],[homePens]]), "N/A")</f>
        <v>N/A</v>
      </c>
      <c r="AI1238" s="58" t="b">
        <f>COUNTBLANK(Fixtures[[#This Row],[G]:[MOTM]]) = 0</f>
        <v>0</v>
      </c>
      <c r="AJ1238" s="58" t="str">
        <f>IF(Fixtures[[#This Row],[APP]], Fixtures[[#This Row],[G]]+Fixtures[[#This Row],[A]], "N/A")</f>
        <v>N/A</v>
      </c>
      <c r="AK123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39" spans="1:39" ht="13">
      <c r="A1239" s="55"/>
      <c r="B1239" s="61"/>
      <c r="C1239" s="56"/>
      <c r="D1239" s="56"/>
      <c r="E1239" s="56"/>
      <c r="F1239" s="56"/>
      <c r="G1239" s="56"/>
      <c r="H1239" s="56"/>
      <c r="I1239" s="56"/>
      <c r="J1239" s="56"/>
      <c r="K1239" s="56"/>
      <c r="L1239" s="56"/>
      <c r="M1239" s="56"/>
      <c r="N1239" s="56"/>
      <c r="O1239" s="56"/>
      <c r="P1239" s="56"/>
      <c r="Q1239" s="57"/>
      <c r="R1239" s="56"/>
      <c r="S1239" s="58" t="str" cm="1">
        <f t="array" ref="S1239">_xlfn._xlws.FILTER(Competitions[compType], (Fixtures[[#This Row],[competition]] = Competitions[name]), "N/A")</f>
        <v>N/A</v>
      </c>
      <c r="T1239" s="58" t="str" cm="1">
        <f t="array" ref="T1239">_xlfn._xlws.FILTER(Competitions[exhibition], (Fixtures[[#This Row],[competition]] = Competitions[name]), "N/A")</f>
        <v>N/A</v>
      </c>
      <c r="U1239" s="58" t="str" cm="1">
        <f t="array" ref="U1239">_xlfn._xlws.FILTER(Competitions[compID], (Fixtures[[#This Row],[competition]] = Competitions[name]), "N/A")</f>
        <v>N/A</v>
      </c>
      <c r="V123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39" s="58" t="str" cm="1">
        <f t="array" ref="W123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39" s="58" t="str" cm="1">
        <f t="array" ref="X1239">_xlfn._xlws.FILTER(Teams[name], (Fixtures[[#This Row],[userTeamID]] = Teams[teamID]), "N/A")</f>
        <v>N/A</v>
      </c>
      <c r="Y1239" s="58" t="str" cm="1">
        <f t="array" ref="Y1239">_xlfn._xlws.FILTER(Teams[teamType], (Fixtures[[#This Row],[userTeamID]] = Teams[teamID]), "N/A")</f>
        <v>N/A</v>
      </c>
      <c r="Z1239" s="58" t="str" cm="1">
        <f t="array" ref="Z123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39" s="58" t="str">
        <f>IF(Fixtures[[#This Row],[userSide]] = "N/A", "N/A", IF(Fixtures[[#This Row],[userSide]] = "H", Fixtures[[#This Row],[awayTeam]], Fixtures[[#This Row],[homeTeam]]))</f>
        <v>N/A</v>
      </c>
      <c r="AB1239" s="58" t="str" cm="1">
        <f t="array" ref="AB1239">_xlfn._xlws.FILTER(Teams[teamID], Fixtures[[#This Row],[oppTeam]] = Teams[name], "N/A")</f>
        <v>N/A</v>
      </c>
      <c r="AC1239" s="58" t="str" cm="1">
        <f t="array" ref="AC1239">_xlfn._xlws.FILTER(Teams[teamType], Fixtures[[#This Row],[oppTeam]] = Teams[name], "N/A")</f>
        <v>N/A</v>
      </c>
      <c r="AD1239" s="58" t="str">
        <f>IF(ISBLANK(Fixtures[[#This Row],[date]]), "N/A", IF(Fixtures[[#This Row],[userSide]]="H", Fixtures[[#This Row],[homeScore]], Fixtures[[#This Row],[awayScore]]))</f>
        <v>N/A</v>
      </c>
      <c r="AE1239" s="58" t="str">
        <f>IF(ISBLANK(Fixtures[[#This Row],[date]]), "N/A", IF(Fixtures[[#This Row],[userScore]] = Fixtures[[#This Row],[homeScore]], Fixtures[[#This Row],[awayScore]], Fixtures[[#This Row],[homeScore]]))</f>
        <v>N/A</v>
      </c>
      <c r="AF1239" s="58" t="b">
        <f>NOT(AND(ISBLANK(Fixtures[[#This Row],[homePens]]), ISBLANK(Fixtures[[#This Row],[awayPens]])))</f>
        <v>0</v>
      </c>
      <c r="AG1239" s="58" t="str">
        <f>IF(Fixtures[[#This Row],[penalties]], IF(Fixtures[[#This Row],[userSide]]="H", Fixtures[[#This Row],[homePens]], Fixtures[[#This Row],[awayPens]]), "N/A")</f>
        <v>N/A</v>
      </c>
      <c r="AH1239" s="58" t="str">
        <f>IF(Fixtures[[#This Row],[penalties]], IF(Fixtures[[#This Row],[userPens]]=Fixtures[[#This Row],[homePens]],Fixtures[[#This Row],[awayPens]],Fixtures[[#This Row],[homePens]]), "N/A")</f>
        <v>N/A</v>
      </c>
      <c r="AI1239" s="58" t="b">
        <f>COUNTBLANK(Fixtures[[#This Row],[G]:[MOTM]]) = 0</f>
        <v>0</v>
      </c>
      <c r="AJ1239" s="58" t="str">
        <f>IF(Fixtures[[#This Row],[APP]], Fixtures[[#This Row],[G]]+Fixtures[[#This Row],[A]], "N/A")</f>
        <v>N/A</v>
      </c>
      <c r="AK123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3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3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0" spans="1:39" ht="13">
      <c r="A1240" s="55"/>
      <c r="B1240" s="61"/>
      <c r="C1240" s="56"/>
      <c r="D1240" s="56"/>
      <c r="E1240" s="56"/>
      <c r="F1240" s="56"/>
      <c r="G1240" s="56"/>
      <c r="H1240" s="56"/>
      <c r="I1240" s="56"/>
      <c r="J1240" s="56"/>
      <c r="K1240" s="56"/>
      <c r="L1240" s="56"/>
      <c r="M1240" s="56"/>
      <c r="N1240" s="56"/>
      <c r="O1240" s="56"/>
      <c r="P1240" s="56"/>
      <c r="Q1240" s="57"/>
      <c r="R1240" s="56"/>
      <c r="S1240" s="58" t="str" cm="1">
        <f t="array" ref="S1240">_xlfn._xlws.FILTER(Competitions[compType], (Fixtures[[#This Row],[competition]] = Competitions[name]), "N/A")</f>
        <v>N/A</v>
      </c>
      <c r="T1240" s="58" t="str" cm="1">
        <f t="array" ref="T1240">_xlfn._xlws.FILTER(Competitions[exhibition], (Fixtures[[#This Row],[competition]] = Competitions[name]), "N/A")</f>
        <v>N/A</v>
      </c>
      <c r="U1240" s="58" t="str" cm="1">
        <f t="array" ref="U1240">_xlfn._xlws.FILTER(Competitions[compID], (Fixtures[[#This Row],[competition]] = Competitions[name]), "N/A")</f>
        <v>N/A</v>
      </c>
      <c r="V124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0" s="58" t="str" cm="1">
        <f t="array" ref="W124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0" s="58" t="str" cm="1">
        <f t="array" ref="X1240">_xlfn._xlws.FILTER(Teams[name], (Fixtures[[#This Row],[userTeamID]] = Teams[teamID]), "N/A")</f>
        <v>N/A</v>
      </c>
      <c r="Y1240" s="58" t="str" cm="1">
        <f t="array" ref="Y1240">_xlfn._xlws.FILTER(Teams[teamType], (Fixtures[[#This Row],[userTeamID]] = Teams[teamID]), "N/A")</f>
        <v>N/A</v>
      </c>
      <c r="Z1240" s="58" t="str" cm="1">
        <f t="array" ref="Z124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0" s="58" t="str">
        <f>IF(Fixtures[[#This Row],[userSide]] = "N/A", "N/A", IF(Fixtures[[#This Row],[userSide]] = "H", Fixtures[[#This Row],[awayTeam]], Fixtures[[#This Row],[homeTeam]]))</f>
        <v>N/A</v>
      </c>
      <c r="AB1240" s="58" t="str" cm="1">
        <f t="array" ref="AB1240">_xlfn._xlws.FILTER(Teams[teamID], Fixtures[[#This Row],[oppTeam]] = Teams[name], "N/A")</f>
        <v>N/A</v>
      </c>
      <c r="AC1240" s="58" t="str" cm="1">
        <f t="array" ref="AC1240">_xlfn._xlws.FILTER(Teams[teamType], Fixtures[[#This Row],[oppTeam]] = Teams[name], "N/A")</f>
        <v>N/A</v>
      </c>
      <c r="AD1240" s="58" t="str">
        <f>IF(ISBLANK(Fixtures[[#This Row],[date]]), "N/A", IF(Fixtures[[#This Row],[userSide]]="H", Fixtures[[#This Row],[homeScore]], Fixtures[[#This Row],[awayScore]]))</f>
        <v>N/A</v>
      </c>
      <c r="AE1240" s="58" t="str">
        <f>IF(ISBLANK(Fixtures[[#This Row],[date]]), "N/A", IF(Fixtures[[#This Row],[userScore]] = Fixtures[[#This Row],[homeScore]], Fixtures[[#This Row],[awayScore]], Fixtures[[#This Row],[homeScore]]))</f>
        <v>N/A</v>
      </c>
      <c r="AF1240" s="58" t="b">
        <f>NOT(AND(ISBLANK(Fixtures[[#This Row],[homePens]]), ISBLANK(Fixtures[[#This Row],[awayPens]])))</f>
        <v>0</v>
      </c>
      <c r="AG1240" s="58" t="str">
        <f>IF(Fixtures[[#This Row],[penalties]], IF(Fixtures[[#This Row],[userSide]]="H", Fixtures[[#This Row],[homePens]], Fixtures[[#This Row],[awayPens]]), "N/A")</f>
        <v>N/A</v>
      </c>
      <c r="AH1240" s="58" t="str">
        <f>IF(Fixtures[[#This Row],[penalties]], IF(Fixtures[[#This Row],[userPens]]=Fixtures[[#This Row],[homePens]],Fixtures[[#This Row],[awayPens]],Fixtures[[#This Row],[homePens]]), "N/A")</f>
        <v>N/A</v>
      </c>
      <c r="AI1240" s="58" t="b">
        <f>COUNTBLANK(Fixtures[[#This Row],[G]:[MOTM]]) = 0</f>
        <v>0</v>
      </c>
      <c r="AJ1240" s="58" t="str">
        <f>IF(Fixtures[[#This Row],[APP]], Fixtures[[#This Row],[G]]+Fixtures[[#This Row],[A]], "N/A")</f>
        <v>N/A</v>
      </c>
      <c r="AK124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1" spans="1:39" ht="13">
      <c r="A1241" s="55"/>
      <c r="B1241" s="61"/>
      <c r="C1241" s="56"/>
      <c r="D1241" s="56"/>
      <c r="E1241" s="56"/>
      <c r="F1241" s="56"/>
      <c r="G1241" s="56"/>
      <c r="H1241" s="56"/>
      <c r="I1241" s="56"/>
      <c r="J1241" s="56"/>
      <c r="K1241" s="56"/>
      <c r="L1241" s="56"/>
      <c r="M1241" s="56"/>
      <c r="N1241" s="56"/>
      <c r="O1241" s="56"/>
      <c r="P1241" s="56"/>
      <c r="Q1241" s="57"/>
      <c r="R1241" s="56"/>
      <c r="S1241" s="58" t="str" cm="1">
        <f t="array" ref="S1241">_xlfn._xlws.FILTER(Competitions[compType], (Fixtures[[#This Row],[competition]] = Competitions[name]), "N/A")</f>
        <v>N/A</v>
      </c>
      <c r="T1241" s="58" t="str" cm="1">
        <f t="array" ref="T1241">_xlfn._xlws.FILTER(Competitions[exhibition], (Fixtures[[#This Row],[competition]] = Competitions[name]), "N/A")</f>
        <v>N/A</v>
      </c>
      <c r="U1241" s="58" t="str" cm="1">
        <f t="array" ref="U1241">_xlfn._xlws.FILTER(Competitions[compID], (Fixtures[[#This Row],[competition]] = Competitions[name]), "N/A")</f>
        <v>N/A</v>
      </c>
      <c r="V1241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1" s="58" t="str" cm="1">
        <f t="array" ref="W1241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1" s="58" t="str" cm="1">
        <f t="array" ref="X1241">_xlfn._xlws.FILTER(Teams[name], (Fixtures[[#This Row],[userTeamID]] = Teams[teamID]), "N/A")</f>
        <v>N/A</v>
      </c>
      <c r="Y1241" s="58" t="str" cm="1">
        <f t="array" ref="Y1241">_xlfn._xlws.FILTER(Teams[teamType], (Fixtures[[#This Row],[userTeamID]] = Teams[teamID]), "N/A")</f>
        <v>N/A</v>
      </c>
      <c r="Z1241" s="58" t="str" cm="1">
        <f t="array" ref="Z1241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1" s="58" t="str">
        <f>IF(Fixtures[[#This Row],[userSide]] = "N/A", "N/A", IF(Fixtures[[#This Row],[userSide]] = "H", Fixtures[[#This Row],[awayTeam]], Fixtures[[#This Row],[homeTeam]]))</f>
        <v>N/A</v>
      </c>
      <c r="AB1241" s="58" t="str" cm="1">
        <f t="array" ref="AB1241">_xlfn._xlws.FILTER(Teams[teamID], Fixtures[[#This Row],[oppTeam]] = Teams[name], "N/A")</f>
        <v>N/A</v>
      </c>
      <c r="AC1241" s="58" t="str" cm="1">
        <f t="array" ref="AC1241">_xlfn._xlws.FILTER(Teams[teamType], Fixtures[[#This Row],[oppTeam]] = Teams[name], "N/A")</f>
        <v>N/A</v>
      </c>
      <c r="AD1241" s="58" t="str">
        <f>IF(ISBLANK(Fixtures[[#This Row],[date]]), "N/A", IF(Fixtures[[#This Row],[userSide]]="H", Fixtures[[#This Row],[homeScore]], Fixtures[[#This Row],[awayScore]]))</f>
        <v>N/A</v>
      </c>
      <c r="AE1241" s="58" t="str">
        <f>IF(ISBLANK(Fixtures[[#This Row],[date]]), "N/A", IF(Fixtures[[#This Row],[userScore]] = Fixtures[[#This Row],[homeScore]], Fixtures[[#This Row],[awayScore]], Fixtures[[#This Row],[homeScore]]))</f>
        <v>N/A</v>
      </c>
      <c r="AF1241" s="58" t="b">
        <f>NOT(AND(ISBLANK(Fixtures[[#This Row],[homePens]]), ISBLANK(Fixtures[[#This Row],[awayPens]])))</f>
        <v>0</v>
      </c>
      <c r="AG1241" s="58" t="str">
        <f>IF(Fixtures[[#This Row],[penalties]], IF(Fixtures[[#This Row],[userSide]]="H", Fixtures[[#This Row],[homePens]], Fixtures[[#This Row],[awayPens]]), "N/A")</f>
        <v>N/A</v>
      </c>
      <c r="AH1241" s="58" t="str">
        <f>IF(Fixtures[[#This Row],[penalties]], IF(Fixtures[[#This Row],[userPens]]=Fixtures[[#This Row],[homePens]],Fixtures[[#This Row],[awayPens]],Fixtures[[#This Row],[homePens]]), "N/A")</f>
        <v>N/A</v>
      </c>
      <c r="AI1241" s="58" t="b">
        <f>COUNTBLANK(Fixtures[[#This Row],[G]:[MOTM]]) = 0</f>
        <v>0</v>
      </c>
      <c r="AJ1241" s="58" t="str">
        <f>IF(Fixtures[[#This Row],[APP]], Fixtures[[#This Row],[G]]+Fixtures[[#This Row],[A]], "N/A")</f>
        <v>N/A</v>
      </c>
      <c r="AK1241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1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1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2" spans="1:39" ht="13">
      <c r="A1242" s="55"/>
      <c r="B1242" s="61"/>
      <c r="C1242" s="56"/>
      <c r="D1242" s="56"/>
      <c r="E1242" s="56"/>
      <c r="F1242" s="56"/>
      <c r="G1242" s="56"/>
      <c r="H1242" s="56"/>
      <c r="I1242" s="56"/>
      <c r="J1242" s="56"/>
      <c r="K1242" s="56"/>
      <c r="L1242" s="56"/>
      <c r="M1242" s="56"/>
      <c r="N1242" s="56"/>
      <c r="O1242" s="56"/>
      <c r="P1242" s="56"/>
      <c r="Q1242" s="57"/>
      <c r="R1242" s="56"/>
      <c r="S1242" s="58" t="str" cm="1">
        <f t="array" ref="S1242">_xlfn._xlws.FILTER(Competitions[compType], (Fixtures[[#This Row],[competition]] = Competitions[name]), "N/A")</f>
        <v>N/A</v>
      </c>
      <c r="T1242" s="58" t="str" cm="1">
        <f t="array" ref="T1242">_xlfn._xlws.FILTER(Competitions[exhibition], (Fixtures[[#This Row],[competition]] = Competitions[name]), "N/A")</f>
        <v>N/A</v>
      </c>
      <c r="U1242" s="58" t="str" cm="1">
        <f t="array" ref="U1242">_xlfn._xlws.FILTER(Competitions[compID], (Fixtures[[#This Row],[competition]] = Competitions[name]), "N/A")</f>
        <v>N/A</v>
      </c>
      <c r="V1242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2" s="58" t="str" cm="1">
        <f t="array" ref="W1242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2" s="58" t="str" cm="1">
        <f t="array" ref="X1242">_xlfn._xlws.FILTER(Teams[name], (Fixtures[[#This Row],[userTeamID]] = Teams[teamID]), "N/A")</f>
        <v>N/A</v>
      </c>
      <c r="Y1242" s="58" t="str" cm="1">
        <f t="array" ref="Y1242">_xlfn._xlws.FILTER(Teams[teamType], (Fixtures[[#This Row],[userTeamID]] = Teams[teamID]), "N/A")</f>
        <v>N/A</v>
      </c>
      <c r="Z1242" s="58" t="str" cm="1">
        <f t="array" ref="Z1242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2" s="58" t="str">
        <f>IF(Fixtures[[#This Row],[userSide]] = "N/A", "N/A", IF(Fixtures[[#This Row],[userSide]] = "H", Fixtures[[#This Row],[awayTeam]], Fixtures[[#This Row],[homeTeam]]))</f>
        <v>N/A</v>
      </c>
      <c r="AB1242" s="58" t="str" cm="1">
        <f t="array" ref="AB1242">_xlfn._xlws.FILTER(Teams[teamID], Fixtures[[#This Row],[oppTeam]] = Teams[name], "N/A")</f>
        <v>N/A</v>
      </c>
      <c r="AC1242" s="58" t="str" cm="1">
        <f t="array" ref="AC1242">_xlfn._xlws.FILTER(Teams[teamType], Fixtures[[#This Row],[oppTeam]] = Teams[name], "N/A")</f>
        <v>N/A</v>
      </c>
      <c r="AD1242" s="58" t="str">
        <f>IF(ISBLANK(Fixtures[[#This Row],[date]]), "N/A", IF(Fixtures[[#This Row],[userSide]]="H", Fixtures[[#This Row],[homeScore]], Fixtures[[#This Row],[awayScore]]))</f>
        <v>N/A</v>
      </c>
      <c r="AE1242" s="58" t="str">
        <f>IF(ISBLANK(Fixtures[[#This Row],[date]]), "N/A", IF(Fixtures[[#This Row],[userScore]] = Fixtures[[#This Row],[homeScore]], Fixtures[[#This Row],[awayScore]], Fixtures[[#This Row],[homeScore]]))</f>
        <v>N/A</v>
      </c>
      <c r="AF1242" s="58" t="b">
        <f>NOT(AND(ISBLANK(Fixtures[[#This Row],[homePens]]), ISBLANK(Fixtures[[#This Row],[awayPens]])))</f>
        <v>0</v>
      </c>
      <c r="AG1242" s="58" t="str">
        <f>IF(Fixtures[[#This Row],[penalties]], IF(Fixtures[[#This Row],[userSide]]="H", Fixtures[[#This Row],[homePens]], Fixtures[[#This Row],[awayPens]]), "N/A")</f>
        <v>N/A</v>
      </c>
      <c r="AH1242" s="58" t="str">
        <f>IF(Fixtures[[#This Row],[penalties]], IF(Fixtures[[#This Row],[userPens]]=Fixtures[[#This Row],[homePens]],Fixtures[[#This Row],[awayPens]],Fixtures[[#This Row],[homePens]]), "N/A")</f>
        <v>N/A</v>
      </c>
      <c r="AI1242" s="58" t="b">
        <f>COUNTBLANK(Fixtures[[#This Row],[G]:[MOTM]]) = 0</f>
        <v>0</v>
      </c>
      <c r="AJ1242" s="58" t="str">
        <f>IF(Fixtures[[#This Row],[APP]], Fixtures[[#This Row],[G]]+Fixtures[[#This Row],[A]], "N/A")</f>
        <v>N/A</v>
      </c>
      <c r="AK1242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2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2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3" spans="1:39" ht="13">
      <c r="A1243" s="55"/>
      <c r="B1243" s="61"/>
      <c r="C1243" s="56"/>
      <c r="D1243" s="56"/>
      <c r="E1243" s="56"/>
      <c r="F1243" s="56"/>
      <c r="G1243" s="56"/>
      <c r="H1243" s="56"/>
      <c r="I1243" s="56"/>
      <c r="J1243" s="56"/>
      <c r="K1243" s="56"/>
      <c r="L1243" s="56"/>
      <c r="M1243" s="56"/>
      <c r="N1243" s="56"/>
      <c r="O1243" s="56"/>
      <c r="P1243" s="56"/>
      <c r="Q1243" s="57"/>
      <c r="R1243" s="56"/>
      <c r="S1243" s="58" t="str" cm="1">
        <f t="array" ref="S1243">_xlfn._xlws.FILTER(Competitions[compType], (Fixtures[[#This Row],[competition]] = Competitions[name]), "N/A")</f>
        <v>N/A</v>
      </c>
      <c r="T1243" s="58" t="str" cm="1">
        <f t="array" ref="T1243">_xlfn._xlws.FILTER(Competitions[exhibition], (Fixtures[[#This Row],[competition]] = Competitions[name]), "N/A")</f>
        <v>N/A</v>
      </c>
      <c r="U1243" s="58" t="str" cm="1">
        <f t="array" ref="U1243">_xlfn._xlws.FILTER(Competitions[compID], (Fixtures[[#This Row],[competition]] = Competitions[name]), "N/A")</f>
        <v>N/A</v>
      </c>
      <c r="V1243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3" s="58" t="str" cm="1">
        <f t="array" ref="W1243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3" s="58" t="str" cm="1">
        <f t="array" ref="X1243">_xlfn._xlws.FILTER(Teams[name], (Fixtures[[#This Row],[userTeamID]] = Teams[teamID]), "N/A")</f>
        <v>N/A</v>
      </c>
      <c r="Y1243" s="58" t="str" cm="1">
        <f t="array" ref="Y1243">_xlfn._xlws.FILTER(Teams[teamType], (Fixtures[[#This Row],[userTeamID]] = Teams[teamID]), "N/A")</f>
        <v>N/A</v>
      </c>
      <c r="Z1243" s="58" t="str" cm="1">
        <f t="array" ref="Z1243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3" s="58" t="str">
        <f>IF(Fixtures[[#This Row],[userSide]] = "N/A", "N/A", IF(Fixtures[[#This Row],[userSide]] = "H", Fixtures[[#This Row],[awayTeam]], Fixtures[[#This Row],[homeTeam]]))</f>
        <v>N/A</v>
      </c>
      <c r="AB1243" s="58" t="str" cm="1">
        <f t="array" ref="AB1243">_xlfn._xlws.FILTER(Teams[teamID], Fixtures[[#This Row],[oppTeam]] = Teams[name], "N/A")</f>
        <v>N/A</v>
      </c>
      <c r="AC1243" s="58" t="str" cm="1">
        <f t="array" ref="AC1243">_xlfn._xlws.FILTER(Teams[teamType], Fixtures[[#This Row],[oppTeam]] = Teams[name], "N/A")</f>
        <v>N/A</v>
      </c>
      <c r="AD1243" s="58" t="str">
        <f>IF(ISBLANK(Fixtures[[#This Row],[date]]), "N/A", IF(Fixtures[[#This Row],[userSide]]="H", Fixtures[[#This Row],[homeScore]], Fixtures[[#This Row],[awayScore]]))</f>
        <v>N/A</v>
      </c>
      <c r="AE1243" s="58" t="str">
        <f>IF(ISBLANK(Fixtures[[#This Row],[date]]), "N/A", IF(Fixtures[[#This Row],[userScore]] = Fixtures[[#This Row],[homeScore]], Fixtures[[#This Row],[awayScore]], Fixtures[[#This Row],[homeScore]]))</f>
        <v>N/A</v>
      </c>
      <c r="AF1243" s="58" t="b">
        <f>NOT(AND(ISBLANK(Fixtures[[#This Row],[homePens]]), ISBLANK(Fixtures[[#This Row],[awayPens]])))</f>
        <v>0</v>
      </c>
      <c r="AG1243" s="58" t="str">
        <f>IF(Fixtures[[#This Row],[penalties]], IF(Fixtures[[#This Row],[userSide]]="H", Fixtures[[#This Row],[homePens]], Fixtures[[#This Row],[awayPens]]), "N/A")</f>
        <v>N/A</v>
      </c>
      <c r="AH1243" s="58" t="str">
        <f>IF(Fixtures[[#This Row],[penalties]], IF(Fixtures[[#This Row],[userPens]]=Fixtures[[#This Row],[homePens]],Fixtures[[#This Row],[awayPens]],Fixtures[[#This Row],[homePens]]), "N/A")</f>
        <v>N/A</v>
      </c>
      <c r="AI1243" s="58" t="b">
        <f>COUNTBLANK(Fixtures[[#This Row],[G]:[MOTM]]) = 0</f>
        <v>0</v>
      </c>
      <c r="AJ1243" s="58" t="str">
        <f>IF(Fixtures[[#This Row],[APP]], Fixtures[[#This Row],[G]]+Fixtures[[#This Row],[A]], "N/A")</f>
        <v>N/A</v>
      </c>
      <c r="AK1243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3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3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4" spans="1:39" ht="13">
      <c r="A1244" s="55"/>
      <c r="B1244" s="61"/>
      <c r="C1244" s="56"/>
      <c r="D1244" s="56"/>
      <c r="E1244" s="56"/>
      <c r="F1244" s="56"/>
      <c r="G1244" s="56"/>
      <c r="H1244" s="56"/>
      <c r="I1244" s="56"/>
      <c r="J1244" s="56"/>
      <c r="K1244" s="56"/>
      <c r="L1244" s="56"/>
      <c r="M1244" s="56"/>
      <c r="N1244" s="56"/>
      <c r="O1244" s="56"/>
      <c r="P1244" s="56"/>
      <c r="Q1244" s="57"/>
      <c r="R1244" s="56"/>
      <c r="S1244" s="58" t="str" cm="1">
        <f t="array" ref="S1244">_xlfn._xlws.FILTER(Competitions[compType], (Fixtures[[#This Row],[competition]] = Competitions[name]), "N/A")</f>
        <v>N/A</v>
      </c>
      <c r="T1244" s="58" t="str" cm="1">
        <f t="array" ref="T1244">_xlfn._xlws.FILTER(Competitions[exhibition], (Fixtures[[#This Row],[competition]] = Competitions[name]), "N/A")</f>
        <v>N/A</v>
      </c>
      <c r="U1244" s="58" t="str" cm="1">
        <f t="array" ref="U1244">_xlfn._xlws.FILTER(Competitions[compID], (Fixtures[[#This Row],[competition]] = Competitions[name]), "N/A")</f>
        <v>N/A</v>
      </c>
      <c r="V1244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4" s="58" t="str" cm="1">
        <f t="array" ref="W1244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4" s="58" t="str" cm="1">
        <f t="array" ref="X1244">_xlfn._xlws.FILTER(Teams[name], (Fixtures[[#This Row],[userTeamID]] = Teams[teamID]), "N/A")</f>
        <v>N/A</v>
      </c>
      <c r="Y1244" s="58" t="str" cm="1">
        <f t="array" ref="Y1244">_xlfn._xlws.FILTER(Teams[teamType], (Fixtures[[#This Row],[userTeamID]] = Teams[teamID]), "N/A")</f>
        <v>N/A</v>
      </c>
      <c r="Z1244" s="58" t="str" cm="1">
        <f t="array" ref="Z1244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4" s="58" t="str">
        <f>IF(Fixtures[[#This Row],[userSide]] = "N/A", "N/A", IF(Fixtures[[#This Row],[userSide]] = "H", Fixtures[[#This Row],[awayTeam]], Fixtures[[#This Row],[homeTeam]]))</f>
        <v>N/A</v>
      </c>
      <c r="AB1244" s="58" t="str" cm="1">
        <f t="array" ref="AB1244">_xlfn._xlws.FILTER(Teams[teamID], Fixtures[[#This Row],[oppTeam]] = Teams[name], "N/A")</f>
        <v>N/A</v>
      </c>
      <c r="AC1244" s="58" t="str" cm="1">
        <f t="array" ref="AC1244">_xlfn._xlws.FILTER(Teams[teamType], Fixtures[[#This Row],[oppTeam]] = Teams[name], "N/A")</f>
        <v>N/A</v>
      </c>
      <c r="AD1244" s="58" t="str">
        <f>IF(ISBLANK(Fixtures[[#This Row],[date]]), "N/A", IF(Fixtures[[#This Row],[userSide]]="H", Fixtures[[#This Row],[homeScore]], Fixtures[[#This Row],[awayScore]]))</f>
        <v>N/A</v>
      </c>
      <c r="AE1244" s="58" t="str">
        <f>IF(ISBLANK(Fixtures[[#This Row],[date]]), "N/A", IF(Fixtures[[#This Row],[userScore]] = Fixtures[[#This Row],[homeScore]], Fixtures[[#This Row],[awayScore]], Fixtures[[#This Row],[homeScore]]))</f>
        <v>N/A</v>
      </c>
      <c r="AF1244" s="58" t="b">
        <f>NOT(AND(ISBLANK(Fixtures[[#This Row],[homePens]]), ISBLANK(Fixtures[[#This Row],[awayPens]])))</f>
        <v>0</v>
      </c>
      <c r="AG1244" s="58" t="str">
        <f>IF(Fixtures[[#This Row],[penalties]], IF(Fixtures[[#This Row],[userSide]]="H", Fixtures[[#This Row],[homePens]], Fixtures[[#This Row],[awayPens]]), "N/A")</f>
        <v>N/A</v>
      </c>
      <c r="AH1244" s="58" t="str">
        <f>IF(Fixtures[[#This Row],[penalties]], IF(Fixtures[[#This Row],[userPens]]=Fixtures[[#This Row],[homePens]],Fixtures[[#This Row],[awayPens]],Fixtures[[#This Row],[homePens]]), "N/A")</f>
        <v>N/A</v>
      </c>
      <c r="AI1244" s="58" t="b">
        <f>COUNTBLANK(Fixtures[[#This Row],[G]:[MOTM]]) = 0</f>
        <v>0</v>
      </c>
      <c r="AJ1244" s="58" t="str">
        <f>IF(Fixtures[[#This Row],[APP]], Fixtures[[#This Row],[G]]+Fixtures[[#This Row],[A]], "N/A")</f>
        <v>N/A</v>
      </c>
      <c r="AK1244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4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4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5" spans="1:39" ht="13">
      <c r="A1245" s="55"/>
      <c r="B1245" s="61"/>
      <c r="C1245" s="56"/>
      <c r="D1245" s="56"/>
      <c r="E1245" s="56"/>
      <c r="F1245" s="56"/>
      <c r="G1245" s="56"/>
      <c r="H1245" s="56"/>
      <c r="I1245" s="56"/>
      <c r="J1245" s="56"/>
      <c r="K1245" s="56"/>
      <c r="L1245" s="56"/>
      <c r="M1245" s="56"/>
      <c r="N1245" s="56"/>
      <c r="O1245" s="56"/>
      <c r="P1245" s="56"/>
      <c r="Q1245" s="57"/>
      <c r="R1245" s="56"/>
      <c r="S1245" s="58" t="str" cm="1">
        <f t="array" ref="S1245">_xlfn._xlws.FILTER(Competitions[compType], (Fixtures[[#This Row],[competition]] = Competitions[name]), "N/A")</f>
        <v>N/A</v>
      </c>
      <c r="T1245" s="58" t="str" cm="1">
        <f t="array" ref="T1245">_xlfn._xlws.FILTER(Competitions[exhibition], (Fixtures[[#This Row],[competition]] = Competitions[name]), "N/A")</f>
        <v>N/A</v>
      </c>
      <c r="U1245" s="58" t="str" cm="1">
        <f t="array" ref="U1245">_xlfn._xlws.FILTER(Competitions[compID], (Fixtures[[#This Row],[competition]] = Competitions[name]), "N/A")</f>
        <v>N/A</v>
      </c>
      <c r="V1245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5" s="58" t="str" cm="1">
        <f t="array" ref="W1245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5" s="58" t="str" cm="1">
        <f t="array" ref="X1245">_xlfn._xlws.FILTER(Teams[name], (Fixtures[[#This Row],[userTeamID]] = Teams[teamID]), "N/A")</f>
        <v>N/A</v>
      </c>
      <c r="Y1245" s="58" t="str" cm="1">
        <f t="array" ref="Y1245">_xlfn._xlws.FILTER(Teams[teamType], (Fixtures[[#This Row],[userTeamID]] = Teams[teamID]), "N/A")</f>
        <v>N/A</v>
      </c>
      <c r="Z1245" s="58" t="str" cm="1">
        <f t="array" ref="Z1245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5" s="58" t="str">
        <f>IF(Fixtures[[#This Row],[userSide]] = "N/A", "N/A", IF(Fixtures[[#This Row],[userSide]] = "H", Fixtures[[#This Row],[awayTeam]], Fixtures[[#This Row],[homeTeam]]))</f>
        <v>N/A</v>
      </c>
      <c r="AB1245" s="58" t="str" cm="1">
        <f t="array" ref="AB1245">_xlfn._xlws.FILTER(Teams[teamID], Fixtures[[#This Row],[oppTeam]] = Teams[name], "N/A")</f>
        <v>N/A</v>
      </c>
      <c r="AC1245" s="58" t="str" cm="1">
        <f t="array" ref="AC1245">_xlfn._xlws.FILTER(Teams[teamType], Fixtures[[#This Row],[oppTeam]] = Teams[name], "N/A")</f>
        <v>N/A</v>
      </c>
      <c r="AD1245" s="58" t="str">
        <f>IF(ISBLANK(Fixtures[[#This Row],[date]]), "N/A", IF(Fixtures[[#This Row],[userSide]]="H", Fixtures[[#This Row],[homeScore]], Fixtures[[#This Row],[awayScore]]))</f>
        <v>N/A</v>
      </c>
      <c r="AE1245" s="58" t="str">
        <f>IF(ISBLANK(Fixtures[[#This Row],[date]]), "N/A", IF(Fixtures[[#This Row],[userScore]] = Fixtures[[#This Row],[homeScore]], Fixtures[[#This Row],[awayScore]], Fixtures[[#This Row],[homeScore]]))</f>
        <v>N/A</v>
      </c>
      <c r="AF1245" s="58" t="b">
        <f>NOT(AND(ISBLANK(Fixtures[[#This Row],[homePens]]), ISBLANK(Fixtures[[#This Row],[awayPens]])))</f>
        <v>0</v>
      </c>
      <c r="AG1245" s="58" t="str">
        <f>IF(Fixtures[[#This Row],[penalties]], IF(Fixtures[[#This Row],[userSide]]="H", Fixtures[[#This Row],[homePens]], Fixtures[[#This Row],[awayPens]]), "N/A")</f>
        <v>N/A</v>
      </c>
      <c r="AH1245" s="58" t="str">
        <f>IF(Fixtures[[#This Row],[penalties]], IF(Fixtures[[#This Row],[userPens]]=Fixtures[[#This Row],[homePens]],Fixtures[[#This Row],[awayPens]],Fixtures[[#This Row],[homePens]]), "N/A")</f>
        <v>N/A</v>
      </c>
      <c r="AI1245" s="58" t="b">
        <f>COUNTBLANK(Fixtures[[#This Row],[G]:[MOTM]]) = 0</f>
        <v>0</v>
      </c>
      <c r="AJ1245" s="58" t="str">
        <f>IF(Fixtures[[#This Row],[APP]], Fixtures[[#This Row],[G]]+Fixtures[[#This Row],[A]], "N/A")</f>
        <v>N/A</v>
      </c>
      <c r="AK1245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5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5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6" spans="1:39" ht="13">
      <c r="A1246" s="55"/>
      <c r="B1246" s="61"/>
      <c r="C1246" s="56"/>
      <c r="D1246" s="56"/>
      <c r="E1246" s="56"/>
      <c r="F1246" s="56"/>
      <c r="G1246" s="56"/>
      <c r="H1246" s="56"/>
      <c r="I1246" s="56"/>
      <c r="J1246" s="56"/>
      <c r="K1246" s="56"/>
      <c r="L1246" s="56"/>
      <c r="M1246" s="56"/>
      <c r="N1246" s="56"/>
      <c r="O1246" s="56"/>
      <c r="P1246" s="56"/>
      <c r="Q1246" s="57"/>
      <c r="R1246" s="56"/>
      <c r="S1246" s="58" t="str" cm="1">
        <f t="array" ref="S1246">_xlfn._xlws.FILTER(Competitions[compType], (Fixtures[[#This Row],[competition]] = Competitions[name]), "N/A")</f>
        <v>N/A</v>
      </c>
      <c r="T1246" s="58" t="str" cm="1">
        <f t="array" ref="T1246">_xlfn._xlws.FILTER(Competitions[exhibition], (Fixtures[[#This Row],[competition]] = Competitions[name]), "N/A")</f>
        <v>N/A</v>
      </c>
      <c r="U1246" s="58" t="str" cm="1">
        <f t="array" ref="U1246">_xlfn._xlws.FILTER(Competitions[compID], (Fixtures[[#This Row],[competition]] = Competitions[name]), "N/A")</f>
        <v>N/A</v>
      </c>
      <c r="V1246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6" s="58" t="str" cm="1">
        <f t="array" ref="W1246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6" s="58" t="str" cm="1">
        <f t="array" ref="X1246">_xlfn._xlws.FILTER(Teams[name], (Fixtures[[#This Row],[userTeamID]] = Teams[teamID]), "N/A")</f>
        <v>N/A</v>
      </c>
      <c r="Y1246" s="58" t="str" cm="1">
        <f t="array" ref="Y1246">_xlfn._xlws.FILTER(Teams[teamType], (Fixtures[[#This Row],[userTeamID]] = Teams[teamID]), "N/A")</f>
        <v>N/A</v>
      </c>
      <c r="Z1246" s="58" t="str" cm="1">
        <f t="array" ref="Z1246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6" s="58" t="str">
        <f>IF(Fixtures[[#This Row],[userSide]] = "N/A", "N/A", IF(Fixtures[[#This Row],[userSide]] = "H", Fixtures[[#This Row],[awayTeam]], Fixtures[[#This Row],[homeTeam]]))</f>
        <v>N/A</v>
      </c>
      <c r="AB1246" s="58" t="str" cm="1">
        <f t="array" ref="AB1246">_xlfn._xlws.FILTER(Teams[teamID], Fixtures[[#This Row],[oppTeam]] = Teams[name], "N/A")</f>
        <v>N/A</v>
      </c>
      <c r="AC1246" s="58" t="str" cm="1">
        <f t="array" ref="AC1246">_xlfn._xlws.FILTER(Teams[teamType], Fixtures[[#This Row],[oppTeam]] = Teams[name], "N/A")</f>
        <v>N/A</v>
      </c>
      <c r="AD1246" s="58" t="str">
        <f>IF(ISBLANK(Fixtures[[#This Row],[date]]), "N/A", IF(Fixtures[[#This Row],[userSide]]="H", Fixtures[[#This Row],[homeScore]], Fixtures[[#This Row],[awayScore]]))</f>
        <v>N/A</v>
      </c>
      <c r="AE1246" s="58" t="str">
        <f>IF(ISBLANK(Fixtures[[#This Row],[date]]), "N/A", IF(Fixtures[[#This Row],[userScore]] = Fixtures[[#This Row],[homeScore]], Fixtures[[#This Row],[awayScore]], Fixtures[[#This Row],[homeScore]]))</f>
        <v>N/A</v>
      </c>
      <c r="AF1246" s="58" t="b">
        <f>NOT(AND(ISBLANK(Fixtures[[#This Row],[homePens]]), ISBLANK(Fixtures[[#This Row],[awayPens]])))</f>
        <v>0</v>
      </c>
      <c r="AG1246" s="58" t="str">
        <f>IF(Fixtures[[#This Row],[penalties]], IF(Fixtures[[#This Row],[userSide]]="H", Fixtures[[#This Row],[homePens]], Fixtures[[#This Row],[awayPens]]), "N/A")</f>
        <v>N/A</v>
      </c>
      <c r="AH1246" s="58" t="str">
        <f>IF(Fixtures[[#This Row],[penalties]], IF(Fixtures[[#This Row],[userPens]]=Fixtures[[#This Row],[homePens]],Fixtures[[#This Row],[awayPens]],Fixtures[[#This Row],[homePens]]), "N/A")</f>
        <v>N/A</v>
      </c>
      <c r="AI1246" s="58" t="b">
        <f>COUNTBLANK(Fixtures[[#This Row],[G]:[MOTM]]) = 0</f>
        <v>0</v>
      </c>
      <c r="AJ1246" s="58" t="str">
        <f>IF(Fixtures[[#This Row],[APP]], Fixtures[[#This Row],[G]]+Fixtures[[#This Row],[A]], "N/A")</f>
        <v>N/A</v>
      </c>
      <c r="AK1246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6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6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7" spans="1:39" ht="13">
      <c r="A1247" s="55"/>
      <c r="B1247" s="61"/>
      <c r="C1247" s="56"/>
      <c r="D1247" s="56"/>
      <c r="E1247" s="56"/>
      <c r="F1247" s="56"/>
      <c r="G1247" s="56"/>
      <c r="H1247" s="56"/>
      <c r="I1247" s="56"/>
      <c r="J1247" s="56"/>
      <c r="K1247" s="56"/>
      <c r="L1247" s="56"/>
      <c r="M1247" s="56"/>
      <c r="N1247" s="56"/>
      <c r="O1247" s="56"/>
      <c r="P1247" s="56"/>
      <c r="Q1247" s="57"/>
      <c r="R1247" s="56"/>
      <c r="S1247" s="58" t="str" cm="1">
        <f t="array" ref="S1247">_xlfn._xlws.FILTER(Competitions[compType], (Fixtures[[#This Row],[competition]] = Competitions[name]), "N/A")</f>
        <v>N/A</v>
      </c>
      <c r="T1247" s="58" t="str" cm="1">
        <f t="array" ref="T1247">_xlfn._xlws.FILTER(Competitions[exhibition], (Fixtures[[#This Row],[competition]] = Competitions[name]), "N/A")</f>
        <v>N/A</v>
      </c>
      <c r="U1247" s="58" t="str" cm="1">
        <f t="array" ref="U1247">_xlfn._xlws.FILTER(Competitions[compID], (Fixtures[[#This Row],[competition]] = Competitions[name]), "N/A")</f>
        <v>N/A</v>
      </c>
      <c r="V1247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7" s="58" t="str" cm="1">
        <f t="array" ref="W1247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7" s="58" t="str" cm="1">
        <f t="array" ref="X1247">_xlfn._xlws.FILTER(Teams[name], (Fixtures[[#This Row],[userTeamID]] = Teams[teamID]), "N/A")</f>
        <v>N/A</v>
      </c>
      <c r="Y1247" s="58" t="str" cm="1">
        <f t="array" ref="Y1247">_xlfn._xlws.FILTER(Teams[teamType], (Fixtures[[#This Row],[userTeamID]] = Teams[teamID]), "N/A")</f>
        <v>N/A</v>
      </c>
      <c r="Z1247" s="58" t="str" cm="1">
        <f t="array" ref="Z1247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7" s="58" t="str">
        <f>IF(Fixtures[[#This Row],[userSide]] = "N/A", "N/A", IF(Fixtures[[#This Row],[userSide]] = "H", Fixtures[[#This Row],[awayTeam]], Fixtures[[#This Row],[homeTeam]]))</f>
        <v>N/A</v>
      </c>
      <c r="AB1247" s="58" t="str" cm="1">
        <f t="array" ref="AB1247">_xlfn._xlws.FILTER(Teams[teamID], Fixtures[[#This Row],[oppTeam]] = Teams[name], "N/A")</f>
        <v>N/A</v>
      </c>
      <c r="AC1247" s="58" t="str" cm="1">
        <f t="array" ref="AC1247">_xlfn._xlws.FILTER(Teams[teamType], Fixtures[[#This Row],[oppTeam]] = Teams[name], "N/A")</f>
        <v>N/A</v>
      </c>
      <c r="AD1247" s="58" t="str">
        <f>IF(ISBLANK(Fixtures[[#This Row],[date]]), "N/A", IF(Fixtures[[#This Row],[userSide]]="H", Fixtures[[#This Row],[homeScore]], Fixtures[[#This Row],[awayScore]]))</f>
        <v>N/A</v>
      </c>
      <c r="AE1247" s="58" t="str">
        <f>IF(ISBLANK(Fixtures[[#This Row],[date]]), "N/A", IF(Fixtures[[#This Row],[userScore]] = Fixtures[[#This Row],[homeScore]], Fixtures[[#This Row],[awayScore]], Fixtures[[#This Row],[homeScore]]))</f>
        <v>N/A</v>
      </c>
      <c r="AF1247" s="58" t="b">
        <f>NOT(AND(ISBLANK(Fixtures[[#This Row],[homePens]]), ISBLANK(Fixtures[[#This Row],[awayPens]])))</f>
        <v>0</v>
      </c>
      <c r="AG1247" s="58" t="str">
        <f>IF(Fixtures[[#This Row],[penalties]], IF(Fixtures[[#This Row],[userSide]]="H", Fixtures[[#This Row],[homePens]], Fixtures[[#This Row],[awayPens]]), "N/A")</f>
        <v>N/A</v>
      </c>
      <c r="AH1247" s="58" t="str">
        <f>IF(Fixtures[[#This Row],[penalties]], IF(Fixtures[[#This Row],[userPens]]=Fixtures[[#This Row],[homePens]],Fixtures[[#This Row],[awayPens]],Fixtures[[#This Row],[homePens]]), "N/A")</f>
        <v>N/A</v>
      </c>
      <c r="AI1247" s="58" t="b">
        <f>COUNTBLANK(Fixtures[[#This Row],[G]:[MOTM]]) = 0</f>
        <v>0</v>
      </c>
      <c r="AJ1247" s="58" t="str">
        <f>IF(Fixtures[[#This Row],[APP]], Fixtures[[#This Row],[G]]+Fixtures[[#This Row],[A]], "N/A")</f>
        <v>N/A</v>
      </c>
      <c r="AK1247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7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7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8" spans="1:39" ht="13">
      <c r="A1248" s="55"/>
      <c r="B1248" s="61"/>
      <c r="C1248" s="56"/>
      <c r="D1248" s="56"/>
      <c r="E1248" s="56"/>
      <c r="F1248" s="56"/>
      <c r="G1248" s="56"/>
      <c r="H1248" s="56"/>
      <c r="I1248" s="56"/>
      <c r="J1248" s="56"/>
      <c r="K1248" s="56"/>
      <c r="L1248" s="56"/>
      <c r="M1248" s="56"/>
      <c r="N1248" s="56"/>
      <c r="O1248" s="56"/>
      <c r="P1248" s="56"/>
      <c r="Q1248" s="57"/>
      <c r="R1248" s="56"/>
      <c r="S1248" s="58" t="str" cm="1">
        <f t="array" ref="S1248">_xlfn._xlws.FILTER(Competitions[compType], (Fixtures[[#This Row],[competition]] = Competitions[name]), "N/A")</f>
        <v>N/A</v>
      </c>
      <c r="T1248" s="58" t="str" cm="1">
        <f t="array" ref="T1248">_xlfn._xlws.FILTER(Competitions[exhibition], (Fixtures[[#This Row],[competition]] = Competitions[name]), "N/A")</f>
        <v>N/A</v>
      </c>
      <c r="U1248" s="58" t="str" cm="1">
        <f t="array" ref="U1248">_xlfn._xlws.FILTER(Competitions[compID], (Fixtures[[#This Row],[competition]] = Competitions[name]), "N/A")</f>
        <v>N/A</v>
      </c>
      <c r="V1248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8" s="58" t="str" cm="1">
        <f t="array" ref="W1248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8" s="58" t="str" cm="1">
        <f t="array" ref="X1248">_xlfn._xlws.FILTER(Teams[name], (Fixtures[[#This Row],[userTeamID]] = Teams[teamID]), "N/A")</f>
        <v>N/A</v>
      </c>
      <c r="Y1248" s="58" t="str" cm="1">
        <f t="array" ref="Y1248">_xlfn._xlws.FILTER(Teams[teamType], (Fixtures[[#This Row],[userTeamID]] = Teams[teamID]), "N/A")</f>
        <v>N/A</v>
      </c>
      <c r="Z1248" s="58" t="str" cm="1">
        <f t="array" ref="Z1248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8" s="58" t="str">
        <f>IF(Fixtures[[#This Row],[userSide]] = "N/A", "N/A", IF(Fixtures[[#This Row],[userSide]] = "H", Fixtures[[#This Row],[awayTeam]], Fixtures[[#This Row],[homeTeam]]))</f>
        <v>N/A</v>
      </c>
      <c r="AB1248" s="58" t="str" cm="1">
        <f t="array" ref="AB1248">_xlfn._xlws.FILTER(Teams[teamID], Fixtures[[#This Row],[oppTeam]] = Teams[name], "N/A")</f>
        <v>N/A</v>
      </c>
      <c r="AC1248" s="58" t="str" cm="1">
        <f t="array" ref="AC1248">_xlfn._xlws.FILTER(Teams[teamType], Fixtures[[#This Row],[oppTeam]] = Teams[name], "N/A")</f>
        <v>N/A</v>
      </c>
      <c r="AD1248" s="58" t="str">
        <f>IF(ISBLANK(Fixtures[[#This Row],[date]]), "N/A", IF(Fixtures[[#This Row],[userSide]]="H", Fixtures[[#This Row],[homeScore]], Fixtures[[#This Row],[awayScore]]))</f>
        <v>N/A</v>
      </c>
      <c r="AE1248" s="58" t="str">
        <f>IF(ISBLANK(Fixtures[[#This Row],[date]]), "N/A", IF(Fixtures[[#This Row],[userScore]] = Fixtures[[#This Row],[homeScore]], Fixtures[[#This Row],[awayScore]], Fixtures[[#This Row],[homeScore]]))</f>
        <v>N/A</v>
      </c>
      <c r="AF1248" s="58" t="b">
        <f>NOT(AND(ISBLANK(Fixtures[[#This Row],[homePens]]), ISBLANK(Fixtures[[#This Row],[awayPens]])))</f>
        <v>0</v>
      </c>
      <c r="AG1248" s="58" t="str">
        <f>IF(Fixtures[[#This Row],[penalties]], IF(Fixtures[[#This Row],[userSide]]="H", Fixtures[[#This Row],[homePens]], Fixtures[[#This Row],[awayPens]]), "N/A")</f>
        <v>N/A</v>
      </c>
      <c r="AH1248" s="58" t="str">
        <f>IF(Fixtures[[#This Row],[penalties]], IF(Fixtures[[#This Row],[userPens]]=Fixtures[[#This Row],[homePens]],Fixtures[[#This Row],[awayPens]],Fixtures[[#This Row],[homePens]]), "N/A")</f>
        <v>N/A</v>
      </c>
      <c r="AI1248" s="58" t="b">
        <f>COUNTBLANK(Fixtures[[#This Row],[G]:[MOTM]]) = 0</f>
        <v>0</v>
      </c>
      <c r="AJ1248" s="58" t="str">
        <f>IF(Fixtures[[#This Row],[APP]], Fixtures[[#This Row],[G]]+Fixtures[[#This Row],[A]], "N/A")</f>
        <v>N/A</v>
      </c>
      <c r="AK1248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8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8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49" spans="1:39" ht="13">
      <c r="A1249" s="55"/>
      <c r="B1249" s="61"/>
      <c r="C1249" s="56"/>
      <c r="D1249" s="56"/>
      <c r="E1249" s="56"/>
      <c r="F1249" s="56"/>
      <c r="G1249" s="56"/>
      <c r="H1249" s="56"/>
      <c r="I1249" s="56"/>
      <c r="J1249" s="56"/>
      <c r="K1249" s="56"/>
      <c r="L1249" s="56"/>
      <c r="M1249" s="56"/>
      <c r="N1249" s="56"/>
      <c r="O1249" s="56"/>
      <c r="P1249" s="56"/>
      <c r="Q1249" s="57"/>
      <c r="R1249" s="56"/>
      <c r="S1249" s="58" t="str" cm="1">
        <f t="array" ref="S1249">_xlfn._xlws.FILTER(Competitions[compType], (Fixtures[[#This Row],[competition]] = Competitions[name]), "N/A")</f>
        <v>N/A</v>
      </c>
      <c r="T1249" s="58" t="str" cm="1">
        <f t="array" ref="T1249">_xlfn._xlws.FILTER(Competitions[exhibition], (Fixtures[[#This Row],[competition]] = Competitions[name]), "N/A")</f>
        <v>N/A</v>
      </c>
      <c r="U1249" s="58" t="str" cm="1">
        <f t="array" ref="U1249">_xlfn._xlws.FILTER(Competitions[compID], (Fixtures[[#This Row],[competition]] = Competitions[name]), "N/A")</f>
        <v>N/A</v>
      </c>
      <c r="V1249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49" s="58" t="str" cm="1">
        <f t="array" ref="W1249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49" s="58" t="str" cm="1">
        <f t="array" ref="X1249">_xlfn._xlws.FILTER(Teams[name], (Fixtures[[#This Row],[userTeamID]] = Teams[teamID]), "N/A")</f>
        <v>N/A</v>
      </c>
      <c r="Y1249" s="58" t="str" cm="1">
        <f t="array" ref="Y1249">_xlfn._xlws.FILTER(Teams[teamType], (Fixtures[[#This Row],[userTeamID]] = Teams[teamID]), "N/A")</f>
        <v>N/A</v>
      </c>
      <c r="Z1249" s="58" t="str" cm="1">
        <f t="array" ref="Z1249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49" s="58" t="str">
        <f>IF(Fixtures[[#This Row],[userSide]] = "N/A", "N/A", IF(Fixtures[[#This Row],[userSide]] = "H", Fixtures[[#This Row],[awayTeam]], Fixtures[[#This Row],[homeTeam]]))</f>
        <v>N/A</v>
      </c>
      <c r="AB1249" s="58" t="str" cm="1">
        <f t="array" ref="AB1249">_xlfn._xlws.FILTER(Teams[teamID], Fixtures[[#This Row],[oppTeam]] = Teams[name], "N/A")</f>
        <v>N/A</v>
      </c>
      <c r="AC1249" s="58" t="str" cm="1">
        <f t="array" ref="AC1249">_xlfn._xlws.FILTER(Teams[teamType], Fixtures[[#This Row],[oppTeam]] = Teams[name], "N/A")</f>
        <v>N/A</v>
      </c>
      <c r="AD1249" s="58" t="str">
        <f>IF(ISBLANK(Fixtures[[#This Row],[date]]), "N/A", IF(Fixtures[[#This Row],[userSide]]="H", Fixtures[[#This Row],[homeScore]], Fixtures[[#This Row],[awayScore]]))</f>
        <v>N/A</v>
      </c>
      <c r="AE1249" s="58" t="str">
        <f>IF(ISBLANK(Fixtures[[#This Row],[date]]), "N/A", IF(Fixtures[[#This Row],[userScore]] = Fixtures[[#This Row],[homeScore]], Fixtures[[#This Row],[awayScore]], Fixtures[[#This Row],[homeScore]]))</f>
        <v>N/A</v>
      </c>
      <c r="AF1249" s="58" t="b">
        <f>NOT(AND(ISBLANK(Fixtures[[#This Row],[homePens]]), ISBLANK(Fixtures[[#This Row],[awayPens]])))</f>
        <v>0</v>
      </c>
      <c r="AG1249" s="58" t="str">
        <f>IF(Fixtures[[#This Row],[penalties]], IF(Fixtures[[#This Row],[userSide]]="H", Fixtures[[#This Row],[homePens]], Fixtures[[#This Row],[awayPens]]), "N/A")</f>
        <v>N/A</v>
      </c>
      <c r="AH1249" s="58" t="str">
        <f>IF(Fixtures[[#This Row],[penalties]], IF(Fixtures[[#This Row],[userPens]]=Fixtures[[#This Row],[homePens]],Fixtures[[#This Row],[awayPens]],Fixtures[[#This Row],[homePens]]), "N/A")</f>
        <v>N/A</v>
      </c>
      <c r="AI1249" s="58" t="b">
        <f>COUNTBLANK(Fixtures[[#This Row],[G]:[MOTM]]) = 0</f>
        <v>0</v>
      </c>
      <c r="AJ1249" s="58" t="str">
        <f>IF(Fixtures[[#This Row],[APP]], Fixtures[[#This Row],[G]]+Fixtures[[#This Row],[A]], "N/A")</f>
        <v>N/A</v>
      </c>
      <c r="AK1249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49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49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  <row r="1250" spans="1:39" ht="13">
      <c r="A1250" s="55"/>
      <c r="B1250" s="61"/>
      <c r="C1250" s="56"/>
      <c r="D1250" s="56"/>
      <c r="E1250" s="56"/>
      <c r="F1250" s="56"/>
      <c r="G1250" s="56"/>
      <c r="H1250" s="56"/>
      <c r="I1250" s="56"/>
      <c r="J1250" s="56"/>
      <c r="K1250" s="56"/>
      <c r="L1250" s="56"/>
      <c r="M1250" s="56"/>
      <c r="N1250" s="56"/>
      <c r="O1250" s="56"/>
      <c r="P1250" s="56"/>
      <c r="Q1250" s="57"/>
      <c r="R1250" s="56"/>
      <c r="S1250" s="58" t="str" cm="1">
        <f t="array" ref="S1250">_xlfn._xlws.FILTER(Competitions[compType], (Fixtures[[#This Row],[competition]] = Competitions[name]), "N/A")</f>
        <v>N/A</v>
      </c>
      <c r="T1250" s="58" t="str" cm="1">
        <f t="array" ref="T1250">_xlfn._xlws.FILTER(Competitions[exhibition], (Fixtures[[#This Row],[competition]] = Competitions[name]), "N/A")</f>
        <v>N/A</v>
      </c>
      <c r="U1250" s="58" t="str" cm="1">
        <f t="array" ref="U1250">_xlfn._xlws.FILTER(Competitions[compID], (Fixtures[[#This Row],[competition]] = Competitions[name]), "N/A")</f>
        <v>N/A</v>
      </c>
      <c r="V1250" s="58" t="str">
        <f>IF(ISBLANK(Fixtures[[#This Row],[date]]), "N/A", IF(NOT(OR(Fixtures[[#This Row],[compType]]="International Cup", Fixtures[[#This Row],[compType]] = "Intercontinental Cup")), IF(MONTH(Fixtures[[#This Row],[date]]) &gt;= 7, _xlfn.CONCAT(YEAR(Fixtures[[#This Row],[date]]), "/", YEAR(Fixtures[[#This Row],[date]]) + 1), _xlfn.CONCAT(YEAR(Fixtures[[#This Row],[date]]) - 1, "/", YEAR(Fixtures[[#This Row],[date]]))), _xlfn.CONCAT(YEAR(Fixtures[[#This Row],[date]]) - 1, "/", YEAR(Fixtures[[#This Row],[date]]))))</f>
        <v>N/A</v>
      </c>
      <c r="W1250" s="58" t="str" cm="1">
        <f t="array" ref="W1250">_xlfn._xlws.FILTER(Teams[teamID], (Fixtures[[#This Row],[homeTeam]] = Teams[name])*(Teams[relevant])*(Fixtures[[#This Row],[date]] &gt;= Teams[startDate])*(Fixtures[[#This Row],[date]] &lt;= IF(ISBLANK(Teams[endDate]), asOfDate, Teams[endDate])), _xlfn._xlws.FILTER(Teams[teamID], (Fixtures[[#This Row],[awayTeam]] = Teams[name])*(Teams[relevant])*(Fixtures[[#This Row],[date]] &gt;= Teams[startDate])*(Fixtures[[#This Row],[date]] &lt;= IF(ISBLANK(Teams[endDate]), asOfDate, Teams[endDate])), "N/A"))</f>
        <v>N/A</v>
      </c>
      <c r="X1250" s="58" t="str" cm="1">
        <f t="array" ref="X1250">_xlfn._xlws.FILTER(Teams[name], (Fixtures[[#This Row],[userTeamID]] = Teams[teamID]), "N/A")</f>
        <v>N/A</v>
      </c>
      <c r="Y1250" s="58" t="str" cm="1">
        <f t="array" ref="Y1250">_xlfn._xlws.FILTER(Teams[teamType], (Fixtures[[#This Row],[userTeamID]] = Teams[teamID]), "N/A")</f>
        <v>N/A</v>
      </c>
      <c r="Z1250" s="58" t="str" cm="1">
        <f t="array" ref="Z1250">IF(Fixtures[[#This Row],[userTeamID]] = "N/A", "N/A", IF(SUM(COUNTIF(Fixtures[[#This Row],[homeTeam]], _xlfn._xlws.FILTER(Teams[name], (Fixtures[[#This Row],[userTeamID]] = Teams[teamID])*(Teams[relevant])))) &gt; 0, "H", "A"))</f>
        <v>N/A</v>
      </c>
      <c r="AA1250" s="58" t="str">
        <f>IF(Fixtures[[#This Row],[userSide]] = "N/A", "N/A", IF(Fixtures[[#This Row],[userSide]] = "H", Fixtures[[#This Row],[awayTeam]], Fixtures[[#This Row],[homeTeam]]))</f>
        <v>N/A</v>
      </c>
      <c r="AB1250" s="58" t="str" cm="1">
        <f t="array" ref="AB1250">_xlfn._xlws.FILTER(Teams[teamID], Fixtures[[#This Row],[oppTeam]] = Teams[name], "N/A")</f>
        <v>N/A</v>
      </c>
      <c r="AC1250" s="58" t="str" cm="1">
        <f t="array" ref="AC1250">_xlfn._xlws.FILTER(Teams[teamType], Fixtures[[#This Row],[oppTeam]] = Teams[name], "N/A")</f>
        <v>N/A</v>
      </c>
      <c r="AD1250" s="58" t="str">
        <f>IF(ISBLANK(Fixtures[[#This Row],[date]]), "N/A", IF(Fixtures[[#This Row],[userSide]]="H", Fixtures[[#This Row],[homeScore]], Fixtures[[#This Row],[awayScore]]))</f>
        <v>N/A</v>
      </c>
      <c r="AE1250" s="58" t="str">
        <f>IF(ISBLANK(Fixtures[[#This Row],[date]]), "N/A", IF(Fixtures[[#This Row],[userScore]] = Fixtures[[#This Row],[homeScore]], Fixtures[[#This Row],[awayScore]], Fixtures[[#This Row],[homeScore]]))</f>
        <v>N/A</v>
      </c>
      <c r="AF1250" s="58" t="b">
        <f>NOT(AND(ISBLANK(Fixtures[[#This Row],[homePens]]), ISBLANK(Fixtures[[#This Row],[awayPens]])))</f>
        <v>0</v>
      </c>
      <c r="AG1250" s="58" t="str">
        <f>IF(Fixtures[[#This Row],[penalties]], IF(Fixtures[[#This Row],[userSide]]="H", Fixtures[[#This Row],[homePens]], Fixtures[[#This Row],[awayPens]]), "N/A")</f>
        <v>N/A</v>
      </c>
      <c r="AH1250" s="58" t="str">
        <f>IF(Fixtures[[#This Row],[penalties]], IF(Fixtures[[#This Row],[userPens]]=Fixtures[[#This Row],[homePens]],Fixtures[[#This Row],[awayPens]],Fixtures[[#This Row],[homePens]]), "N/A")</f>
        <v>N/A</v>
      </c>
      <c r="AI1250" s="58" t="b">
        <f>COUNTBLANK(Fixtures[[#This Row],[G]:[MOTM]]) = 0</f>
        <v>0</v>
      </c>
      <c r="AJ1250" s="58" t="str">
        <f>IF(Fixtures[[#This Row],[APP]], Fixtures[[#This Row],[G]]+Fixtures[[#This Row],[A]], "N/A")</f>
        <v>N/A</v>
      </c>
      <c r="AK1250" s="58" t="str">
        <f>IF(COUNTIF(Fixtures[[#This Row],[userScore]:[oppScore]], "N/A") &gt; 0, "N/A", IF(Fixtures[[#This Row],[penalties]], IF(Fixtures[[#This Row],[userPens]] &gt; Fixtures[[#This Row],[oppPens]], "W", "L"), IF(Fixtures[[#This Row],[userScore]] &gt; Fixtures[[#This Row],[oppScore]], "W", IF(Fixtures[[#This Row],[userScore]] &lt; Fixtures[[#This Row],[oppScore]], "L", "D"))))</f>
        <v>N/A</v>
      </c>
      <c r="AL1250" s="58" t="str">
        <f>IF(Fixtures[[#This Row],[result]] = "N/A", "N/A", IF(Fixtures[[#This Row],[penalties]], ABS(Fixtures[[#This Row],[userPens]] - Fixtures[[#This Row],[oppPens]]), ABS(Fixtures[[#This Row],[userScore]] - Fixtures[[#This Row],[oppScore]])))</f>
        <v>N/A</v>
      </c>
      <c r="AM1250" s="58" t="str">
        <f>IF(COUNTBLANK(Fixtures[[#This Row],[date]:[awayScore]]) = 0, _xlfn.CONCAT("[", TEXT(Fixtures[[#This Row],[date]], "yyyy-mm-dd"), "] ", Fixtures[[#This Row],[homeTeam]], " vs. ", Fixtures[[#This Row],[awayTeam]], " (", Fixtures[[#This Row],[homeScore]], "-", Fixtures[[#This Row],[awayScore]], ")", IF(Fixtures[[#This Row],[penalties]], _xlfn.CONCAT(" [", Fixtures[[#This Row],[homePens]], "-", Fixtures[[#This Row],[awayPens]], "][P]"), ""),  " - ", Fixtures[[#This Row],[competition]]), "N/A")</f>
        <v>N/A</v>
      </c>
    </row>
  </sheetData>
  <phoneticPr fontId="6" type="noConversion"/>
  <conditionalFormatting sqref="S2:AN1250">
    <cfRule type="expression" dxfId="216" priority="1">
      <formula>ISBLANK(INDIRECT("Fixtures[@date]"))</formula>
    </cfRule>
  </conditionalFormatting>
  <dataValidations count="12">
    <dataValidation type="whole" operator="greaterThanOrEqual" allowBlank="1" showInputMessage="1" showErrorMessage="1" sqref="O21:P22 O32:P32 I2:N31 M114:P114 M33:N102 M103:P103 M104:N113 I32:L1250 M115:N1250" xr:uid="{A6A5999B-1C92-497A-8ADD-80A75BF3A613}">
      <formula1>0</formula1>
    </dataValidation>
    <dataValidation type="decimal" allowBlank="1" showInputMessage="1" showErrorMessage="1" sqref="Q2:Q1250" xr:uid="{2BE68707-B2FC-4919-A003-2DC880B4356A}">
      <formula1>0</formula1>
      <formula2>10</formula2>
    </dataValidation>
    <dataValidation type="list" allowBlank="1" showInputMessage="1" showErrorMessage="1" sqref="R2:R1250" xr:uid="{51305358-9945-4F79-A3C3-17E333139889}">
      <formula1>"TRUE, FALSE"</formula1>
    </dataValidation>
    <dataValidation type="date" operator="greaterThan" allowBlank="1" showInputMessage="1" showErrorMessage="1" error="You must enter a date with the format 'MM/DD/YYYY' before 12/31/1999." sqref="A2:A1250" xr:uid="{B5AA2AF5-B8F8-4289-95DB-F22DEA79606C}">
      <formula1>36526</formula1>
    </dataValidation>
    <dataValidation type="list" allowBlank="1" showInputMessage="1" showErrorMessage="1" error="You must enter one of the team names listed in the source table 'Teams'." sqref="G2:H1250" xr:uid="{278ED243-5015-464E-BE27-F246066206B2}">
      <formula1>INDIRECT("Teams[name]")</formula1>
    </dataValidation>
    <dataValidation type="list" allowBlank="1" showInputMessage="1" showErrorMessage="1" error="You must enter one of the competition names listed in source table 'Competitions'." sqref="F2:F1250" xr:uid="{B73D424C-5A01-476D-B94D-209B2F6338C8}">
      <formula1>INDIRECT("Competitions[name]")</formula1>
    </dataValidation>
    <dataValidation type="whole" allowBlank="1" showInputMessage="1" showErrorMessage="1" sqref="O2:O20 O23:O31 O33:O102 O104:O113 O115:O1250" xr:uid="{3507C624-A114-4F4C-B096-EA44B1FADFA8}">
      <formula1>0</formula1>
      <formula2>2</formula2>
    </dataValidation>
    <dataValidation type="whole" allowBlank="1" showInputMessage="1" showErrorMessage="1" sqref="P2:P20 P23:P102 P104:P113 P115:P1250" xr:uid="{5B3EEF06-ED09-493B-87BD-9F812D123AC3}">
      <formula1>0</formula1>
      <formula2>1</formula2>
    </dataValidation>
    <dataValidation allowBlank="1" showInputMessage="1" showErrorMessage="1" sqref="B2:B1250" xr:uid="{94DB53F9-7988-47C6-8EB8-B1AC9A4E6966}"/>
    <dataValidation type="list" allowBlank="1" showInputMessage="1" showErrorMessage="1" sqref="C2:C1250" xr:uid="{AC837B6C-B6A2-4799-B01B-FA7D62ED24BA}">
      <formula1>INDIRECT("Weather[weatherType]")</formula1>
    </dataValidation>
    <dataValidation type="list" allowBlank="1" showInputMessage="1" showErrorMessage="1" sqref="D2:D1250" xr:uid="{7854C4C8-52C5-4469-AEC9-BFEBFDA3E1EA}">
      <formula1>INDIRECT("Stadiums[name]")</formula1>
    </dataValidation>
    <dataValidation type="list" allowBlank="1" showInputMessage="1" showErrorMessage="1" sqref="E2:E1250" xr:uid="{94A977BB-6C04-4582-99A5-0B0BE77A92EF}">
      <formula1>INDIRECT("Referees[name]")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0B8E6-6860-47A6-BD69-949BC49E507C}">
  <sheetPr codeName="Sheet6"/>
  <dimension ref="A1:Q18"/>
  <sheetViews>
    <sheetView tabSelected="1" workbookViewId="0">
      <pane ySplit="1" topLeftCell="A2" activePane="bottomLeft" state="frozen"/>
      <selection pane="bottomLeft" activeCell="K13" sqref="K13"/>
    </sheetView>
  </sheetViews>
  <sheetFormatPr baseColWidth="10" defaultColWidth="8.85546875" defaultRowHeight="13"/>
  <cols>
    <col min="1" max="1" width="8.28515625" style="20" bestFit="1" customWidth="1"/>
    <col min="2" max="2" width="10" style="20" bestFit="1" customWidth="1"/>
    <col min="3" max="3" width="24.140625" style="20" bestFit="1" customWidth="1"/>
    <col min="4" max="4" width="18.140625" style="20" bestFit="1" customWidth="1"/>
    <col min="5" max="5" width="10" style="20" bestFit="1" customWidth="1"/>
    <col min="6" max="6" width="6.140625" style="20" bestFit="1" customWidth="1"/>
    <col min="7" max="7" width="4.42578125" style="20" bestFit="1" customWidth="1"/>
    <col min="8" max="8" width="4.140625" style="20" bestFit="1" customWidth="1"/>
    <col min="9" max="9" width="4" style="20" bestFit="1" customWidth="1"/>
    <col min="10" max="10" width="4.28515625" style="20" bestFit="1" customWidth="1"/>
    <col min="11" max="11" width="4.140625" style="20" bestFit="1" customWidth="1"/>
    <col min="12" max="12" width="5.5703125" style="20" bestFit="1" customWidth="1"/>
    <col min="13" max="14" width="5.140625" style="20" bestFit="1" customWidth="1"/>
    <col min="15" max="15" width="6.28515625" style="20" bestFit="1" customWidth="1"/>
    <col min="16" max="16" width="7.42578125" style="20" bestFit="1" customWidth="1"/>
    <col min="17" max="17" width="10.28515625" style="20" bestFit="1" customWidth="1"/>
    <col min="18" max="18" width="8.85546875" style="20"/>
    <col min="19" max="19" width="8" style="20"/>
    <col min="20" max="16384" width="8.85546875" style="20"/>
  </cols>
  <sheetData>
    <row r="1" spans="1:17" s="7" customFormat="1">
      <c r="A1" s="7" t="s">
        <v>3</v>
      </c>
      <c r="B1" s="7" t="s">
        <v>358</v>
      </c>
      <c r="C1" s="7" t="s">
        <v>79</v>
      </c>
      <c r="D1" s="7" t="s">
        <v>89</v>
      </c>
      <c r="E1" s="7" t="s">
        <v>90</v>
      </c>
      <c r="F1" s="6" t="s">
        <v>2</v>
      </c>
      <c r="G1" s="6" t="s">
        <v>4</v>
      </c>
      <c r="H1" s="6" t="s">
        <v>359</v>
      </c>
      <c r="I1" s="6" t="s">
        <v>360</v>
      </c>
      <c r="J1" s="6" t="s">
        <v>5</v>
      </c>
      <c r="K1" s="6" t="s">
        <v>8</v>
      </c>
      <c r="L1" s="6" t="s">
        <v>11</v>
      </c>
      <c r="M1" s="30" t="s">
        <v>86</v>
      </c>
      <c r="N1" s="31" t="s">
        <v>87</v>
      </c>
      <c r="O1" s="6" t="s">
        <v>361</v>
      </c>
      <c r="P1" s="6" t="s">
        <v>14</v>
      </c>
      <c r="Q1" s="7" t="s">
        <v>104</v>
      </c>
    </row>
    <row r="2" spans="1:17">
      <c r="A2" s="17" t="s">
        <v>55</v>
      </c>
      <c r="B2" s="17" t="s">
        <v>110</v>
      </c>
      <c r="C2" s="17" t="s">
        <v>116</v>
      </c>
      <c r="D2" s="17" t="s">
        <v>362</v>
      </c>
      <c r="E2" s="17" t="b">
        <v>0</v>
      </c>
      <c r="F2" s="50">
        <f>COUNTIFS(Fixtures[season], Stats[[#This Row],[season]], Fixtures[competition], Stats[[#This Row],[competition]], Fixtures[APP], TRUE)</f>
        <v>40</v>
      </c>
      <c r="G2" s="50">
        <f>COUNTIFS(Fixtures[season], Stats[[#This Row],[season]], Fixtures[competition], Stats[[#This Row],[competition]], Fixtures[APP], TRUE, Fixtures[result], "W")</f>
        <v>19</v>
      </c>
      <c r="H2" s="50">
        <f>COUNTIFS(Fixtures[season], Stats[[#This Row],[season]], Fixtures[competition], Stats[[#This Row],[competition]], Fixtures[APP], TRUE, Fixtures[result], "D")</f>
        <v>13</v>
      </c>
      <c r="I2" s="50">
        <f>COUNTIFS(Fixtures[season], Stats[[#This Row],[season]], Fixtures[competition], Stats[[#This Row],[competition]], Fixtures[APP], TRUE, Fixtures[result], "L")</f>
        <v>8</v>
      </c>
      <c r="J2" s="17">
        <f>SUMIFS(Fixtures[G], Fixtures[season], Stats[[#This Row],[season]], Fixtures[competition], Stats[[#This Row],[competition]], Fixtures[APP], TRUE)</f>
        <v>9</v>
      </c>
      <c r="K2" s="17">
        <f>SUMIFS(Fixtures[A], Fixtures[season], Stats[[#This Row],[season]], Fixtures[competition], Stats[[#This Row],[competition]], Fixtures[APP], TRUE)</f>
        <v>20</v>
      </c>
      <c r="L2" s="17">
        <f>SUMIFS(Fixtures[INV], Fixtures[season], Stats[[#This Row],[season]], Fixtures[competition], Stats[[#This Row],[competition]], Fixtures[APP], TRUE)</f>
        <v>29</v>
      </c>
      <c r="M2" s="17">
        <f>SUMIFS(Fixtures[YC], Fixtures[season], Stats[[#This Row],[season]], Fixtures[competition], Stats[[#This Row],[competition]], Fixtures[APP], TRUE)</f>
        <v>0</v>
      </c>
      <c r="N2" s="17">
        <f>SUMIFS(Fixtures[RC], Fixtures[season], Stats[[#This Row],[season]], Fixtures[competition], Stats[[#This Row],[competition]], Fixtures[APP], TRUE)</f>
        <v>0</v>
      </c>
      <c r="O2" s="19">
        <f>IFERROR(AVERAGEIFS(Fixtures[MR], Fixtures[season], Stats[[#This Row],[season]], Fixtures[competition], Stats[[#This Row],[competition]], Fixtures[APP], TRUE), "")</f>
        <v>7.2725000000000009</v>
      </c>
      <c r="P2" s="50">
        <f>COUNTIFS(Fixtures[season], Stats[[#This Row],[season]], Fixtures[competition], Stats[[#This Row],[competition]], Fixtures[APP], TRUE, Fixtures[MOTM], TRUE)</f>
        <v>6</v>
      </c>
      <c r="Q2" s="17" t="str" cm="1">
        <f t="array" aca="1" ref="Q2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4th Place</v>
      </c>
    </row>
    <row r="3" spans="1:17">
      <c r="A3" s="17" t="s">
        <v>55</v>
      </c>
      <c r="B3" s="17" t="s">
        <v>110</v>
      </c>
      <c r="C3" s="17" t="s">
        <v>155</v>
      </c>
      <c r="D3" s="17" t="s">
        <v>363</v>
      </c>
      <c r="E3" s="17" t="b">
        <v>0</v>
      </c>
      <c r="F3" s="50">
        <f>COUNTIFS(Fixtures[season], Stats[[#This Row],[season]], Fixtures[competition], Stats[[#This Row],[competition]], Fixtures[APP], TRUE)</f>
        <v>5</v>
      </c>
      <c r="G3" s="50">
        <f>COUNTIFS(Fixtures[season], Stats[[#This Row],[season]], Fixtures[competition], Stats[[#This Row],[competition]], Fixtures[APP], TRUE, Fixtures[result], "W")</f>
        <v>4</v>
      </c>
      <c r="H3" s="50">
        <f>COUNTIFS(Fixtures[season], Stats[[#This Row],[season]], Fixtures[competition], Stats[[#This Row],[competition]], Fixtures[APP], TRUE, Fixtures[result], "D")</f>
        <v>1</v>
      </c>
      <c r="I3" s="50">
        <f>COUNTIFS(Fixtures[season], Stats[[#This Row],[season]], Fixtures[competition], Stats[[#This Row],[competition]], Fixtures[APP], TRUE, Fixtures[result], "L")</f>
        <v>0</v>
      </c>
      <c r="J3" s="17">
        <f>SUMIFS(Fixtures[G], Fixtures[season], Stats[[#This Row],[season]], Fixtures[competition], Stats[[#This Row],[competition]], Fixtures[APP], TRUE)</f>
        <v>3</v>
      </c>
      <c r="K3" s="17">
        <f>SUMIFS(Fixtures[A], Fixtures[season], Stats[[#This Row],[season]], Fixtures[competition], Stats[[#This Row],[competition]], Fixtures[APP], TRUE)</f>
        <v>1</v>
      </c>
      <c r="L3" s="17">
        <f>SUMIFS(Fixtures[INV], Fixtures[season], Stats[[#This Row],[season]], Fixtures[competition], Stats[[#This Row],[competition]], Fixtures[APP], TRUE)</f>
        <v>4</v>
      </c>
      <c r="M3" s="17">
        <f>SUMIFS(Fixtures[YC], Fixtures[season], Stats[[#This Row],[season]], Fixtures[competition], Stats[[#This Row],[competition]], Fixtures[APP], TRUE)</f>
        <v>0</v>
      </c>
      <c r="N3" s="17">
        <f>SUMIFS(Fixtures[RC], Fixtures[season], Stats[[#This Row],[season]], Fixtures[competition], Stats[[#This Row],[competition]], Fixtures[APP], TRUE)</f>
        <v>0</v>
      </c>
      <c r="O3" s="19">
        <f>IFERROR(AVERAGEIFS(Fixtures[MR], Fixtures[season], Stats[[#This Row],[season]], Fixtures[competition], Stats[[#This Row],[competition]], Fixtures[APP], TRUE), "")</f>
        <v>7.3599999999999994</v>
      </c>
      <c r="P3" s="50">
        <f>COUNTIFS(Fixtures[season], Stats[[#This Row],[season]], Fixtures[competition], Stats[[#This Row],[competition]], Fixtures[APP], TRUE, Fixtures[MOTM], TRUE)</f>
        <v>2</v>
      </c>
      <c r="Q3" s="17" t="str" cm="1">
        <f t="array" aca="1" ref="Q3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Winner</v>
      </c>
    </row>
    <row r="4" spans="1:17">
      <c r="A4" s="17" t="s">
        <v>55</v>
      </c>
      <c r="B4" s="17" t="s">
        <v>110</v>
      </c>
      <c r="C4" s="17" t="s">
        <v>109</v>
      </c>
      <c r="D4" s="17" t="s">
        <v>364</v>
      </c>
      <c r="E4" s="17" t="b">
        <v>1</v>
      </c>
      <c r="F4" s="50">
        <f>COUNTIFS(Fixtures[season], Stats[[#This Row],[season]], Fixtures[competition], Stats[[#This Row],[competition]], Fixtures[APP], TRUE)</f>
        <v>3</v>
      </c>
      <c r="G4" s="50">
        <f>COUNTIFS(Fixtures[season], Stats[[#This Row],[season]], Fixtures[competition], Stats[[#This Row],[competition]], Fixtures[APP], TRUE, Fixtures[result], "W")</f>
        <v>0</v>
      </c>
      <c r="H4" s="50">
        <f>COUNTIFS(Fixtures[season], Stats[[#This Row],[season]], Fixtures[competition], Stats[[#This Row],[competition]], Fixtures[APP], TRUE, Fixtures[result], "D")</f>
        <v>0</v>
      </c>
      <c r="I4" s="50">
        <f>COUNTIFS(Fixtures[season], Stats[[#This Row],[season]], Fixtures[competition], Stats[[#This Row],[competition]], Fixtures[APP], TRUE, Fixtures[result], "L")</f>
        <v>3</v>
      </c>
      <c r="J4" s="17">
        <f>SUMIFS(Fixtures[G], Fixtures[season], Stats[[#This Row],[season]], Fixtures[competition], Stats[[#This Row],[competition]], Fixtures[APP], TRUE)</f>
        <v>0</v>
      </c>
      <c r="K4" s="17">
        <f>SUMIFS(Fixtures[A], Fixtures[season], Stats[[#This Row],[season]], Fixtures[competition], Stats[[#This Row],[competition]], Fixtures[APP], TRUE)</f>
        <v>0</v>
      </c>
      <c r="L4" s="17">
        <f>SUMIFS(Fixtures[INV], Fixtures[season], Stats[[#This Row],[season]], Fixtures[competition], Stats[[#This Row],[competition]], Fixtures[APP], TRUE)</f>
        <v>0</v>
      </c>
      <c r="M4" s="17">
        <f>SUMIFS(Fixtures[YC], Fixtures[season], Stats[[#This Row],[season]], Fixtures[competition], Stats[[#This Row],[competition]], Fixtures[APP], TRUE)</f>
        <v>0</v>
      </c>
      <c r="N4" s="17">
        <f>SUMIFS(Fixtures[RC], Fixtures[season], Stats[[#This Row],[season]], Fixtures[competition], Stats[[#This Row],[competition]], Fixtures[APP], TRUE)</f>
        <v>0</v>
      </c>
      <c r="O4" s="19">
        <f>IFERROR(AVERAGEIFS(Fixtures[MR], Fixtures[season], Stats[[#This Row],[season]], Fixtures[competition], Stats[[#This Row],[competition]], Fixtures[APP], TRUE), "")</f>
        <v>6.0999999999999988</v>
      </c>
      <c r="P4" s="50">
        <f>COUNTIFS(Fixtures[season], Stats[[#This Row],[season]], Fixtures[competition], Stats[[#This Row],[competition]], Fixtures[APP], TRUE, Fixtures[MOTM], TRUE)</f>
        <v>0</v>
      </c>
      <c r="Q4" s="17" t="str" cm="1">
        <f t="array" aca="1" ref="Q4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7th Place</v>
      </c>
    </row>
    <row r="5" spans="1:17">
      <c r="A5" s="17" t="s">
        <v>55</v>
      </c>
      <c r="B5" s="17" t="s">
        <v>110</v>
      </c>
      <c r="C5" s="17" t="s">
        <v>166</v>
      </c>
      <c r="D5" s="17" t="s">
        <v>365</v>
      </c>
      <c r="E5" s="17" t="b">
        <v>0</v>
      </c>
      <c r="F5" s="50">
        <f>COUNTIFS(Fixtures[season], Stats[[#This Row],[season]], Fixtures[competition], Stats[[#This Row],[competition]], Fixtures[APP], TRUE)</f>
        <v>2</v>
      </c>
      <c r="G5" s="50">
        <f>COUNTIFS(Fixtures[season], Stats[[#This Row],[season]], Fixtures[competition], Stats[[#This Row],[competition]], Fixtures[APP], TRUE, Fixtures[result], "W")</f>
        <v>0</v>
      </c>
      <c r="H5" s="50">
        <f>COUNTIFS(Fixtures[season], Stats[[#This Row],[season]], Fixtures[competition], Stats[[#This Row],[competition]], Fixtures[APP], TRUE, Fixtures[result], "D")</f>
        <v>0</v>
      </c>
      <c r="I5" s="50">
        <f>COUNTIFS(Fixtures[season], Stats[[#This Row],[season]], Fixtures[competition], Stats[[#This Row],[competition]], Fixtures[APP], TRUE, Fixtures[result], "L")</f>
        <v>2</v>
      </c>
      <c r="J5" s="17">
        <f>SUMIFS(Fixtures[G], Fixtures[season], Stats[[#This Row],[season]], Fixtures[competition], Stats[[#This Row],[competition]], Fixtures[APP], TRUE)</f>
        <v>0</v>
      </c>
      <c r="K5" s="17">
        <f>SUMIFS(Fixtures[A], Fixtures[season], Stats[[#This Row],[season]], Fixtures[competition], Stats[[#This Row],[competition]], Fixtures[APP], TRUE)</f>
        <v>0</v>
      </c>
      <c r="L5" s="17">
        <f>SUMIFS(Fixtures[INV], Fixtures[season], Stats[[#This Row],[season]], Fixtures[competition], Stats[[#This Row],[competition]], Fixtures[APP], TRUE)</f>
        <v>0</v>
      </c>
      <c r="M5" s="17">
        <f>SUMIFS(Fixtures[YC], Fixtures[season], Stats[[#This Row],[season]], Fixtures[competition], Stats[[#This Row],[competition]], Fixtures[APP], TRUE)</f>
        <v>0</v>
      </c>
      <c r="N5" s="17">
        <f>SUMIFS(Fixtures[RC], Fixtures[season], Stats[[#This Row],[season]], Fixtures[competition], Stats[[#This Row],[competition]], Fixtures[APP], TRUE)</f>
        <v>0</v>
      </c>
      <c r="O5" s="19">
        <f>IFERROR(AVERAGEIFS(Fixtures[MR], Fixtures[season], Stats[[#This Row],[season]], Fixtures[competition], Stats[[#This Row],[competition]], Fixtures[APP], TRUE), "")</f>
        <v>6.25</v>
      </c>
      <c r="P5" s="50">
        <f>COUNTIFS(Fixtures[season], Stats[[#This Row],[season]], Fixtures[competition], Stats[[#This Row],[competition]], Fixtures[APP], TRUE, Fixtures[MOTM], TRUE)</f>
        <v>0</v>
      </c>
      <c r="Q5" s="17" t="str" cm="1">
        <f t="array" aca="1" ref="Q5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Final</v>
      </c>
    </row>
    <row r="6" spans="1:17">
      <c r="A6" s="17" t="s">
        <v>55</v>
      </c>
      <c r="B6" s="17" t="s">
        <v>110</v>
      </c>
      <c r="C6" s="17" t="s">
        <v>134</v>
      </c>
      <c r="D6" s="17" t="s">
        <v>366</v>
      </c>
      <c r="E6" s="17" t="b">
        <v>0</v>
      </c>
      <c r="F6" s="50">
        <f>COUNTIFS(Fixtures[season], Stats[[#This Row],[season]], Fixtures[competition], Stats[[#This Row],[competition]], Fixtures[APP], TRUE)</f>
        <v>12</v>
      </c>
      <c r="G6" s="50">
        <f>COUNTIFS(Fixtures[season], Stats[[#This Row],[season]], Fixtures[competition], Stats[[#This Row],[competition]], Fixtures[APP], TRUE, Fixtures[result], "W")</f>
        <v>7</v>
      </c>
      <c r="H6" s="50">
        <f>COUNTIFS(Fixtures[season], Stats[[#This Row],[season]], Fixtures[competition], Stats[[#This Row],[competition]], Fixtures[APP], TRUE, Fixtures[result], "D")</f>
        <v>1</v>
      </c>
      <c r="I6" s="50">
        <f>COUNTIFS(Fixtures[season], Stats[[#This Row],[season]], Fixtures[competition], Stats[[#This Row],[competition]], Fixtures[APP], TRUE, Fixtures[result], "L")</f>
        <v>4</v>
      </c>
      <c r="J6" s="17">
        <f>SUMIFS(Fixtures[G], Fixtures[season], Stats[[#This Row],[season]], Fixtures[competition], Stats[[#This Row],[competition]], Fixtures[APP], TRUE)</f>
        <v>1</v>
      </c>
      <c r="K6" s="17">
        <f>SUMIFS(Fixtures[A], Fixtures[season], Stats[[#This Row],[season]], Fixtures[competition], Stats[[#This Row],[competition]], Fixtures[APP], TRUE)</f>
        <v>7</v>
      </c>
      <c r="L6" s="17">
        <f>SUMIFS(Fixtures[INV], Fixtures[season], Stats[[#This Row],[season]], Fixtures[competition], Stats[[#This Row],[competition]], Fixtures[APP], TRUE)</f>
        <v>8</v>
      </c>
      <c r="M6" s="17">
        <f>SUMIFS(Fixtures[YC], Fixtures[season], Stats[[#This Row],[season]], Fixtures[competition], Stats[[#This Row],[competition]], Fixtures[APP], TRUE)</f>
        <v>0</v>
      </c>
      <c r="N6" s="17">
        <f>SUMIFS(Fixtures[RC], Fixtures[season], Stats[[#This Row],[season]], Fixtures[competition], Stats[[#This Row],[competition]], Fixtures[APP], TRUE)</f>
        <v>0</v>
      </c>
      <c r="O6" s="19">
        <f>IFERROR(AVERAGEIFS(Fixtures[MR], Fixtures[season], Stats[[#This Row],[season]], Fixtures[competition], Stats[[#This Row],[competition]], Fixtures[APP], TRUE), "")</f>
        <v>7.3</v>
      </c>
      <c r="P6" s="50">
        <f>COUNTIFS(Fixtures[season], Stats[[#This Row],[season]], Fixtures[competition], Stats[[#This Row],[competition]], Fixtures[APP], TRUE, Fixtures[MOTM], TRUE)</f>
        <v>1</v>
      </c>
      <c r="Q6" s="17" t="str" cm="1">
        <f t="array" aca="1" ref="Q6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Quarter-Finals</v>
      </c>
    </row>
    <row r="7" spans="1:17">
      <c r="A7" s="17" t="s">
        <v>55</v>
      </c>
      <c r="B7" s="17" t="s">
        <v>16</v>
      </c>
      <c r="C7" s="17" t="s">
        <v>128</v>
      </c>
      <c r="D7" s="17" t="s">
        <v>128</v>
      </c>
      <c r="E7" s="17" t="b">
        <v>1</v>
      </c>
      <c r="F7" s="50">
        <f>COUNTIFS(Fixtures[season], Stats[[#This Row],[season]], Fixtures[competition], Stats[[#This Row],[competition]], Fixtures[APP], TRUE)</f>
        <v>8</v>
      </c>
      <c r="G7" s="50">
        <f>COUNTIFS(Fixtures[season], Stats[[#This Row],[season]], Fixtures[competition], Stats[[#This Row],[competition]], Fixtures[APP], TRUE, Fixtures[result], "W")</f>
        <v>2</v>
      </c>
      <c r="H7" s="50">
        <f>COUNTIFS(Fixtures[season], Stats[[#This Row],[season]], Fixtures[competition], Stats[[#This Row],[competition]], Fixtures[APP], TRUE, Fixtures[result], "D")</f>
        <v>3</v>
      </c>
      <c r="I7" s="50">
        <f>COUNTIFS(Fixtures[season], Stats[[#This Row],[season]], Fixtures[competition], Stats[[#This Row],[competition]], Fixtures[APP], TRUE, Fixtures[result], "L")</f>
        <v>3</v>
      </c>
      <c r="J7" s="17">
        <f>SUMIFS(Fixtures[G], Fixtures[season], Stats[[#This Row],[season]], Fixtures[competition], Stats[[#This Row],[competition]], Fixtures[APP], TRUE)</f>
        <v>0</v>
      </c>
      <c r="K7" s="17">
        <f>SUMIFS(Fixtures[A], Fixtures[season], Stats[[#This Row],[season]], Fixtures[competition], Stats[[#This Row],[competition]], Fixtures[APP], TRUE)</f>
        <v>2</v>
      </c>
      <c r="L7" s="17">
        <f>SUMIFS(Fixtures[INV], Fixtures[season], Stats[[#This Row],[season]], Fixtures[competition], Stats[[#This Row],[competition]], Fixtures[APP], TRUE)</f>
        <v>2</v>
      </c>
      <c r="M7" s="17">
        <f>SUMIFS(Fixtures[YC], Fixtures[season], Stats[[#This Row],[season]], Fixtures[competition], Stats[[#This Row],[competition]], Fixtures[APP], TRUE)</f>
        <v>0</v>
      </c>
      <c r="N7" s="17">
        <f>SUMIFS(Fixtures[RC], Fixtures[season], Stats[[#This Row],[season]], Fixtures[competition], Stats[[#This Row],[competition]], Fixtures[APP], TRUE)</f>
        <v>0</v>
      </c>
      <c r="O7" s="19">
        <f>IFERROR(AVERAGEIFS(Fixtures[MR], Fixtures[season], Stats[[#This Row],[season]], Fixtures[competition], Stats[[#This Row],[competition]], Fixtures[APP], TRUE), "")</f>
        <v>6.9249999999999998</v>
      </c>
      <c r="P7" s="50">
        <f>COUNTIFS(Fixtures[season], Stats[[#This Row],[season]], Fixtures[competition], Stats[[#This Row],[competition]], Fixtures[APP], TRUE, Fixtures[MOTM], TRUE)</f>
        <v>1</v>
      </c>
      <c r="Q7" s="17" t="str" cm="1">
        <f t="array" aca="1" ref="Q7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N/A</v>
      </c>
    </row>
    <row r="8" spans="1:17" s="1" customFormat="1">
      <c r="A8" s="17" t="s">
        <v>58</v>
      </c>
      <c r="B8" s="17" t="s">
        <v>169</v>
      </c>
      <c r="C8" s="17" t="s">
        <v>180</v>
      </c>
      <c r="D8" s="17" t="s">
        <v>363</v>
      </c>
      <c r="E8" s="17" t="b">
        <v>0</v>
      </c>
      <c r="F8" s="50">
        <f>COUNTIFS(Fixtures[season], Stats[[#This Row],[season]], Fixtures[competition], Stats[[#This Row],[competition]], Fixtures[APP], TRUE)</f>
        <v>2</v>
      </c>
      <c r="G8" s="50">
        <f>COUNTIFS(Fixtures[season], Stats[[#This Row],[season]], Fixtures[competition], Stats[[#This Row],[competition]], Fixtures[APP], TRUE, Fixtures[result], "W")</f>
        <v>1</v>
      </c>
      <c r="H8" s="50">
        <f>COUNTIFS(Fixtures[season], Stats[[#This Row],[season]], Fixtures[competition], Stats[[#This Row],[competition]], Fixtures[APP], TRUE, Fixtures[result], "D")</f>
        <v>0</v>
      </c>
      <c r="I8" s="50">
        <f>COUNTIFS(Fixtures[season], Stats[[#This Row],[season]], Fixtures[competition], Stats[[#This Row],[competition]], Fixtures[APP], TRUE, Fixtures[result], "L")</f>
        <v>1</v>
      </c>
      <c r="J8" s="17">
        <f>SUMIFS(Fixtures[G], Fixtures[season], Stats[[#This Row],[season]], Fixtures[competition], Stats[[#This Row],[competition]], Fixtures[APP], TRUE)</f>
        <v>0</v>
      </c>
      <c r="K8" s="17">
        <f>SUMIFS(Fixtures[A], Fixtures[season], Stats[[#This Row],[season]], Fixtures[competition], Stats[[#This Row],[competition]], Fixtures[APP], TRUE)</f>
        <v>0</v>
      </c>
      <c r="L8" s="17">
        <f>SUMIFS(Fixtures[INV], Fixtures[season], Stats[[#This Row],[season]], Fixtures[competition], Stats[[#This Row],[competition]], Fixtures[APP], TRUE)</f>
        <v>0</v>
      </c>
      <c r="M8" s="17">
        <f>SUMIFS(Fixtures[YC], Fixtures[season], Stats[[#This Row],[season]], Fixtures[competition], Stats[[#This Row],[competition]], Fixtures[APP], TRUE)</f>
        <v>0</v>
      </c>
      <c r="N8" s="17">
        <f>SUMIFS(Fixtures[RC], Fixtures[season], Stats[[#This Row],[season]], Fixtures[competition], Stats[[#This Row],[competition]], Fixtures[APP], TRUE)</f>
        <v>0</v>
      </c>
      <c r="O8" s="19">
        <f>IFERROR(AVERAGEIFS(Fixtures[MR], Fixtures[season], Stats[[#This Row],[season]], Fixtures[competition], Stats[[#This Row],[competition]], Fixtures[APP], TRUE), "")</f>
        <v>6.5</v>
      </c>
      <c r="P8" s="50">
        <f>COUNTIFS(Fixtures[season], Stats[[#This Row],[season]], Fixtures[competition], Stats[[#This Row],[competition]], Fixtures[APP], TRUE, Fixtures[MOTM], TRUE)</f>
        <v>0</v>
      </c>
      <c r="Q8" s="17" t="str" cm="1">
        <f t="array" aca="1" ref="Q8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Round 2</v>
      </c>
    </row>
    <row r="9" spans="1:17" s="32" customFormat="1">
      <c r="A9" s="17" t="s">
        <v>58</v>
      </c>
      <c r="B9" s="17" t="s">
        <v>169</v>
      </c>
      <c r="C9" s="17" t="s">
        <v>168</v>
      </c>
      <c r="D9" s="17" t="s">
        <v>364</v>
      </c>
      <c r="E9" s="17" t="b">
        <v>1</v>
      </c>
      <c r="F9" s="50">
        <f>COUNTIFS(Fixtures[season], Stats[[#This Row],[season]], Fixtures[competition], Stats[[#This Row],[competition]], Fixtures[APP], TRUE)</f>
        <v>3</v>
      </c>
      <c r="G9" s="50">
        <f>COUNTIFS(Fixtures[season], Stats[[#This Row],[season]], Fixtures[competition], Stats[[#This Row],[competition]], Fixtures[APP], TRUE, Fixtures[result], "W")</f>
        <v>2</v>
      </c>
      <c r="H9" s="50">
        <f>COUNTIFS(Fixtures[season], Stats[[#This Row],[season]], Fixtures[competition], Stats[[#This Row],[competition]], Fixtures[APP], TRUE, Fixtures[result], "D")</f>
        <v>0</v>
      </c>
      <c r="I9" s="50">
        <f>COUNTIFS(Fixtures[season], Stats[[#This Row],[season]], Fixtures[competition], Stats[[#This Row],[competition]], Fixtures[APP], TRUE, Fixtures[result], "L")</f>
        <v>1</v>
      </c>
      <c r="J9" s="17">
        <f>SUMIFS(Fixtures[G], Fixtures[season], Stats[[#This Row],[season]], Fixtures[competition], Stats[[#This Row],[competition]], Fixtures[APP], TRUE)</f>
        <v>1</v>
      </c>
      <c r="K9" s="17">
        <f>SUMIFS(Fixtures[A], Fixtures[season], Stats[[#This Row],[season]], Fixtures[competition], Stats[[#This Row],[competition]], Fixtures[APP], TRUE)</f>
        <v>2</v>
      </c>
      <c r="L9" s="17">
        <f>SUMIFS(Fixtures[INV], Fixtures[season], Stats[[#This Row],[season]], Fixtures[competition], Stats[[#This Row],[competition]], Fixtures[APP], TRUE)</f>
        <v>3</v>
      </c>
      <c r="M9" s="17">
        <f>SUMIFS(Fixtures[YC], Fixtures[season], Stats[[#This Row],[season]], Fixtures[competition], Stats[[#This Row],[competition]], Fixtures[APP], TRUE)</f>
        <v>0</v>
      </c>
      <c r="N9" s="17">
        <f>SUMIFS(Fixtures[RC], Fixtures[season], Stats[[#This Row],[season]], Fixtures[competition], Stats[[#This Row],[competition]], Fixtures[APP], TRUE)</f>
        <v>0</v>
      </c>
      <c r="O9" s="19">
        <f>IFERROR(AVERAGEIFS(Fixtures[MR], Fixtures[season], Stats[[#This Row],[season]], Fixtures[competition], Stats[[#This Row],[competition]], Fixtures[APP], TRUE), "")</f>
        <v>7.2</v>
      </c>
      <c r="P9" s="50">
        <f>COUNTIFS(Fixtures[season], Stats[[#This Row],[season]], Fixtures[competition], Stats[[#This Row],[competition]], Fixtures[APP], TRUE, Fixtures[MOTM], TRUE)</f>
        <v>0</v>
      </c>
      <c r="Q9" s="17" t="str" cm="1">
        <f t="array" aca="1" ref="Q9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Winner</v>
      </c>
    </row>
    <row r="10" spans="1:17">
      <c r="A10" s="17" t="s">
        <v>58</v>
      </c>
      <c r="B10" s="17" t="s">
        <v>169</v>
      </c>
      <c r="C10" s="17" t="s">
        <v>176</v>
      </c>
      <c r="D10" s="17" t="s">
        <v>362</v>
      </c>
      <c r="E10" s="17" t="b">
        <v>0</v>
      </c>
      <c r="F10" s="50">
        <f>COUNTIFS(Fixtures[season], Stats[[#This Row],[season]], Fixtures[competition], Stats[[#This Row],[competition]], Fixtures[APP], TRUE)</f>
        <v>42</v>
      </c>
      <c r="G10" s="50">
        <f>COUNTIFS(Fixtures[season], Stats[[#This Row],[season]], Fixtures[competition], Stats[[#This Row],[competition]], Fixtures[APP], TRUE, Fixtures[result], "W")</f>
        <v>27</v>
      </c>
      <c r="H10" s="50">
        <f>COUNTIFS(Fixtures[season], Stats[[#This Row],[season]], Fixtures[competition], Stats[[#This Row],[competition]], Fixtures[APP], TRUE, Fixtures[result], "D")</f>
        <v>12</v>
      </c>
      <c r="I10" s="50">
        <f>COUNTIFS(Fixtures[season], Stats[[#This Row],[season]], Fixtures[competition], Stats[[#This Row],[competition]], Fixtures[APP], TRUE, Fixtures[result], "L")</f>
        <v>3</v>
      </c>
      <c r="J10" s="17">
        <f>SUMIFS(Fixtures[G], Fixtures[season], Stats[[#This Row],[season]], Fixtures[competition], Stats[[#This Row],[competition]], Fixtures[APP], TRUE)</f>
        <v>12</v>
      </c>
      <c r="K10" s="17">
        <f>SUMIFS(Fixtures[A], Fixtures[season], Stats[[#This Row],[season]], Fixtures[competition], Stats[[#This Row],[competition]], Fixtures[APP], TRUE)</f>
        <v>20</v>
      </c>
      <c r="L10" s="17">
        <f>SUMIFS(Fixtures[INV], Fixtures[season], Stats[[#This Row],[season]], Fixtures[competition], Stats[[#This Row],[competition]], Fixtures[APP], TRUE)</f>
        <v>32</v>
      </c>
      <c r="M10" s="17">
        <f>SUMIFS(Fixtures[YC], Fixtures[season], Stats[[#This Row],[season]], Fixtures[competition], Stats[[#This Row],[competition]], Fixtures[APP], TRUE)</f>
        <v>0</v>
      </c>
      <c r="N10" s="17">
        <f>SUMIFS(Fixtures[RC], Fixtures[season], Stats[[#This Row],[season]], Fixtures[competition], Stats[[#This Row],[competition]], Fixtures[APP], TRUE)</f>
        <v>0</v>
      </c>
      <c r="O10" s="19">
        <f>IFERROR(AVERAGEIFS(Fixtures[MR], Fixtures[season], Stats[[#This Row],[season]], Fixtures[competition], Stats[[#This Row],[competition]], Fixtures[APP], TRUE), "")</f>
        <v>7.3047619047619037</v>
      </c>
      <c r="P10" s="50">
        <f>COUNTIFS(Fixtures[season], Stats[[#This Row],[season]], Fixtures[competition], Stats[[#This Row],[competition]], Fixtures[APP], TRUE, Fixtures[MOTM], TRUE)</f>
        <v>17</v>
      </c>
      <c r="Q10" s="17" t="str" cm="1">
        <f t="array" aca="1" ref="Q10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Winner</v>
      </c>
    </row>
    <row r="11" spans="1:17">
      <c r="A11" s="17" t="s">
        <v>58</v>
      </c>
      <c r="B11" s="17" t="s">
        <v>169</v>
      </c>
      <c r="C11" s="17" t="s">
        <v>243</v>
      </c>
      <c r="D11" s="17" t="s">
        <v>363</v>
      </c>
      <c r="E11" s="17" t="b">
        <v>0</v>
      </c>
      <c r="F11" s="50">
        <f>COUNTIFS(Fixtures[season], Stats[[#This Row],[season]], Fixtures[competition], Stats[[#This Row],[competition]], Fixtures[APP], TRUE)</f>
        <v>3</v>
      </c>
      <c r="G11" s="50">
        <f>COUNTIFS(Fixtures[season], Stats[[#This Row],[season]], Fixtures[competition], Stats[[#This Row],[competition]], Fixtures[APP], TRUE, Fixtures[result], "W")</f>
        <v>1</v>
      </c>
      <c r="H11" s="50">
        <f>COUNTIFS(Fixtures[season], Stats[[#This Row],[season]], Fixtures[competition], Stats[[#This Row],[competition]], Fixtures[APP], TRUE, Fixtures[result], "D")</f>
        <v>1</v>
      </c>
      <c r="I11" s="50">
        <f>COUNTIFS(Fixtures[season], Stats[[#This Row],[season]], Fixtures[competition], Stats[[#This Row],[competition]], Fixtures[APP], TRUE, Fixtures[result], "L")</f>
        <v>1</v>
      </c>
      <c r="J11" s="17">
        <f>SUMIFS(Fixtures[G], Fixtures[season], Stats[[#This Row],[season]], Fixtures[competition], Stats[[#This Row],[competition]], Fixtures[APP], TRUE)</f>
        <v>1</v>
      </c>
      <c r="K11" s="17">
        <f>SUMIFS(Fixtures[A], Fixtures[season], Stats[[#This Row],[season]], Fixtures[competition], Stats[[#This Row],[competition]], Fixtures[APP], TRUE)</f>
        <v>2</v>
      </c>
      <c r="L11" s="17">
        <f>SUMIFS(Fixtures[INV], Fixtures[season], Stats[[#This Row],[season]], Fixtures[competition], Stats[[#This Row],[competition]], Fixtures[APP], TRUE)</f>
        <v>3</v>
      </c>
      <c r="M11" s="17">
        <f>SUMIFS(Fixtures[YC], Fixtures[season], Stats[[#This Row],[season]], Fixtures[competition], Stats[[#This Row],[competition]], Fixtures[APP], TRUE)</f>
        <v>0</v>
      </c>
      <c r="N11" s="17">
        <f>SUMIFS(Fixtures[RC], Fixtures[season], Stats[[#This Row],[season]], Fixtures[competition], Stats[[#This Row],[competition]], Fixtures[APP], TRUE)</f>
        <v>0</v>
      </c>
      <c r="O11" s="19">
        <f>IFERROR(AVERAGEIFS(Fixtures[MR], Fixtures[season], Stats[[#This Row],[season]], Fixtures[competition], Stats[[#This Row],[competition]], Fixtures[APP], TRUE), "")</f>
        <v>7.7666666666666657</v>
      </c>
      <c r="P11" s="50">
        <f>COUNTIFS(Fixtures[season], Stats[[#This Row],[season]], Fixtures[competition], Stats[[#This Row],[competition]], Fixtures[APP], TRUE, Fixtures[MOTM], TRUE)</f>
        <v>2</v>
      </c>
      <c r="Q11" s="17" t="str" cm="1">
        <f t="array" aca="1" ref="Q11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Round 4</v>
      </c>
    </row>
    <row r="12" spans="1:17">
      <c r="A12" s="17" t="s">
        <v>58</v>
      </c>
      <c r="B12" s="17" t="s">
        <v>16</v>
      </c>
      <c r="C12" s="17" t="s">
        <v>128</v>
      </c>
      <c r="D12" s="17" t="s">
        <v>128</v>
      </c>
      <c r="E12" s="17" t="b">
        <v>1</v>
      </c>
      <c r="F12" s="50">
        <f>COUNTIFS(Fixtures[season], Stats[[#This Row],[season]], Fixtures[competition], Stats[[#This Row],[competition]], Fixtures[APP], TRUE)</f>
        <v>8</v>
      </c>
      <c r="G12" s="50">
        <f>COUNTIFS(Fixtures[season], Stats[[#This Row],[season]], Fixtures[competition], Stats[[#This Row],[competition]], Fixtures[APP], TRUE, Fixtures[result], "W")</f>
        <v>6</v>
      </c>
      <c r="H12" s="50">
        <f>COUNTIFS(Fixtures[season], Stats[[#This Row],[season]], Fixtures[competition], Stats[[#This Row],[competition]], Fixtures[APP], TRUE, Fixtures[result], "D")</f>
        <v>1</v>
      </c>
      <c r="I12" s="50">
        <f>COUNTIFS(Fixtures[season], Stats[[#This Row],[season]], Fixtures[competition], Stats[[#This Row],[competition]], Fixtures[APP], TRUE, Fixtures[result], "L")</f>
        <v>1</v>
      </c>
      <c r="J12" s="17">
        <f>SUMIFS(Fixtures[G], Fixtures[season], Stats[[#This Row],[season]], Fixtures[competition], Stats[[#This Row],[competition]], Fixtures[APP], TRUE)</f>
        <v>2</v>
      </c>
      <c r="K12" s="17">
        <f>SUMIFS(Fixtures[A], Fixtures[season], Stats[[#This Row],[season]], Fixtures[competition], Stats[[#This Row],[competition]], Fixtures[APP], TRUE)</f>
        <v>5</v>
      </c>
      <c r="L12" s="17">
        <f>SUMIFS(Fixtures[INV], Fixtures[season], Stats[[#This Row],[season]], Fixtures[competition], Stats[[#This Row],[competition]], Fixtures[APP], TRUE)</f>
        <v>7</v>
      </c>
      <c r="M12" s="17">
        <f>SUMIFS(Fixtures[YC], Fixtures[season], Stats[[#This Row],[season]], Fixtures[competition], Stats[[#This Row],[competition]], Fixtures[APP], TRUE)</f>
        <v>0</v>
      </c>
      <c r="N12" s="17">
        <f>SUMIFS(Fixtures[RC], Fixtures[season], Stats[[#This Row],[season]], Fixtures[competition], Stats[[#This Row],[competition]], Fixtures[APP], TRUE)</f>
        <v>0</v>
      </c>
      <c r="O12" s="19">
        <f>IFERROR(AVERAGEIFS(Fixtures[MR], Fixtures[season], Stats[[#This Row],[season]], Fixtures[competition], Stats[[#This Row],[competition]], Fixtures[APP], TRUE), "")</f>
        <v>7.7124999999999995</v>
      </c>
      <c r="P12" s="50">
        <f>COUNTIFS(Fixtures[season], Stats[[#This Row],[season]], Fixtures[competition], Stats[[#This Row],[competition]], Fixtures[APP], TRUE, Fixtures[MOTM], TRUE)</f>
        <v>4</v>
      </c>
      <c r="Q12" s="17" t="str" cm="1">
        <f t="array" aca="1" ref="Q12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N/A</v>
      </c>
    </row>
    <row r="13" spans="1:17">
      <c r="A13" s="17" t="s">
        <v>59</v>
      </c>
      <c r="B13" s="17" t="s">
        <v>262</v>
      </c>
      <c r="C13" s="17" t="s">
        <v>261</v>
      </c>
      <c r="D13" s="17" t="s">
        <v>362</v>
      </c>
      <c r="E13" s="17" t="b">
        <v>0</v>
      </c>
      <c r="F13" s="50">
        <f>COUNTIFS(Fixtures[season], Stats[[#This Row],[season]], Fixtures[competition], Stats[[#This Row],[competition]], Fixtures[APP], TRUE)</f>
        <v>34</v>
      </c>
      <c r="G13" s="50">
        <f>COUNTIFS(Fixtures[season], Stats[[#This Row],[season]], Fixtures[competition], Stats[[#This Row],[competition]], Fixtures[APP], TRUE, Fixtures[result], "W")</f>
        <v>19</v>
      </c>
      <c r="H13" s="50">
        <f>COUNTIFS(Fixtures[season], Stats[[#This Row],[season]], Fixtures[competition], Stats[[#This Row],[competition]], Fixtures[APP], TRUE, Fixtures[result], "D")</f>
        <v>10</v>
      </c>
      <c r="I13" s="50">
        <f>COUNTIFS(Fixtures[season], Stats[[#This Row],[season]], Fixtures[competition], Stats[[#This Row],[competition]], Fixtures[APP], TRUE, Fixtures[result], "L")</f>
        <v>5</v>
      </c>
      <c r="J13" s="17">
        <f>SUMIFS(Fixtures[G], Fixtures[season], Stats[[#This Row],[season]], Fixtures[competition], Stats[[#This Row],[competition]], Fixtures[APP], TRUE)</f>
        <v>8</v>
      </c>
      <c r="K13" s="17">
        <f>SUMIFS(Fixtures[A], Fixtures[season], Stats[[#This Row],[season]], Fixtures[competition], Stats[[#This Row],[competition]], Fixtures[APP], TRUE)</f>
        <v>13</v>
      </c>
      <c r="L13" s="17">
        <f>SUMIFS(Fixtures[INV], Fixtures[season], Stats[[#This Row],[season]], Fixtures[competition], Stats[[#This Row],[competition]], Fixtures[APP], TRUE)</f>
        <v>21</v>
      </c>
      <c r="M13" s="17">
        <f>SUMIFS(Fixtures[YC], Fixtures[season], Stats[[#This Row],[season]], Fixtures[competition], Stats[[#This Row],[competition]], Fixtures[APP], TRUE)</f>
        <v>1</v>
      </c>
      <c r="N13" s="17">
        <f>SUMIFS(Fixtures[RC], Fixtures[season], Stats[[#This Row],[season]], Fixtures[competition], Stats[[#This Row],[competition]], Fixtures[APP], TRUE)</f>
        <v>0</v>
      </c>
      <c r="O13" s="19">
        <f>IFERROR(AVERAGEIFS(Fixtures[MR], Fixtures[season], Stats[[#This Row],[season]], Fixtures[competition], Stats[[#This Row],[competition]], Fixtures[APP], TRUE), "")</f>
        <v>7.538235294117646</v>
      </c>
      <c r="P13" s="50">
        <f>COUNTIFS(Fixtures[season], Stats[[#This Row],[season]], Fixtures[competition], Stats[[#This Row],[competition]], Fixtures[APP], TRUE, Fixtures[MOTM], TRUE)</f>
        <v>11</v>
      </c>
      <c r="Q13" s="17" t="str" cm="1">
        <f t="array" aca="1" ref="Q13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2nd Place</v>
      </c>
    </row>
    <row r="14" spans="1:17">
      <c r="A14" s="17" t="s">
        <v>59</v>
      </c>
      <c r="B14" s="17" t="s">
        <v>262</v>
      </c>
      <c r="C14" s="17" t="s">
        <v>277</v>
      </c>
      <c r="D14" s="17" t="s">
        <v>363</v>
      </c>
      <c r="E14" s="17" t="b">
        <v>0</v>
      </c>
      <c r="F14" s="50">
        <f>COUNTIFS(Fixtures[season], Stats[[#This Row],[season]], Fixtures[competition], Stats[[#This Row],[competition]], Fixtures[APP], TRUE)</f>
        <v>2</v>
      </c>
      <c r="G14" s="50">
        <f>COUNTIFS(Fixtures[season], Stats[[#This Row],[season]], Fixtures[competition], Stats[[#This Row],[competition]], Fixtures[APP], TRUE, Fixtures[result], "W")</f>
        <v>1</v>
      </c>
      <c r="H14" s="50">
        <f>COUNTIFS(Fixtures[season], Stats[[#This Row],[season]], Fixtures[competition], Stats[[#This Row],[competition]], Fixtures[APP], TRUE, Fixtures[result], "D")</f>
        <v>0</v>
      </c>
      <c r="I14" s="50">
        <f>COUNTIFS(Fixtures[season], Stats[[#This Row],[season]], Fixtures[competition], Stats[[#This Row],[competition]], Fixtures[APP], TRUE, Fixtures[result], "L")</f>
        <v>1</v>
      </c>
      <c r="J14" s="17">
        <f>SUMIFS(Fixtures[G], Fixtures[season], Stats[[#This Row],[season]], Fixtures[competition], Stats[[#This Row],[competition]], Fixtures[APP], TRUE)</f>
        <v>1</v>
      </c>
      <c r="K14" s="17">
        <f>SUMIFS(Fixtures[A], Fixtures[season], Stats[[#This Row],[season]], Fixtures[competition], Stats[[#This Row],[competition]], Fixtures[APP], TRUE)</f>
        <v>1</v>
      </c>
      <c r="L14" s="17">
        <f>SUMIFS(Fixtures[INV], Fixtures[season], Stats[[#This Row],[season]], Fixtures[competition], Stats[[#This Row],[competition]], Fixtures[APP], TRUE)</f>
        <v>2</v>
      </c>
      <c r="M14" s="17">
        <f>SUMIFS(Fixtures[YC], Fixtures[season], Stats[[#This Row],[season]], Fixtures[competition], Stats[[#This Row],[competition]], Fixtures[APP], TRUE)</f>
        <v>0</v>
      </c>
      <c r="N14" s="17">
        <f>SUMIFS(Fixtures[RC], Fixtures[season], Stats[[#This Row],[season]], Fixtures[competition], Stats[[#This Row],[competition]], Fixtures[APP], TRUE)</f>
        <v>0</v>
      </c>
      <c r="O14" s="19">
        <f>IFERROR(AVERAGEIFS(Fixtures[MR], Fixtures[season], Stats[[#This Row],[season]], Fixtures[competition], Stats[[#This Row],[competition]], Fixtures[APP], TRUE), "")</f>
        <v>8.0500000000000007</v>
      </c>
      <c r="P14" s="50">
        <f>COUNTIFS(Fixtures[season], Stats[[#This Row],[season]], Fixtures[competition], Stats[[#This Row],[competition]], Fixtures[APP], TRUE, Fixtures[MOTM], TRUE)</f>
        <v>1</v>
      </c>
      <c r="Q14" s="17" t="str" cm="1">
        <f t="array" aca="1" ref="Q14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Round 3</v>
      </c>
    </row>
    <row r="15" spans="1:17">
      <c r="A15" s="17" t="s">
        <v>59</v>
      </c>
      <c r="B15" s="17" t="s">
        <v>262</v>
      </c>
      <c r="C15" s="17" t="s">
        <v>274</v>
      </c>
      <c r="D15" s="17" t="s">
        <v>366</v>
      </c>
      <c r="E15" s="17" t="b">
        <v>0</v>
      </c>
      <c r="F15" s="50">
        <f>COUNTIFS(Fixtures[season], Stats[[#This Row],[season]], Fixtures[competition], Stats[[#This Row],[competition]], Fixtures[APP], TRUE)</f>
        <v>12</v>
      </c>
      <c r="G15" s="50">
        <f>COUNTIFS(Fixtures[season], Stats[[#This Row],[season]], Fixtures[competition], Stats[[#This Row],[competition]], Fixtures[APP], TRUE, Fixtures[result], "W")</f>
        <v>7</v>
      </c>
      <c r="H15" s="50">
        <f>COUNTIFS(Fixtures[season], Stats[[#This Row],[season]], Fixtures[competition], Stats[[#This Row],[competition]], Fixtures[APP], TRUE, Fixtures[result], "D")</f>
        <v>2</v>
      </c>
      <c r="I15" s="50">
        <f>COUNTIFS(Fixtures[season], Stats[[#This Row],[season]], Fixtures[competition], Stats[[#This Row],[competition]], Fixtures[APP], TRUE, Fixtures[result], "L")</f>
        <v>3</v>
      </c>
      <c r="J15" s="17">
        <f>SUMIFS(Fixtures[G], Fixtures[season], Stats[[#This Row],[season]], Fixtures[competition], Stats[[#This Row],[competition]], Fixtures[APP], TRUE)</f>
        <v>2</v>
      </c>
      <c r="K15" s="17">
        <f>SUMIFS(Fixtures[A], Fixtures[season], Stats[[#This Row],[season]], Fixtures[competition], Stats[[#This Row],[competition]], Fixtures[APP], TRUE)</f>
        <v>5</v>
      </c>
      <c r="L15" s="17">
        <f>SUMIFS(Fixtures[INV], Fixtures[season], Stats[[#This Row],[season]], Fixtures[competition], Stats[[#This Row],[competition]], Fixtures[APP], TRUE)</f>
        <v>7</v>
      </c>
      <c r="M15" s="17">
        <f>SUMIFS(Fixtures[YC], Fixtures[season], Stats[[#This Row],[season]], Fixtures[competition], Stats[[#This Row],[competition]], Fixtures[APP], TRUE)</f>
        <v>0</v>
      </c>
      <c r="N15" s="17">
        <f>SUMIFS(Fixtures[RC], Fixtures[season], Stats[[#This Row],[season]], Fixtures[competition], Stats[[#This Row],[competition]], Fixtures[APP], TRUE)</f>
        <v>0</v>
      </c>
      <c r="O15" s="19">
        <f>IFERROR(AVERAGEIFS(Fixtures[MR], Fixtures[season], Stats[[#This Row],[season]], Fixtures[competition], Stats[[#This Row],[competition]], Fixtures[APP], TRUE), "")</f>
        <v>7.491666666666668</v>
      </c>
      <c r="P15" s="50">
        <f>COUNTIFS(Fixtures[season], Stats[[#This Row],[season]], Fixtures[competition], Stats[[#This Row],[competition]], Fixtures[APP], TRUE, Fixtures[MOTM], TRUE)</f>
        <v>4</v>
      </c>
      <c r="Q15" s="17" t="str" cm="1">
        <f t="array" aca="1" ref="Q15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Semi-Finals</v>
      </c>
    </row>
    <row r="16" spans="1:17">
      <c r="A16" s="17" t="s">
        <v>59</v>
      </c>
      <c r="B16" s="17" t="s">
        <v>16</v>
      </c>
      <c r="C16" s="17" t="s">
        <v>128</v>
      </c>
      <c r="D16" s="17" t="s">
        <v>128</v>
      </c>
      <c r="E16" s="17" t="b">
        <v>1</v>
      </c>
      <c r="F16" s="50">
        <f>COUNTIFS(Fixtures[season], Stats[[#This Row],[season]], Fixtures[competition], Stats[[#This Row],[competition]], Fixtures[APP], TRUE)</f>
        <v>8</v>
      </c>
      <c r="G16" s="50">
        <f>COUNTIFS(Fixtures[season], Stats[[#This Row],[season]], Fixtures[competition], Stats[[#This Row],[competition]], Fixtures[APP], TRUE, Fixtures[result], "W")</f>
        <v>2</v>
      </c>
      <c r="H16" s="50">
        <f>COUNTIFS(Fixtures[season], Stats[[#This Row],[season]], Fixtures[competition], Stats[[#This Row],[competition]], Fixtures[APP], TRUE, Fixtures[result], "D")</f>
        <v>4</v>
      </c>
      <c r="I16" s="50">
        <f>COUNTIFS(Fixtures[season], Stats[[#This Row],[season]], Fixtures[competition], Stats[[#This Row],[competition]], Fixtures[APP], TRUE, Fixtures[result], "L")</f>
        <v>2</v>
      </c>
      <c r="J16" s="17">
        <f>SUMIFS(Fixtures[G], Fixtures[season], Stats[[#This Row],[season]], Fixtures[competition], Stats[[#This Row],[competition]], Fixtures[APP], TRUE)</f>
        <v>0</v>
      </c>
      <c r="K16" s="17">
        <f>SUMIFS(Fixtures[A], Fixtures[season], Stats[[#This Row],[season]], Fixtures[competition], Stats[[#This Row],[competition]], Fixtures[APP], TRUE)</f>
        <v>5</v>
      </c>
      <c r="L16" s="17">
        <f>SUMIFS(Fixtures[INV], Fixtures[season], Stats[[#This Row],[season]], Fixtures[competition], Stats[[#This Row],[competition]], Fixtures[APP], TRUE)</f>
        <v>5</v>
      </c>
      <c r="M16" s="17">
        <f>SUMIFS(Fixtures[YC], Fixtures[season], Stats[[#This Row],[season]], Fixtures[competition], Stats[[#This Row],[competition]], Fixtures[APP], TRUE)</f>
        <v>0</v>
      </c>
      <c r="N16" s="17">
        <f>SUMIFS(Fixtures[RC], Fixtures[season], Stats[[#This Row],[season]], Fixtures[competition], Stats[[#This Row],[competition]], Fixtures[APP], TRUE)</f>
        <v>0</v>
      </c>
      <c r="O16" s="19">
        <f>IFERROR(AVERAGEIFS(Fixtures[MR], Fixtures[season], Stats[[#This Row],[season]], Fixtures[competition], Stats[[#This Row],[competition]], Fixtures[APP], TRUE), "")</f>
        <v>7.2874999999999996</v>
      </c>
      <c r="P16" s="50">
        <f>COUNTIFS(Fixtures[season], Stats[[#This Row],[season]], Fixtures[competition], Stats[[#This Row],[competition]], Fixtures[APP], TRUE, Fixtures[MOTM], TRUE)</f>
        <v>3</v>
      </c>
      <c r="Q16" s="17" t="str" cm="1">
        <f t="array" aca="1" ref="Q16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N/A</v>
      </c>
    </row>
    <row r="17" spans="1:17">
      <c r="A17" s="17" t="s">
        <v>59</v>
      </c>
      <c r="B17" s="17" t="s">
        <v>16</v>
      </c>
      <c r="C17" s="17" t="s">
        <v>334</v>
      </c>
      <c r="D17" s="17" t="s">
        <v>367</v>
      </c>
      <c r="E17" s="17" t="b">
        <v>0</v>
      </c>
      <c r="F17" s="50">
        <f>COUNTIFS(Fixtures[season], Stats[[#This Row],[season]], Fixtures[competition], Stats[[#This Row],[competition]], Fixtures[APP], TRUE)</f>
        <v>2</v>
      </c>
      <c r="G17" s="50">
        <f>COUNTIFS(Fixtures[season], Stats[[#This Row],[season]], Fixtures[competition], Stats[[#This Row],[competition]], Fixtures[APP], TRUE, Fixtures[result], "W")</f>
        <v>1</v>
      </c>
      <c r="H17" s="50">
        <f>COUNTIFS(Fixtures[season], Stats[[#This Row],[season]], Fixtures[competition], Stats[[#This Row],[competition]], Fixtures[APP], TRUE, Fixtures[result], "D")</f>
        <v>1</v>
      </c>
      <c r="I17" s="50">
        <f>COUNTIFS(Fixtures[season], Stats[[#This Row],[season]], Fixtures[competition], Stats[[#This Row],[competition]], Fixtures[APP], TRUE, Fixtures[result], "L")</f>
        <v>0</v>
      </c>
      <c r="J17" s="17">
        <f>SUMIFS(Fixtures[G], Fixtures[season], Stats[[#This Row],[season]], Fixtures[competition], Stats[[#This Row],[competition]], Fixtures[APP], TRUE)</f>
        <v>0</v>
      </c>
      <c r="K17" s="17">
        <f>SUMIFS(Fixtures[A], Fixtures[season], Stats[[#This Row],[season]], Fixtures[competition], Stats[[#This Row],[competition]], Fixtures[APP], TRUE)</f>
        <v>1</v>
      </c>
      <c r="L17" s="17">
        <f>SUMIFS(Fixtures[INV], Fixtures[season], Stats[[#This Row],[season]], Fixtures[competition], Stats[[#This Row],[competition]], Fixtures[APP], TRUE)</f>
        <v>1</v>
      </c>
      <c r="M17" s="17">
        <f>SUMIFS(Fixtures[YC], Fixtures[season], Stats[[#This Row],[season]], Fixtures[competition], Stats[[#This Row],[competition]], Fixtures[APP], TRUE)</f>
        <v>0</v>
      </c>
      <c r="N17" s="17">
        <f>SUMIFS(Fixtures[RC], Fixtures[season], Stats[[#This Row],[season]], Fixtures[competition], Stats[[#This Row],[competition]], Fixtures[APP], TRUE)</f>
        <v>0</v>
      </c>
      <c r="O17" s="19">
        <f>IFERROR(AVERAGEIFS(Fixtures[MR], Fixtures[season], Stats[[#This Row],[season]], Fixtures[competition], Stats[[#This Row],[competition]], Fixtures[APP], TRUE), "")</f>
        <v>7.8999999999999995</v>
      </c>
      <c r="P17" s="50">
        <f>COUNTIFS(Fixtures[season], Stats[[#This Row],[season]], Fixtures[competition], Stats[[#This Row],[competition]], Fixtures[APP], TRUE, Fixtures[MOTM], TRUE)</f>
        <v>1</v>
      </c>
      <c r="Q17" s="17" t="str" cm="1">
        <f t="array" aca="1" ref="Q17" ca="1">IF(_xlfn._xlws.FILTER(INDIRECT("Competitions["&amp;Stats[[#This Row],[season]]&amp;"]"), (Stats[[#This Row],[competition]] = Competitions[name])) = 0, "TBD", _xlfn._xlws.FILTER(INDIRECT("Competitions["&amp;Stats[[#This Row],[season]]&amp;"]"), (Stats[[#This Row],[competition]] = Competitions[name])))</f>
        <v>Quarter-Finals</v>
      </c>
    </row>
    <row r="18" spans="1:17">
      <c r="A18" s="12" t="s">
        <v>368</v>
      </c>
      <c r="B18" s="12" cm="1">
        <f t="array" aca="1" ref="B18" ca="1">SUM(IF(FREQUENCY(IF(SUBTOTAL(3,OFFSET(INDEX(Stats[team], 1),ROW(Stats[team])-ROW(INDEX(Stats[team], 1)),,1)), IF(Stats[team]&gt;"",MATCH("~"&amp;Stats[team],Stats[team]&amp;"",0))),ROW(Stats[team])-ROW(INDEX(Stats[team], 1))+1),1))</f>
        <v>4</v>
      </c>
      <c r="C18" s="12" cm="1">
        <f t="array" aca="1" ref="C18" ca="1">SUM(IF(FREQUENCY(IF(SUBTOTAL(3,OFFSET(INDEX(Stats[competition], 1),ROW(Stats[competition])-ROW(INDEX(Stats[competition], 1)),,1)), IF(Stats[competition]&gt;"",MATCH("~"&amp;Stats[competition],Stats[competition]&amp;"",0))),ROW(Stats[competition])-ROW(INDEX(Stats[competition], 1))+1),1))</f>
        <v>14</v>
      </c>
      <c r="D18" s="12" cm="1">
        <f t="array" aca="1" ref="D18" ca="1">SUM(IF(FREQUENCY(IF(SUBTOTAL(3,OFFSET(INDEX(Stats[compType], 1),ROW(Stats[compType])-ROW(INDEX(Stats[compType], 1)),,1)), IF(Stats[compType]&gt;"",MATCH("~"&amp;Stats[compType],Stats[compType]&amp;"",0))),ROW(Stats[compType])-ROW(INDEX(Stats[compType], 1))+1),1))</f>
        <v>7</v>
      </c>
      <c r="E18" s="12" cm="1">
        <f t="array" aca="1" ref="E18" ca="1">SUMPRODUCT(SUBTOTAL(3,OFFSET(Stats[exhibition],ROW(Stats[exhibition])-ROW(INDEX(Stats[exhibition], 1)),0,1)),--(Stats[exhibition]=TRUE))</f>
        <v>5</v>
      </c>
      <c r="F18" s="33">
        <f>SUBTOTAL(109,Stats[APP])</f>
        <v>186</v>
      </c>
      <c r="G18" s="33">
        <f>SUBTOTAL(109,Stats[W])</f>
        <v>99</v>
      </c>
      <c r="H18" s="33">
        <f>SUBTOTAL(109,Stats[D])</f>
        <v>49</v>
      </c>
      <c r="I18" s="33">
        <f>SUBTOTAL(109,Stats[L])</f>
        <v>38</v>
      </c>
      <c r="J18" s="33">
        <f>SUBTOTAL(109,Stats[G])</f>
        <v>40</v>
      </c>
      <c r="K18" s="33">
        <f>SUBTOTAL(109,Stats[A])</f>
        <v>84</v>
      </c>
      <c r="L18" s="33">
        <f>SUBTOTAL(109,Stats[INV])</f>
        <v>124</v>
      </c>
      <c r="M18" s="33">
        <f>SUBTOTAL(109,Stats[YC])</f>
        <v>1</v>
      </c>
      <c r="N18" s="33">
        <f>SUBTOTAL(109,Stats[RC])</f>
        <v>0</v>
      </c>
      <c r="O18" s="34" cm="1">
        <f t="array" aca="1" ref="O18" ca="1">IFERROR(SUMPRODUCT(Stats[APP],SUBTOTAL(109,OFFSET(Stats[AVG],ROW(Stats[AVG])-MIN(ROW(Stats[AVG])),0,1)))/SUBTOTAL(109,Stats[APP]), "")</f>
        <v>7.334946236559138</v>
      </c>
      <c r="P18" s="33">
        <f>SUBTOTAL(109,Stats[MOTM])</f>
        <v>53</v>
      </c>
      <c r="Q18" s="12" cm="1">
        <f t="array" aca="1" ref="Q18" ca="1">SUMPRODUCT(SUBTOTAL(3,OFFSET(Stats[result],ROW(Stats[result])-ROW(INDEX(Stats[result], 1)),0,1)),--(Stats[result]="Winner"))</f>
        <v>3</v>
      </c>
    </row>
  </sheetData>
  <conditionalFormatting sqref="Q2:Q17">
    <cfRule type="containsText" dxfId="35" priority="1" operator="containsText" text="Winner">
      <formula>NOT(ISERROR(SEARCH("Winner",Q2)))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F73C-AA41-4DEA-B99D-E38A4E41250E}">
  <sheetPr codeName="Sheet7"/>
  <dimension ref="A1:R55"/>
  <sheetViews>
    <sheetView zoomScaleNormal="100" workbookViewId="0">
      <selection activeCell="P19" sqref="P19"/>
    </sheetView>
  </sheetViews>
  <sheetFormatPr baseColWidth="10" defaultColWidth="11" defaultRowHeight="16"/>
  <cols>
    <col min="1" max="1" width="8.28515625" style="42" bestFit="1" customWidth="1"/>
    <col min="2" max="2" width="6.85546875" style="42" bestFit="1" customWidth="1"/>
    <col min="3" max="3" width="23.5703125" bestFit="1" customWidth="1"/>
    <col min="4" max="4" width="5.5703125" style="42" bestFit="1" customWidth="1"/>
    <col min="5" max="5" width="4" style="42" bestFit="1" customWidth="1"/>
    <col min="6" max="6" width="3.5703125" style="42" bestFit="1" customWidth="1"/>
    <col min="7" max="7" width="3.42578125" style="42" bestFit="1" customWidth="1"/>
    <col min="8" max="8" width="3.7109375" style="42" bestFit="1" customWidth="1"/>
    <col min="9" max="9" width="3.5703125" style="43" bestFit="1" customWidth="1"/>
    <col min="10" max="10" width="5" style="42" bestFit="1" customWidth="1"/>
    <col min="11" max="11" width="4.42578125" style="42" bestFit="1" customWidth="1"/>
    <col min="12" max="12" width="4.5703125" style="42" bestFit="1" customWidth="1"/>
    <col min="13" max="13" width="5.7109375" style="42" bestFit="1" customWidth="1"/>
    <col min="14" max="14" width="7" style="42" bestFit="1" customWidth="1"/>
    <col min="15" max="15" width="6.85546875" style="42" bestFit="1" customWidth="1"/>
    <col min="16" max="16" width="6.7109375" style="42" bestFit="1" customWidth="1"/>
    <col min="17" max="17" width="6.42578125" style="42" bestFit="1" customWidth="1"/>
    <col min="18" max="18" width="27.28515625" style="1" bestFit="1" customWidth="1"/>
    <col min="19" max="16384" width="11" style="42"/>
  </cols>
  <sheetData>
    <row r="1" spans="1:18" s="32" customFormat="1" ht="13">
      <c r="A1" s="6" t="s">
        <v>3</v>
      </c>
      <c r="B1" s="6" t="s">
        <v>40</v>
      </c>
      <c r="C1" s="6" t="s">
        <v>25</v>
      </c>
      <c r="D1" s="6" t="s">
        <v>2</v>
      </c>
      <c r="E1" s="6" t="s">
        <v>4</v>
      </c>
      <c r="F1" s="6" t="s">
        <v>359</v>
      </c>
      <c r="G1" s="6" t="s">
        <v>360</v>
      </c>
      <c r="H1" s="6" t="s">
        <v>5</v>
      </c>
      <c r="I1" s="6" t="s">
        <v>8</v>
      </c>
      <c r="J1" s="6" t="s">
        <v>11</v>
      </c>
      <c r="K1" s="30" t="s">
        <v>86</v>
      </c>
      <c r="L1" s="31" t="s">
        <v>87</v>
      </c>
      <c r="M1" s="6" t="s">
        <v>361</v>
      </c>
      <c r="N1" s="6" t="s">
        <v>14</v>
      </c>
      <c r="O1" s="6" t="s">
        <v>17</v>
      </c>
      <c r="P1" s="6" t="s">
        <v>19</v>
      </c>
      <c r="Q1" s="6" t="s">
        <v>20</v>
      </c>
      <c r="R1" s="6" t="s">
        <v>39</v>
      </c>
    </row>
    <row r="2" spans="1:18" s="31" customFormat="1" ht="13">
      <c r="A2" s="17" t="s">
        <v>55</v>
      </c>
      <c r="B2" s="17" t="str" cm="1">
        <f t="array" ref="B2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Past</v>
      </c>
      <c r="C2" s="17" t="str" cm="1">
        <f t="array" ref="C2">IFERROR(_xlfn.TEXTJOIN(" → ", TRUE, _xlfn.UNIQUE(_xlfn._xlws.FILTER(Fixtures[userTeam], (Fixtures[season] = Seasons[[#This Row],[season]])*(Fixtures[userTeamType] = "Club")))), "N/A")</f>
        <v>KRC Genk</v>
      </c>
      <c r="D2" s="17">
        <f>IF(Seasons[[#This Row],[club]] = "N/A", "N/A", SUMIFS(Stats[APP], Stats[season], Seasons[[#This Row],[season]], Stats[team], Seasons[[#This Row],[club]], Stats[exhibition], FALSE))</f>
        <v>59</v>
      </c>
      <c r="E2" s="17">
        <f>IF(Seasons[[#This Row],[club]] = "N/A", "N/A", SUMIFS(Stats[W], Stats[season], Seasons[[#This Row],[season]], Stats[team], Seasons[[#This Row],[club]], Stats[exhibition], FALSE))</f>
        <v>30</v>
      </c>
      <c r="F2" s="17">
        <f>IF(Seasons[[#This Row],[club]] = "N/A", "N/A", SUMIFS(Stats[D], Stats[season], Seasons[[#This Row],[season]], Stats[team], Seasons[[#This Row],[club]], Stats[exhibition], FALSE))</f>
        <v>15</v>
      </c>
      <c r="G2" s="17">
        <f>IF(Seasons[[#This Row],[club]] = "N/A", "N/A", SUMIFS(Stats[L], Stats[season], Seasons[[#This Row],[season]], Stats[team], Seasons[[#This Row],[club]], Stats[exhibition], FALSE))</f>
        <v>14</v>
      </c>
      <c r="H2" s="17">
        <f>IF(Seasons[[#This Row],[club]] = "N/A", "N/A", SUMIFS(Stats[G], Stats[season], Seasons[[#This Row],[season]], Stats[team], Seasons[[#This Row],[club]], Stats[exhibition], FALSE))</f>
        <v>13</v>
      </c>
      <c r="I2" s="17">
        <f>IF(Seasons[[#This Row],[club]] = "N/A", "N/A", SUMIFS(Stats[A], Stats[season], Seasons[[#This Row],[season]], Stats[team], Seasons[[#This Row],[club]], Stats[exhibition], FALSE))</f>
        <v>28</v>
      </c>
      <c r="J2" s="17">
        <f>IF(Seasons[[#This Row],[club]] = "N/A", "N/A", SUMIFS(Stats[INV], Stats[season], Seasons[[#This Row],[season]], Stats[team], Seasons[[#This Row],[club]], Stats[exhibition], FALSE))</f>
        <v>41</v>
      </c>
      <c r="K2" s="17">
        <f>IF(Seasons[[#This Row],[club]] = "N/A", "N/A", SUMIFS(Fixtures[YC], Fixtures[APP], TRUE, Fixtures[season], Seasons[[#This Row],[season]], Fixtures[exhibition], FALSE))</f>
        <v>0</v>
      </c>
      <c r="L2" s="17">
        <f>IF(Seasons[[#This Row],[club]] = "N/A", "N/A", SUMIFS(Fixtures[RC], Fixtures[APP], TRUE, Fixtures[season], Seasons[[#This Row],[season]], Fixtures[exhibition], FALSE))</f>
        <v>0</v>
      </c>
      <c r="M2" s="19">
        <f>IF(Seasons[[#This Row],[club]] = "N/A", "N/A", IFERROR(AVERAGEIFS(Fixtures[MR], Fixtures[season], Seasons[[#This Row],[season]], Fixtures[APP], TRUE, Fixtures[exhibition], FALSE), 0))</f>
        <v>7.250847457627116</v>
      </c>
      <c r="N2" s="17">
        <f>IF(Seasons[[#This Row],[club]] = "N/A", "N/A", COUNTIFS(Fixtures[APP], TRUE, Fixtures[season], Seasons[[#This Row],[season]], Fixtures[exhibition], FALSE, Fixtures[MOTM], TRUE))</f>
        <v>9</v>
      </c>
      <c r="O2" s="5">
        <v>4</v>
      </c>
      <c r="P2" s="5">
        <v>0</v>
      </c>
      <c r="Q2" s="5" t="b">
        <v>0</v>
      </c>
      <c r="R2" s="17" t="str" cm="1">
        <f t="array" aca="1" ref="R2" ca="1">IF(Seasons[[#This Row],[club]] = "N/A", "N/A", _xlfn.TEXTJOIN(", ", TRUE, _xlfn._xlws.FILTER(Stats[competition],(Stats[season]=Seasons[[#This Row],[season]])*(Stats[result]="Winner"),"None")))</f>
        <v>Croky Cup</v>
      </c>
    </row>
    <row r="3" spans="1:18" s="31" customFormat="1" ht="13">
      <c r="A3" s="17" t="s">
        <v>58</v>
      </c>
      <c r="B3" s="17" t="str" cm="1">
        <f t="array" ref="B3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Past</v>
      </c>
      <c r="C3" s="17" t="str" cm="1">
        <f t="array" ref="C3">IFERROR(_xlfn.TEXTJOIN(" → ", TRUE, _xlfn.UNIQUE(_xlfn._xlws.FILTER(Fixtures[userTeam], (Fixtures[season] = Seasons[[#This Row],[season]])*(Fixtures[userTeamType] = "Club")))), "N/A")</f>
        <v>Burnley</v>
      </c>
      <c r="D3" s="17">
        <f>IF(Seasons[[#This Row],[club]] = "N/A", "N/A", SUMIFS(Stats[APP], Stats[season], Seasons[[#This Row],[season]], Stats[team], Seasons[[#This Row],[club]], Stats[exhibition], FALSE))</f>
        <v>47</v>
      </c>
      <c r="E3" s="17">
        <f>IF(Seasons[[#This Row],[club]] = "N/A", "N/A", SUMIFS(Stats[W], Stats[season], Seasons[[#This Row],[season]], Stats[team], Seasons[[#This Row],[club]], Stats[exhibition], FALSE))</f>
        <v>29</v>
      </c>
      <c r="F3" s="17">
        <f>IF(Seasons[[#This Row],[club]] = "N/A", "N/A", SUMIFS(Stats[D], Stats[season], Seasons[[#This Row],[season]], Stats[team], Seasons[[#This Row],[club]], Stats[exhibition], FALSE))</f>
        <v>13</v>
      </c>
      <c r="G3" s="17">
        <f>IF(Seasons[[#This Row],[club]] = "N/A", "N/A", SUMIFS(Stats[L], Stats[season], Seasons[[#This Row],[season]], Stats[team], Seasons[[#This Row],[club]], Stats[exhibition], FALSE))</f>
        <v>5</v>
      </c>
      <c r="H3" s="17">
        <f>IF(Seasons[[#This Row],[club]] = "N/A", "N/A", SUMIFS(Stats[G], Stats[season], Seasons[[#This Row],[season]], Stats[team], Seasons[[#This Row],[club]], Stats[exhibition], FALSE))</f>
        <v>13</v>
      </c>
      <c r="I3" s="17">
        <f>IF(Seasons[[#This Row],[club]] = "N/A", "N/A", SUMIFS(Stats[A], Stats[season], Seasons[[#This Row],[season]], Stats[team], Seasons[[#This Row],[club]], Stats[exhibition], FALSE))</f>
        <v>22</v>
      </c>
      <c r="J3" s="17">
        <f>IF(Seasons[[#This Row],[club]] = "N/A", "N/A", SUMIFS(Stats[INV], Stats[season], Seasons[[#This Row],[season]], Stats[team], Seasons[[#This Row],[club]], Stats[exhibition], FALSE))</f>
        <v>35</v>
      </c>
      <c r="K3" s="17">
        <f>IF(Seasons[[#This Row],[club]] = "N/A", "N/A", SUMIFS(Fixtures[YC], Fixtures[APP], TRUE, Fixtures[season], Seasons[[#This Row],[season]], Fixtures[exhibition], FALSE))</f>
        <v>0</v>
      </c>
      <c r="L3" s="17">
        <f>IF(Seasons[[#This Row],[club]] = "N/A", "N/A", SUMIFS(Fixtures[RC], Fixtures[APP], TRUE, Fixtures[season], Seasons[[#This Row],[season]], Fixtures[exhibition], FALSE))</f>
        <v>0</v>
      </c>
      <c r="M3" s="19">
        <f>IF(Seasons[[#This Row],[club]] = "N/A", "N/A", IFERROR(AVERAGEIFS(Fixtures[MR], Fixtures[season], Seasons[[#This Row],[season]], Fixtures[APP], TRUE, Fixtures[exhibition], FALSE), 0))</f>
        <v>7.2999999999999989</v>
      </c>
      <c r="N3" s="17">
        <f>IF(Seasons[[#This Row],[club]] = "N/A", "N/A", COUNTIFS(Fixtures[APP], TRUE, Fixtures[season], Seasons[[#This Row],[season]], Fixtures[exhibition], FALSE, Fixtures[MOTM], TRUE))</f>
        <v>19</v>
      </c>
      <c r="O3" s="5">
        <v>5</v>
      </c>
      <c r="P3" s="5">
        <v>0</v>
      </c>
      <c r="Q3" s="5" t="b">
        <v>0</v>
      </c>
      <c r="R3" s="17" t="str" cm="1">
        <f t="array" aca="1" ref="R3" ca="1">IF(Seasons[[#This Row],[club]] = "N/A", "N/A", _xlfn.TEXTJOIN(", ", TRUE, _xlfn._xlws.FILTER(Stats[competition],(Stats[season]=Seasons[[#This Row],[season]])*(Stats[result]="Winner"),"None")))</f>
        <v>Champions Trophy, EFL Championship</v>
      </c>
    </row>
    <row r="4" spans="1:18" s="31" customFormat="1" ht="13">
      <c r="A4" s="17" t="s">
        <v>59</v>
      </c>
      <c r="B4" s="17" t="str" cm="1">
        <f t="array" ref="B4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Present</v>
      </c>
      <c r="C4" s="17" t="str" cm="1">
        <f t="array" ref="C4">IFERROR(_xlfn.TEXTJOIN(" → ", TRUE, _xlfn.UNIQUE(_xlfn._xlws.FILTER(Fixtures[userTeam], (Fixtures[season] = Seasons[[#This Row],[season]])*(Fixtures[userTeamType] = "Club")))), "N/A")</f>
        <v>RB Leipzig</v>
      </c>
      <c r="D4" s="17">
        <f>IF(Seasons[[#This Row],[club]] = "N/A", "N/A", SUMIFS(Stats[APP], Stats[season], Seasons[[#This Row],[season]], Stats[team], Seasons[[#This Row],[club]], Stats[exhibition], FALSE))</f>
        <v>48</v>
      </c>
      <c r="E4" s="17">
        <f>IF(Seasons[[#This Row],[club]] = "N/A", "N/A", SUMIFS(Stats[W], Stats[season], Seasons[[#This Row],[season]], Stats[team], Seasons[[#This Row],[club]], Stats[exhibition], FALSE))</f>
        <v>27</v>
      </c>
      <c r="F4" s="17">
        <f>IF(Seasons[[#This Row],[club]] = "N/A", "N/A", SUMIFS(Stats[D], Stats[season], Seasons[[#This Row],[season]], Stats[team], Seasons[[#This Row],[club]], Stats[exhibition], FALSE))</f>
        <v>12</v>
      </c>
      <c r="G4" s="17">
        <f>IF(Seasons[[#This Row],[club]] = "N/A", "N/A", SUMIFS(Stats[L], Stats[season], Seasons[[#This Row],[season]], Stats[team], Seasons[[#This Row],[club]], Stats[exhibition], FALSE))</f>
        <v>9</v>
      </c>
      <c r="H4" s="17">
        <f>IF(Seasons[[#This Row],[club]] = "N/A", "N/A", SUMIFS(Stats[G], Stats[season], Seasons[[#This Row],[season]], Stats[team], Seasons[[#This Row],[club]], Stats[exhibition], FALSE))</f>
        <v>11</v>
      </c>
      <c r="I4" s="17">
        <f>IF(Seasons[[#This Row],[club]] = "N/A", "N/A", SUMIFS(Stats[A], Stats[season], Seasons[[#This Row],[season]], Stats[team], Seasons[[#This Row],[club]], Stats[exhibition], FALSE))</f>
        <v>19</v>
      </c>
      <c r="J4" s="17">
        <f>IF(Seasons[[#This Row],[club]] = "N/A", "N/A", SUMIFS(Stats[INV], Stats[season], Seasons[[#This Row],[season]], Stats[team], Seasons[[#This Row],[club]], Stats[exhibition], FALSE))</f>
        <v>30</v>
      </c>
      <c r="K4" s="17">
        <f>IF(Seasons[[#This Row],[club]] = "N/A", "N/A", SUMIFS(Fixtures[YC], Fixtures[APP], TRUE, Fixtures[season], Seasons[[#This Row],[season]], Fixtures[exhibition], FALSE))</f>
        <v>1</v>
      </c>
      <c r="L4" s="17">
        <f>IF(Seasons[[#This Row],[club]] = "N/A", "N/A", SUMIFS(Fixtures[RC], Fixtures[APP], TRUE, Fixtures[season], Seasons[[#This Row],[season]], Fixtures[exhibition], FALSE))</f>
        <v>0</v>
      </c>
      <c r="M4" s="19">
        <f>IF(Seasons[[#This Row],[club]] = "N/A", "N/A", IFERROR(AVERAGEIFS(Fixtures[MR], Fixtures[season], Seasons[[#This Row],[season]], Fixtures[APP], TRUE, Fixtures[exhibition], FALSE), 0))</f>
        <v>7.5619999999999994</v>
      </c>
      <c r="N4" s="17">
        <f>IF(Seasons[[#This Row],[club]] = "N/A", "N/A", COUNTIFS(Fixtures[APP], TRUE, Fixtures[season], Seasons[[#This Row],[season]], Fixtures[exhibition], FALSE, Fixtures[MOTM], TRUE))</f>
        <v>17</v>
      </c>
      <c r="O4" s="5">
        <v>6</v>
      </c>
      <c r="P4" s="5">
        <v>0</v>
      </c>
      <c r="Q4" s="5" t="b">
        <v>0</v>
      </c>
      <c r="R4" s="17" t="str" cm="1">
        <f t="array" aca="1" ref="R4" ca="1">IF(Seasons[[#This Row],[club]] = "N/A", "N/A", _xlfn.TEXTJOIN(", ", TRUE, _xlfn._xlws.FILTER(Stats[competition],(Stats[season]=Seasons[[#This Row],[season]])*(Stats[result]="Winner"),"None")))</f>
        <v>None</v>
      </c>
    </row>
    <row r="5" spans="1:18" s="31" customFormat="1" ht="13">
      <c r="A5" s="17" t="s">
        <v>61</v>
      </c>
      <c r="B5" s="17" t="str" cm="1">
        <f t="array" ref="B5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5" s="17" t="str" cm="1">
        <f t="array" ref="C5">IFERROR(_xlfn.TEXTJOIN(" → ", TRUE, _xlfn.UNIQUE(_xlfn._xlws.FILTER(Fixtures[userTeam], (Fixtures[season] = Seasons[[#This Row],[season]])*(Fixtures[userTeamType] = "Club")))), "N/A")</f>
        <v>N/A</v>
      </c>
      <c r="D5" s="17" t="str">
        <f>IF(Seasons[[#This Row],[club]] = "N/A", "N/A", SUMIFS(Stats[APP], Stats[season], Seasons[[#This Row],[season]], Stats[team], Seasons[[#This Row],[club]], Stats[exhibition], FALSE))</f>
        <v>N/A</v>
      </c>
      <c r="E5" s="17" t="str">
        <f>IF(Seasons[[#This Row],[club]] = "N/A", "N/A", SUMIFS(Stats[W], Stats[season], Seasons[[#This Row],[season]], Stats[team], Seasons[[#This Row],[club]], Stats[exhibition], FALSE))</f>
        <v>N/A</v>
      </c>
      <c r="F5" s="17" t="str">
        <f>IF(Seasons[[#This Row],[club]] = "N/A", "N/A", SUMIFS(Stats[D], Stats[season], Seasons[[#This Row],[season]], Stats[team], Seasons[[#This Row],[club]], Stats[exhibition], FALSE))</f>
        <v>N/A</v>
      </c>
      <c r="G5" s="17" t="str">
        <f>IF(Seasons[[#This Row],[club]] = "N/A", "N/A", SUMIFS(Stats[L], Stats[season], Seasons[[#This Row],[season]], Stats[team], Seasons[[#This Row],[club]], Stats[exhibition], FALSE))</f>
        <v>N/A</v>
      </c>
      <c r="H5" s="17" t="str">
        <f>IF(Seasons[[#This Row],[club]] = "N/A", "N/A", SUMIFS(Stats[G], Stats[season], Seasons[[#This Row],[season]], Stats[team], Seasons[[#This Row],[club]], Stats[exhibition], FALSE))</f>
        <v>N/A</v>
      </c>
      <c r="I5" s="17" t="str">
        <f>IF(Seasons[[#This Row],[club]] = "N/A", "N/A", SUMIFS(Stats[A], Stats[season], Seasons[[#This Row],[season]], Stats[team], Seasons[[#This Row],[club]], Stats[exhibition], FALSE))</f>
        <v>N/A</v>
      </c>
      <c r="J5" s="17" t="str">
        <f>IF(Seasons[[#This Row],[club]] = "N/A", "N/A", SUMIFS(Stats[INV], Stats[season], Seasons[[#This Row],[season]], Stats[team], Seasons[[#This Row],[club]], Stats[exhibition], FALSE))</f>
        <v>N/A</v>
      </c>
      <c r="K5" s="17" t="str">
        <f>IF(Seasons[[#This Row],[club]] = "N/A", "N/A", SUMIFS(Fixtures[YC], Fixtures[APP], TRUE, Fixtures[season], Seasons[[#This Row],[season]], Fixtures[exhibition], FALSE))</f>
        <v>N/A</v>
      </c>
      <c r="L5" s="17" t="str">
        <f>IF(Seasons[[#This Row],[club]] = "N/A", "N/A", SUMIFS(Fixtures[RC], Fixtures[APP], TRUE, Fixtures[season], Seasons[[#This Row],[season]], Fixtures[exhibition], FALSE))</f>
        <v>N/A</v>
      </c>
      <c r="M5" s="19" t="str">
        <f>IF(Seasons[[#This Row],[club]] = "N/A", "N/A", IFERROR(AVERAGEIFS(Fixtures[MR], Fixtures[season], Seasons[[#This Row],[season]], Fixtures[APP], TRUE, Fixtures[exhibition], FALSE), 0))</f>
        <v>N/A</v>
      </c>
      <c r="N5" s="17" t="str">
        <f>IF(Seasons[[#This Row],[club]] = "N/A", "N/A", COUNTIFS(Fixtures[APP], TRUE, Fixtures[season], Seasons[[#This Row],[season]], Fixtures[exhibition], FALSE, Fixtures[MOTM], TRUE))</f>
        <v>N/A</v>
      </c>
      <c r="O5" s="5">
        <v>4</v>
      </c>
      <c r="P5" s="5">
        <v>0</v>
      </c>
      <c r="Q5" s="5" t="b">
        <v>0</v>
      </c>
      <c r="R5" s="17" t="str" cm="1">
        <f t="array" ref="R5">IF(Seasons[[#This Row],[club]] = "N/A", "N/A", _xlfn.TEXTJOIN(", ", TRUE, _xlfn._xlws.FILTER(Stats[competition],(Stats[season]=Seasons[[#This Row],[season]])*(Stats[result]="Winner"),"None")))</f>
        <v>N/A</v>
      </c>
    </row>
    <row r="6" spans="1:18" s="4" customFormat="1" ht="13" hidden="1">
      <c r="A6" s="17" t="s">
        <v>62</v>
      </c>
      <c r="B6" s="17" t="str" cm="1">
        <f t="array" ref="B6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6" s="17" t="str" cm="1">
        <f t="array" ref="C6">IFERROR(_xlfn.TEXTJOIN(" → ", TRUE, _xlfn.UNIQUE(_xlfn._xlws.FILTER(Fixtures[userTeam], (Fixtures[season] = Seasons[[#This Row],[season]])*(Fixtures[userTeamType] = "Club")))), "N/A")</f>
        <v>N/A</v>
      </c>
      <c r="D6" s="17" t="str">
        <f>IF(Seasons[[#This Row],[club]] = "N/A", "N/A", SUMIFS(Stats[APP], Stats[season], Seasons[[#This Row],[season]], Stats[team], Seasons[[#This Row],[club]], Stats[exhibition], FALSE))</f>
        <v>N/A</v>
      </c>
      <c r="E6" s="17" t="str">
        <f>IF(Seasons[[#This Row],[club]] = "N/A", "N/A", SUMIFS(Stats[W], Stats[season], Seasons[[#This Row],[season]], Stats[team], Seasons[[#This Row],[club]], Stats[exhibition], FALSE))</f>
        <v>N/A</v>
      </c>
      <c r="F6" s="17" t="str">
        <f>IF(Seasons[[#This Row],[club]] = "N/A", "N/A", SUMIFS(Stats[D], Stats[season], Seasons[[#This Row],[season]], Stats[team], Seasons[[#This Row],[club]], Stats[exhibition], FALSE))</f>
        <v>N/A</v>
      </c>
      <c r="G6" s="17" t="str">
        <f>IF(Seasons[[#This Row],[club]] = "N/A", "N/A", SUMIFS(Stats[L], Stats[season], Seasons[[#This Row],[season]], Stats[team], Seasons[[#This Row],[club]], Stats[exhibition], FALSE))</f>
        <v>N/A</v>
      </c>
      <c r="H6" s="17" t="str">
        <f>IF(Seasons[[#This Row],[club]] = "N/A", "N/A", SUMIFS(Stats[G], Stats[season], Seasons[[#This Row],[season]], Stats[team], Seasons[[#This Row],[club]], Stats[exhibition], FALSE))</f>
        <v>N/A</v>
      </c>
      <c r="I6" s="17" t="str">
        <f>IF(Seasons[[#This Row],[club]] = "N/A", "N/A", SUMIFS(Stats[A], Stats[season], Seasons[[#This Row],[season]], Stats[team], Seasons[[#This Row],[club]], Stats[exhibition], FALSE))</f>
        <v>N/A</v>
      </c>
      <c r="J6" s="17" t="str">
        <f>IF(Seasons[[#This Row],[club]] = "N/A", "N/A", SUMIFS(Stats[INV], Stats[season], Seasons[[#This Row],[season]], Stats[team], Seasons[[#This Row],[club]], Stats[exhibition], FALSE))</f>
        <v>N/A</v>
      </c>
      <c r="K6" s="17" t="str">
        <f>IF(Seasons[[#This Row],[club]] = "N/A", "N/A", SUMIFS(Fixtures[YC], Fixtures[APP], TRUE, Fixtures[season], Seasons[[#This Row],[season]], Fixtures[exhibition], FALSE))</f>
        <v>N/A</v>
      </c>
      <c r="L6" s="17" t="str">
        <f>IF(Seasons[[#This Row],[club]] = "N/A", "N/A", SUMIFS(Fixtures[RC], Fixtures[APP], TRUE, Fixtures[season], Seasons[[#This Row],[season]], Fixtures[exhibition], FALSE))</f>
        <v>N/A</v>
      </c>
      <c r="M6" s="19" t="str">
        <f>IF(Seasons[[#This Row],[club]] = "N/A", "N/A", IFERROR(AVERAGEIFS(Fixtures[MR], Fixtures[season], Seasons[[#This Row],[season]], Fixtures[APP], TRUE, Fixtures[exhibition], FALSE), 0))</f>
        <v>N/A</v>
      </c>
      <c r="N6" s="17" t="str">
        <f>IF(Seasons[[#This Row],[club]] = "N/A", "N/A", COUNTIFS(Fixtures[APP], TRUE, Fixtures[season], Seasons[[#This Row],[season]], Fixtures[exhibition], FALSE, Fixtures[MOTM], TRUE))</f>
        <v>N/A</v>
      </c>
      <c r="O6" s="5"/>
      <c r="P6" s="5"/>
      <c r="Q6" s="5"/>
      <c r="R6" s="17" t="str" cm="1">
        <f t="array" ref="R6">IF(Seasons[[#This Row],[club]] = "N/A", "N/A", _xlfn.TEXTJOIN(", ", TRUE, _xlfn._xlws.FILTER(Stats[competition],(Stats[season]=Seasons[[#This Row],[season]])*(Stats[result]="Winner"),"None")))</f>
        <v>N/A</v>
      </c>
    </row>
    <row r="7" spans="1:18" s="4" customFormat="1" ht="13" hidden="1">
      <c r="A7" s="17" t="s">
        <v>63</v>
      </c>
      <c r="B7" s="17" t="str" cm="1">
        <f t="array" ref="B7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7" s="17" t="str" cm="1">
        <f t="array" ref="C7">IFERROR(_xlfn.TEXTJOIN(" → ", TRUE, _xlfn.UNIQUE(_xlfn._xlws.FILTER(Fixtures[userTeam], (Fixtures[season] = Seasons[[#This Row],[season]])*(Fixtures[userTeamType] = "Club")))), "N/A")</f>
        <v>N/A</v>
      </c>
      <c r="D7" s="17" t="str">
        <f>IF(Seasons[[#This Row],[club]] = "N/A", "N/A", SUMIFS(Stats[APP], Stats[season], Seasons[[#This Row],[season]], Stats[team], Seasons[[#This Row],[club]], Stats[exhibition], FALSE))</f>
        <v>N/A</v>
      </c>
      <c r="E7" s="17" t="str">
        <f>IF(Seasons[[#This Row],[club]] = "N/A", "N/A", SUMIFS(Stats[W], Stats[season], Seasons[[#This Row],[season]], Stats[team], Seasons[[#This Row],[club]], Stats[exhibition], FALSE))</f>
        <v>N/A</v>
      </c>
      <c r="F7" s="17" t="str">
        <f>IF(Seasons[[#This Row],[club]] = "N/A", "N/A", SUMIFS(Stats[D], Stats[season], Seasons[[#This Row],[season]], Stats[team], Seasons[[#This Row],[club]], Stats[exhibition], FALSE))</f>
        <v>N/A</v>
      </c>
      <c r="G7" s="17" t="str">
        <f>IF(Seasons[[#This Row],[club]] = "N/A", "N/A", SUMIFS(Stats[L], Stats[season], Seasons[[#This Row],[season]], Stats[team], Seasons[[#This Row],[club]], Stats[exhibition], FALSE))</f>
        <v>N/A</v>
      </c>
      <c r="H7" s="17" t="str">
        <f>IF(Seasons[[#This Row],[club]] = "N/A", "N/A", SUMIFS(Stats[G], Stats[season], Seasons[[#This Row],[season]], Stats[team], Seasons[[#This Row],[club]], Stats[exhibition], FALSE))</f>
        <v>N/A</v>
      </c>
      <c r="I7" s="17" t="str">
        <f>IF(Seasons[[#This Row],[club]] = "N/A", "N/A", SUMIFS(Stats[A], Stats[season], Seasons[[#This Row],[season]], Stats[team], Seasons[[#This Row],[club]], Stats[exhibition], FALSE))</f>
        <v>N/A</v>
      </c>
      <c r="J7" s="17" t="str">
        <f>IF(Seasons[[#This Row],[club]] = "N/A", "N/A", SUMIFS(Stats[INV], Stats[season], Seasons[[#This Row],[season]], Stats[team], Seasons[[#This Row],[club]], Stats[exhibition], FALSE))</f>
        <v>N/A</v>
      </c>
      <c r="K7" s="17" t="str">
        <f>IF(Seasons[[#This Row],[club]] = "N/A", "N/A", SUMIFS(Fixtures[YC], Fixtures[APP], TRUE, Fixtures[season], Seasons[[#This Row],[season]], Fixtures[exhibition], FALSE))</f>
        <v>N/A</v>
      </c>
      <c r="L7" s="17" t="str">
        <f>IF(Seasons[[#This Row],[club]] = "N/A", "N/A", SUMIFS(Fixtures[RC], Fixtures[APP], TRUE, Fixtures[season], Seasons[[#This Row],[season]], Fixtures[exhibition], FALSE))</f>
        <v>N/A</v>
      </c>
      <c r="M7" s="19" t="str">
        <f>IF(Seasons[[#This Row],[club]] = "N/A", "N/A", IFERROR(AVERAGEIFS(Fixtures[MR], Fixtures[season], Seasons[[#This Row],[season]], Fixtures[APP], TRUE, Fixtures[exhibition], FALSE), 0))</f>
        <v>N/A</v>
      </c>
      <c r="N7" s="17" t="str">
        <f>IF(Seasons[[#This Row],[club]] = "N/A", "N/A", COUNTIFS(Fixtures[APP], TRUE, Fixtures[season], Seasons[[#This Row],[season]], Fixtures[exhibition], FALSE, Fixtures[MOTM], TRUE))</f>
        <v>N/A</v>
      </c>
      <c r="O7" s="5"/>
      <c r="P7" s="5"/>
      <c r="Q7" s="5"/>
      <c r="R7" s="17" t="str" cm="1">
        <f t="array" ref="R7">IF(Seasons[[#This Row],[club]] = "N/A", "N/A", _xlfn.TEXTJOIN(", ", TRUE, _xlfn._xlws.FILTER(Stats[competition],(Stats[season]=Seasons[[#This Row],[season]])*(Stats[result]="Winner"),"None")))</f>
        <v>N/A</v>
      </c>
    </row>
    <row r="8" spans="1:18" s="4" customFormat="1" ht="13" hidden="1">
      <c r="A8" s="17" t="s">
        <v>64</v>
      </c>
      <c r="B8" s="17" t="str" cm="1">
        <f t="array" ref="B8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8" s="17" t="str" cm="1">
        <f t="array" ref="C8">IFERROR(_xlfn.TEXTJOIN(" → ", TRUE, _xlfn.UNIQUE(_xlfn._xlws.FILTER(Fixtures[userTeam], (Fixtures[season] = Seasons[[#This Row],[season]])*(Fixtures[userTeamType] = "Club")))), "N/A")</f>
        <v>N/A</v>
      </c>
      <c r="D8" s="17" t="str">
        <f>IF(Seasons[[#This Row],[club]] = "N/A", "N/A", SUMIFS(Stats[APP], Stats[season], Seasons[[#This Row],[season]], Stats[team], Seasons[[#This Row],[club]], Stats[exhibition], FALSE))</f>
        <v>N/A</v>
      </c>
      <c r="E8" s="17" t="str">
        <f>IF(Seasons[[#This Row],[club]] = "N/A", "N/A", SUMIFS(Stats[W], Stats[season], Seasons[[#This Row],[season]], Stats[team], Seasons[[#This Row],[club]], Stats[exhibition], FALSE))</f>
        <v>N/A</v>
      </c>
      <c r="F8" s="17" t="str">
        <f>IF(Seasons[[#This Row],[club]] = "N/A", "N/A", SUMIFS(Stats[D], Stats[season], Seasons[[#This Row],[season]], Stats[team], Seasons[[#This Row],[club]], Stats[exhibition], FALSE))</f>
        <v>N/A</v>
      </c>
      <c r="G8" s="17" t="str">
        <f>IF(Seasons[[#This Row],[club]] = "N/A", "N/A", SUMIFS(Stats[L], Stats[season], Seasons[[#This Row],[season]], Stats[team], Seasons[[#This Row],[club]], Stats[exhibition], FALSE))</f>
        <v>N/A</v>
      </c>
      <c r="H8" s="17" t="str">
        <f>IF(Seasons[[#This Row],[club]] = "N/A", "N/A", SUMIFS(Stats[G], Stats[season], Seasons[[#This Row],[season]], Stats[team], Seasons[[#This Row],[club]], Stats[exhibition], FALSE))</f>
        <v>N/A</v>
      </c>
      <c r="I8" s="17" t="str">
        <f>IF(Seasons[[#This Row],[club]] = "N/A", "N/A", SUMIFS(Stats[A], Stats[season], Seasons[[#This Row],[season]], Stats[team], Seasons[[#This Row],[club]], Stats[exhibition], FALSE))</f>
        <v>N/A</v>
      </c>
      <c r="J8" s="17" t="str">
        <f>IF(Seasons[[#This Row],[club]] = "N/A", "N/A", SUMIFS(Stats[INV], Stats[season], Seasons[[#This Row],[season]], Stats[team], Seasons[[#This Row],[club]], Stats[exhibition], FALSE))</f>
        <v>N/A</v>
      </c>
      <c r="K8" s="17" t="str">
        <f>IF(Seasons[[#This Row],[club]] = "N/A", "N/A", SUMIFS(Fixtures[YC], Fixtures[APP], TRUE, Fixtures[season], Seasons[[#This Row],[season]], Fixtures[exhibition], FALSE))</f>
        <v>N/A</v>
      </c>
      <c r="L8" s="17" t="str">
        <f>IF(Seasons[[#This Row],[club]] = "N/A", "N/A", SUMIFS(Fixtures[RC], Fixtures[APP], TRUE, Fixtures[season], Seasons[[#This Row],[season]], Fixtures[exhibition], FALSE))</f>
        <v>N/A</v>
      </c>
      <c r="M8" s="19" t="str">
        <f>IF(Seasons[[#This Row],[club]] = "N/A", "N/A", IFERROR(AVERAGEIFS(Fixtures[MR], Fixtures[season], Seasons[[#This Row],[season]], Fixtures[APP], TRUE, Fixtures[exhibition], FALSE), 0))</f>
        <v>N/A</v>
      </c>
      <c r="N8" s="17" t="str">
        <f>IF(Seasons[[#This Row],[club]] = "N/A", "N/A", COUNTIFS(Fixtures[APP], TRUE, Fixtures[season], Seasons[[#This Row],[season]], Fixtures[exhibition], FALSE, Fixtures[MOTM], TRUE))</f>
        <v>N/A</v>
      </c>
      <c r="O8" s="5"/>
      <c r="P8" s="5"/>
      <c r="Q8" s="5"/>
      <c r="R8" s="17" t="str" cm="1">
        <f t="array" ref="R8">IF(Seasons[[#This Row],[club]] = "N/A", "N/A", _xlfn.TEXTJOIN(", ", TRUE, _xlfn._xlws.FILTER(Stats[competition],(Stats[season]=Seasons[[#This Row],[season]])*(Stats[result]="Winner"),"None")))</f>
        <v>N/A</v>
      </c>
    </row>
    <row r="9" spans="1:18" s="4" customFormat="1" ht="13" hidden="1">
      <c r="A9" s="17" t="s">
        <v>65</v>
      </c>
      <c r="B9" s="17" t="str" cm="1">
        <f t="array" ref="B9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9" s="17" t="str" cm="1">
        <f t="array" ref="C9">IFERROR(_xlfn.TEXTJOIN(" → ", TRUE, _xlfn.UNIQUE(_xlfn._xlws.FILTER(Fixtures[userTeam], (Fixtures[season] = Seasons[[#This Row],[season]])*(Fixtures[userTeamType] = "Club")))), "N/A")</f>
        <v>N/A</v>
      </c>
      <c r="D9" s="17" t="str">
        <f>IF(Seasons[[#This Row],[club]] = "N/A", "N/A", SUMIFS(Stats[APP], Stats[season], Seasons[[#This Row],[season]], Stats[team], Seasons[[#This Row],[club]], Stats[exhibition], FALSE))</f>
        <v>N/A</v>
      </c>
      <c r="E9" s="17" t="str">
        <f>IF(Seasons[[#This Row],[club]] = "N/A", "N/A", SUMIFS(Stats[W], Stats[season], Seasons[[#This Row],[season]], Stats[team], Seasons[[#This Row],[club]], Stats[exhibition], FALSE))</f>
        <v>N/A</v>
      </c>
      <c r="F9" s="17" t="str">
        <f>IF(Seasons[[#This Row],[club]] = "N/A", "N/A", SUMIFS(Stats[D], Stats[season], Seasons[[#This Row],[season]], Stats[team], Seasons[[#This Row],[club]], Stats[exhibition], FALSE))</f>
        <v>N/A</v>
      </c>
      <c r="G9" s="17" t="str">
        <f>IF(Seasons[[#This Row],[club]] = "N/A", "N/A", SUMIFS(Stats[L], Stats[season], Seasons[[#This Row],[season]], Stats[team], Seasons[[#This Row],[club]], Stats[exhibition], FALSE))</f>
        <v>N/A</v>
      </c>
      <c r="H9" s="17" t="str">
        <f>IF(Seasons[[#This Row],[club]] = "N/A", "N/A", SUMIFS(Stats[G], Stats[season], Seasons[[#This Row],[season]], Stats[team], Seasons[[#This Row],[club]], Stats[exhibition], FALSE))</f>
        <v>N/A</v>
      </c>
      <c r="I9" s="17" t="str">
        <f>IF(Seasons[[#This Row],[club]] = "N/A", "N/A", SUMIFS(Stats[A], Stats[season], Seasons[[#This Row],[season]], Stats[team], Seasons[[#This Row],[club]], Stats[exhibition], FALSE))</f>
        <v>N/A</v>
      </c>
      <c r="J9" s="17" t="str">
        <f>IF(Seasons[[#This Row],[club]] = "N/A", "N/A", SUMIFS(Stats[INV], Stats[season], Seasons[[#This Row],[season]], Stats[team], Seasons[[#This Row],[club]], Stats[exhibition], FALSE))</f>
        <v>N/A</v>
      </c>
      <c r="K9" s="17" t="str">
        <f>IF(Seasons[[#This Row],[club]] = "N/A", "N/A", SUMIFS(Fixtures[YC], Fixtures[APP], TRUE, Fixtures[season], Seasons[[#This Row],[season]], Fixtures[exhibition], FALSE))</f>
        <v>N/A</v>
      </c>
      <c r="L9" s="17" t="str">
        <f>IF(Seasons[[#This Row],[club]] = "N/A", "N/A", SUMIFS(Fixtures[RC], Fixtures[APP], TRUE, Fixtures[season], Seasons[[#This Row],[season]], Fixtures[exhibition], FALSE))</f>
        <v>N/A</v>
      </c>
      <c r="M9" s="19" t="str">
        <f>IF(Seasons[[#This Row],[club]] = "N/A", "N/A", IFERROR(AVERAGEIFS(Fixtures[MR], Fixtures[season], Seasons[[#This Row],[season]], Fixtures[APP], TRUE, Fixtures[exhibition], FALSE), 0))</f>
        <v>N/A</v>
      </c>
      <c r="N9" s="17" t="str">
        <f>IF(Seasons[[#This Row],[club]] = "N/A", "N/A", COUNTIFS(Fixtures[APP], TRUE, Fixtures[season], Seasons[[#This Row],[season]], Fixtures[exhibition], FALSE, Fixtures[MOTM], TRUE))</f>
        <v>N/A</v>
      </c>
      <c r="O9" s="5"/>
      <c r="P9" s="5"/>
      <c r="Q9" s="5"/>
      <c r="R9" s="17" t="str" cm="1">
        <f t="array" ref="R9">IF(Seasons[[#This Row],[club]] = "N/A", "N/A", _xlfn.TEXTJOIN(", ", TRUE, _xlfn._xlws.FILTER(Stats[competition],(Stats[season]=Seasons[[#This Row],[season]])*(Stats[result]="Winner"),"None")))</f>
        <v>N/A</v>
      </c>
    </row>
    <row r="10" spans="1:18" s="4" customFormat="1" ht="13" hidden="1">
      <c r="A10" s="17" t="s">
        <v>66</v>
      </c>
      <c r="B10" s="17" t="str" cm="1">
        <f t="array" ref="B10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0" s="17" t="str" cm="1">
        <f t="array" ref="C10">IFERROR(_xlfn.TEXTJOIN(" → ", TRUE, _xlfn.UNIQUE(_xlfn._xlws.FILTER(Fixtures[userTeam], (Fixtures[season] = Seasons[[#This Row],[season]])*(Fixtures[userTeamType] = "Club")))), "N/A")</f>
        <v>N/A</v>
      </c>
      <c r="D10" s="17" t="str">
        <f>IF(Seasons[[#This Row],[club]] = "N/A", "N/A", SUMIFS(Stats[APP], Stats[season], Seasons[[#This Row],[season]], Stats[team], Seasons[[#This Row],[club]], Stats[exhibition], FALSE))</f>
        <v>N/A</v>
      </c>
      <c r="E10" s="17" t="str">
        <f>IF(Seasons[[#This Row],[club]] = "N/A", "N/A", SUMIFS(Stats[W], Stats[season], Seasons[[#This Row],[season]], Stats[team], Seasons[[#This Row],[club]], Stats[exhibition], FALSE))</f>
        <v>N/A</v>
      </c>
      <c r="F10" s="17" t="str">
        <f>IF(Seasons[[#This Row],[club]] = "N/A", "N/A", SUMIFS(Stats[D], Stats[season], Seasons[[#This Row],[season]], Stats[team], Seasons[[#This Row],[club]], Stats[exhibition], FALSE))</f>
        <v>N/A</v>
      </c>
      <c r="G10" s="17" t="str">
        <f>IF(Seasons[[#This Row],[club]] = "N/A", "N/A", SUMIFS(Stats[L], Stats[season], Seasons[[#This Row],[season]], Stats[team], Seasons[[#This Row],[club]], Stats[exhibition], FALSE))</f>
        <v>N/A</v>
      </c>
      <c r="H10" s="17" t="str">
        <f>IF(Seasons[[#This Row],[club]] = "N/A", "N/A", SUMIFS(Stats[G], Stats[season], Seasons[[#This Row],[season]], Stats[team], Seasons[[#This Row],[club]], Stats[exhibition], FALSE))</f>
        <v>N/A</v>
      </c>
      <c r="I10" s="17" t="str">
        <f>IF(Seasons[[#This Row],[club]] = "N/A", "N/A", SUMIFS(Stats[A], Stats[season], Seasons[[#This Row],[season]], Stats[team], Seasons[[#This Row],[club]], Stats[exhibition], FALSE))</f>
        <v>N/A</v>
      </c>
      <c r="J10" s="17" t="str">
        <f>IF(Seasons[[#This Row],[club]] = "N/A", "N/A", SUMIFS(Stats[INV], Stats[season], Seasons[[#This Row],[season]], Stats[team], Seasons[[#This Row],[club]], Stats[exhibition], FALSE))</f>
        <v>N/A</v>
      </c>
      <c r="K10" s="17" t="str">
        <f>IF(Seasons[[#This Row],[club]] = "N/A", "N/A", SUMIFS(Fixtures[YC], Fixtures[APP], TRUE, Fixtures[season], Seasons[[#This Row],[season]], Fixtures[exhibition], FALSE))</f>
        <v>N/A</v>
      </c>
      <c r="L10" s="17" t="str">
        <f>IF(Seasons[[#This Row],[club]] = "N/A", "N/A", SUMIFS(Fixtures[RC], Fixtures[APP], TRUE, Fixtures[season], Seasons[[#This Row],[season]], Fixtures[exhibition], FALSE))</f>
        <v>N/A</v>
      </c>
      <c r="M10" s="19" t="str">
        <f>IF(Seasons[[#This Row],[club]] = "N/A", "N/A", IFERROR(AVERAGEIFS(Fixtures[MR], Fixtures[season], Seasons[[#This Row],[season]], Fixtures[APP], TRUE, Fixtures[exhibition], FALSE), 0))</f>
        <v>N/A</v>
      </c>
      <c r="N10" s="17" t="str">
        <f>IF(Seasons[[#This Row],[club]] = "N/A", "N/A", COUNTIFS(Fixtures[APP], TRUE, Fixtures[season], Seasons[[#This Row],[season]], Fixtures[exhibition], FALSE, Fixtures[MOTM], TRUE))</f>
        <v>N/A</v>
      </c>
      <c r="O10" s="5"/>
      <c r="P10" s="5"/>
      <c r="Q10" s="5"/>
      <c r="R10" s="17" t="str" cm="1">
        <f t="array" ref="R10">IF(Seasons[[#This Row],[club]] = "N/A", "N/A", _xlfn.TEXTJOIN(", ", TRUE, _xlfn._xlws.FILTER(Stats[competition],(Stats[season]=Seasons[[#This Row],[season]])*(Stats[result]="Winner"),"None")))</f>
        <v>N/A</v>
      </c>
    </row>
    <row r="11" spans="1:18" s="4" customFormat="1" ht="13" hidden="1">
      <c r="A11" s="17" t="s">
        <v>67</v>
      </c>
      <c r="B11" s="17" t="str" cm="1">
        <f t="array" ref="B11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1" s="17" t="str" cm="1">
        <f t="array" ref="C11">IFERROR(_xlfn.TEXTJOIN(" → ", TRUE, _xlfn.UNIQUE(_xlfn._xlws.FILTER(Fixtures[userTeam], (Fixtures[season] = Seasons[[#This Row],[season]])*(Fixtures[userTeamType] = "Club")))), "N/A")</f>
        <v>N/A</v>
      </c>
      <c r="D11" s="17" t="str">
        <f>IF(Seasons[[#This Row],[club]] = "N/A", "N/A", SUMIFS(Stats[APP], Stats[season], Seasons[[#This Row],[season]], Stats[team], Seasons[[#This Row],[club]], Stats[exhibition], FALSE))</f>
        <v>N/A</v>
      </c>
      <c r="E11" s="17" t="str">
        <f>IF(Seasons[[#This Row],[club]] = "N/A", "N/A", SUMIFS(Stats[W], Stats[season], Seasons[[#This Row],[season]], Stats[team], Seasons[[#This Row],[club]], Stats[exhibition], FALSE))</f>
        <v>N/A</v>
      </c>
      <c r="F11" s="17" t="str">
        <f>IF(Seasons[[#This Row],[club]] = "N/A", "N/A", SUMIFS(Stats[D], Stats[season], Seasons[[#This Row],[season]], Stats[team], Seasons[[#This Row],[club]], Stats[exhibition], FALSE))</f>
        <v>N/A</v>
      </c>
      <c r="G11" s="17" t="str">
        <f>IF(Seasons[[#This Row],[club]] = "N/A", "N/A", SUMIFS(Stats[L], Stats[season], Seasons[[#This Row],[season]], Stats[team], Seasons[[#This Row],[club]], Stats[exhibition], FALSE))</f>
        <v>N/A</v>
      </c>
      <c r="H11" s="17" t="str">
        <f>IF(Seasons[[#This Row],[club]] = "N/A", "N/A", SUMIFS(Stats[G], Stats[season], Seasons[[#This Row],[season]], Stats[team], Seasons[[#This Row],[club]], Stats[exhibition], FALSE))</f>
        <v>N/A</v>
      </c>
      <c r="I11" s="17" t="str">
        <f>IF(Seasons[[#This Row],[club]] = "N/A", "N/A", SUMIFS(Stats[A], Stats[season], Seasons[[#This Row],[season]], Stats[team], Seasons[[#This Row],[club]], Stats[exhibition], FALSE))</f>
        <v>N/A</v>
      </c>
      <c r="J11" s="17" t="str">
        <f>IF(Seasons[[#This Row],[club]] = "N/A", "N/A", SUMIFS(Stats[INV], Stats[season], Seasons[[#This Row],[season]], Stats[team], Seasons[[#This Row],[club]], Stats[exhibition], FALSE))</f>
        <v>N/A</v>
      </c>
      <c r="K11" s="17" t="str">
        <f>IF(Seasons[[#This Row],[club]] = "N/A", "N/A", SUMIFS(Fixtures[YC], Fixtures[APP], TRUE, Fixtures[season], Seasons[[#This Row],[season]], Fixtures[exhibition], FALSE))</f>
        <v>N/A</v>
      </c>
      <c r="L11" s="17" t="str">
        <f>IF(Seasons[[#This Row],[club]] = "N/A", "N/A", SUMIFS(Fixtures[RC], Fixtures[APP], TRUE, Fixtures[season], Seasons[[#This Row],[season]], Fixtures[exhibition], FALSE))</f>
        <v>N/A</v>
      </c>
      <c r="M11" s="19" t="str">
        <f>IF(Seasons[[#This Row],[club]] = "N/A", "N/A", IFERROR(AVERAGEIFS(Fixtures[MR], Fixtures[season], Seasons[[#This Row],[season]], Fixtures[APP], TRUE, Fixtures[exhibition], FALSE), 0))</f>
        <v>N/A</v>
      </c>
      <c r="N11" s="17" t="str">
        <f>IF(Seasons[[#This Row],[club]] = "N/A", "N/A", COUNTIFS(Fixtures[APP], TRUE, Fixtures[season], Seasons[[#This Row],[season]], Fixtures[exhibition], FALSE, Fixtures[MOTM], TRUE))</f>
        <v>N/A</v>
      </c>
      <c r="O11" s="5"/>
      <c r="P11" s="5"/>
      <c r="Q11" s="5"/>
      <c r="R11" s="17" t="str" cm="1">
        <f t="array" ref="R11">IF(Seasons[[#This Row],[club]] = "N/A", "N/A", _xlfn.TEXTJOIN(", ", TRUE, _xlfn._xlws.FILTER(Stats[competition],(Stats[season]=Seasons[[#This Row],[season]])*(Stats[result]="Winner"),"None")))</f>
        <v>N/A</v>
      </c>
    </row>
    <row r="12" spans="1:18" s="4" customFormat="1" ht="13" hidden="1">
      <c r="A12" s="17" t="s">
        <v>68</v>
      </c>
      <c r="B12" s="17" t="str" cm="1">
        <f t="array" ref="B12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2" s="17" t="str" cm="1">
        <f t="array" ref="C12">IFERROR(_xlfn.TEXTJOIN(" → ", TRUE, _xlfn.UNIQUE(_xlfn._xlws.FILTER(Fixtures[userTeam], (Fixtures[season] = Seasons[[#This Row],[season]])*(Fixtures[userTeamType] = "Club")))), "N/A")</f>
        <v>N/A</v>
      </c>
      <c r="D12" s="17" t="str">
        <f>IF(Seasons[[#This Row],[club]] = "N/A", "N/A", SUMIFS(Stats[APP], Stats[season], Seasons[[#This Row],[season]], Stats[team], Seasons[[#This Row],[club]], Stats[exhibition], FALSE))</f>
        <v>N/A</v>
      </c>
      <c r="E12" s="17" t="str">
        <f>IF(Seasons[[#This Row],[club]] = "N/A", "N/A", SUMIFS(Stats[W], Stats[season], Seasons[[#This Row],[season]], Stats[team], Seasons[[#This Row],[club]], Stats[exhibition], FALSE))</f>
        <v>N/A</v>
      </c>
      <c r="F12" s="17" t="str">
        <f>IF(Seasons[[#This Row],[club]] = "N/A", "N/A", SUMIFS(Stats[D], Stats[season], Seasons[[#This Row],[season]], Stats[team], Seasons[[#This Row],[club]], Stats[exhibition], FALSE))</f>
        <v>N/A</v>
      </c>
      <c r="G12" s="17" t="str">
        <f>IF(Seasons[[#This Row],[club]] = "N/A", "N/A", SUMIFS(Stats[L], Stats[season], Seasons[[#This Row],[season]], Stats[team], Seasons[[#This Row],[club]], Stats[exhibition], FALSE))</f>
        <v>N/A</v>
      </c>
      <c r="H12" s="17" t="str">
        <f>IF(Seasons[[#This Row],[club]] = "N/A", "N/A", SUMIFS(Stats[G], Stats[season], Seasons[[#This Row],[season]], Stats[team], Seasons[[#This Row],[club]], Stats[exhibition], FALSE))</f>
        <v>N/A</v>
      </c>
      <c r="I12" s="17" t="str">
        <f>IF(Seasons[[#This Row],[club]] = "N/A", "N/A", SUMIFS(Stats[A], Stats[season], Seasons[[#This Row],[season]], Stats[team], Seasons[[#This Row],[club]], Stats[exhibition], FALSE))</f>
        <v>N/A</v>
      </c>
      <c r="J12" s="17" t="str">
        <f>IF(Seasons[[#This Row],[club]] = "N/A", "N/A", SUMIFS(Stats[INV], Stats[season], Seasons[[#This Row],[season]], Stats[team], Seasons[[#This Row],[club]], Stats[exhibition], FALSE))</f>
        <v>N/A</v>
      </c>
      <c r="K12" s="17" t="str">
        <f>IF(Seasons[[#This Row],[club]] = "N/A", "N/A", SUMIFS(Fixtures[YC], Fixtures[APP], TRUE, Fixtures[season], Seasons[[#This Row],[season]], Fixtures[exhibition], FALSE))</f>
        <v>N/A</v>
      </c>
      <c r="L12" s="17" t="str">
        <f>IF(Seasons[[#This Row],[club]] = "N/A", "N/A", SUMIFS(Fixtures[RC], Fixtures[APP], TRUE, Fixtures[season], Seasons[[#This Row],[season]], Fixtures[exhibition], FALSE))</f>
        <v>N/A</v>
      </c>
      <c r="M12" s="19" t="str">
        <f>IF(Seasons[[#This Row],[club]] = "N/A", "N/A", IFERROR(AVERAGEIFS(Fixtures[MR], Fixtures[season], Seasons[[#This Row],[season]], Fixtures[APP], TRUE, Fixtures[exhibition], FALSE), 0))</f>
        <v>N/A</v>
      </c>
      <c r="N12" s="17" t="str">
        <f>IF(Seasons[[#This Row],[club]] = "N/A", "N/A", COUNTIFS(Fixtures[APP], TRUE, Fixtures[season], Seasons[[#This Row],[season]], Fixtures[exhibition], FALSE, Fixtures[MOTM], TRUE))</f>
        <v>N/A</v>
      </c>
      <c r="O12" s="5"/>
      <c r="P12" s="5"/>
      <c r="Q12" s="5"/>
      <c r="R12" s="17" t="str" cm="1">
        <f t="array" ref="R12">IF(Seasons[[#This Row],[club]] = "N/A", "N/A", _xlfn.TEXTJOIN(", ", TRUE, _xlfn._xlws.FILTER(Stats[competition],(Stats[season]=Seasons[[#This Row],[season]])*(Stats[result]="Winner"),"None")))</f>
        <v>N/A</v>
      </c>
    </row>
    <row r="13" spans="1:18" s="4" customFormat="1" ht="13" hidden="1">
      <c r="A13" s="17" t="s">
        <v>69</v>
      </c>
      <c r="B13" s="17" t="str" cm="1">
        <f t="array" ref="B13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3" s="17" t="str" cm="1">
        <f t="array" ref="C13">IFERROR(_xlfn.TEXTJOIN(" → ", TRUE, _xlfn.UNIQUE(_xlfn._xlws.FILTER(Fixtures[userTeam], (Fixtures[season] = Seasons[[#This Row],[season]])*(Fixtures[userTeamType] = "Club")))), "N/A")</f>
        <v>N/A</v>
      </c>
      <c r="D13" s="17" t="str">
        <f>IF(Seasons[[#This Row],[club]] = "N/A", "N/A", SUMIFS(Stats[APP], Stats[season], Seasons[[#This Row],[season]], Stats[team], Seasons[[#This Row],[club]], Stats[exhibition], FALSE))</f>
        <v>N/A</v>
      </c>
      <c r="E13" s="17" t="str">
        <f>IF(Seasons[[#This Row],[club]] = "N/A", "N/A", SUMIFS(Stats[W], Stats[season], Seasons[[#This Row],[season]], Stats[team], Seasons[[#This Row],[club]], Stats[exhibition], FALSE))</f>
        <v>N/A</v>
      </c>
      <c r="F13" s="17" t="str">
        <f>IF(Seasons[[#This Row],[club]] = "N/A", "N/A", SUMIFS(Stats[D], Stats[season], Seasons[[#This Row],[season]], Stats[team], Seasons[[#This Row],[club]], Stats[exhibition], FALSE))</f>
        <v>N/A</v>
      </c>
      <c r="G13" s="17" t="str">
        <f>IF(Seasons[[#This Row],[club]] = "N/A", "N/A", SUMIFS(Stats[L], Stats[season], Seasons[[#This Row],[season]], Stats[team], Seasons[[#This Row],[club]], Stats[exhibition], FALSE))</f>
        <v>N/A</v>
      </c>
      <c r="H13" s="17" t="str">
        <f>IF(Seasons[[#This Row],[club]] = "N/A", "N/A", SUMIFS(Stats[G], Stats[season], Seasons[[#This Row],[season]], Stats[team], Seasons[[#This Row],[club]], Stats[exhibition], FALSE))</f>
        <v>N/A</v>
      </c>
      <c r="I13" s="17" t="str">
        <f>IF(Seasons[[#This Row],[club]] = "N/A", "N/A", SUMIFS(Stats[A], Stats[season], Seasons[[#This Row],[season]], Stats[team], Seasons[[#This Row],[club]], Stats[exhibition], FALSE))</f>
        <v>N/A</v>
      </c>
      <c r="J13" s="17" t="str">
        <f>IF(Seasons[[#This Row],[club]] = "N/A", "N/A", SUMIFS(Stats[INV], Stats[season], Seasons[[#This Row],[season]], Stats[team], Seasons[[#This Row],[club]], Stats[exhibition], FALSE))</f>
        <v>N/A</v>
      </c>
      <c r="K13" s="17" t="str">
        <f>IF(Seasons[[#This Row],[club]] = "N/A", "N/A", SUMIFS(Fixtures[YC], Fixtures[APP], TRUE, Fixtures[season], Seasons[[#This Row],[season]], Fixtures[exhibition], FALSE))</f>
        <v>N/A</v>
      </c>
      <c r="L13" s="17" t="str">
        <f>IF(Seasons[[#This Row],[club]] = "N/A", "N/A", SUMIFS(Fixtures[RC], Fixtures[APP], TRUE, Fixtures[season], Seasons[[#This Row],[season]], Fixtures[exhibition], FALSE))</f>
        <v>N/A</v>
      </c>
      <c r="M13" s="19" t="str">
        <f>IF(Seasons[[#This Row],[club]] = "N/A", "N/A", IFERROR(AVERAGEIFS(Fixtures[MR], Fixtures[season], Seasons[[#This Row],[season]], Fixtures[APP], TRUE, Fixtures[exhibition], FALSE), 0))</f>
        <v>N/A</v>
      </c>
      <c r="N13" s="17" t="str">
        <f>IF(Seasons[[#This Row],[club]] = "N/A", "N/A", COUNTIFS(Fixtures[APP], TRUE, Fixtures[season], Seasons[[#This Row],[season]], Fixtures[exhibition], FALSE, Fixtures[MOTM], TRUE))</f>
        <v>N/A</v>
      </c>
      <c r="O13" s="5"/>
      <c r="P13" s="5"/>
      <c r="Q13" s="5"/>
      <c r="R13" s="17" t="str" cm="1">
        <f t="array" ref="R13">IF(Seasons[[#This Row],[club]] = "N/A", "N/A", _xlfn.TEXTJOIN(", ", TRUE, _xlfn._xlws.FILTER(Stats[competition],(Stats[season]=Seasons[[#This Row],[season]])*(Stats[result]="Winner"),"None")))</f>
        <v>N/A</v>
      </c>
    </row>
    <row r="14" spans="1:18" s="4" customFormat="1" ht="13" hidden="1">
      <c r="A14" s="17" t="s">
        <v>70</v>
      </c>
      <c r="B14" s="17" t="str" cm="1">
        <f t="array" ref="B14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4" s="17" t="str" cm="1">
        <f t="array" ref="C14">IFERROR(_xlfn.TEXTJOIN(" → ", TRUE, _xlfn.UNIQUE(_xlfn._xlws.FILTER(Fixtures[userTeam], (Fixtures[season] = Seasons[[#This Row],[season]])*(Fixtures[userTeamType] = "Club")))), "N/A")</f>
        <v>N/A</v>
      </c>
      <c r="D14" s="17" t="str">
        <f>IF(Seasons[[#This Row],[club]] = "N/A", "N/A", SUMIFS(Stats[APP], Stats[season], Seasons[[#This Row],[season]], Stats[team], Seasons[[#This Row],[club]], Stats[exhibition], FALSE))</f>
        <v>N/A</v>
      </c>
      <c r="E14" s="17" t="str">
        <f>IF(Seasons[[#This Row],[club]] = "N/A", "N/A", SUMIFS(Stats[W], Stats[season], Seasons[[#This Row],[season]], Stats[team], Seasons[[#This Row],[club]], Stats[exhibition], FALSE))</f>
        <v>N/A</v>
      </c>
      <c r="F14" s="17" t="str">
        <f>IF(Seasons[[#This Row],[club]] = "N/A", "N/A", SUMIFS(Stats[D], Stats[season], Seasons[[#This Row],[season]], Stats[team], Seasons[[#This Row],[club]], Stats[exhibition], FALSE))</f>
        <v>N/A</v>
      </c>
      <c r="G14" s="17" t="str">
        <f>IF(Seasons[[#This Row],[club]] = "N/A", "N/A", SUMIFS(Stats[L], Stats[season], Seasons[[#This Row],[season]], Stats[team], Seasons[[#This Row],[club]], Stats[exhibition], FALSE))</f>
        <v>N/A</v>
      </c>
      <c r="H14" s="17" t="str">
        <f>IF(Seasons[[#This Row],[club]] = "N/A", "N/A", SUMIFS(Stats[G], Stats[season], Seasons[[#This Row],[season]], Stats[team], Seasons[[#This Row],[club]], Stats[exhibition], FALSE))</f>
        <v>N/A</v>
      </c>
      <c r="I14" s="17" t="str">
        <f>IF(Seasons[[#This Row],[club]] = "N/A", "N/A", SUMIFS(Stats[A], Stats[season], Seasons[[#This Row],[season]], Stats[team], Seasons[[#This Row],[club]], Stats[exhibition], FALSE))</f>
        <v>N/A</v>
      </c>
      <c r="J14" s="17" t="str">
        <f>IF(Seasons[[#This Row],[club]] = "N/A", "N/A", SUMIFS(Stats[INV], Stats[season], Seasons[[#This Row],[season]], Stats[team], Seasons[[#This Row],[club]], Stats[exhibition], FALSE))</f>
        <v>N/A</v>
      </c>
      <c r="K14" s="17" t="str">
        <f>IF(Seasons[[#This Row],[club]] = "N/A", "N/A", SUMIFS(Fixtures[YC], Fixtures[APP], TRUE, Fixtures[season], Seasons[[#This Row],[season]], Fixtures[exhibition], FALSE))</f>
        <v>N/A</v>
      </c>
      <c r="L14" s="17" t="str">
        <f>IF(Seasons[[#This Row],[club]] = "N/A", "N/A", SUMIFS(Fixtures[RC], Fixtures[APP], TRUE, Fixtures[season], Seasons[[#This Row],[season]], Fixtures[exhibition], FALSE))</f>
        <v>N/A</v>
      </c>
      <c r="M14" s="19" t="str">
        <f>IF(Seasons[[#This Row],[club]] = "N/A", "N/A", IFERROR(AVERAGEIFS(Fixtures[MR], Fixtures[season], Seasons[[#This Row],[season]], Fixtures[APP], TRUE, Fixtures[exhibition], FALSE), 0))</f>
        <v>N/A</v>
      </c>
      <c r="N14" s="17" t="str">
        <f>IF(Seasons[[#This Row],[club]] = "N/A", "N/A", COUNTIFS(Fixtures[APP], TRUE, Fixtures[season], Seasons[[#This Row],[season]], Fixtures[exhibition], FALSE, Fixtures[MOTM], TRUE))</f>
        <v>N/A</v>
      </c>
      <c r="O14" s="5"/>
      <c r="P14" s="5"/>
      <c r="Q14" s="5"/>
      <c r="R14" s="17" t="str" cm="1">
        <f t="array" ref="R14">IF(Seasons[[#This Row],[club]] = "N/A", "N/A", _xlfn.TEXTJOIN(", ", TRUE, _xlfn._xlws.FILTER(Stats[competition],(Stats[season]=Seasons[[#This Row],[season]])*(Stats[result]="Winner"),"None")))</f>
        <v>N/A</v>
      </c>
    </row>
    <row r="15" spans="1:18" s="4" customFormat="1" ht="13" hidden="1">
      <c r="A15" s="17" t="s">
        <v>71</v>
      </c>
      <c r="B15" s="17" t="str" cm="1">
        <f t="array" ref="B15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5" s="17" t="str" cm="1">
        <f t="array" ref="C15">IFERROR(_xlfn.TEXTJOIN(" → ", TRUE, _xlfn.UNIQUE(_xlfn._xlws.FILTER(Fixtures[userTeam], (Fixtures[season] = Seasons[[#This Row],[season]])*(Fixtures[userTeamType] = "Club")))), "N/A")</f>
        <v>N/A</v>
      </c>
      <c r="D15" s="17" t="str">
        <f>IF(Seasons[[#This Row],[club]] = "N/A", "N/A", SUMIFS(Stats[APP], Stats[season], Seasons[[#This Row],[season]], Stats[team], Seasons[[#This Row],[club]], Stats[exhibition], FALSE))</f>
        <v>N/A</v>
      </c>
      <c r="E15" s="17" t="str">
        <f>IF(Seasons[[#This Row],[club]] = "N/A", "N/A", SUMIFS(Stats[W], Stats[season], Seasons[[#This Row],[season]], Stats[team], Seasons[[#This Row],[club]], Stats[exhibition], FALSE))</f>
        <v>N/A</v>
      </c>
      <c r="F15" s="17" t="str">
        <f>IF(Seasons[[#This Row],[club]] = "N/A", "N/A", SUMIFS(Stats[D], Stats[season], Seasons[[#This Row],[season]], Stats[team], Seasons[[#This Row],[club]], Stats[exhibition], FALSE))</f>
        <v>N/A</v>
      </c>
      <c r="G15" s="17" t="str">
        <f>IF(Seasons[[#This Row],[club]] = "N/A", "N/A", SUMIFS(Stats[L], Stats[season], Seasons[[#This Row],[season]], Stats[team], Seasons[[#This Row],[club]], Stats[exhibition], FALSE))</f>
        <v>N/A</v>
      </c>
      <c r="H15" s="17" t="str">
        <f>IF(Seasons[[#This Row],[club]] = "N/A", "N/A", SUMIFS(Stats[G], Stats[season], Seasons[[#This Row],[season]], Stats[team], Seasons[[#This Row],[club]], Stats[exhibition], FALSE))</f>
        <v>N/A</v>
      </c>
      <c r="I15" s="17" t="str">
        <f>IF(Seasons[[#This Row],[club]] = "N/A", "N/A", SUMIFS(Stats[A], Stats[season], Seasons[[#This Row],[season]], Stats[team], Seasons[[#This Row],[club]], Stats[exhibition], FALSE))</f>
        <v>N/A</v>
      </c>
      <c r="J15" s="17" t="str">
        <f>IF(Seasons[[#This Row],[club]] = "N/A", "N/A", SUMIFS(Stats[INV], Stats[season], Seasons[[#This Row],[season]], Stats[team], Seasons[[#This Row],[club]], Stats[exhibition], FALSE))</f>
        <v>N/A</v>
      </c>
      <c r="K15" s="17" t="str">
        <f>IF(Seasons[[#This Row],[club]] = "N/A", "N/A", SUMIFS(Fixtures[YC], Fixtures[APP], TRUE, Fixtures[season], Seasons[[#This Row],[season]], Fixtures[exhibition], FALSE))</f>
        <v>N/A</v>
      </c>
      <c r="L15" s="17" t="str">
        <f>IF(Seasons[[#This Row],[club]] = "N/A", "N/A", SUMIFS(Fixtures[RC], Fixtures[APP], TRUE, Fixtures[season], Seasons[[#This Row],[season]], Fixtures[exhibition], FALSE))</f>
        <v>N/A</v>
      </c>
      <c r="M15" s="19" t="str">
        <f>IF(Seasons[[#This Row],[club]] = "N/A", "N/A", IFERROR(AVERAGEIFS(Fixtures[MR], Fixtures[season], Seasons[[#This Row],[season]], Fixtures[APP], TRUE, Fixtures[exhibition], FALSE), 0))</f>
        <v>N/A</v>
      </c>
      <c r="N15" s="17" t="str">
        <f>IF(Seasons[[#This Row],[club]] = "N/A", "N/A", COUNTIFS(Fixtures[APP], TRUE, Fixtures[season], Seasons[[#This Row],[season]], Fixtures[exhibition], FALSE, Fixtures[MOTM], TRUE))</f>
        <v>N/A</v>
      </c>
      <c r="O15" s="5"/>
      <c r="P15" s="5"/>
      <c r="Q15" s="5"/>
      <c r="R15" s="17" t="str" cm="1">
        <f t="array" ref="R15">IF(Seasons[[#This Row],[club]] = "N/A", "N/A", _xlfn.TEXTJOIN(", ", TRUE, _xlfn._xlws.FILTER(Stats[competition],(Stats[season]=Seasons[[#This Row],[season]])*(Stats[result]="Winner"),"None")))</f>
        <v>N/A</v>
      </c>
    </row>
    <row r="16" spans="1:18" s="4" customFormat="1" ht="13" hidden="1">
      <c r="A16" s="17" t="s">
        <v>72</v>
      </c>
      <c r="B16" s="17" t="str" cm="1">
        <f t="array" ref="B16">IF(COUNTA(Fixtures[date]) &gt; 0, IF(Seasons[[#This Row],[season]] = _xlfn._xlws.FILTER(Fixtures[season], (Fixtures[date] = asOfDate)), "Present", IF(Seasons[[#This Row],[season]] &lt; _xlfn._xlws.FILTER(Fixtures[season], (Fixtures[date] = asOfDate)), "Past", "Future")), IF(Seasons[[#This Row],[season]] = INDEX(Seasons[season], 1), "Present", "Future"))</f>
        <v>Future</v>
      </c>
      <c r="C16" s="17" t="str" cm="1">
        <f t="array" ref="C16">IFERROR(_xlfn.TEXTJOIN(" → ", TRUE, _xlfn.UNIQUE(_xlfn._xlws.FILTER(Fixtures[userTeam], (Fixtures[season] = Seasons[[#This Row],[season]])*(Fixtures[userTeamType] = "Club")))), "N/A")</f>
        <v>N/A</v>
      </c>
      <c r="D16" s="17" t="str">
        <f>IF(Seasons[[#This Row],[club]] = "N/A", "N/A", SUMIFS(Stats[APP], Stats[season], Seasons[[#This Row],[season]], Stats[team], Seasons[[#This Row],[club]], Stats[exhibition], FALSE))</f>
        <v>N/A</v>
      </c>
      <c r="E16" s="17" t="str">
        <f>IF(Seasons[[#This Row],[club]] = "N/A", "N/A", SUMIFS(Stats[W], Stats[season], Seasons[[#This Row],[season]], Stats[team], Seasons[[#This Row],[club]], Stats[exhibition], FALSE))</f>
        <v>N/A</v>
      </c>
      <c r="F16" s="17" t="str">
        <f>IF(Seasons[[#This Row],[club]] = "N/A", "N/A", SUMIFS(Stats[D], Stats[season], Seasons[[#This Row],[season]], Stats[team], Seasons[[#This Row],[club]], Stats[exhibition], FALSE))</f>
        <v>N/A</v>
      </c>
      <c r="G16" s="17" t="str">
        <f>IF(Seasons[[#This Row],[club]] = "N/A", "N/A", SUMIFS(Stats[L], Stats[season], Seasons[[#This Row],[season]], Stats[team], Seasons[[#This Row],[club]], Stats[exhibition], FALSE))</f>
        <v>N/A</v>
      </c>
      <c r="H16" s="17" t="str">
        <f>IF(Seasons[[#This Row],[club]] = "N/A", "N/A", SUMIFS(Stats[G], Stats[season], Seasons[[#This Row],[season]], Stats[team], Seasons[[#This Row],[club]], Stats[exhibition], FALSE))</f>
        <v>N/A</v>
      </c>
      <c r="I16" s="17" t="str">
        <f>IF(Seasons[[#This Row],[club]] = "N/A", "N/A", SUMIFS(Stats[A], Stats[season], Seasons[[#This Row],[season]], Stats[team], Seasons[[#This Row],[club]], Stats[exhibition], FALSE))</f>
        <v>N/A</v>
      </c>
      <c r="J16" s="17" t="str">
        <f>IF(Seasons[[#This Row],[club]] = "N/A", "N/A", SUMIFS(Stats[INV], Stats[season], Seasons[[#This Row],[season]], Stats[team], Seasons[[#This Row],[club]], Stats[exhibition], FALSE))</f>
        <v>N/A</v>
      </c>
      <c r="K16" s="17" t="str">
        <f>IF(Seasons[[#This Row],[club]] = "N/A", "N/A", SUMIFS(Fixtures[YC], Fixtures[APP], TRUE, Fixtures[season], Seasons[[#This Row],[season]], Fixtures[exhibition], FALSE))</f>
        <v>N/A</v>
      </c>
      <c r="L16" s="17" t="str">
        <f>IF(Seasons[[#This Row],[club]] = "N/A", "N/A", SUMIFS(Fixtures[RC], Fixtures[APP], TRUE, Fixtures[season], Seasons[[#This Row],[season]], Fixtures[exhibition], FALSE))</f>
        <v>N/A</v>
      </c>
      <c r="M16" s="19" t="str">
        <f>IF(Seasons[[#This Row],[club]] = "N/A", "N/A", IFERROR(AVERAGEIFS(Fixtures[MR], Fixtures[season], Seasons[[#This Row],[season]], Fixtures[APP], TRUE, Fixtures[exhibition], FALSE), 0))</f>
        <v>N/A</v>
      </c>
      <c r="N16" s="17" t="str">
        <f>IF(Seasons[[#This Row],[club]] = "N/A", "N/A", COUNTIFS(Fixtures[APP], TRUE, Fixtures[season], Seasons[[#This Row],[season]], Fixtures[exhibition], FALSE, Fixtures[MOTM], TRUE))</f>
        <v>N/A</v>
      </c>
      <c r="O16" s="5"/>
      <c r="P16" s="5"/>
      <c r="Q16" s="5"/>
      <c r="R16" s="17" t="str" cm="1">
        <f t="array" ref="R16">IF(Seasons[[#This Row],[club]] = "N/A", "N/A", _xlfn.TEXTJOIN(", ", TRUE, _xlfn._xlws.FILTER(Stats[competition],(Stats[season]=Seasons[[#This Row],[season]])*(Stats[result]="Winner"),"None")))</f>
        <v>N/A</v>
      </c>
    </row>
    <row r="17" spans="1:18" s="32" customFormat="1" ht="13">
      <c r="A17" s="12" t="s">
        <v>368</v>
      </c>
      <c r="B17" s="12"/>
      <c r="C17" s="12"/>
      <c r="D17" s="12">
        <f>SUBTOTAL(109,Seasons[APP])</f>
        <v>154</v>
      </c>
      <c r="E17" s="12">
        <f>SUBTOTAL(109,Seasons[W])</f>
        <v>86</v>
      </c>
      <c r="F17" s="12">
        <f>SUBTOTAL(109,Seasons[D])</f>
        <v>40</v>
      </c>
      <c r="G17" s="12">
        <f>SUBTOTAL(109,Seasons[L])</f>
        <v>28</v>
      </c>
      <c r="H17" s="12">
        <f>SUBTOTAL(109,Seasons[G])</f>
        <v>37</v>
      </c>
      <c r="I17" s="12">
        <f>SUBTOTAL(109,Seasons[A])</f>
        <v>69</v>
      </c>
      <c r="J17" s="12">
        <f>SUBTOTAL(109,Seasons[INV])</f>
        <v>106</v>
      </c>
      <c r="K17" s="12">
        <f>SUBTOTAL(109,Seasons[YC])</f>
        <v>1</v>
      </c>
      <c r="L17" s="12">
        <f>SUBTOTAL(109,Seasons[RC])</f>
        <v>0</v>
      </c>
      <c r="M17" s="34" cm="1">
        <f t="array" aca="1" ref="M17" ca="1">IFERROR(SUMPRODUCT(Seasons[APP],SUBTOTAL(109,OFFSET(Seasons[AVG],ROW(Seasons[AVG])-MIN(ROW(Seasons[AVG])),0,1)))/SUBTOTAL(109,Seasons[APP]), 0)</f>
        <v>7.3628311688311676</v>
      </c>
      <c r="N17" s="12">
        <f>SUBTOTAL(109,Seasons[MOTM])</f>
        <v>45</v>
      </c>
      <c r="O17" s="12">
        <f>SUBTOTAL(109,Seasons[TOTW])</f>
        <v>19</v>
      </c>
      <c r="P17" s="12">
        <f>SUBTOTAL(109,Seasons[POTM])</f>
        <v>0</v>
      </c>
      <c r="Q17" s="12" cm="1">
        <f t="array" aca="1" ref="Q17" ca="1">SUMPRODUCT(SUBTOTAL(3,OFFSET(Seasons[POTY],ROW(Seasons[POTY])-ROW(INDEX(Seasons[POTY], 1)),0,1)),--(Seasons[POTY]=TRUE))</f>
        <v>0</v>
      </c>
      <c r="R17" s="12"/>
    </row>
    <row r="18" spans="1:18">
      <c r="A18" s="40"/>
      <c r="B18" s="40"/>
      <c r="D18" s="40"/>
      <c r="E18" s="40"/>
      <c r="F18" s="40"/>
      <c r="G18" s="40"/>
      <c r="H18" s="40"/>
      <c r="I18" s="44"/>
      <c r="J18" s="40"/>
      <c r="K18" s="40"/>
      <c r="L18" s="40"/>
      <c r="M18" s="40"/>
      <c r="N18" s="41"/>
      <c r="O18" s="40"/>
      <c r="P18" s="40"/>
      <c r="Q18" s="40"/>
    </row>
    <row r="55" spans="2:17">
      <c r="B55" s="40"/>
      <c r="D55" s="40"/>
      <c r="E55" s="40"/>
      <c r="F55" s="40"/>
      <c r="G55" s="40"/>
      <c r="H55" s="40"/>
      <c r="I55" s="44"/>
      <c r="J55" s="40"/>
      <c r="K55" s="40"/>
      <c r="L55" s="40"/>
      <c r="M55" s="40"/>
      <c r="N55" s="40"/>
      <c r="O55" s="40"/>
      <c r="P55" s="40"/>
      <c r="Q55" s="40"/>
    </row>
  </sheetData>
  <phoneticPr fontId="6" type="noConversion"/>
  <conditionalFormatting sqref="A2:R16">
    <cfRule type="expression" dxfId="154" priority="1">
      <formula>INDIRECT("Seasons[@status]") = "Future"</formula>
    </cfRule>
  </conditionalFormatting>
  <conditionalFormatting sqref="O2:Q16">
    <cfRule type="containsBlanks" dxfId="153" priority="3">
      <formula>LEN(TRIM(O2))=0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2F2AB-1088-45C5-940B-7DD69058F2CD}">
  <sheetPr codeName="Sheet5"/>
  <dimension ref="A1:H10"/>
  <sheetViews>
    <sheetView zoomScaleNormal="100" workbookViewId="0">
      <selection activeCell="J11" sqref="J11"/>
    </sheetView>
  </sheetViews>
  <sheetFormatPr baseColWidth="10" defaultColWidth="8.85546875" defaultRowHeight="13"/>
  <cols>
    <col min="1" max="1" width="8.7109375" style="28" bestFit="1" customWidth="1"/>
    <col min="2" max="2" width="13.42578125" style="28" bestFit="1" customWidth="1"/>
    <col min="3" max="3" width="5.5703125" style="28" bestFit="1" customWidth="1"/>
    <col min="4" max="4" width="7.85546875" style="28" bestFit="1" customWidth="1"/>
    <col min="5" max="5" width="10.7109375" style="28" bestFit="1" customWidth="1"/>
    <col min="6" max="6" width="10.5703125" style="28" bestFit="1" customWidth="1"/>
    <col min="7" max="7" width="10.140625" style="28" bestFit="1" customWidth="1"/>
    <col min="8" max="8" width="10" style="28" bestFit="1" customWidth="1"/>
    <col min="9" max="16384" width="8.85546875" style="28"/>
  </cols>
  <sheetData>
    <row r="1" spans="1:8">
      <c r="A1" s="7" t="s">
        <v>369</v>
      </c>
      <c r="B1" s="7" t="s">
        <v>370</v>
      </c>
      <c r="C1" s="7" t="s">
        <v>371</v>
      </c>
      <c r="D1" s="7" t="s">
        <v>1</v>
      </c>
      <c r="E1" s="7" t="s">
        <v>23</v>
      </c>
      <c r="F1" s="7" t="s">
        <v>30</v>
      </c>
      <c r="G1" s="7" t="s">
        <v>37</v>
      </c>
      <c r="H1" s="7" t="s">
        <v>38</v>
      </c>
    </row>
    <row r="2" spans="1:8">
      <c r="A2" s="17" t="s">
        <v>2</v>
      </c>
      <c r="B2" s="17" t="s">
        <v>372</v>
      </c>
      <c r="C2" s="17" t="s">
        <v>373</v>
      </c>
      <c r="D2" s="17">
        <f ca="1">COUNTIFS(INDIRECT("Fixtures["&amp;Accomplishments[[#This Row],[category]]&amp;"]"), TRUE, Fixtures[exhibition], FALSE)</f>
        <v>156</v>
      </c>
      <c r="E2" s="29">
        <f ca="1">MAX(INDIRECT("Seasons["&amp;Accomplishments[[#This Row],[category]]&amp;"]"))</f>
        <v>59</v>
      </c>
      <c r="F2" s="17">
        <f ca="1">ROUND(AVERAGE(INDIRECT("Seasons["&amp;Accomplishments[[#This Row],[category]]&amp;"]")), 1)</f>
        <v>51.3</v>
      </c>
      <c r="G2" s="17" t="s">
        <v>374</v>
      </c>
      <c r="H2" s="17" t="s">
        <v>374</v>
      </c>
    </row>
    <row r="3" spans="1:8">
      <c r="A3" s="17" t="s">
        <v>4</v>
      </c>
      <c r="B3" s="17" t="s">
        <v>375</v>
      </c>
      <c r="C3" s="17" t="s">
        <v>373</v>
      </c>
      <c r="D3" s="17">
        <f>COUNTIFS(Fixtures[result], Accomplishments[[#This Row],[category]], Fixtures[exhibition], FALSE, Fixtures[APP], TRUE)</f>
        <v>87</v>
      </c>
      <c r="E3" s="17">
        <f ca="1">MAX(INDIRECT("Seasons["&amp;Accomplishments[[#This Row],[category]]&amp;"]"))</f>
        <v>30</v>
      </c>
      <c r="F3" s="17">
        <f ca="1">ROUND(AVERAGE(INDIRECT("Seasons["&amp;Accomplishments[[#This Row],[category]]&amp;"]")), 1)</f>
        <v>28.7</v>
      </c>
      <c r="G3" s="17" t="s">
        <v>374</v>
      </c>
      <c r="H3" s="17" t="s">
        <v>374</v>
      </c>
    </row>
    <row r="4" spans="1:8">
      <c r="A4" s="17" t="s">
        <v>5</v>
      </c>
      <c r="B4" s="17" t="s">
        <v>376</v>
      </c>
      <c r="C4" s="17" t="s">
        <v>373</v>
      </c>
      <c r="D4" s="17">
        <f ca="1">SUMIFS(INDIRECT("Fixtures["&amp;Accomplishments[[#This Row],[category]]&amp;"]"), Fixtures[exhibition], FALSE)</f>
        <v>37</v>
      </c>
      <c r="E4" s="17">
        <f ca="1">MAX(INDIRECT("Seasons["&amp;Accomplishments[[#This Row],[category]]&amp;"]"))</f>
        <v>13</v>
      </c>
      <c r="F4" s="17">
        <f ca="1">ROUND(AVERAGE(INDIRECT("Seasons["&amp;Accomplishments[[#This Row],[category]]&amp;"]")), 1)</f>
        <v>12.3</v>
      </c>
      <c r="G4" s="17">
        <f ca="1">_xlfn.MAXIFS(INDIRECT("Fixtures["&amp;Accomplishments[[#This Row],[category]]&amp;"]"), Fixtures[exhibition], FALSE)</f>
        <v>3</v>
      </c>
      <c r="H4" s="17">
        <f ca="1">IFERROR(ROUND(AVERAGEIFS(INDIRECT("Fixtures["&amp;Accomplishments[[#This Row],[category]]&amp;"]"), Fixtures[exhibition], FALSE), 1), 0)</f>
        <v>0.2</v>
      </c>
    </row>
    <row r="5" spans="1:8">
      <c r="A5" s="17" t="s">
        <v>8</v>
      </c>
      <c r="B5" s="17" t="s">
        <v>377</v>
      </c>
      <c r="C5" s="17" t="s">
        <v>373</v>
      </c>
      <c r="D5" s="17">
        <f ca="1">SUMIFS(INDIRECT("Fixtures["&amp;Accomplishments[[#This Row],[category]]&amp;"]"), Fixtures[exhibition], FALSE)</f>
        <v>70</v>
      </c>
      <c r="E5" s="17">
        <f ca="1">MAX(INDIRECT("Seasons["&amp;Accomplishments[[#This Row],[category]]&amp;"]"))</f>
        <v>28</v>
      </c>
      <c r="F5" s="17">
        <f ca="1">ROUND(AVERAGE(INDIRECT("Seasons["&amp;Accomplishments[[#This Row],[category]]&amp;"]")), 1)</f>
        <v>23</v>
      </c>
      <c r="G5" s="17">
        <f ca="1">_xlfn.MAXIFS(INDIRECT("Fixtures["&amp;Accomplishments[[#This Row],[category]]&amp;"]"), Fixtures[exhibition], FALSE)</f>
        <v>3</v>
      </c>
      <c r="H5" s="17">
        <f ca="1">IFERROR(ROUND(AVERAGEIFS(INDIRECT("Fixtures["&amp;Accomplishments[[#This Row],[category]]&amp;"]"), Fixtures[exhibition], FALSE), 1), 0)</f>
        <v>0.4</v>
      </c>
    </row>
    <row r="6" spans="1:8">
      <c r="A6" s="17" t="s">
        <v>11</v>
      </c>
      <c r="B6" s="17" t="s">
        <v>378</v>
      </c>
      <c r="C6" s="17" t="s">
        <v>373</v>
      </c>
      <c r="D6" s="17">
        <f ca="1">SUMIFS(INDIRECT("Fixtures["&amp;Accomplishments[[#This Row],[category]]&amp;"]"), Fixtures[exhibition], FALSE)</f>
        <v>107</v>
      </c>
      <c r="E6" s="17">
        <f ca="1">MAX(INDIRECT("Seasons["&amp;Accomplishments[[#This Row],[category]]&amp;"]"))</f>
        <v>41</v>
      </c>
      <c r="F6" s="17">
        <f ca="1">ROUND(AVERAGE(INDIRECT("Seasons["&amp;Accomplishments[[#This Row],[category]]&amp;"]")), 1)</f>
        <v>35.299999999999997</v>
      </c>
      <c r="G6" s="17">
        <f ca="1">_xlfn.MAXIFS(INDIRECT("Fixtures["&amp;Accomplishments[[#This Row],[category]]&amp;"]"), Fixtures[exhibition], FALSE)</f>
        <v>4</v>
      </c>
      <c r="H6" s="17">
        <f ca="1">IFERROR(ROUND(AVERAGEIFS(INDIRECT("Fixtures["&amp;Accomplishments[[#This Row],[category]]&amp;"]"), Fixtures[exhibition], FALSE), 1), 0)</f>
        <v>0.7</v>
      </c>
    </row>
    <row r="7" spans="1:8">
      <c r="A7" s="17" t="s">
        <v>14</v>
      </c>
      <c r="B7" s="17" t="s">
        <v>379</v>
      </c>
      <c r="C7" s="17" t="s">
        <v>380</v>
      </c>
      <c r="D7" s="17">
        <f ca="1">COUNTIFS(INDIRECT("Fixtures["&amp;Accomplishments[[#This Row],[category]]&amp;"]"), TRUE, Fixtures[exhibition], FALSE)</f>
        <v>45</v>
      </c>
      <c r="E7" s="17">
        <f ca="1">MAX(INDIRECT("Seasons["&amp;Accomplishments[[#This Row],[category]]&amp;"]"))</f>
        <v>19</v>
      </c>
      <c r="F7" s="17">
        <f ca="1">ROUND(AVERAGE(INDIRECT("Seasons["&amp;Accomplishments[[#This Row],[category]]&amp;"]")), 1)</f>
        <v>15</v>
      </c>
      <c r="G7" s="17" t="s">
        <v>374</v>
      </c>
      <c r="H7" s="17" t="s">
        <v>374</v>
      </c>
    </row>
    <row r="8" spans="1:8">
      <c r="A8" s="17" t="s">
        <v>17</v>
      </c>
      <c r="B8" s="17" t="s">
        <v>381</v>
      </c>
      <c r="C8" s="17" t="s">
        <v>380</v>
      </c>
      <c r="D8" s="17">
        <f ca="1">SUM(INDIRECT("Seasons["&amp;Accomplishments[[#This Row],[category]]&amp;"]"))</f>
        <v>19</v>
      </c>
      <c r="E8" s="17">
        <f ca="1">MAX(INDIRECT("Seasons["&amp;Accomplishments[[#This Row],[category]]&amp;"]"))</f>
        <v>6</v>
      </c>
      <c r="F8" s="17">
        <f ca="1">ROUND(AVERAGE(INDIRECT("Seasons["&amp;Accomplishments[[#This Row],[category]]&amp;"]")), 1)</f>
        <v>4.8</v>
      </c>
      <c r="G8" s="17" t="s">
        <v>374</v>
      </c>
      <c r="H8" s="17" t="s">
        <v>374</v>
      </c>
    </row>
    <row r="9" spans="1:8">
      <c r="A9" s="17" t="s">
        <v>19</v>
      </c>
      <c r="B9" s="17" t="s">
        <v>382</v>
      </c>
      <c r="C9" s="17" t="s">
        <v>380</v>
      </c>
      <c r="D9" s="17">
        <f ca="1">SUM(INDIRECT("Seasons["&amp;Accomplishments[[#This Row],[category]]&amp;"]"))</f>
        <v>0</v>
      </c>
      <c r="E9" s="17">
        <f ca="1">MAX(INDIRECT("Seasons["&amp;Accomplishments[[#This Row],[category]]&amp;"]"))</f>
        <v>0</v>
      </c>
      <c r="F9" s="17">
        <f ca="1">ROUND(AVERAGE(INDIRECT("Seasons["&amp;Accomplishments[[#This Row],[category]]&amp;"]")), 1)</f>
        <v>0</v>
      </c>
      <c r="G9" s="17" t="s">
        <v>374</v>
      </c>
      <c r="H9" s="17" t="s">
        <v>374</v>
      </c>
    </row>
    <row r="10" spans="1:8">
      <c r="A10" s="17" t="s">
        <v>20</v>
      </c>
      <c r="B10" s="17" t="s">
        <v>383</v>
      </c>
      <c r="C10" s="17" t="s">
        <v>380</v>
      </c>
      <c r="D10" s="17">
        <f ca="1">SUM(INDIRECT("Seasons["&amp;Accomplishments[[#This Row],[category]]&amp;"]"))</f>
        <v>0</v>
      </c>
      <c r="E10" s="17" t="s">
        <v>374</v>
      </c>
      <c r="F10" s="17" t="s">
        <v>374</v>
      </c>
      <c r="G10" s="17" t="s">
        <v>374</v>
      </c>
      <c r="H10" s="17" t="s">
        <v>374</v>
      </c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6055-0A53-4A78-9223-8A87F4BA01D6}">
  <sheetPr codeName="Sheet8"/>
  <dimension ref="A1:S718"/>
  <sheetViews>
    <sheetView workbookViewId="0">
      <pane ySplit="1" topLeftCell="A115" activePane="bottomLeft" state="frozen"/>
      <selection activeCell="I46" sqref="I46"/>
      <selection pane="bottomLeft" activeCell="S720" sqref="S720"/>
    </sheetView>
  </sheetViews>
  <sheetFormatPr baseColWidth="10" defaultColWidth="8.85546875" defaultRowHeight="16"/>
  <cols>
    <col min="1" max="1" width="14.28515625" style="14" bestFit="1" customWidth="1"/>
    <col min="2" max="2" width="14.7109375" bestFit="1" customWidth="1"/>
    <col min="3" max="3" width="9.5703125" style="14" bestFit="1" customWidth="1"/>
    <col min="4" max="4" width="22.28515625" style="14" bestFit="1" customWidth="1"/>
    <col min="5" max="5" width="8.7109375" style="14" bestFit="1" customWidth="1"/>
    <col min="6" max="6" width="8.42578125" style="14" bestFit="1" customWidth="1"/>
    <col min="7" max="7" width="8.28515625" style="14" bestFit="1" customWidth="1"/>
    <col min="8" max="8" width="5.5703125" style="14" bestFit="1" customWidth="1"/>
    <col min="9" max="9" width="4" style="14" bestFit="1" customWidth="1"/>
    <col min="10" max="10" width="3.5703125" style="14" bestFit="1" customWidth="1"/>
    <col min="11" max="11" width="3.42578125" style="14" bestFit="1" customWidth="1"/>
    <col min="12" max="12" width="3.7109375" style="14" bestFit="1" customWidth="1"/>
    <col min="13" max="13" width="3.5703125" style="14" bestFit="1" customWidth="1"/>
    <col min="14" max="14" width="5" style="14" bestFit="1" customWidth="1"/>
    <col min="15" max="15" width="4.42578125" style="14" bestFit="1" customWidth="1"/>
    <col min="16" max="16" width="4.5703125" style="14" bestFit="1" customWidth="1"/>
    <col min="17" max="17" width="5.7109375" style="14" bestFit="1" customWidth="1"/>
    <col min="18" max="18" width="7" style="14" bestFit="1" customWidth="1"/>
    <col min="19" max="19" width="42.7109375" style="14" bestFit="1" customWidth="1"/>
    <col min="20" max="16384" width="8.85546875" style="14"/>
  </cols>
  <sheetData>
    <row r="1" spans="1:19" ht="13">
      <c r="A1" s="7" t="s">
        <v>384</v>
      </c>
      <c r="B1" s="7" t="s">
        <v>385</v>
      </c>
      <c r="C1" s="7" t="s">
        <v>386</v>
      </c>
      <c r="D1" s="7" t="s">
        <v>387</v>
      </c>
      <c r="E1" s="6" t="s">
        <v>388</v>
      </c>
      <c r="F1" s="6" t="s">
        <v>389</v>
      </c>
      <c r="G1" s="6" t="s">
        <v>390</v>
      </c>
      <c r="H1" s="7" t="s">
        <v>2</v>
      </c>
      <c r="I1" s="7" t="s">
        <v>4</v>
      </c>
      <c r="J1" s="7" t="s">
        <v>359</v>
      </c>
      <c r="K1" s="7" t="s">
        <v>360</v>
      </c>
      <c r="L1" s="7" t="s">
        <v>5</v>
      </c>
      <c r="M1" s="7" t="s">
        <v>8</v>
      </c>
      <c r="N1" s="7" t="s">
        <v>11</v>
      </c>
      <c r="O1" s="15" t="s">
        <v>86</v>
      </c>
      <c r="P1" s="10" t="s">
        <v>87</v>
      </c>
      <c r="Q1" s="7" t="s">
        <v>361</v>
      </c>
      <c r="R1" s="7" t="s">
        <v>14</v>
      </c>
      <c r="S1" s="7" t="s">
        <v>39</v>
      </c>
    </row>
    <row r="2" spans="1:19" ht="13" hidden="1">
      <c r="A2" s="1" t="s">
        <v>310</v>
      </c>
      <c r="B2" s="1" t="s">
        <v>337</v>
      </c>
      <c r="C2" s="1" t="s">
        <v>391</v>
      </c>
      <c r="D2" s="1" t="str">
        <f>UPPER(_xlfn.CONCAT(LEFT(Teams[[#This Row],[teamType]], 1), "-", LEFT(SUBSTITUTE(Teams[[#This Row],[nation]], "/", ""), 3), "-", SUBSTITUTE(SUBSTITUTE(SUBSTITUTE(Teams[[#This Row],[name]], ".", ""), " ", ""), "-", "")))</f>
        <v>C-GER-1FCKÖLN</v>
      </c>
      <c r="E2" s="16"/>
      <c r="F2" s="16"/>
      <c r="G2" s="1" t="b">
        <f>COUNTBLANK(Teams[[#This Row],[startDate]:[endDate]]) &lt; 2</f>
        <v>0</v>
      </c>
      <c r="H2" s="1" t="str">
        <f>IF(Teams[[#This Row],[relevant]], COUNTIFS(Fixtures[userTeam], Teams[[#This Row],[name]], Fixtures[APP], TRUE), "")</f>
        <v/>
      </c>
      <c r="I2" s="1" t="str">
        <f>IF(Teams[[#This Row],[relevant]], COUNTIFS(Fixtures[userTeam], Teams[[#This Row],[name]], Fixtures[result], "W", Fixtures[APP], TRUE), "")</f>
        <v/>
      </c>
      <c r="J2" s="1" t="str">
        <f>IF(Teams[[#This Row],[relevant]], COUNTIFS(Fixtures[userTeam], Teams[[#This Row],[name]], Fixtures[result], "D", Fixtures[APP], TRUE), "")</f>
        <v/>
      </c>
      <c r="K2" s="1" t="str">
        <f>IF(Teams[[#This Row],[relevant]], COUNTIFS(Fixtures[userTeam], Teams[[#This Row],[name]], Fixtures[result], "L", Fixtures[APP], TRUE), "")</f>
        <v/>
      </c>
      <c r="L2" s="1" t="str">
        <f>IF(Teams[[#This Row],[relevant]], SUMIFS(Fixtures[G], Fixtures[userTeam], Teams[[#This Row],[name]]), "")</f>
        <v/>
      </c>
      <c r="M2" s="1" t="str">
        <f>IF(Teams[[#This Row],[relevant]], SUMIFS(Fixtures[A], Fixtures[userTeam], Teams[[#This Row],[name]]), "")</f>
        <v/>
      </c>
      <c r="N2" s="1" t="str">
        <f>IF(Teams[[#This Row],[relevant]], SUMIFS(Fixtures[INV], Fixtures[userTeam], Teams[[#This Row],[name]]), "")</f>
        <v/>
      </c>
      <c r="O2" s="1" t="str">
        <f>IF(Teams[[#This Row],[relevant]], SUMIFS(Fixtures[YC], Fixtures[userTeam], Teams[[#This Row],[name]]), "")</f>
        <v/>
      </c>
      <c r="P2" s="1" t="str">
        <f>IF(Teams[[#This Row],[relevant]], SUMIFS(Fixtures[RC], Fixtures[userTeam], Teams[[#This Row],[name]]), "")</f>
        <v/>
      </c>
      <c r="Q2" s="13" t="str">
        <f>IF(Teams[[#This Row],[relevant]], IF(ISERROR(AVERAGEIFS(Fixtures[MR], Fixtures[userTeam], Teams[[#This Row],[name]])), 0, AVERAGEIFS(Fixtures[MR], Fixtures[userTeam], Teams[[#This Row],[name]])), "")</f>
        <v/>
      </c>
      <c r="R2" s="1" t="str">
        <f>IF(Teams[[#This Row],[relevant]], COUNTIFS(Fixtures[userTeam], Teams[[#This Row],[name]], Fixtures[MOTM], TRUE), "")</f>
        <v/>
      </c>
      <c r="S2" s="1" t="str" cm="1">
        <f t="array" ref="S2">IF(Teams[[#This Row],[relevant]], _xlfn.TEXTJOIN(", ", TRUE, _xlfn._xlws.FILTER(Stats[competition]&amp;" ("&amp;Stats[season]&amp;")",(Stats[team]=Teams[[#This Row],[name]])*(Stats[result]="Winner"),"")), "")</f>
        <v/>
      </c>
    </row>
    <row r="3" spans="1:19" ht="13" hidden="1">
      <c r="A3" s="1" t="s">
        <v>392</v>
      </c>
      <c r="B3" s="1" t="s">
        <v>337</v>
      </c>
      <c r="C3" s="1" t="s">
        <v>391</v>
      </c>
      <c r="D3" s="1" t="str">
        <f>UPPER(_xlfn.CONCAT(LEFT(Teams[[#This Row],[teamType]], 1), "-", LEFT(SUBSTITUTE(Teams[[#This Row],[nation]], "/", ""), 3), "-", SUBSTITUTE(SUBSTITUTE(SUBSTITUTE(Teams[[#This Row],[name]], ".", ""), " ", ""), "-", "")))</f>
        <v>C-GER-1FCMAGDEBURG</v>
      </c>
      <c r="E3" s="16"/>
      <c r="F3" s="16"/>
      <c r="G3" s="1" t="b">
        <f>COUNTBLANK(Teams[[#This Row],[startDate]:[endDate]]) &lt; 2</f>
        <v>0</v>
      </c>
      <c r="H3" s="1" t="str">
        <f>IF(Teams[[#This Row],[relevant]], COUNTIFS(Fixtures[userTeam], Teams[[#This Row],[name]], Fixtures[APP], TRUE), "")</f>
        <v/>
      </c>
      <c r="I3" s="1" t="str">
        <f>IF(Teams[[#This Row],[relevant]], COUNTIFS(Fixtures[userTeam], Teams[[#This Row],[name]], Fixtures[result], "W", Fixtures[APP], TRUE), "")</f>
        <v/>
      </c>
      <c r="J3" s="1" t="str">
        <f>IF(Teams[[#This Row],[relevant]], COUNTIFS(Fixtures[userTeam], Teams[[#This Row],[name]], Fixtures[result], "D", Fixtures[APP], TRUE), "")</f>
        <v/>
      </c>
      <c r="K3" s="1" t="str">
        <f>IF(Teams[[#This Row],[relevant]], COUNTIFS(Fixtures[userTeam], Teams[[#This Row],[name]], Fixtures[result], "L", Fixtures[APP], TRUE), "")</f>
        <v/>
      </c>
      <c r="L3" s="1" t="str">
        <f>IF(Teams[[#This Row],[relevant]], SUMIFS(Fixtures[G], Fixtures[userTeam], Teams[[#This Row],[name]]), "")</f>
        <v/>
      </c>
      <c r="M3" s="1" t="str">
        <f>IF(Teams[[#This Row],[relevant]], SUMIFS(Fixtures[A], Fixtures[userTeam], Teams[[#This Row],[name]]), "")</f>
        <v/>
      </c>
      <c r="N3" s="1" t="str">
        <f>IF(Teams[[#This Row],[relevant]], SUMIFS(Fixtures[INV], Fixtures[userTeam], Teams[[#This Row],[name]]), "")</f>
        <v/>
      </c>
      <c r="O3" s="1" t="str">
        <f>IF(Teams[[#This Row],[relevant]], SUMIFS(Fixtures[YC], Fixtures[userTeam], Teams[[#This Row],[name]]), "")</f>
        <v/>
      </c>
      <c r="P3" s="1" t="str">
        <f>IF(Teams[[#This Row],[relevant]], SUMIFS(Fixtures[RC], Fixtures[userTeam], Teams[[#This Row],[name]]), "")</f>
        <v/>
      </c>
      <c r="Q3" s="13" t="str">
        <f>IF(Teams[[#This Row],[relevant]], IF(ISERROR(AVERAGEIFS(Fixtures[MR], Fixtures[userTeam], Teams[[#This Row],[name]])), 0, AVERAGEIFS(Fixtures[MR], Fixtures[userTeam], Teams[[#This Row],[name]])), "")</f>
        <v/>
      </c>
      <c r="R3" s="1" t="str">
        <f>IF(Teams[[#This Row],[relevant]], COUNTIFS(Fixtures[userTeam], Teams[[#This Row],[name]], Fixtures[MOTM], TRUE), "")</f>
        <v/>
      </c>
      <c r="S3" s="1" t="str" cm="1">
        <f t="array" ref="S3">IF(Teams[[#This Row],[relevant]], _xlfn.TEXTJOIN(", ", TRUE, _xlfn._xlws.FILTER(Stats[competition]&amp;" ("&amp;Stats[season]&amp;")",(Stats[team]=Teams[[#This Row],[name]])*(Stats[result]="Winner"),"")), "")</f>
        <v/>
      </c>
    </row>
    <row r="4" spans="1:19" ht="13" hidden="1">
      <c r="A4" s="1" t="s">
        <v>393</v>
      </c>
      <c r="B4" s="1" t="s">
        <v>337</v>
      </c>
      <c r="C4" s="1" t="s">
        <v>391</v>
      </c>
      <c r="D4" s="1" t="str">
        <f>UPPER(_xlfn.CONCAT(LEFT(Teams[[#This Row],[teamType]], 1), "-", LEFT(SUBSTITUTE(Teams[[#This Row],[nation]], "/", ""), 3), "-", SUBSTITUTE(SUBSTITUTE(SUBSTITUTE(Teams[[#This Row],[name]], ".", ""), " ", ""), "-", "")))</f>
        <v>C-GER-1FCNÜRNBERG</v>
      </c>
      <c r="E4" s="16"/>
      <c r="F4" s="16"/>
      <c r="G4" s="1" t="b">
        <f>COUNTBLANK(Teams[[#This Row],[startDate]:[endDate]]) &lt; 2</f>
        <v>0</v>
      </c>
      <c r="H4" s="1" t="str">
        <f>IF(Teams[[#This Row],[relevant]], COUNTIFS(Fixtures[userTeam], Teams[[#This Row],[name]], Fixtures[APP], TRUE), "")</f>
        <v/>
      </c>
      <c r="I4" s="1" t="str">
        <f>IF(Teams[[#This Row],[relevant]], COUNTIFS(Fixtures[userTeam], Teams[[#This Row],[name]], Fixtures[result], "W", Fixtures[APP], TRUE), "")</f>
        <v/>
      </c>
      <c r="J4" s="1" t="str">
        <f>IF(Teams[[#This Row],[relevant]], COUNTIFS(Fixtures[userTeam], Teams[[#This Row],[name]], Fixtures[result], "D", Fixtures[APP], TRUE), "")</f>
        <v/>
      </c>
      <c r="K4" s="1" t="str">
        <f>IF(Teams[[#This Row],[relevant]], COUNTIFS(Fixtures[userTeam], Teams[[#This Row],[name]], Fixtures[result], "L", Fixtures[APP], TRUE), "")</f>
        <v/>
      </c>
      <c r="L4" s="1" t="str">
        <f>IF(Teams[[#This Row],[relevant]], SUMIFS(Fixtures[G], Fixtures[userTeam], Teams[[#This Row],[name]]), "")</f>
        <v/>
      </c>
      <c r="M4" s="1" t="str">
        <f>IF(Teams[[#This Row],[relevant]], SUMIFS(Fixtures[A], Fixtures[userTeam], Teams[[#This Row],[name]]), "")</f>
        <v/>
      </c>
      <c r="N4" s="1" t="str">
        <f>IF(Teams[[#This Row],[relevant]], SUMIFS(Fixtures[INV], Fixtures[userTeam], Teams[[#This Row],[name]]), "")</f>
        <v/>
      </c>
      <c r="O4" s="1" t="str">
        <f>IF(Teams[[#This Row],[relevant]], SUMIFS(Fixtures[YC], Fixtures[userTeam], Teams[[#This Row],[name]]), "")</f>
        <v/>
      </c>
      <c r="P4" s="1" t="str">
        <f>IF(Teams[[#This Row],[relevant]], SUMIFS(Fixtures[RC], Fixtures[userTeam], Teams[[#This Row],[name]]), "")</f>
        <v/>
      </c>
      <c r="Q4" s="13" t="str">
        <f>IF(Teams[[#This Row],[relevant]], IF(ISERROR(AVERAGEIFS(Fixtures[MR], Fixtures[userTeam], Teams[[#This Row],[name]])), 0, AVERAGEIFS(Fixtures[MR], Fixtures[userTeam], Teams[[#This Row],[name]])), "")</f>
        <v/>
      </c>
      <c r="R4" s="1" t="str">
        <f>IF(Teams[[#This Row],[relevant]], COUNTIFS(Fixtures[userTeam], Teams[[#This Row],[name]], Fixtures[MOTM], TRUE), "")</f>
        <v/>
      </c>
      <c r="S4" s="1" t="str" cm="1">
        <f t="array" ref="S4">IF(Teams[[#This Row],[relevant]], _xlfn.TEXTJOIN(", ", TRUE, _xlfn._xlws.FILTER(Stats[competition]&amp;" ("&amp;Stats[season]&amp;")",(Stats[team]=Teams[[#This Row],[name]])*(Stats[result]="Winner"),"")), "")</f>
        <v/>
      </c>
    </row>
    <row r="5" spans="1:19" ht="13" hidden="1">
      <c r="A5" s="1" t="s">
        <v>266</v>
      </c>
      <c r="B5" s="1" t="s">
        <v>337</v>
      </c>
      <c r="C5" s="1" t="s">
        <v>391</v>
      </c>
      <c r="D5" s="1" t="str">
        <f>UPPER(_xlfn.CONCAT(LEFT(Teams[[#This Row],[teamType]], 1), "-", LEFT(SUBSTITUTE(Teams[[#This Row],[nation]], "/", ""), 3), "-", SUBSTITUTE(SUBSTITUTE(SUBSTITUTE(Teams[[#This Row],[name]], ".", ""), " ", ""), "-", "")))</f>
        <v>C-GER-1FSVMAINZ05</v>
      </c>
      <c r="E5" s="16"/>
      <c r="F5" s="16"/>
      <c r="G5" s="1" t="b">
        <f>COUNTBLANK(Teams[[#This Row],[startDate]:[endDate]]) &lt; 2</f>
        <v>0</v>
      </c>
      <c r="H5" s="1" t="str">
        <f>IF(Teams[[#This Row],[relevant]], COUNTIFS(Fixtures[userTeam], Teams[[#This Row],[name]], Fixtures[APP], TRUE), "")</f>
        <v/>
      </c>
      <c r="I5" s="1" t="str">
        <f>IF(Teams[[#This Row],[relevant]], COUNTIFS(Fixtures[userTeam], Teams[[#This Row],[name]], Fixtures[result], "W", Fixtures[APP], TRUE), "")</f>
        <v/>
      </c>
      <c r="J5" s="1" t="str">
        <f>IF(Teams[[#This Row],[relevant]], COUNTIFS(Fixtures[userTeam], Teams[[#This Row],[name]], Fixtures[result], "D", Fixtures[APP], TRUE), "")</f>
        <v/>
      </c>
      <c r="K5" s="1" t="str">
        <f>IF(Teams[[#This Row],[relevant]], COUNTIFS(Fixtures[userTeam], Teams[[#This Row],[name]], Fixtures[result], "L", Fixtures[APP], TRUE), "")</f>
        <v/>
      </c>
      <c r="L5" s="1" t="str">
        <f>IF(Teams[[#This Row],[relevant]], SUMIFS(Fixtures[G], Fixtures[userTeam], Teams[[#This Row],[name]]), "")</f>
        <v/>
      </c>
      <c r="M5" s="1" t="str">
        <f>IF(Teams[[#This Row],[relevant]], SUMIFS(Fixtures[A], Fixtures[userTeam], Teams[[#This Row],[name]]), "")</f>
        <v/>
      </c>
      <c r="N5" s="1" t="str">
        <f>IF(Teams[[#This Row],[relevant]], SUMIFS(Fixtures[INV], Fixtures[userTeam], Teams[[#This Row],[name]]), "")</f>
        <v/>
      </c>
      <c r="O5" s="1" t="str">
        <f>IF(Teams[[#This Row],[relevant]], SUMIFS(Fixtures[YC], Fixtures[userTeam], Teams[[#This Row],[name]]), "")</f>
        <v/>
      </c>
      <c r="P5" s="1" t="str">
        <f>IF(Teams[[#This Row],[relevant]], SUMIFS(Fixtures[RC], Fixtures[userTeam], Teams[[#This Row],[name]]), "")</f>
        <v/>
      </c>
      <c r="Q5" s="13" t="str">
        <f>IF(Teams[[#This Row],[relevant]], IF(ISERROR(AVERAGEIFS(Fixtures[MR], Fixtures[userTeam], Teams[[#This Row],[name]])), 0, AVERAGEIFS(Fixtures[MR], Fixtures[userTeam], Teams[[#This Row],[name]])), "")</f>
        <v/>
      </c>
      <c r="R5" s="1" t="str">
        <f>IF(Teams[[#This Row],[relevant]], COUNTIFS(Fixtures[userTeam], Teams[[#This Row],[name]], Fixtures[MOTM], TRUE), "")</f>
        <v/>
      </c>
      <c r="S5" s="1" t="str" cm="1">
        <f t="array" ref="S5">IF(Teams[[#This Row],[relevant]], _xlfn.TEXTJOIN(", ", TRUE, _xlfn._xlws.FILTER(Stats[competition]&amp;" ("&amp;Stats[season]&amp;")",(Stats[team]=Teams[[#This Row],[name]])*(Stats[result]="Winner"),"")), "")</f>
        <v/>
      </c>
    </row>
    <row r="6" spans="1:19" ht="13" hidden="1">
      <c r="A6" s="1" t="s">
        <v>394</v>
      </c>
      <c r="B6" s="1" t="s">
        <v>337</v>
      </c>
      <c r="C6" s="1" t="s">
        <v>391</v>
      </c>
      <c r="D6" s="1" t="str">
        <f>UPPER(_xlfn.CONCAT(LEFT(Teams[[#This Row],[teamType]], 1), "-", LEFT(SUBSTITUTE(Teams[[#This Row],[nation]], "/", ""), 3), "-", SUBSTITUTE(SUBSTITUTE(SUBSTITUTE(Teams[[#This Row],[name]], ".", ""), " ", ""), "-", "")))</f>
        <v>C-GER-1860MÜNCHEN</v>
      </c>
      <c r="E6" s="16"/>
      <c r="F6" s="16"/>
      <c r="G6" s="1" t="b">
        <f>COUNTBLANK(Teams[[#This Row],[startDate]:[endDate]]) &lt; 2</f>
        <v>0</v>
      </c>
      <c r="H6" s="1" t="str">
        <f>IF(Teams[[#This Row],[relevant]], COUNTIFS(Fixtures[userTeam], Teams[[#This Row],[name]], Fixtures[APP], TRUE), "")</f>
        <v/>
      </c>
      <c r="I6" s="1" t="str">
        <f>IF(Teams[[#This Row],[relevant]], COUNTIFS(Fixtures[userTeam], Teams[[#This Row],[name]], Fixtures[result], "W", Fixtures[APP], TRUE), "")</f>
        <v/>
      </c>
      <c r="J6" s="1" t="str">
        <f>IF(Teams[[#This Row],[relevant]], COUNTIFS(Fixtures[userTeam], Teams[[#This Row],[name]], Fixtures[result], "D", Fixtures[APP], TRUE), "")</f>
        <v/>
      </c>
      <c r="K6" s="1" t="str">
        <f>IF(Teams[[#This Row],[relevant]], COUNTIFS(Fixtures[userTeam], Teams[[#This Row],[name]], Fixtures[result], "L", Fixtures[APP], TRUE), "")</f>
        <v/>
      </c>
      <c r="L6" s="1" t="str">
        <f>IF(Teams[[#This Row],[relevant]], SUMIFS(Fixtures[G], Fixtures[userTeam], Teams[[#This Row],[name]]), "")</f>
        <v/>
      </c>
      <c r="M6" s="1" t="str">
        <f>IF(Teams[[#This Row],[relevant]], SUMIFS(Fixtures[A], Fixtures[userTeam], Teams[[#This Row],[name]]), "")</f>
        <v/>
      </c>
      <c r="N6" s="1" t="str">
        <f>IF(Teams[[#This Row],[relevant]], SUMIFS(Fixtures[INV], Fixtures[userTeam], Teams[[#This Row],[name]]), "")</f>
        <v/>
      </c>
      <c r="O6" s="1" t="str">
        <f>IF(Teams[[#This Row],[relevant]], SUMIFS(Fixtures[YC], Fixtures[userTeam], Teams[[#This Row],[name]]), "")</f>
        <v/>
      </c>
      <c r="P6" s="1" t="str">
        <f>IF(Teams[[#This Row],[relevant]], SUMIFS(Fixtures[RC], Fixtures[userTeam], Teams[[#This Row],[name]]), "")</f>
        <v/>
      </c>
      <c r="Q6" s="13" t="str">
        <f>IF(Teams[[#This Row],[relevant]], IF(ISERROR(AVERAGEIFS(Fixtures[MR], Fixtures[userTeam], Teams[[#This Row],[name]])), 0, AVERAGEIFS(Fixtures[MR], Fixtures[userTeam], Teams[[#This Row],[name]])), "")</f>
        <v/>
      </c>
      <c r="R6" s="1" t="str">
        <f>IF(Teams[[#This Row],[relevant]], COUNTIFS(Fixtures[userTeam], Teams[[#This Row],[name]], Fixtures[MOTM], TRUE), "")</f>
        <v/>
      </c>
      <c r="S6" s="1" t="str" cm="1">
        <f t="array" ref="S6">IF(Teams[[#This Row],[relevant]], _xlfn.TEXTJOIN(", ", TRUE, _xlfn._xlws.FILTER(Stats[competition]&amp;" ("&amp;Stats[season]&amp;")",(Stats[team]=Teams[[#This Row],[name]])*(Stats[result]="Winner"),"")), "")</f>
        <v/>
      </c>
    </row>
    <row r="7" spans="1:19" ht="13" hidden="1">
      <c r="A7" s="1" t="s">
        <v>395</v>
      </c>
      <c r="B7" s="1" t="s">
        <v>396</v>
      </c>
      <c r="C7" s="1" t="s">
        <v>391</v>
      </c>
      <c r="D7" s="1" t="str">
        <f>UPPER(_xlfn.CONCAT(LEFT(Teams[[#This Row],[teamType]], 1), "-", LEFT(SUBSTITUTE(Teams[[#This Row],[nation]], "/", ""), 3), "-", SUBSTITUTE(SUBSTITUTE(SUBSTITUTE(Teams[[#This Row],[name]], ".", ""), " ", ""), "-", "")))</f>
        <v>C-ECU-9DEOCTUBREFC</v>
      </c>
      <c r="E7" s="16"/>
      <c r="F7" s="16"/>
      <c r="G7" s="1" t="b">
        <f>COUNTBLANK(Teams[[#This Row],[startDate]:[endDate]]) &lt; 2</f>
        <v>0</v>
      </c>
      <c r="H7" s="1" t="str">
        <f>IF(Teams[[#This Row],[relevant]], COUNTIFS(Fixtures[userTeam], Teams[[#This Row],[name]], Fixtures[APP], TRUE), "")</f>
        <v/>
      </c>
      <c r="I7" s="1" t="str">
        <f>IF(Teams[[#This Row],[relevant]], COUNTIFS(Fixtures[userTeam], Teams[[#This Row],[name]], Fixtures[result], "W", Fixtures[APP], TRUE), "")</f>
        <v/>
      </c>
      <c r="J7" s="1" t="str">
        <f>IF(Teams[[#This Row],[relevant]], COUNTIFS(Fixtures[userTeam], Teams[[#This Row],[name]], Fixtures[result], "D", Fixtures[APP], TRUE), "")</f>
        <v/>
      </c>
      <c r="K7" s="1" t="str">
        <f>IF(Teams[[#This Row],[relevant]], COUNTIFS(Fixtures[userTeam], Teams[[#This Row],[name]], Fixtures[result], "L", Fixtures[APP], TRUE), "")</f>
        <v/>
      </c>
      <c r="L7" s="1" t="str">
        <f>IF(Teams[[#This Row],[relevant]], SUMIFS(Fixtures[G], Fixtures[userTeam], Teams[[#This Row],[name]]), "")</f>
        <v/>
      </c>
      <c r="M7" s="1" t="str">
        <f>IF(Teams[[#This Row],[relevant]], SUMIFS(Fixtures[A], Fixtures[userTeam], Teams[[#This Row],[name]]), "")</f>
        <v/>
      </c>
      <c r="N7" s="1" t="str">
        <f>IF(Teams[[#This Row],[relevant]], SUMIFS(Fixtures[INV], Fixtures[userTeam], Teams[[#This Row],[name]]), "")</f>
        <v/>
      </c>
      <c r="O7" s="1" t="str">
        <f>IF(Teams[[#This Row],[relevant]], SUMIFS(Fixtures[YC], Fixtures[userTeam], Teams[[#This Row],[name]]), "")</f>
        <v/>
      </c>
      <c r="P7" s="1" t="str">
        <f>IF(Teams[[#This Row],[relevant]], SUMIFS(Fixtures[RC], Fixtures[userTeam], Teams[[#This Row],[name]]), "")</f>
        <v/>
      </c>
      <c r="Q7" s="13" t="str">
        <f>IF(Teams[[#This Row],[relevant]], IF(ISERROR(AVERAGEIFS(Fixtures[MR], Fixtures[userTeam], Teams[[#This Row],[name]])), 0, AVERAGEIFS(Fixtures[MR], Fixtures[userTeam], Teams[[#This Row],[name]])), "")</f>
        <v/>
      </c>
      <c r="R7" s="1" t="str">
        <f>IF(Teams[[#This Row],[relevant]], COUNTIFS(Fixtures[userTeam], Teams[[#This Row],[name]], Fixtures[MOTM], TRUE), "")</f>
        <v/>
      </c>
      <c r="S7" s="1" t="str" cm="1">
        <f t="array" ref="S7">IF(Teams[[#This Row],[relevant]], _xlfn.TEXTJOIN(", ", TRUE, _xlfn._xlws.FILTER(Stats[competition]&amp;" ("&amp;Stats[season]&amp;")",(Stats[team]=Teams[[#This Row],[name]])*(Stats[result]="Winner"),"")), "")</f>
        <v/>
      </c>
    </row>
    <row r="8" spans="1:19" ht="13" hidden="1">
      <c r="A8" s="1" t="s">
        <v>397</v>
      </c>
      <c r="B8" s="1" t="s">
        <v>398</v>
      </c>
      <c r="C8" s="1" t="s">
        <v>391</v>
      </c>
      <c r="D8" s="1" t="str">
        <f>UPPER(_xlfn.CONCAT(LEFT(Teams[[#This Row],[teamType]], 1), "-", LEFT(SUBSTITUTE(Teams[[#This Row],[nation]], "/", ""), 3), "-", SUBSTITUTE(SUBSTITUTE(SUBSTITUTE(Teams[[#This Row],[name]], ".", ""), " ", ""), "-", "")))</f>
        <v>C-DEN-AAB</v>
      </c>
      <c r="E8" s="16"/>
      <c r="F8" s="16"/>
      <c r="G8" s="1" t="b">
        <f>COUNTBLANK(Teams[[#This Row],[startDate]:[endDate]]) &lt; 2</f>
        <v>0</v>
      </c>
      <c r="H8" s="1" t="str">
        <f>IF(Teams[[#This Row],[relevant]], COUNTIFS(Fixtures[userTeam], Teams[[#This Row],[name]], Fixtures[APP], TRUE), "")</f>
        <v/>
      </c>
      <c r="I8" s="1" t="str">
        <f>IF(Teams[[#This Row],[relevant]], COUNTIFS(Fixtures[userTeam], Teams[[#This Row],[name]], Fixtures[result], "W", Fixtures[APP], TRUE), "")</f>
        <v/>
      </c>
      <c r="J8" s="1" t="str">
        <f>IF(Teams[[#This Row],[relevant]], COUNTIFS(Fixtures[userTeam], Teams[[#This Row],[name]], Fixtures[result], "D", Fixtures[APP], TRUE), "")</f>
        <v/>
      </c>
      <c r="K8" s="1" t="str">
        <f>IF(Teams[[#This Row],[relevant]], COUNTIFS(Fixtures[userTeam], Teams[[#This Row],[name]], Fixtures[result], "L", Fixtures[APP], TRUE), "")</f>
        <v/>
      </c>
      <c r="L8" s="1" t="str">
        <f>IF(Teams[[#This Row],[relevant]], SUMIFS(Fixtures[G], Fixtures[userTeam], Teams[[#This Row],[name]]), "")</f>
        <v/>
      </c>
      <c r="M8" s="1" t="str">
        <f>IF(Teams[[#This Row],[relevant]], SUMIFS(Fixtures[A], Fixtures[userTeam], Teams[[#This Row],[name]]), "")</f>
        <v/>
      </c>
      <c r="N8" s="1" t="str">
        <f>IF(Teams[[#This Row],[relevant]], SUMIFS(Fixtures[INV], Fixtures[userTeam], Teams[[#This Row],[name]]), "")</f>
        <v/>
      </c>
      <c r="O8" s="1" t="str">
        <f>IF(Teams[[#This Row],[relevant]], SUMIFS(Fixtures[YC], Fixtures[userTeam], Teams[[#This Row],[name]]), "")</f>
        <v/>
      </c>
      <c r="P8" s="1" t="str">
        <f>IF(Teams[[#This Row],[relevant]], SUMIFS(Fixtures[RC], Fixtures[userTeam], Teams[[#This Row],[name]]), "")</f>
        <v/>
      </c>
      <c r="Q8" s="13" t="str">
        <f>IF(Teams[[#This Row],[relevant]], IF(ISERROR(AVERAGEIFS(Fixtures[MR], Fixtures[userTeam], Teams[[#This Row],[name]])), 0, AVERAGEIFS(Fixtures[MR], Fixtures[userTeam], Teams[[#This Row],[name]])), "")</f>
        <v/>
      </c>
      <c r="R8" s="1" t="str">
        <f>IF(Teams[[#This Row],[relevant]], COUNTIFS(Fixtures[userTeam], Teams[[#This Row],[name]], Fixtures[MOTM], TRUE), "")</f>
        <v/>
      </c>
      <c r="S8" s="1" t="str" cm="1">
        <f t="array" ref="S8">IF(Teams[[#This Row],[relevant]], _xlfn.TEXTJOIN(", ", TRUE, _xlfn._xlws.FILTER(Stats[competition]&amp;" ("&amp;Stats[season]&amp;")",(Stats[team]=Teams[[#This Row],[name]])*(Stats[result]="Winner"),"")), "")</f>
        <v/>
      </c>
    </row>
    <row r="9" spans="1:19" ht="13" hidden="1">
      <c r="A9" s="1" t="s">
        <v>399</v>
      </c>
      <c r="B9" s="1" t="s">
        <v>286</v>
      </c>
      <c r="C9" s="1" t="s">
        <v>391</v>
      </c>
      <c r="D9" s="1" t="str">
        <f>UPPER(_xlfn.CONCAT(LEFT(Teams[[#This Row],[teamType]], 1), "-", LEFT(SUBSTITUTE(Teams[[#This Row],[nation]], "/", ""), 3), "-", SUBSTITUTE(SUBSTITUTE(SUBSTITUTE(Teams[[#This Row],[name]], ".", ""), " ", ""), "-", "")))</f>
        <v>C-NOR-AALESUNDSFK</v>
      </c>
      <c r="E9" s="16"/>
      <c r="F9" s="16"/>
      <c r="G9" s="1" t="b">
        <f>COUNTBLANK(Teams[[#This Row],[startDate]:[endDate]]) &lt; 2</f>
        <v>0</v>
      </c>
      <c r="H9" s="1" t="str">
        <f>IF(Teams[[#This Row],[relevant]], COUNTIFS(Fixtures[userTeam], Teams[[#This Row],[name]], Fixtures[APP], TRUE), "")</f>
        <v/>
      </c>
      <c r="I9" s="1" t="str">
        <f>IF(Teams[[#This Row],[relevant]], COUNTIFS(Fixtures[userTeam], Teams[[#This Row],[name]], Fixtures[result], "W", Fixtures[APP], TRUE), "")</f>
        <v/>
      </c>
      <c r="J9" s="1" t="str">
        <f>IF(Teams[[#This Row],[relevant]], COUNTIFS(Fixtures[userTeam], Teams[[#This Row],[name]], Fixtures[result], "D", Fixtures[APP], TRUE), "")</f>
        <v/>
      </c>
      <c r="K9" s="1" t="str">
        <f>IF(Teams[[#This Row],[relevant]], COUNTIFS(Fixtures[userTeam], Teams[[#This Row],[name]], Fixtures[result], "L", Fixtures[APP], TRUE), "")</f>
        <v/>
      </c>
      <c r="L9" s="1" t="str">
        <f>IF(Teams[[#This Row],[relevant]], SUMIFS(Fixtures[G], Fixtures[userTeam], Teams[[#This Row],[name]]), "")</f>
        <v/>
      </c>
      <c r="M9" s="1" t="str">
        <f>IF(Teams[[#This Row],[relevant]], SUMIFS(Fixtures[A], Fixtures[userTeam], Teams[[#This Row],[name]]), "")</f>
        <v/>
      </c>
      <c r="N9" s="1" t="str">
        <f>IF(Teams[[#This Row],[relevant]], SUMIFS(Fixtures[INV], Fixtures[userTeam], Teams[[#This Row],[name]]), "")</f>
        <v/>
      </c>
      <c r="O9" s="1" t="str">
        <f>IF(Teams[[#This Row],[relevant]], SUMIFS(Fixtures[YC], Fixtures[userTeam], Teams[[#This Row],[name]]), "")</f>
        <v/>
      </c>
      <c r="P9" s="1" t="str">
        <f>IF(Teams[[#This Row],[relevant]], SUMIFS(Fixtures[RC], Fixtures[userTeam], Teams[[#This Row],[name]]), "")</f>
        <v/>
      </c>
      <c r="Q9" s="13" t="str">
        <f>IF(Teams[[#This Row],[relevant]], IF(ISERROR(AVERAGEIFS(Fixtures[MR], Fixtures[userTeam], Teams[[#This Row],[name]])), 0, AVERAGEIFS(Fixtures[MR], Fixtures[userTeam], Teams[[#This Row],[name]])), "")</f>
        <v/>
      </c>
      <c r="R9" s="1" t="str">
        <f>IF(Teams[[#This Row],[relevant]], COUNTIFS(Fixtures[userTeam], Teams[[#This Row],[name]], Fixtures[MOTM], TRUE), "")</f>
        <v/>
      </c>
      <c r="S9" s="1" t="str" cm="1">
        <f t="array" ref="S9">IF(Teams[[#This Row],[relevant]], _xlfn.TEXTJOIN(", ", TRUE, _xlfn._xlws.FILTER(Stats[competition]&amp;" ("&amp;Stats[season]&amp;")",(Stats[team]=Teams[[#This Row],[name]])*(Stats[result]="Winner"),"")), "")</f>
        <v/>
      </c>
    </row>
    <row r="10" spans="1:19" ht="13" hidden="1">
      <c r="A10" s="1" t="s">
        <v>400</v>
      </c>
      <c r="B10" s="1" t="s">
        <v>401</v>
      </c>
      <c r="C10" s="1" t="s">
        <v>391</v>
      </c>
      <c r="D10" s="1" t="str">
        <f>UPPER(_xlfn.CONCAT(LEFT(Teams[[#This Row],[teamType]], 1), "-", LEFT(SUBSTITUTE(Teams[[#This Row],[nation]], "/", ""), 3), "-", SUBSTITUTE(SUBSTITUTE(SUBSTITUTE(Teams[[#This Row],[name]], ".", ""), " ", ""), "-", "")))</f>
        <v>C-SCO-ABERDEEN</v>
      </c>
      <c r="E10" s="16"/>
      <c r="F10" s="16"/>
      <c r="G10" s="1" t="b">
        <f>COUNTBLANK(Teams[[#This Row],[startDate]:[endDate]]) &lt; 2</f>
        <v>0</v>
      </c>
      <c r="H10" s="1" t="str">
        <f>IF(Teams[[#This Row],[relevant]], COUNTIFS(Fixtures[userTeam], Teams[[#This Row],[name]], Fixtures[APP], TRUE), "")</f>
        <v/>
      </c>
      <c r="I10" s="1" t="str">
        <f>IF(Teams[[#This Row],[relevant]], COUNTIFS(Fixtures[userTeam], Teams[[#This Row],[name]], Fixtures[result], "W", Fixtures[APP], TRUE), "")</f>
        <v/>
      </c>
      <c r="J10" s="1" t="str">
        <f>IF(Teams[[#This Row],[relevant]], COUNTIFS(Fixtures[userTeam], Teams[[#This Row],[name]], Fixtures[result], "D", Fixtures[APP], TRUE), "")</f>
        <v/>
      </c>
      <c r="K10" s="1" t="str">
        <f>IF(Teams[[#This Row],[relevant]], COUNTIFS(Fixtures[userTeam], Teams[[#This Row],[name]], Fixtures[result], "L", Fixtures[APP], TRUE), "")</f>
        <v/>
      </c>
      <c r="L10" s="1" t="str">
        <f>IF(Teams[[#This Row],[relevant]], SUMIFS(Fixtures[G], Fixtures[userTeam], Teams[[#This Row],[name]]), "")</f>
        <v/>
      </c>
      <c r="M10" s="1" t="str">
        <f>IF(Teams[[#This Row],[relevant]], SUMIFS(Fixtures[A], Fixtures[userTeam], Teams[[#This Row],[name]]), "")</f>
        <v/>
      </c>
      <c r="N10" s="1" t="str">
        <f>IF(Teams[[#This Row],[relevant]], SUMIFS(Fixtures[INV], Fixtures[userTeam], Teams[[#This Row],[name]]), "")</f>
        <v/>
      </c>
      <c r="O10" s="1" t="str">
        <f>IF(Teams[[#This Row],[relevant]], SUMIFS(Fixtures[YC], Fixtures[userTeam], Teams[[#This Row],[name]]), "")</f>
        <v/>
      </c>
      <c r="P10" s="1" t="str">
        <f>IF(Teams[[#This Row],[relevant]], SUMIFS(Fixtures[RC], Fixtures[userTeam], Teams[[#This Row],[name]]), "")</f>
        <v/>
      </c>
      <c r="Q10" s="13" t="str">
        <f>IF(Teams[[#This Row],[relevant]], IF(ISERROR(AVERAGEIFS(Fixtures[MR], Fixtures[userTeam], Teams[[#This Row],[name]])), 0, AVERAGEIFS(Fixtures[MR], Fixtures[userTeam], Teams[[#This Row],[name]])), "")</f>
        <v/>
      </c>
      <c r="R10" s="1" t="str">
        <f>IF(Teams[[#This Row],[relevant]], COUNTIFS(Fixtures[userTeam], Teams[[#This Row],[name]], Fixtures[MOTM], TRUE), "")</f>
        <v/>
      </c>
      <c r="S10" s="1" t="str" cm="1">
        <f t="array" ref="S10">IF(Teams[[#This Row],[relevant]], _xlfn.TEXTJOIN(", ", TRUE, _xlfn._xlws.FILTER(Stats[competition]&amp;" ("&amp;Stats[season]&amp;")",(Stats[team]=Teams[[#This Row],[name]])*(Stats[result]="Winner"),"")), "")</f>
        <v/>
      </c>
    </row>
    <row r="11" spans="1:19" ht="13" hidden="1">
      <c r="A11" s="1" t="s">
        <v>402</v>
      </c>
      <c r="B11" s="1" t="s">
        <v>403</v>
      </c>
      <c r="C11" s="1" t="s">
        <v>391</v>
      </c>
      <c r="D11" s="1" t="str">
        <f>UPPER(_xlfn.CONCAT(LEFT(Teams[[#This Row],[teamType]], 1), "-", LEFT(SUBSTITUTE(Teams[[#This Row],[nation]], "/", ""), 3), "-", SUBSTITUTE(SUBSTITUTE(SUBSTITUTE(Teams[[#This Row],[name]], ".", ""), " ", ""), "-", "")))</f>
        <v>C-SAU-ABHACLUB</v>
      </c>
      <c r="E11" s="16"/>
      <c r="F11" s="16"/>
      <c r="G11" s="1" t="b">
        <f>COUNTBLANK(Teams[[#This Row],[startDate]:[endDate]]) &lt; 2</f>
        <v>0</v>
      </c>
      <c r="H11" s="1" t="str">
        <f>IF(Teams[[#This Row],[relevant]], COUNTIFS(Fixtures[userTeam], Teams[[#This Row],[name]], Fixtures[APP], TRUE), "")</f>
        <v/>
      </c>
      <c r="I11" s="1" t="str">
        <f>IF(Teams[[#This Row],[relevant]], COUNTIFS(Fixtures[userTeam], Teams[[#This Row],[name]], Fixtures[result], "W", Fixtures[APP], TRUE), "")</f>
        <v/>
      </c>
      <c r="J11" s="1" t="str">
        <f>IF(Teams[[#This Row],[relevant]], COUNTIFS(Fixtures[userTeam], Teams[[#This Row],[name]], Fixtures[result], "D", Fixtures[APP], TRUE), "")</f>
        <v/>
      </c>
      <c r="K11" s="1" t="str">
        <f>IF(Teams[[#This Row],[relevant]], COUNTIFS(Fixtures[userTeam], Teams[[#This Row],[name]], Fixtures[result], "L", Fixtures[APP], TRUE), "")</f>
        <v/>
      </c>
      <c r="L11" s="1" t="str">
        <f>IF(Teams[[#This Row],[relevant]], SUMIFS(Fixtures[G], Fixtures[userTeam], Teams[[#This Row],[name]]), "")</f>
        <v/>
      </c>
      <c r="M11" s="1" t="str">
        <f>IF(Teams[[#This Row],[relevant]], SUMIFS(Fixtures[A], Fixtures[userTeam], Teams[[#This Row],[name]]), "")</f>
        <v/>
      </c>
      <c r="N11" s="1" t="str">
        <f>IF(Teams[[#This Row],[relevant]], SUMIFS(Fixtures[INV], Fixtures[userTeam], Teams[[#This Row],[name]]), "")</f>
        <v/>
      </c>
      <c r="O11" s="1" t="str">
        <f>IF(Teams[[#This Row],[relevant]], SUMIFS(Fixtures[YC], Fixtures[userTeam], Teams[[#This Row],[name]]), "")</f>
        <v/>
      </c>
      <c r="P11" s="1" t="str">
        <f>IF(Teams[[#This Row],[relevant]], SUMIFS(Fixtures[RC], Fixtures[userTeam], Teams[[#This Row],[name]]), "")</f>
        <v/>
      </c>
      <c r="Q11" s="13" t="str">
        <f>IF(Teams[[#This Row],[relevant]], IF(ISERROR(AVERAGEIFS(Fixtures[MR], Fixtures[userTeam], Teams[[#This Row],[name]])), 0, AVERAGEIFS(Fixtures[MR], Fixtures[userTeam], Teams[[#This Row],[name]])), "")</f>
        <v/>
      </c>
      <c r="R11" s="1" t="str">
        <f>IF(Teams[[#This Row],[relevant]], COUNTIFS(Fixtures[userTeam], Teams[[#This Row],[name]], Fixtures[MOTM], TRUE), "")</f>
        <v/>
      </c>
      <c r="S11" s="1" t="str" cm="1">
        <f t="array" ref="S11">IF(Teams[[#This Row],[relevant]], _xlfn.TEXTJOIN(", ", TRUE, _xlfn._xlws.FILTER(Stats[competition]&amp;" ("&amp;Stats[season]&amp;")",(Stats[team]=Teams[[#This Row],[name]])*(Stats[result]="Winner"),"")), "")</f>
        <v/>
      </c>
    </row>
    <row r="12" spans="1:19" ht="13" hidden="1">
      <c r="A12" s="1" t="s">
        <v>404</v>
      </c>
      <c r="B12" s="1" t="s">
        <v>339</v>
      </c>
      <c r="C12" s="1" t="s">
        <v>391</v>
      </c>
      <c r="D12" s="1" t="str">
        <f>UPPER(_xlfn.CONCAT(LEFT(Teams[[#This Row],[teamType]], 1), "-", LEFT(SUBSTITUTE(Teams[[#This Row],[nation]], "/", ""), 3), "-", SUBSTITUTE(SUBSTITUTE(SUBSTITUTE(Teams[[#This Row],[name]], ".", ""), " ", ""), "-", "")))</f>
        <v>C-FRA-ACAJACCIO</v>
      </c>
      <c r="E12" s="16"/>
      <c r="F12" s="16"/>
      <c r="G12" s="1" t="b">
        <f>COUNTBLANK(Teams[[#This Row],[startDate]:[endDate]]) &lt; 2</f>
        <v>0</v>
      </c>
      <c r="H12" s="1" t="str">
        <f>IF(Teams[[#This Row],[relevant]], COUNTIFS(Fixtures[userTeam], Teams[[#This Row],[name]], Fixtures[APP], TRUE), "")</f>
        <v/>
      </c>
      <c r="I12" s="1" t="str">
        <f>IF(Teams[[#This Row],[relevant]], COUNTIFS(Fixtures[userTeam], Teams[[#This Row],[name]], Fixtures[result], "W", Fixtures[APP], TRUE), "")</f>
        <v/>
      </c>
      <c r="J12" s="1" t="str">
        <f>IF(Teams[[#This Row],[relevant]], COUNTIFS(Fixtures[userTeam], Teams[[#This Row],[name]], Fixtures[result], "D", Fixtures[APP], TRUE), "")</f>
        <v/>
      </c>
      <c r="K12" s="1" t="str">
        <f>IF(Teams[[#This Row],[relevant]], COUNTIFS(Fixtures[userTeam], Teams[[#This Row],[name]], Fixtures[result], "L", Fixtures[APP], TRUE), "")</f>
        <v/>
      </c>
      <c r="L12" s="1" t="str">
        <f>IF(Teams[[#This Row],[relevant]], SUMIFS(Fixtures[G], Fixtures[userTeam], Teams[[#This Row],[name]]), "")</f>
        <v/>
      </c>
      <c r="M12" s="1" t="str">
        <f>IF(Teams[[#This Row],[relevant]], SUMIFS(Fixtures[A], Fixtures[userTeam], Teams[[#This Row],[name]]), "")</f>
        <v/>
      </c>
      <c r="N12" s="1" t="str">
        <f>IF(Teams[[#This Row],[relevant]], SUMIFS(Fixtures[INV], Fixtures[userTeam], Teams[[#This Row],[name]]), "")</f>
        <v/>
      </c>
      <c r="O12" s="1" t="str">
        <f>IF(Teams[[#This Row],[relevant]], SUMIFS(Fixtures[YC], Fixtures[userTeam], Teams[[#This Row],[name]]), "")</f>
        <v/>
      </c>
      <c r="P12" s="1" t="str">
        <f>IF(Teams[[#This Row],[relevant]], SUMIFS(Fixtures[RC], Fixtures[userTeam], Teams[[#This Row],[name]]), "")</f>
        <v/>
      </c>
      <c r="Q12" s="13" t="str">
        <f>IF(Teams[[#This Row],[relevant]], IF(ISERROR(AVERAGEIFS(Fixtures[MR], Fixtures[userTeam], Teams[[#This Row],[name]])), 0, AVERAGEIFS(Fixtures[MR], Fixtures[userTeam], Teams[[#This Row],[name]])), "")</f>
        <v/>
      </c>
      <c r="R12" s="1" t="str">
        <f>IF(Teams[[#This Row],[relevant]], COUNTIFS(Fixtures[userTeam], Teams[[#This Row],[name]], Fixtures[MOTM], TRUE), "")</f>
        <v/>
      </c>
      <c r="S12" s="1" t="str" cm="1">
        <f t="array" ref="S12">IF(Teams[[#This Row],[relevant]], _xlfn.TEXTJOIN(", ", TRUE, _xlfn._xlws.FILTER(Stats[competition]&amp;" ("&amp;Stats[season]&amp;")",(Stats[team]=Teams[[#This Row],[name]])*(Stats[result]="Winner"),"")), "")</f>
        <v/>
      </c>
    </row>
    <row r="13" spans="1:19" ht="13" hidden="1">
      <c r="A13" s="1" t="s">
        <v>405</v>
      </c>
      <c r="B13" s="1" t="s">
        <v>398</v>
      </c>
      <c r="C13" s="1" t="s">
        <v>391</v>
      </c>
      <c r="D13" s="1" t="str">
        <f>UPPER(_xlfn.CONCAT(LEFT(Teams[[#This Row],[teamType]], 1), "-", LEFT(SUBSTITUTE(Teams[[#This Row],[nation]], "/", ""), 3), "-", SUBSTITUTE(SUBSTITUTE(SUBSTITUTE(Teams[[#This Row],[name]], ".", ""), " ", ""), "-", "")))</f>
        <v>C-DEN-ACHORSENS</v>
      </c>
      <c r="E13" s="16"/>
      <c r="F13" s="16"/>
      <c r="G13" s="1" t="b">
        <f>COUNTBLANK(Teams[[#This Row],[startDate]:[endDate]]) &lt; 2</f>
        <v>0</v>
      </c>
      <c r="H13" s="1" t="str">
        <f>IF(Teams[[#This Row],[relevant]], COUNTIFS(Fixtures[userTeam], Teams[[#This Row],[name]], Fixtures[APP], TRUE), "")</f>
        <v/>
      </c>
      <c r="I13" s="1" t="str">
        <f>IF(Teams[[#This Row],[relevant]], COUNTIFS(Fixtures[userTeam], Teams[[#This Row],[name]], Fixtures[result], "W", Fixtures[APP], TRUE), "")</f>
        <v/>
      </c>
      <c r="J13" s="1" t="str">
        <f>IF(Teams[[#This Row],[relevant]], COUNTIFS(Fixtures[userTeam], Teams[[#This Row],[name]], Fixtures[result], "D", Fixtures[APP], TRUE), "")</f>
        <v/>
      </c>
      <c r="K13" s="1" t="str">
        <f>IF(Teams[[#This Row],[relevant]], COUNTIFS(Fixtures[userTeam], Teams[[#This Row],[name]], Fixtures[result], "L", Fixtures[APP], TRUE), "")</f>
        <v/>
      </c>
      <c r="L13" s="1" t="str">
        <f>IF(Teams[[#This Row],[relevant]], SUMIFS(Fixtures[G], Fixtures[userTeam], Teams[[#This Row],[name]]), "")</f>
        <v/>
      </c>
      <c r="M13" s="1" t="str">
        <f>IF(Teams[[#This Row],[relevant]], SUMIFS(Fixtures[A], Fixtures[userTeam], Teams[[#This Row],[name]]), "")</f>
        <v/>
      </c>
      <c r="N13" s="1" t="str">
        <f>IF(Teams[[#This Row],[relevant]], SUMIFS(Fixtures[INV], Fixtures[userTeam], Teams[[#This Row],[name]]), "")</f>
        <v/>
      </c>
      <c r="O13" s="1" t="str">
        <f>IF(Teams[[#This Row],[relevant]], SUMIFS(Fixtures[YC], Fixtures[userTeam], Teams[[#This Row],[name]]), "")</f>
        <v/>
      </c>
      <c r="P13" s="1" t="str">
        <f>IF(Teams[[#This Row],[relevant]], SUMIFS(Fixtures[RC], Fixtures[userTeam], Teams[[#This Row],[name]]), "")</f>
        <v/>
      </c>
      <c r="Q13" s="13" t="str">
        <f>IF(Teams[[#This Row],[relevant]], IF(ISERROR(AVERAGEIFS(Fixtures[MR], Fixtures[userTeam], Teams[[#This Row],[name]])), 0, AVERAGEIFS(Fixtures[MR], Fixtures[userTeam], Teams[[#This Row],[name]])), "")</f>
        <v/>
      </c>
      <c r="R13" s="1" t="str">
        <f>IF(Teams[[#This Row],[relevant]], COUNTIFS(Fixtures[userTeam], Teams[[#This Row],[name]], Fixtures[MOTM], TRUE), "")</f>
        <v/>
      </c>
      <c r="S13" s="1" t="str" cm="1">
        <f t="array" ref="S13">IF(Teams[[#This Row],[relevant]], _xlfn.TEXTJOIN(", ", TRUE, _xlfn._xlws.FILTER(Stats[competition]&amp;" ("&amp;Stats[season]&amp;")",(Stats[team]=Teams[[#This Row],[name]])*(Stats[result]="Winner"),"")), "")</f>
        <v/>
      </c>
    </row>
    <row r="14" spans="1:19" ht="13" hidden="1">
      <c r="A14" s="1" t="s">
        <v>406</v>
      </c>
      <c r="B14" s="1" t="s">
        <v>152</v>
      </c>
      <c r="C14" s="1" t="s">
        <v>391</v>
      </c>
      <c r="D14" s="1" t="str">
        <f>UPPER(_xlfn.CONCAT(LEFT(Teams[[#This Row],[teamType]], 1), "-", LEFT(SUBSTITUTE(Teams[[#This Row],[nation]], "/", ""), 3), "-", SUBSTITUTE(SUBSTITUTE(SUBSTITUTE(Teams[[#This Row],[name]], ".", ""), " ", ""), "-", "")))</f>
        <v>C-ENG-ACCRINGTON</v>
      </c>
      <c r="E14" s="16"/>
      <c r="F14" s="16"/>
      <c r="G14" s="1" t="b">
        <f>COUNTBLANK(Teams[[#This Row],[startDate]:[endDate]]) &lt; 2</f>
        <v>0</v>
      </c>
      <c r="H14" s="1" t="str">
        <f>IF(Teams[[#This Row],[relevant]], COUNTIFS(Fixtures[userTeam], Teams[[#This Row],[name]], Fixtures[APP], TRUE), "")</f>
        <v/>
      </c>
      <c r="I14" s="1" t="str">
        <f>IF(Teams[[#This Row],[relevant]], COUNTIFS(Fixtures[userTeam], Teams[[#This Row],[name]], Fixtures[result], "W", Fixtures[APP], TRUE), "")</f>
        <v/>
      </c>
      <c r="J14" s="1" t="str">
        <f>IF(Teams[[#This Row],[relevant]], COUNTIFS(Fixtures[userTeam], Teams[[#This Row],[name]], Fixtures[result], "D", Fixtures[APP], TRUE), "")</f>
        <v/>
      </c>
      <c r="K14" s="1" t="str">
        <f>IF(Teams[[#This Row],[relevant]], COUNTIFS(Fixtures[userTeam], Teams[[#This Row],[name]], Fixtures[result], "L", Fixtures[APP], TRUE), "")</f>
        <v/>
      </c>
      <c r="L14" s="1" t="str">
        <f>IF(Teams[[#This Row],[relevant]], SUMIFS(Fixtures[G], Fixtures[userTeam], Teams[[#This Row],[name]]), "")</f>
        <v/>
      </c>
      <c r="M14" s="1" t="str">
        <f>IF(Teams[[#This Row],[relevant]], SUMIFS(Fixtures[A], Fixtures[userTeam], Teams[[#This Row],[name]]), "")</f>
        <v/>
      </c>
      <c r="N14" s="1" t="str">
        <f>IF(Teams[[#This Row],[relevant]], SUMIFS(Fixtures[INV], Fixtures[userTeam], Teams[[#This Row],[name]]), "")</f>
        <v/>
      </c>
      <c r="O14" s="1" t="str">
        <f>IF(Teams[[#This Row],[relevant]], SUMIFS(Fixtures[YC], Fixtures[userTeam], Teams[[#This Row],[name]]), "")</f>
        <v/>
      </c>
      <c r="P14" s="1" t="str">
        <f>IF(Teams[[#This Row],[relevant]], SUMIFS(Fixtures[RC], Fixtures[userTeam], Teams[[#This Row],[name]]), "")</f>
        <v/>
      </c>
      <c r="Q14" s="13" t="str">
        <f>IF(Teams[[#This Row],[relevant]], IF(ISERROR(AVERAGEIFS(Fixtures[MR], Fixtures[userTeam], Teams[[#This Row],[name]])), 0, AVERAGEIFS(Fixtures[MR], Fixtures[userTeam], Teams[[#This Row],[name]])), "")</f>
        <v/>
      </c>
      <c r="R14" s="1" t="str">
        <f>IF(Teams[[#This Row],[relevant]], COUNTIFS(Fixtures[userTeam], Teams[[#This Row],[name]], Fixtures[MOTM], TRUE), "")</f>
        <v/>
      </c>
      <c r="S14" s="1" t="str" cm="1">
        <f t="array" ref="S14">IF(Teams[[#This Row],[relevant]], _xlfn.TEXTJOIN(", ", TRUE, _xlfn._xlws.FILTER(Stats[competition]&amp;" ("&amp;Stats[season]&amp;")",(Stats[team]=Teams[[#This Row],[name]])*(Stats[result]="Winner"),"")), "")</f>
        <v/>
      </c>
    </row>
    <row r="15" spans="1:19" ht="13" hidden="1">
      <c r="A15" s="1" t="s">
        <v>407</v>
      </c>
      <c r="B15" s="1" t="s">
        <v>408</v>
      </c>
      <c r="C15" s="1" t="s">
        <v>391</v>
      </c>
      <c r="D15" s="1" t="str">
        <f>UPPER(_xlfn.CONCAT(LEFT(Teams[[#This Row],[teamType]], 1), "-", LEFT(SUBSTITUTE(Teams[[#This Row],[nation]], "/", ""), 3), "-", SUBSTITUTE(SUBSTITUTE(SUBSTITUTE(Teams[[#This Row],[name]], ".", ""), " ", ""), "-", "")))</f>
        <v>C-TUR-ADANADEMIRSPOR</v>
      </c>
      <c r="E15" s="16"/>
      <c r="F15" s="16"/>
      <c r="G15" s="1" t="b">
        <f>COUNTBLANK(Teams[[#This Row],[startDate]:[endDate]]) &lt; 2</f>
        <v>0</v>
      </c>
      <c r="H15" s="1" t="str">
        <f>IF(Teams[[#This Row],[relevant]], COUNTIFS(Fixtures[userTeam], Teams[[#This Row],[name]], Fixtures[APP], TRUE), "")</f>
        <v/>
      </c>
      <c r="I15" s="1" t="str">
        <f>IF(Teams[[#This Row],[relevant]], COUNTIFS(Fixtures[userTeam], Teams[[#This Row],[name]], Fixtures[result], "W", Fixtures[APP], TRUE), "")</f>
        <v/>
      </c>
      <c r="J15" s="1" t="str">
        <f>IF(Teams[[#This Row],[relevant]], COUNTIFS(Fixtures[userTeam], Teams[[#This Row],[name]], Fixtures[result], "D", Fixtures[APP], TRUE), "")</f>
        <v/>
      </c>
      <c r="K15" s="1" t="str">
        <f>IF(Teams[[#This Row],[relevant]], COUNTIFS(Fixtures[userTeam], Teams[[#This Row],[name]], Fixtures[result], "L", Fixtures[APP], TRUE), "")</f>
        <v/>
      </c>
      <c r="L15" s="1" t="str">
        <f>IF(Teams[[#This Row],[relevant]], SUMIFS(Fixtures[G], Fixtures[userTeam], Teams[[#This Row],[name]]), "")</f>
        <v/>
      </c>
      <c r="M15" s="1" t="str">
        <f>IF(Teams[[#This Row],[relevant]], SUMIFS(Fixtures[A], Fixtures[userTeam], Teams[[#This Row],[name]]), "")</f>
        <v/>
      </c>
      <c r="N15" s="1" t="str">
        <f>IF(Teams[[#This Row],[relevant]], SUMIFS(Fixtures[INV], Fixtures[userTeam], Teams[[#This Row],[name]]), "")</f>
        <v/>
      </c>
      <c r="O15" s="1" t="str">
        <f>IF(Teams[[#This Row],[relevant]], SUMIFS(Fixtures[YC], Fixtures[userTeam], Teams[[#This Row],[name]]), "")</f>
        <v/>
      </c>
      <c r="P15" s="1" t="str">
        <f>IF(Teams[[#This Row],[relevant]], SUMIFS(Fixtures[RC], Fixtures[userTeam], Teams[[#This Row],[name]]), "")</f>
        <v/>
      </c>
      <c r="Q15" s="13" t="str">
        <f>IF(Teams[[#This Row],[relevant]], IF(ISERROR(AVERAGEIFS(Fixtures[MR], Fixtures[userTeam], Teams[[#This Row],[name]])), 0, AVERAGEIFS(Fixtures[MR], Fixtures[userTeam], Teams[[#This Row],[name]])), "")</f>
        <v/>
      </c>
      <c r="R15" s="1" t="str">
        <f>IF(Teams[[#This Row],[relevant]], COUNTIFS(Fixtures[userTeam], Teams[[#This Row],[name]], Fixtures[MOTM], TRUE), "")</f>
        <v/>
      </c>
      <c r="S15" s="1" t="str" cm="1">
        <f t="array" ref="S15">IF(Teams[[#This Row],[relevant]], _xlfn.TEXTJOIN(", ", TRUE, _xlfn._xlws.FILTER(Stats[competition]&amp;" ("&amp;Stats[season]&amp;")",(Stats[team]=Teams[[#This Row],[name]])*(Stats[result]="Winner"),"")), "")</f>
        <v/>
      </c>
    </row>
    <row r="16" spans="1:19" ht="13" hidden="1">
      <c r="A16" s="1" t="s">
        <v>409</v>
      </c>
      <c r="B16" s="1" t="s">
        <v>410</v>
      </c>
      <c r="C16" s="1" t="s">
        <v>391</v>
      </c>
      <c r="D16" s="1" t="str">
        <f>UPPER(_xlfn.CONCAT(LEFT(Teams[[#This Row],[teamType]], 1), "-", LEFT(SUBSTITUTE(Teams[[#This Row],[nation]], "/", ""), 3), "-", SUBSTITUTE(SUBSTITUTE(SUBSTITUTE(Teams[[#This Row],[name]], ".", ""), " ", ""), "-", "")))</f>
        <v>C-AUS-ADELAIDEUNITED</v>
      </c>
      <c r="E16" s="16"/>
      <c r="F16" s="16"/>
      <c r="G16" s="1" t="b">
        <f>COUNTBLANK(Teams[[#This Row],[startDate]:[endDate]]) &lt; 2</f>
        <v>0</v>
      </c>
      <c r="H16" s="1" t="str">
        <f>IF(Teams[[#This Row],[relevant]], COUNTIFS(Fixtures[userTeam], Teams[[#This Row],[name]], Fixtures[APP], TRUE), "")</f>
        <v/>
      </c>
      <c r="I16" s="1" t="str">
        <f>IF(Teams[[#This Row],[relevant]], COUNTIFS(Fixtures[userTeam], Teams[[#This Row],[name]], Fixtures[result], "W", Fixtures[APP], TRUE), "")</f>
        <v/>
      </c>
      <c r="J16" s="1" t="str">
        <f>IF(Teams[[#This Row],[relevant]], COUNTIFS(Fixtures[userTeam], Teams[[#This Row],[name]], Fixtures[result], "D", Fixtures[APP], TRUE), "")</f>
        <v/>
      </c>
      <c r="K16" s="1" t="str">
        <f>IF(Teams[[#This Row],[relevant]], COUNTIFS(Fixtures[userTeam], Teams[[#This Row],[name]], Fixtures[result], "L", Fixtures[APP], TRUE), "")</f>
        <v/>
      </c>
      <c r="L16" s="1" t="str">
        <f>IF(Teams[[#This Row],[relevant]], SUMIFS(Fixtures[G], Fixtures[userTeam], Teams[[#This Row],[name]]), "")</f>
        <v/>
      </c>
      <c r="M16" s="1" t="str">
        <f>IF(Teams[[#This Row],[relevant]], SUMIFS(Fixtures[A], Fixtures[userTeam], Teams[[#This Row],[name]]), "")</f>
        <v/>
      </c>
      <c r="N16" s="1" t="str">
        <f>IF(Teams[[#This Row],[relevant]], SUMIFS(Fixtures[INV], Fixtures[userTeam], Teams[[#This Row],[name]]), "")</f>
        <v/>
      </c>
      <c r="O16" s="1" t="str">
        <f>IF(Teams[[#This Row],[relevant]], SUMIFS(Fixtures[YC], Fixtures[userTeam], Teams[[#This Row],[name]]), "")</f>
        <v/>
      </c>
      <c r="P16" s="1" t="str">
        <f>IF(Teams[[#This Row],[relevant]], SUMIFS(Fixtures[RC], Fixtures[userTeam], Teams[[#This Row],[name]]), "")</f>
        <v/>
      </c>
      <c r="Q16" s="13" t="str">
        <f>IF(Teams[[#This Row],[relevant]], IF(ISERROR(AVERAGEIFS(Fixtures[MR], Fixtures[userTeam], Teams[[#This Row],[name]])), 0, AVERAGEIFS(Fixtures[MR], Fixtures[userTeam], Teams[[#This Row],[name]])), "")</f>
        <v/>
      </c>
      <c r="R16" s="1" t="str">
        <f>IF(Teams[[#This Row],[relevant]], COUNTIFS(Fixtures[userTeam], Teams[[#This Row],[name]], Fixtures[MOTM], TRUE), "")</f>
        <v/>
      </c>
      <c r="S16" s="1" t="str" cm="1">
        <f t="array" ref="S16">IF(Teams[[#This Row],[relevant]], _xlfn.TEXTJOIN(", ", TRUE, _xlfn._xlws.FILTER(Stats[competition]&amp;" ("&amp;Stats[season]&amp;")",(Stats[team]=Teams[[#This Row],[name]])*(Stats[result]="Winner"),"")), "")</f>
        <v/>
      </c>
    </row>
    <row r="17" spans="1:19" ht="13" hidden="1">
      <c r="A17" s="1" t="s">
        <v>411</v>
      </c>
      <c r="B17" s="1" t="s">
        <v>108</v>
      </c>
      <c r="C17" s="1" t="s">
        <v>412</v>
      </c>
      <c r="D17" s="1" t="str">
        <f>UPPER(_xlfn.CONCAT(LEFT(Teams[[#This Row],[teamType]], 1), "-", LEFT(SUBSTITUTE(Teams[[#This Row],[nation]], "/", ""), 3), "-", SUBSTITUTE(SUBSTITUTE(SUBSTITUTE(Teams[[#This Row],[name]], ".", ""), " ", ""), "-", "")))</f>
        <v>S-NA-ADIDASALLSTAR</v>
      </c>
      <c r="E17" s="16"/>
      <c r="F17" s="16"/>
      <c r="G17" s="1" t="b">
        <f>COUNTBLANK(Teams[[#This Row],[startDate]:[endDate]]) &lt; 2</f>
        <v>0</v>
      </c>
      <c r="H17" s="1" t="str">
        <f>IF(Teams[[#This Row],[relevant]], COUNTIFS(Fixtures[userTeam], Teams[[#This Row],[name]], Fixtures[APP], TRUE), "")</f>
        <v/>
      </c>
      <c r="I17" s="1" t="str">
        <f>IF(Teams[[#This Row],[relevant]], COUNTIFS(Fixtures[userTeam], Teams[[#This Row],[name]], Fixtures[result], "W", Fixtures[APP], TRUE), "")</f>
        <v/>
      </c>
      <c r="J17" s="1" t="str">
        <f>IF(Teams[[#This Row],[relevant]], COUNTIFS(Fixtures[userTeam], Teams[[#This Row],[name]], Fixtures[result], "D", Fixtures[APP], TRUE), "")</f>
        <v/>
      </c>
      <c r="K17" s="1" t="str">
        <f>IF(Teams[[#This Row],[relevant]], COUNTIFS(Fixtures[userTeam], Teams[[#This Row],[name]], Fixtures[result], "L", Fixtures[APP], TRUE), "")</f>
        <v/>
      </c>
      <c r="L17" s="1" t="str">
        <f>IF(Teams[[#This Row],[relevant]], SUMIFS(Fixtures[G], Fixtures[userTeam], Teams[[#This Row],[name]]), "")</f>
        <v/>
      </c>
      <c r="M17" s="1" t="str">
        <f>IF(Teams[[#This Row],[relevant]], SUMIFS(Fixtures[A], Fixtures[userTeam], Teams[[#This Row],[name]]), "")</f>
        <v/>
      </c>
      <c r="N17" s="1" t="str">
        <f>IF(Teams[[#This Row],[relevant]], SUMIFS(Fixtures[INV], Fixtures[userTeam], Teams[[#This Row],[name]]), "")</f>
        <v/>
      </c>
      <c r="O17" s="1" t="str">
        <f>IF(Teams[[#This Row],[relevant]], SUMIFS(Fixtures[YC], Fixtures[userTeam], Teams[[#This Row],[name]]), "")</f>
        <v/>
      </c>
      <c r="P17" s="1" t="str">
        <f>IF(Teams[[#This Row],[relevant]], SUMIFS(Fixtures[RC], Fixtures[userTeam], Teams[[#This Row],[name]]), "")</f>
        <v/>
      </c>
      <c r="Q17" s="13" t="str">
        <f>IF(Teams[[#This Row],[relevant]], IF(ISERROR(AVERAGEIFS(Fixtures[MR], Fixtures[userTeam], Teams[[#This Row],[name]])), 0, AVERAGEIFS(Fixtures[MR], Fixtures[userTeam], Teams[[#This Row],[name]])), "")</f>
        <v/>
      </c>
      <c r="R17" s="1" t="str">
        <f>IF(Teams[[#This Row],[relevant]], COUNTIFS(Fixtures[userTeam], Teams[[#This Row],[name]], Fixtures[MOTM], TRUE), "")</f>
        <v/>
      </c>
      <c r="S17" s="1" t="str" cm="1">
        <f t="array" ref="S17">IF(Teams[[#This Row],[relevant]], _xlfn.TEXTJOIN(", ", TRUE, _xlfn._xlws.FILTER(Stats[competition]&amp;" ("&amp;Stats[season]&amp;")",(Stats[team]=Teams[[#This Row],[name]])*(Stats[result]="Winner"),"")), "")</f>
        <v/>
      </c>
    </row>
    <row r="18" spans="1:19" ht="13" hidden="1">
      <c r="A18" s="1" t="s">
        <v>413</v>
      </c>
      <c r="B18" s="1" t="s">
        <v>414</v>
      </c>
      <c r="C18" s="1" t="s">
        <v>391</v>
      </c>
      <c r="D18" s="1" t="str">
        <f>UPPER(_xlfn.CONCAT(LEFT(Teams[[#This Row],[teamType]], 1), "-", LEFT(SUBSTITUTE(Teams[[#This Row],[nation]], "/", ""), 3), "-", SUBSTITUTE(SUBSTITUTE(SUBSTITUTE(Teams[[#This Row],[name]], ".", ""), " ", ""), "-", "")))</f>
        <v>C-AUS-ADMIRAWACKER</v>
      </c>
      <c r="E18" s="16"/>
      <c r="F18" s="16"/>
      <c r="G18" s="1" t="b">
        <f>COUNTBLANK(Teams[[#This Row],[startDate]:[endDate]]) &lt; 2</f>
        <v>0</v>
      </c>
      <c r="H18" s="1" t="str">
        <f>IF(Teams[[#This Row],[relevant]], COUNTIFS(Fixtures[userTeam], Teams[[#This Row],[name]], Fixtures[APP], TRUE), "")</f>
        <v/>
      </c>
      <c r="I18" s="1" t="str">
        <f>IF(Teams[[#This Row],[relevant]], COUNTIFS(Fixtures[userTeam], Teams[[#This Row],[name]], Fixtures[result], "W", Fixtures[APP], TRUE), "")</f>
        <v/>
      </c>
      <c r="J18" s="1" t="str">
        <f>IF(Teams[[#This Row],[relevant]], COUNTIFS(Fixtures[userTeam], Teams[[#This Row],[name]], Fixtures[result], "D", Fixtures[APP], TRUE), "")</f>
        <v/>
      </c>
      <c r="K18" s="1" t="str">
        <f>IF(Teams[[#This Row],[relevant]], COUNTIFS(Fixtures[userTeam], Teams[[#This Row],[name]], Fixtures[result], "L", Fixtures[APP], TRUE), "")</f>
        <v/>
      </c>
      <c r="L18" s="1" t="str">
        <f>IF(Teams[[#This Row],[relevant]], SUMIFS(Fixtures[G], Fixtures[userTeam], Teams[[#This Row],[name]]), "")</f>
        <v/>
      </c>
      <c r="M18" s="1" t="str">
        <f>IF(Teams[[#This Row],[relevant]], SUMIFS(Fixtures[A], Fixtures[userTeam], Teams[[#This Row],[name]]), "")</f>
        <v/>
      </c>
      <c r="N18" s="1" t="str">
        <f>IF(Teams[[#This Row],[relevant]], SUMIFS(Fixtures[INV], Fixtures[userTeam], Teams[[#This Row],[name]]), "")</f>
        <v/>
      </c>
      <c r="O18" s="1" t="str">
        <f>IF(Teams[[#This Row],[relevant]], SUMIFS(Fixtures[YC], Fixtures[userTeam], Teams[[#This Row],[name]]), "")</f>
        <v/>
      </c>
      <c r="P18" s="1" t="str">
        <f>IF(Teams[[#This Row],[relevant]], SUMIFS(Fixtures[RC], Fixtures[userTeam], Teams[[#This Row],[name]]), "")</f>
        <v/>
      </c>
      <c r="Q18" s="13" t="str">
        <f>IF(Teams[[#This Row],[relevant]], IF(ISERROR(AVERAGEIFS(Fixtures[MR], Fixtures[userTeam], Teams[[#This Row],[name]])), 0, AVERAGEIFS(Fixtures[MR], Fixtures[userTeam], Teams[[#This Row],[name]])), "")</f>
        <v/>
      </c>
      <c r="R18" s="1" t="str">
        <f>IF(Teams[[#This Row],[relevant]], COUNTIFS(Fixtures[userTeam], Teams[[#This Row],[name]], Fixtures[MOTM], TRUE), "")</f>
        <v/>
      </c>
      <c r="S18" s="1" t="str" cm="1">
        <f t="array" ref="S18">IF(Teams[[#This Row],[relevant]], _xlfn.TEXTJOIN(", ", TRUE, _xlfn._xlws.FILTER(Stats[competition]&amp;" ("&amp;Stats[season]&amp;")",(Stats[team]=Teams[[#This Row],[name]])*(Stats[result]="Winner"),"")), "")</f>
        <v/>
      </c>
    </row>
    <row r="19" spans="1:19" ht="13" hidden="1">
      <c r="A19" s="1" t="s">
        <v>415</v>
      </c>
      <c r="B19" s="1" t="s">
        <v>416</v>
      </c>
      <c r="C19" s="1" t="s">
        <v>391</v>
      </c>
      <c r="D19" s="1" t="str">
        <f>UPPER(_xlfn.CONCAT(LEFT(Teams[[#This Row],[teamType]], 1), "-", LEFT(SUBSTITUTE(Teams[[#This Row],[nation]], "/", ""), 3), "-", SUBSTITUTE(SUBSTITUTE(SUBSTITUTE(Teams[[#This Row],[name]], ".", ""), " ", ""), "-", "")))</f>
        <v>C-GRE-AEKATHENS</v>
      </c>
      <c r="E19" s="16"/>
      <c r="F19" s="16"/>
      <c r="G19" s="1" t="b">
        <f>COUNTBLANK(Teams[[#This Row],[startDate]:[endDate]]) &lt; 2</f>
        <v>0</v>
      </c>
      <c r="H19" s="1" t="str">
        <f>IF(Teams[[#This Row],[relevant]], COUNTIFS(Fixtures[userTeam], Teams[[#This Row],[name]], Fixtures[APP], TRUE), "")</f>
        <v/>
      </c>
      <c r="I19" s="1" t="str">
        <f>IF(Teams[[#This Row],[relevant]], COUNTIFS(Fixtures[userTeam], Teams[[#This Row],[name]], Fixtures[result], "W", Fixtures[APP], TRUE), "")</f>
        <v/>
      </c>
      <c r="J19" s="1" t="str">
        <f>IF(Teams[[#This Row],[relevant]], COUNTIFS(Fixtures[userTeam], Teams[[#This Row],[name]], Fixtures[result], "D", Fixtures[APP], TRUE), "")</f>
        <v/>
      </c>
      <c r="K19" s="1" t="str">
        <f>IF(Teams[[#This Row],[relevant]], COUNTIFS(Fixtures[userTeam], Teams[[#This Row],[name]], Fixtures[result], "L", Fixtures[APP], TRUE), "")</f>
        <v/>
      </c>
      <c r="L19" s="1" t="str">
        <f>IF(Teams[[#This Row],[relevant]], SUMIFS(Fixtures[G], Fixtures[userTeam], Teams[[#This Row],[name]]), "")</f>
        <v/>
      </c>
      <c r="M19" s="1" t="str">
        <f>IF(Teams[[#This Row],[relevant]], SUMIFS(Fixtures[A], Fixtures[userTeam], Teams[[#This Row],[name]]), "")</f>
        <v/>
      </c>
      <c r="N19" s="1" t="str">
        <f>IF(Teams[[#This Row],[relevant]], SUMIFS(Fixtures[INV], Fixtures[userTeam], Teams[[#This Row],[name]]), "")</f>
        <v/>
      </c>
      <c r="O19" s="1" t="str">
        <f>IF(Teams[[#This Row],[relevant]], SUMIFS(Fixtures[YC], Fixtures[userTeam], Teams[[#This Row],[name]]), "")</f>
        <v/>
      </c>
      <c r="P19" s="1" t="str">
        <f>IF(Teams[[#This Row],[relevant]], SUMIFS(Fixtures[RC], Fixtures[userTeam], Teams[[#This Row],[name]]), "")</f>
        <v/>
      </c>
      <c r="Q19" s="13" t="str">
        <f>IF(Teams[[#This Row],[relevant]], IF(ISERROR(AVERAGEIFS(Fixtures[MR], Fixtures[userTeam], Teams[[#This Row],[name]])), 0, AVERAGEIFS(Fixtures[MR], Fixtures[userTeam], Teams[[#This Row],[name]])), "")</f>
        <v/>
      </c>
      <c r="R19" s="1" t="str">
        <f>IF(Teams[[#This Row],[relevant]], COUNTIFS(Fixtures[userTeam], Teams[[#This Row],[name]], Fixtures[MOTM], TRUE), "")</f>
        <v/>
      </c>
      <c r="S19" s="1" t="str" cm="1">
        <f t="array" ref="S19">IF(Teams[[#This Row],[relevant]], _xlfn.TEXTJOIN(", ", TRUE, _xlfn._xlws.FILTER(Stats[competition]&amp;" ("&amp;Stats[season]&amp;")",(Stats[team]=Teams[[#This Row],[name]])*(Stats[result]="Winner"),"")), "")</f>
        <v/>
      </c>
    </row>
    <row r="20" spans="1:19" ht="13" hidden="1">
      <c r="A20" s="1" t="s">
        <v>417</v>
      </c>
      <c r="B20" s="1" t="s">
        <v>152</v>
      </c>
      <c r="C20" s="1" t="s">
        <v>391</v>
      </c>
      <c r="D20" s="1" t="str">
        <f>UPPER(_xlfn.CONCAT(LEFT(Teams[[#This Row],[teamType]], 1), "-", LEFT(SUBSTITUTE(Teams[[#This Row],[nation]], "/", ""), 3), "-", SUBSTITUTE(SUBSTITUTE(SUBSTITUTE(Teams[[#This Row],[name]], ".", ""), " ", ""), "-", "")))</f>
        <v>C-ENG-AFCBOURNEMOUTH</v>
      </c>
      <c r="E20" s="16"/>
      <c r="F20" s="16"/>
      <c r="G20" s="1" t="b">
        <f>COUNTBLANK(Teams[[#This Row],[startDate]:[endDate]]) &lt; 2</f>
        <v>0</v>
      </c>
      <c r="H20" s="1" t="str">
        <f>IF(Teams[[#This Row],[relevant]], COUNTIFS(Fixtures[userTeam], Teams[[#This Row],[name]], Fixtures[APP], TRUE), "")</f>
        <v/>
      </c>
      <c r="I20" s="1" t="str">
        <f>IF(Teams[[#This Row],[relevant]], COUNTIFS(Fixtures[userTeam], Teams[[#This Row],[name]], Fixtures[result], "W", Fixtures[APP], TRUE), "")</f>
        <v/>
      </c>
      <c r="J20" s="1" t="str">
        <f>IF(Teams[[#This Row],[relevant]], COUNTIFS(Fixtures[userTeam], Teams[[#This Row],[name]], Fixtures[result], "D", Fixtures[APP], TRUE), "")</f>
        <v/>
      </c>
      <c r="K20" s="1" t="str">
        <f>IF(Teams[[#This Row],[relevant]], COUNTIFS(Fixtures[userTeam], Teams[[#This Row],[name]], Fixtures[result], "L", Fixtures[APP], TRUE), "")</f>
        <v/>
      </c>
      <c r="L20" s="1" t="str">
        <f>IF(Teams[[#This Row],[relevant]], SUMIFS(Fixtures[G], Fixtures[userTeam], Teams[[#This Row],[name]]), "")</f>
        <v/>
      </c>
      <c r="M20" s="1" t="str">
        <f>IF(Teams[[#This Row],[relevant]], SUMIFS(Fixtures[A], Fixtures[userTeam], Teams[[#This Row],[name]]), "")</f>
        <v/>
      </c>
      <c r="N20" s="1" t="str">
        <f>IF(Teams[[#This Row],[relevant]], SUMIFS(Fixtures[INV], Fixtures[userTeam], Teams[[#This Row],[name]]), "")</f>
        <v/>
      </c>
      <c r="O20" s="1" t="str">
        <f>IF(Teams[[#This Row],[relevant]], SUMIFS(Fixtures[YC], Fixtures[userTeam], Teams[[#This Row],[name]]), "")</f>
        <v/>
      </c>
      <c r="P20" s="1" t="str">
        <f>IF(Teams[[#This Row],[relevant]], SUMIFS(Fixtures[RC], Fixtures[userTeam], Teams[[#This Row],[name]]), "")</f>
        <v/>
      </c>
      <c r="Q20" s="13" t="str">
        <f>IF(Teams[[#This Row],[relevant]], IF(ISERROR(AVERAGEIFS(Fixtures[MR], Fixtures[userTeam], Teams[[#This Row],[name]])), 0, AVERAGEIFS(Fixtures[MR], Fixtures[userTeam], Teams[[#This Row],[name]])), "")</f>
        <v/>
      </c>
      <c r="R20" s="1" t="str">
        <f>IF(Teams[[#This Row],[relevant]], COUNTIFS(Fixtures[userTeam], Teams[[#This Row],[name]], Fixtures[MOTM], TRUE), "")</f>
        <v/>
      </c>
      <c r="S20" s="1" t="str" cm="1">
        <f t="array" ref="S20">IF(Teams[[#This Row],[relevant]], _xlfn.TEXTJOIN(", ", TRUE, _xlfn._xlws.FILTER(Stats[competition]&amp;" ("&amp;Stats[season]&amp;")",(Stats[team]=Teams[[#This Row],[name]])*(Stats[result]="Winner"),"")), "")</f>
        <v/>
      </c>
    </row>
    <row r="21" spans="1:19" ht="13" hidden="1">
      <c r="A21" s="1" t="s">
        <v>418</v>
      </c>
      <c r="B21" s="1" t="s">
        <v>419</v>
      </c>
      <c r="C21" s="1" t="s">
        <v>391</v>
      </c>
      <c r="D21" s="1" t="str">
        <f>UPPER(_xlfn.CONCAT(LEFT(Teams[[#This Row],[teamType]], 1), "-", LEFT(SUBSTITUTE(Teams[[#This Row],[nation]], "/", ""), 3), "-", SUBSTITUTE(SUBSTITUTE(SUBSTITUTE(Teams[[#This Row],[name]], ".", ""), " ", ""), "-", "")))</f>
        <v>C-ROM-AFCCHINDIA</v>
      </c>
      <c r="E21" s="16"/>
      <c r="F21" s="16"/>
      <c r="G21" s="1" t="b">
        <f>COUNTBLANK(Teams[[#This Row],[startDate]:[endDate]]) &lt; 2</f>
        <v>0</v>
      </c>
      <c r="H21" s="1" t="str">
        <f>IF(Teams[[#This Row],[relevant]], COUNTIFS(Fixtures[userTeam], Teams[[#This Row],[name]], Fixtures[APP], TRUE), "")</f>
        <v/>
      </c>
      <c r="I21" s="1" t="str">
        <f>IF(Teams[[#This Row],[relevant]], COUNTIFS(Fixtures[userTeam], Teams[[#This Row],[name]], Fixtures[result], "W", Fixtures[APP], TRUE), "")</f>
        <v/>
      </c>
      <c r="J21" s="1" t="str">
        <f>IF(Teams[[#This Row],[relevant]], COUNTIFS(Fixtures[userTeam], Teams[[#This Row],[name]], Fixtures[result], "D", Fixtures[APP], TRUE), "")</f>
        <v/>
      </c>
      <c r="K21" s="1" t="str">
        <f>IF(Teams[[#This Row],[relevant]], COUNTIFS(Fixtures[userTeam], Teams[[#This Row],[name]], Fixtures[result], "L", Fixtures[APP], TRUE), "")</f>
        <v/>
      </c>
      <c r="L21" s="1" t="str">
        <f>IF(Teams[[#This Row],[relevant]], SUMIFS(Fixtures[G], Fixtures[userTeam], Teams[[#This Row],[name]]), "")</f>
        <v/>
      </c>
      <c r="M21" s="1" t="str">
        <f>IF(Teams[[#This Row],[relevant]], SUMIFS(Fixtures[A], Fixtures[userTeam], Teams[[#This Row],[name]]), "")</f>
        <v/>
      </c>
      <c r="N21" s="1" t="str">
        <f>IF(Teams[[#This Row],[relevant]], SUMIFS(Fixtures[INV], Fixtures[userTeam], Teams[[#This Row],[name]]), "")</f>
        <v/>
      </c>
      <c r="O21" s="1" t="str">
        <f>IF(Teams[[#This Row],[relevant]], SUMIFS(Fixtures[YC], Fixtures[userTeam], Teams[[#This Row],[name]]), "")</f>
        <v/>
      </c>
      <c r="P21" s="1" t="str">
        <f>IF(Teams[[#This Row],[relevant]], SUMIFS(Fixtures[RC], Fixtures[userTeam], Teams[[#This Row],[name]]), "")</f>
        <v/>
      </c>
      <c r="Q21" s="13" t="str">
        <f>IF(Teams[[#This Row],[relevant]], IF(ISERROR(AVERAGEIFS(Fixtures[MR], Fixtures[userTeam], Teams[[#This Row],[name]])), 0, AVERAGEIFS(Fixtures[MR], Fixtures[userTeam], Teams[[#This Row],[name]])), "")</f>
        <v/>
      </c>
      <c r="R21" s="1" t="str">
        <f>IF(Teams[[#This Row],[relevant]], COUNTIFS(Fixtures[userTeam], Teams[[#This Row],[name]], Fixtures[MOTM], TRUE), "")</f>
        <v/>
      </c>
      <c r="S21" s="1" t="str" cm="1">
        <f t="array" ref="S21">IF(Teams[[#This Row],[relevant]], _xlfn.TEXTJOIN(", ", TRUE, _xlfn._xlws.FILTER(Stats[competition]&amp;" ("&amp;Stats[season]&amp;")",(Stats[team]=Teams[[#This Row],[name]])*(Stats[result]="Winner"),"")), "")</f>
        <v/>
      </c>
    </row>
    <row r="22" spans="1:19" ht="13" hidden="1">
      <c r="A22" s="1" t="s">
        <v>420</v>
      </c>
      <c r="B22" s="1" t="s">
        <v>152</v>
      </c>
      <c r="C22" s="1" t="s">
        <v>391</v>
      </c>
      <c r="D22" s="1" t="str">
        <f>UPPER(_xlfn.CONCAT(LEFT(Teams[[#This Row],[teamType]], 1), "-", LEFT(SUBSTITUTE(Teams[[#This Row],[nation]], "/", ""), 3), "-", SUBSTITUTE(SUBSTITUTE(SUBSTITUTE(Teams[[#This Row],[name]], ".", ""), " ", ""), "-", "")))</f>
        <v>C-ENG-AFCWIMBLEDON</v>
      </c>
      <c r="E22" s="16"/>
      <c r="F22" s="16"/>
      <c r="G22" s="1" t="b">
        <f>COUNTBLANK(Teams[[#This Row],[startDate]:[endDate]]) &lt; 2</f>
        <v>0</v>
      </c>
      <c r="H22" s="1" t="str">
        <f>IF(Teams[[#This Row],[relevant]], COUNTIFS(Fixtures[userTeam], Teams[[#This Row],[name]], Fixtures[APP], TRUE), "")</f>
        <v/>
      </c>
      <c r="I22" s="1" t="str">
        <f>IF(Teams[[#This Row],[relevant]], COUNTIFS(Fixtures[userTeam], Teams[[#This Row],[name]], Fixtures[result], "W", Fixtures[APP], TRUE), "")</f>
        <v/>
      </c>
      <c r="J22" s="1" t="str">
        <f>IF(Teams[[#This Row],[relevant]], COUNTIFS(Fixtures[userTeam], Teams[[#This Row],[name]], Fixtures[result], "D", Fixtures[APP], TRUE), "")</f>
        <v/>
      </c>
      <c r="K22" s="1" t="str">
        <f>IF(Teams[[#This Row],[relevant]], COUNTIFS(Fixtures[userTeam], Teams[[#This Row],[name]], Fixtures[result], "L", Fixtures[APP], TRUE), "")</f>
        <v/>
      </c>
      <c r="L22" s="1" t="str">
        <f>IF(Teams[[#This Row],[relevant]], SUMIFS(Fixtures[G], Fixtures[userTeam], Teams[[#This Row],[name]]), "")</f>
        <v/>
      </c>
      <c r="M22" s="1" t="str">
        <f>IF(Teams[[#This Row],[relevant]], SUMIFS(Fixtures[A], Fixtures[userTeam], Teams[[#This Row],[name]]), "")</f>
        <v/>
      </c>
      <c r="N22" s="1" t="str">
        <f>IF(Teams[[#This Row],[relevant]], SUMIFS(Fixtures[INV], Fixtures[userTeam], Teams[[#This Row],[name]]), "")</f>
        <v/>
      </c>
      <c r="O22" s="1" t="str">
        <f>IF(Teams[[#This Row],[relevant]], SUMIFS(Fixtures[YC], Fixtures[userTeam], Teams[[#This Row],[name]]), "")</f>
        <v/>
      </c>
      <c r="P22" s="1" t="str">
        <f>IF(Teams[[#This Row],[relevant]], SUMIFS(Fixtures[RC], Fixtures[userTeam], Teams[[#This Row],[name]]), "")</f>
        <v/>
      </c>
      <c r="Q22" s="13" t="str">
        <f>IF(Teams[[#This Row],[relevant]], IF(ISERROR(AVERAGEIFS(Fixtures[MR], Fixtures[userTeam], Teams[[#This Row],[name]])), 0, AVERAGEIFS(Fixtures[MR], Fixtures[userTeam], Teams[[#This Row],[name]])), "")</f>
        <v/>
      </c>
      <c r="R22" s="1" t="str">
        <f>IF(Teams[[#This Row],[relevant]], COUNTIFS(Fixtures[userTeam], Teams[[#This Row],[name]], Fixtures[MOTM], TRUE), "")</f>
        <v/>
      </c>
      <c r="S22" s="1" t="str" cm="1">
        <f t="array" ref="S22">IF(Teams[[#This Row],[relevant]], _xlfn.TEXTJOIN(", ", TRUE, _xlfn._xlws.FILTER(Stats[competition]&amp;" ("&amp;Stats[season]&amp;")",(Stats[team]=Teams[[#This Row],[name]])*(Stats[result]="Winner"),"")), "")</f>
        <v/>
      </c>
    </row>
    <row r="23" spans="1:19" ht="13" hidden="1">
      <c r="A23" s="1" t="s">
        <v>421</v>
      </c>
      <c r="B23" s="1" t="s">
        <v>398</v>
      </c>
      <c r="C23" s="1" t="s">
        <v>391</v>
      </c>
      <c r="D23" s="1" t="str">
        <f>UPPER(_xlfn.CONCAT(LEFT(Teams[[#This Row],[teamType]], 1), "-", LEFT(SUBSTITUTE(Teams[[#This Row],[nation]], "/", ""), 3), "-", SUBSTITUTE(SUBSTITUTE(SUBSTITUTE(Teams[[#This Row],[name]], ".", ""), " ", ""), "-", "")))</f>
        <v>C-DEN-AGF</v>
      </c>
      <c r="E23" s="16"/>
      <c r="F23" s="16"/>
      <c r="G23" s="1" t="b">
        <f>COUNTBLANK(Teams[[#This Row],[startDate]:[endDate]]) &lt; 2</f>
        <v>0</v>
      </c>
      <c r="H23" s="1" t="str">
        <f>IF(Teams[[#This Row],[relevant]], COUNTIFS(Fixtures[userTeam], Teams[[#This Row],[name]], Fixtures[APP], TRUE), "")</f>
        <v/>
      </c>
      <c r="I23" s="1" t="str">
        <f>IF(Teams[[#This Row],[relevant]], COUNTIFS(Fixtures[userTeam], Teams[[#This Row],[name]], Fixtures[result], "W", Fixtures[APP], TRUE), "")</f>
        <v/>
      </c>
      <c r="J23" s="1" t="str">
        <f>IF(Teams[[#This Row],[relevant]], COUNTIFS(Fixtures[userTeam], Teams[[#This Row],[name]], Fixtures[result], "D", Fixtures[APP], TRUE), "")</f>
        <v/>
      </c>
      <c r="K23" s="1" t="str">
        <f>IF(Teams[[#This Row],[relevant]], COUNTIFS(Fixtures[userTeam], Teams[[#This Row],[name]], Fixtures[result], "L", Fixtures[APP], TRUE), "")</f>
        <v/>
      </c>
      <c r="L23" s="1" t="str">
        <f>IF(Teams[[#This Row],[relevant]], SUMIFS(Fixtures[G], Fixtures[userTeam], Teams[[#This Row],[name]]), "")</f>
        <v/>
      </c>
      <c r="M23" s="1" t="str">
        <f>IF(Teams[[#This Row],[relevant]], SUMIFS(Fixtures[A], Fixtures[userTeam], Teams[[#This Row],[name]]), "")</f>
        <v/>
      </c>
      <c r="N23" s="1" t="str">
        <f>IF(Teams[[#This Row],[relevant]], SUMIFS(Fixtures[INV], Fixtures[userTeam], Teams[[#This Row],[name]]), "")</f>
        <v/>
      </c>
      <c r="O23" s="1" t="str">
        <f>IF(Teams[[#This Row],[relevant]], SUMIFS(Fixtures[YC], Fixtures[userTeam], Teams[[#This Row],[name]]), "")</f>
        <v/>
      </c>
      <c r="P23" s="1" t="str">
        <f>IF(Teams[[#This Row],[relevant]], SUMIFS(Fixtures[RC], Fixtures[userTeam], Teams[[#This Row],[name]]), "")</f>
        <v/>
      </c>
      <c r="Q23" s="13" t="str">
        <f>IF(Teams[[#This Row],[relevant]], IF(ISERROR(AVERAGEIFS(Fixtures[MR], Fixtures[userTeam], Teams[[#This Row],[name]])), 0, AVERAGEIFS(Fixtures[MR], Fixtures[userTeam], Teams[[#This Row],[name]])), "")</f>
        <v/>
      </c>
      <c r="R23" s="1" t="str">
        <f>IF(Teams[[#This Row],[relevant]], COUNTIFS(Fixtures[userTeam], Teams[[#This Row],[name]], Fixtures[MOTM], TRUE), "")</f>
        <v/>
      </c>
      <c r="S23" s="1" t="str" cm="1">
        <f t="array" ref="S23">IF(Teams[[#This Row],[relevant]], _xlfn.TEXTJOIN(", ", TRUE, _xlfn._xlws.FILTER(Stats[competition]&amp;" ("&amp;Stats[season]&amp;")",(Stats[team]=Teams[[#This Row],[name]])*(Stats[result]="Winner"),"")), "")</f>
        <v/>
      </c>
    </row>
    <row r="24" spans="1:19" ht="13" hidden="1">
      <c r="A24" s="1" t="s">
        <v>422</v>
      </c>
      <c r="B24" s="1" t="s">
        <v>284</v>
      </c>
      <c r="C24" s="1" t="s">
        <v>391</v>
      </c>
      <c r="D24" s="1" t="str">
        <f>UPPER(_xlfn.CONCAT(LEFT(Teams[[#This Row],[teamType]], 1), "-", LEFT(SUBSTITUTE(Teams[[#This Row],[nation]], "/", ""), 3), "-", SUBSTITUTE(SUBSTITUTE(SUBSTITUTE(Teams[[#This Row],[name]], ".", ""), " ", ""), "-", "")))</f>
        <v>C-SWE-AIK</v>
      </c>
      <c r="E24" s="16"/>
      <c r="F24" s="16"/>
      <c r="G24" s="1" t="b">
        <f>COUNTBLANK(Teams[[#This Row],[startDate]:[endDate]]) &lt; 2</f>
        <v>0</v>
      </c>
      <c r="H24" s="1" t="str">
        <f>IF(Teams[[#This Row],[relevant]], COUNTIFS(Fixtures[userTeam], Teams[[#This Row],[name]], Fixtures[APP], TRUE), "")</f>
        <v/>
      </c>
      <c r="I24" s="1" t="str">
        <f>IF(Teams[[#This Row],[relevant]], COUNTIFS(Fixtures[userTeam], Teams[[#This Row],[name]], Fixtures[result], "W", Fixtures[APP], TRUE), "")</f>
        <v/>
      </c>
      <c r="J24" s="1" t="str">
        <f>IF(Teams[[#This Row],[relevant]], COUNTIFS(Fixtures[userTeam], Teams[[#This Row],[name]], Fixtures[result], "D", Fixtures[APP], TRUE), "")</f>
        <v/>
      </c>
      <c r="K24" s="1" t="str">
        <f>IF(Teams[[#This Row],[relevant]], COUNTIFS(Fixtures[userTeam], Teams[[#This Row],[name]], Fixtures[result], "L", Fixtures[APP], TRUE), "")</f>
        <v/>
      </c>
      <c r="L24" s="1" t="str">
        <f>IF(Teams[[#This Row],[relevant]], SUMIFS(Fixtures[G], Fixtures[userTeam], Teams[[#This Row],[name]]), "")</f>
        <v/>
      </c>
      <c r="M24" s="1" t="str">
        <f>IF(Teams[[#This Row],[relevant]], SUMIFS(Fixtures[A], Fixtures[userTeam], Teams[[#This Row],[name]]), "")</f>
        <v/>
      </c>
      <c r="N24" s="1" t="str">
        <f>IF(Teams[[#This Row],[relevant]], SUMIFS(Fixtures[INV], Fixtures[userTeam], Teams[[#This Row],[name]]), "")</f>
        <v/>
      </c>
      <c r="O24" s="1" t="str">
        <f>IF(Teams[[#This Row],[relevant]], SUMIFS(Fixtures[YC], Fixtures[userTeam], Teams[[#This Row],[name]]), "")</f>
        <v/>
      </c>
      <c r="P24" s="1" t="str">
        <f>IF(Teams[[#This Row],[relevant]], SUMIFS(Fixtures[RC], Fixtures[userTeam], Teams[[#This Row],[name]]), "")</f>
        <v/>
      </c>
      <c r="Q24" s="13" t="str">
        <f>IF(Teams[[#This Row],[relevant]], IF(ISERROR(AVERAGEIFS(Fixtures[MR], Fixtures[userTeam], Teams[[#This Row],[name]])), 0, AVERAGEIFS(Fixtures[MR], Fixtures[userTeam], Teams[[#This Row],[name]])), "")</f>
        <v/>
      </c>
      <c r="R24" s="1" t="str">
        <f>IF(Teams[[#This Row],[relevant]], COUNTIFS(Fixtures[userTeam], Teams[[#This Row],[name]], Fixtures[MOTM], TRUE), "")</f>
        <v/>
      </c>
      <c r="S24" s="1" t="str" cm="1">
        <f t="array" ref="S24">IF(Teams[[#This Row],[relevant]], _xlfn.TEXTJOIN(", ", TRUE, _xlfn._xlws.FILTER(Stats[competition]&amp;" ("&amp;Stats[season]&amp;")",(Stats[team]=Teams[[#This Row],[name]])*(Stats[result]="Winner"),"")), "")</f>
        <v/>
      </c>
    </row>
    <row r="25" spans="1:19" ht="13" hidden="1">
      <c r="A25" s="1" t="s">
        <v>423</v>
      </c>
      <c r="B25" s="1" t="s">
        <v>339</v>
      </c>
      <c r="C25" s="1" t="s">
        <v>391</v>
      </c>
      <c r="D25" s="1" t="str">
        <f>UPPER(_xlfn.CONCAT(LEFT(Teams[[#This Row],[teamType]], 1), "-", LEFT(SUBSTITUTE(Teams[[#This Row],[nation]], "/", ""), 3), "-", SUBSTITUTE(SUBSTITUTE(SUBSTITUTE(Teams[[#This Row],[name]], ".", ""), " ", ""), "-", "")))</f>
        <v>C-FRA-AJAUXERRE</v>
      </c>
      <c r="E25" s="16"/>
      <c r="F25" s="16"/>
      <c r="G25" s="1" t="b">
        <f>COUNTBLANK(Teams[[#This Row],[startDate]:[endDate]]) &lt; 2</f>
        <v>0</v>
      </c>
      <c r="H25" s="1" t="str">
        <f>IF(Teams[[#This Row],[relevant]], COUNTIFS(Fixtures[userTeam], Teams[[#This Row],[name]], Fixtures[APP], TRUE), "")</f>
        <v/>
      </c>
      <c r="I25" s="1" t="str">
        <f>IF(Teams[[#This Row],[relevant]], COUNTIFS(Fixtures[userTeam], Teams[[#This Row],[name]], Fixtures[result], "W", Fixtures[APP], TRUE), "")</f>
        <v/>
      </c>
      <c r="J25" s="1" t="str">
        <f>IF(Teams[[#This Row],[relevant]], COUNTIFS(Fixtures[userTeam], Teams[[#This Row],[name]], Fixtures[result], "D", Fixtures[APP], TRUE), "")</f>
        <v/>
      </c>
      <c r="K25" s="1" t="str">
        <f>IF(Teams[[#This Row],[relevant]], COUNTIFS(Fixtures[userTeam], Teams[[#This Row],[name]], Fixtures[result], "L", Fixtures[APP], TRUE), "")</f>
        <v/>
      </c>
      <c r="L25" s="1" t="str">
        <f>IF(Teams[[#This Row],[relevant]], SUMIFS(Fixtures[G], Fixtures[userTeam], Teams[[#This Row],[name]]), "")</f>
        <v/>
      </c>
      <c r="M25" s="1" t="str">
        <f>IF(Teams[[#This Row],[relevant]], SUMIFS(Fixtures[A], Fixtures[userTeam], Teams[[#This Row],[name]]), "")</f>
        <v/>
      </c>
      <c r="N25" s="1" t="str">
        <f>IF(Teams[[#This Row],[relevant]], SUMIFS(Fixtures[INV], Fixtures[userTeam], Teams[[#This Row],[name]]), "")</f>
        <v/>
      </c>
      <c r="O25" s="1" t="str">
        <f>IF(Teams[[#This Row],[relevant]], SUMIFS(Fixtures[YC], Fixtures[userTeam], Teams[[#This Row],[name]]), "")</f>
        <v/>
      </c>
      <c r="P25" s="1" t="str">
        <f>IF(Teams[[#This Row],[relevant]], SUMIFS(Fixtures[RC], Fixtures[userTeam], Teams[[#This Row],[name]]), "")</f>
        <v/>
      </c>
      <c r="Q25" s="13" t="str">
        <f>IF(Teams[[#This Row],[relevant]], IF(ISERROR(AVERAGEIFS(Fixtures[MR], Fixtures[userTeam], Teams[[#This Row],[name]])), 0, AVERAGEIFS(Fixtures[MR], Fixtures[userTeam], Teams[[#This Row],[name]])), "")</f>
        <v/>
      </c>
      <c r="R25" s="1" t="str">
        <f>IF(Teams[[#This Row],[relevant]], COUNTIFS(Fixtures[userTeam], Teams[[#This Row],[name]], Fixtures[MOTM], TRUE), "")</f>
        <v/>
      </c>
      <c r="S25" s="1" t="str" cm="1">
        <f t="array" ref="S25">IF(Teams[[#This Row],[relevant]], _xlfn.TEXTJOIN(", ", TRUE, _xlfn._xlws.FILTER(Stats[competition]&amp;" ("&amp;Stats[season]&amp;")",(Stats[team]=Teams[[#This Row],[name]])*(Stats[result]="Winner"),"")), "")</f>
        <v/>
      </c>
    </row>
    <row r="26" spans="1:19" ht="13" hidden="1">
      <c r="A26" s="1" t="s">
        <v>424</v>
      </c>
      <c r="B26" s="1" t="s">
        <v>425</v>
      </c>
      <c r="C26" s="1" t="s">
        <v>391</v>
      </c>
      <c r="D26" s="1" t="str">
        <f>UPPER(_xlfn.CONCAT(LEFT(Teams[[#This Row],[teamType]], 1), "-", LEFT(SUBSTITUTE(Teams[[#This Row],[nation]], "/", ""), 3), "-", SUBSTITUTE(SUBSTITUTE(SUBSTITUTE(Teams[[#This Row],[name]], ".", ""), " ", ""), "-", "")))</f>
        <v>C-NET-AJAX</v>
      </c>
      <c r="E26" s="16"/>
      <c r="F26" s="16"/>
      <c r="G26" s="1" t="b">
        <f>COUNTBLANK(Teams[[#This Row],[startDate]:[endDate]]) &lt; 2</f>
        <v>0</v>
      </c>
      <c r="H26" s="1" t="str">
        <f>IF(Teams[[#This Row],[relevant]], COUNTIFS(Fixtures[userTeam], Teams[[#This Row],[name]], Fixtures[APP], TRUE), "")</f>
        <v/>
      </c>
      <c r="I26" s="1" t="str">
        <f>IF(Teams[[#This Row],[relevant]], COUNTIFS(Fixtures[userTeam], Teams[[#This Row],[name]], Fixtures[result], "W", Fixtures[APP], TRUE), "")</f>
        <v/>
      </c>
      <c r="J26" s="1" t="str">
        <f>IF(Teams[[#This Row],[relevant]], COUNTIFS(Fixtures[userTeam], Teams[[#This Row],[name]], Fixtures[result], "D", Fixtures[APP], TRUE), "")</f>
        <v/>
      </c>
      <c r="K26" s="1" t="str">
        <f>IF(Teams[[#This Row],[relevant]], COUNTIFS(Fixtures[userTeam], Teams[[#This Row],[name]], Fixtures[result], "L", Fixtures[APP], TRUE), "")</f>
        <v/>
      </c>
      <c r="L26" s="1" t="str">
        <f>IF(Teams[[#This Row],[relevant]], SUMIFS(Fixtures[G], Fixtures[userTeam], Teams[[#This Row],[name]]), "")</f>
        <v/>
      </c>
      <c r="M26" s="1" t="str">
        <f>IF(Teams[[#This Row],[relevant]], SUMIFS(Fixtures[A], Fixtures[userTeam], Teams[[#This Row],[name]]), "")</f>
        <v/>
      </c>
      <c r="N26" s="1" t="str">
        <f>IF(Teams[[#This Row],[relevant]], SUMIFS(Fixtures[INV], Fixtures[userTeam], Teams[[#This Row],[name]]), "")</f>
        <v/>
      </c>
      <c r="O26" s="1" t="str">
        <f>IF(Teams[[#This Row],[relevant]], SUMIFS(Fixtures[YC], Fixtures[userTeam], Teams[[#This Row],[name]]), "")</f>
        <v/>
      </c>
      <c r="P26" s="1" t="str">
        <f>IF(Teams[[#This Row],[relevant]], SUMIFS(Fixtures[RC], Fixtures[userTeam], Teams[[#This Row],[name]]), "")</f>
        <v/>
      </c>
      <c r="Q26" s="13" t="str">
        <f>IF(Teams[[#This Row],[relevant]], IF(ISERROR(AVERAGEIFS(Fixtures[MR], Fixtures[userTeam], Teams[[#This Row],[name]])), 0, AVERAGEIFS(Fixtures[MR], Fixtures[userTeam], Teams[[#This Row],[name]])), "")</f>
        <v/>
      </c>
      <c r="R26" s="1" t="str">
        <f>IF(Teams[[#This Row],[relevant]], COUNTIFS(Fixtures[userTeam], Teams[[#This Row],[name]], Fixtures[MOTM], TRUE), "")</f>
        <v/>
      </c>
      <c r="S26" s="1" t="str" cm="1">
        <f t="array" ref="S26">IF(Teams[[#This Row],[relevant]], _xlfn.TEXTJOIN(", ", TRUE, _xlfn._xlws.FILTER(Stats[competition]&amp;" ("&amp;Stats[season]&amp;")",(Stats[team]=Teams[[#This Row],[name]])*(Stats[result]="Winner"),"")), "")</f>
        <v/>
      </c>
    </row>
    <row r="27" spans="1:19" ht="13" hidden="1">
      <c r="A27" s="1" t="s">
        <v>426</v>
      </c>
      <c r="B27" s="1" t="s">
        <v>403</v>
      </c>
      <c r="C27" s="1" t="s">
        <v>391</v>
      </c>
      <c r="D27" s="1" t="str">
        <f>UPPER(_xlfn.CONCAT(LEFT(Teams[[#This Row],[teamType]], 1), "-", LEFT(SUBSTITUTE(Teams[[#This Row],[nation]], "/", ""), 3), "-", SUBSTITUTE(SUBSTITUTE(SUBSTITUTE(Teams[[#This Row],[name]], ".", ""), " ", ""), "-", "")))</f>
        <v>C-SAU-ALADALAH</v>
      </c>
      <c r="E27" s="16"/>
      <c r="F27" s="16"/>
      <c r="G27" s="1" t="b">
        <f>COUNTBLANK(Teams[[#This Row],[startDate]:[endDate]]) &lt; 2</f>
        <v>0</v>
      </c>
      <c r="H27" s="1" t="str">
        <f>IF(Teams[[#This Row],[relevant]], COUNTIFS(Fixtures[userTeam], Teams[[#This Row],[name]], Fixtures[APP], TRUE), "")</f>
        <v/>
      </c>
      <c r="I27" s="1" t="str">
        <f>IF(Teams[[#This Row],[relevant]], COUNTIFS(Fixtures[userTeam], Teams[[#This Row],[name]], Fixtures[result], "W", Fixtures[APP], TRUE), "")</f>
        <v/>
      </c>
      <c r="J27" s="1" t="str">
        <f>IF(Teams[[#This Row],[relevant]], COUNTIFS(Fixtures[userTeam], Teams[[#This Row],[name]], Fixtures[result], "D", Fixtures[APP], TRUE), "")</f>
        <v/>
      </c>
      <c r="K27" s="1" t="str">
        <f>IF(Teams[[#This Row],[relevant]], COUNTIFS(Fixtures[userTeam], Teams[[#This Row],[name]], Fixtures[result], "L", Fixtures[APP], TRUE), "")</f>
        <v/>
      </c>
      <c r="L27" s="1" t="str">
        <f>IF(Teams[[#This Row],[relevant]], SUMIFS(Fixtures[G], Fixtures[userTeam], Teams[[#This Row],[name]]), "")</f>
        <v/>
      </c>
      <c r="M27" s="1" t="str">
        <f>IF(Teams[[#This Row],[relevant]], SUMIFS(Fixtures[A], Fixtures[userTeam], Teams[[#This Row],[name]]), "")</f>
        <v/>
      </c>
      <c r="N27" s="1" t="str">
        <f>IF(Teams[[#This Row],[relevant]], SUMIFS(Fixtures[INV], Fixtures[userTeam], Teams[[#This Row],[name]]), "")</f>
        <v/>
      </c>
      <c r="O27" s="1" t="str">
        <f>IF(Teams[[#This Row],[relevant]], SUMIFS(Fixtures[YC], Fixtures[userTeam], Teams[[#This Row],[name]]), "")</f>
        <v/>
      </c>
      <c r="P27" s="1" t="str">
        <f>IF(Teams[[#This Row],[relevant]], SUMIFS(Fixtures[RC], Fixtures[userTeam], Teams[[#This Row],[name]]), "")</f>
        <v/>
      </c>
      <c r="Q27" s="13" t="str">
        <f>IF(Teams[[#This Row],[relevant]], IF(ISERROR(AVERAGEIFS(Fixtures[MR], Fixtures[userTeam], Teams[[#This Row],[name]])), 0, AVERAGEIFS(Fixtures[MR], Fixtures[userTeam], Teams[[#This Row],[name]])), "")</f>
        <v/>
      </c>
      <c r="R27" s="1" t="str">
        <f>IF(Teams[[#This Row],[relevant]], COUNTIFS(Fixtures[userTeam], Teams[[#This Row],[name]], Fixtures[MOTM], TRUE), "")</f>
        <v/>
      </c>
      <c r="S27" s="1" t="str" cm="1">
        <f t="array" ref="S27">IF(Teams[[#This Row],[relevant]], _xlfn.TEXTJOIN(", ", TRUE, _xlfn._xlws.FILTER(Stats[competition]&amp;" ("&amp;Stats[season]&amp;")",(Stats[team]=Teams[[#This Row],[name]])*(Stats[result]="Winner"),"")), "")</f>
        <v/>
      </c>
    </row>
    <row r="28" spans="1:19" ht="13" hidden="1">
      <c r="A28" s="1" t="s">
        <v>427</v>
      </c>
      <c r="B28" s="1" t="s">
        <v>428</v>
      </c>
      <c r="C28" s="1" t="s">
        <v>391</v>
      </c>
      <c r="D28" s="1" t="str">
        <f>UPPER(_xlfn.CONCAT(LEFT(Teams[[#This Row],[teamType]], 1), "-", LEFT(SUBSTITUTE(Teams[[#This Row],[nation]], "/", ""), 3), "-", SUBSTITUTE(SUBSTITUTE(SUBSTITUTE(Teams[[#This Row],[name]], ".", ""), " ", ""), "-", "")))</f>
        <v>C-UNI-ALAINFC</v>
      </c>
      <c r="E28" s="16"/>
      <c r="F28" s="16"/>
      <c r="G28" s="1" t="b">
        <f>COUNTBLANK(Teams[[#This Row],[startDate]:[endDate]]) &lt; 2</f>
        <v>0</v>
      </c>
      <c r="H28" s="1" t="str">
        <f>IF(Teams[[#This Row],[relevant]], COUNTIFS(Fixtures[userTeam], Teams[[#This Row],[name]], Fixtures[APP], TRUE), "")</f>
        <v/>
      </c>
      <c r="I28" s="1" t="str">
        <f>IF(Teams[[#This Row],[relevant]], COUNTIFS(Fixtures[userTeam], Teams[[#This Row],[name]], Fixtures[result], "W", Fixtures[APP], TRUE), "")</f>
        <v/>
      </c>
      <c r="J28" s="1" t="str">
        <f>IF(Teams[[#This Row],[relevant]], COUNTIFS(Fixtures[userTeam], Teams[[#This Row],[name]], Fixtures[result], "D", Fixtures[APP], TRUE), "")</f>
        <v/>
      </c>
      <c r="K28" s="1" t="str">
        <f>IF(Teams[[#This Row],[relevant]], COUNTIFS(Fixtures[userTeam], Teams[[#This Row],[name]], Fixtures[result], "L", Fixtures[APP], TRUE), "")</f>
        <v/>
      </c>
      <c r="L28" s="1" t="str">
        <f>IF(Teams[[#This Row],[relevant]], SUMIFS(Fixtures[G], Fixtures[userTeam], Teams[[#This Row],[name]]), "")</f>
        <v/>
      </c>
      <c r="M28" s="1" t="str">
        <f>IF(Teams[[#This Row],[relevant]], SUMIFS(Fixtures[A], Fixtures[userTeam], Teams[[#This Row],[name]]), "")</f>
        <v/>
      </c>
      <c r="N28" s="1" t="str">
        <f>IF(Teams[[#This Row],[relevant]], SUMIFS(Fixtures[INV], Fixtures[userTeam], Teams[[#This Row],[name]]), "")</f>
        <v/>
      </c>
      <c r="O28" s="1" t="str">
        <f>IF(Teams[[#This Row],[relevant]], SUMIFS(Fixtures[YC], Fixtures[userTeam], Teams[[#This Row],[name]]), "")</f>
        <v/>
      </c>
      <c r="P28" s="1" t="str">
        <f>IF(Teams[[#This Row],[relevant]], SUMIFS(Fixtures[RC], Fixtures[userTeam], Teams[[#This Row],[name]]), "")</f>
        <v/>
      </c>
      <c r="Q28" s="13" t="str">
        <f>IF(Teams[[#This Row],[relevant]], IF(ISERROR(AVERAGEIFS(Fixtures[MR], Fixtures[userTeam], Teams[[#This Row],[name]])), 0, AVERAGEIFS(Fixtures[MR], Fixtures[userTeam], Teams[[#This Row],[name]])), "")</f>
        <v/>
      </c>
      <c r="R28" s="1" t="str">
        <f>IF(Teams[[#This Row],[relevant]], COUNTIFS(Fixtures[userTeam], Teams[[#This Row],[name]], Fixtures[MOTM], TRUE), "")</f>
        <v/>
      </c>
      <c r="S28" s="1" t="str" cm="1">
        <f t="array" ref="S28">IF(Teams[[#This Row],[relevant]], _xlfn.TEXTJOIN(", ", TRUE, _xlfn._xlws.FILTER(Stats[competition]&amp;" ("&amp;Stats[season]&amp;")",(Stats[team]=Teams[[#This Row],[name]])*(Stats[result]="Winner"),"")), "")</f>
        <v/>
      </c>
    </row>
    <row r="29" spans="1:19" ht="13" hidden="1">
      <c r="A29" s="1" t="s">
        <v>429</v>
      </c>
      <c r="B29" s="1" t="s">
        <v>403</v>
      </c>
      <c r="C29" s="1" t="s">
        <v>391</v>
      </c>
      <c r="D29" s="1" t="str">
        <f>UPPER(_xlfn.CONCAT(LEFT(Teams[[#This Row],[teamType]], 1), "-", LEFT(SUBSTITUTE(Teams[[#This Row],[nation]], "/", ""), 3), "-", SUBSTITUTE(SUBSTITUTE(SUBSTITUTE(Teams[[#This Row],[name]], ".", ""), " ", ""), "-", "")))</f>
        <v>C-SAU-ALBATIN</v>
      </c>
      <c r="E29" s="16"/>
      <c r="F29" s="16"/>
      <c r="G29" s="1" t="b">
        <f>COUNTBLANK(Teams[[#This Row],[startDate]:[endDate]]) &lt; 2</f>
        <v>0</v>
      </c>
      <c r="H29" s="1" t="str">
        <f>IF(Teams[[#This Row],[relevant]], COUNTIFS(Fixtures[userTeam], Teams[[#This Row],[name]], Fixtures[APP], TRUE), "")</f>
        <v/>
      </c>
      <c r="I29" s="1" t="str">
        <f>IF(Teams[[#This Row],[relevant]], COUNTIFS(Fixtures[userTeam], Teams[[#This Row],[name]], Fixtures[result], "W", Fixtures[APP], TRUE), "")</f>
        <v/>
      </c>
      <c r="J29" s="1" t="str">
        <f>IF(Teams[[#This Row],[relevant]], COUNTIFS(Fixtures[userTeam], Teams[[#This Row],[name]], Fixtures[result], "D", Fixtures[APP], TRUE), "")</f>
        <v/>
      </c>
      <c r="K29" s="1" t="str">
        <f>IF(Teams[[#This Row],[relevant]], COUNTIFS(Fixtures[userTeam], Teams[[#This Row],[name]], Fixtures[result], "L", Fixtures[APP], TRUE), "")</f>
        <v/>
      </c>
      <c r="L29" s="1" t="str">
        <f>IF(Teams[[#This Row],[relevant]], SUMIFS(Fixtures[G], Fixtures[userTeam], Teams[[#This Row],[name]]), "")</f>
        <v/>
      </c>
      <c r="M29" s="1" t="str">
        <f>IF(Teams[[#This Row],[relevant]], SUMIFS(Fixtures[A], Fixtures[userTeam], Teams[[#This Row],[name]]), "")</f>
        <v/>
      </c>
      <c r="N29" s="1" t="str">
        <f>IF(Teams[[#This Row],[relevant]], SUMIFS(Fixtures[INV], Fixtures[userTeam], Teams[[#This Row],[name]]), "")</f>
        <v/>
      </c>
      <c r="O29" s="1" t="str">
        <f>IF(Teams[[#This Row],[relevant]], SUMIFS(Fixtures[YC], Fixtures[userTeam], Teams[[#This Row],[name]]), "")</f>
        <v/>
      </c>
      <c r="P29" s="1" t="str">
        <f>IF(Teams[[#This Row],[relevant]], SUMIFS(Fixtures[RC], Fixtures[userTeam], Teams[[#This Row],[name]]), "")</f>
        <v/>
      </c>
      <c r="Q29" s="13" t="str">
        <f>IF(Teams[[#This Row],[relevant]], IF(ISERROR(AVERAGEIFS(Fixtures[MR], Fixtures[userTeam], Teams[[#This Row],[name]])), 0, AVERAGEIFS(Fixtures[MR], Fixtures[userTeam], Teams[[#This Row],[name]])), "")</f>
        <v/>
      </c>
      <c r="R29" s="1" t="str">
        <f>IF(Teams[[#This Row],[relevant]], COUNTIFS(Fixtures[userTeam], Teams[[#This Row],[name]], Fixtures[MOTM], TRUE), "")</f>
        <v/>
      </c>
      <c r="S29" s="1" t="str" cm="1">
        <f t="array" ref="S29">IF(Teams[[#This Row],[relevant]], _xlfn.TEXTJOIN(", ", TRUE, _xlfn._xlws.FILTER(Stats[competition]&amp;" ("&amp;Stats[season]&amp;")",(Stats[team]=Teams[[#This Row],[name]])*(Stats[result]="Winner"),"")), "")</f>
        <v/>
      </c>
    </row>
    <row r="30" spans="1:19" ht="13" hidden="1">
      <c r="A30" s="1" t="s">
        <v>430</v>
      </c>
      <c r="B30" s="1" t="s">
        <v>403</v>
      </c>
      <c r="C30" s="1" t="s">
        <v>391</v>
      </c>
      <c r="D30" s="1" t="str">
        <f>UPPER(_xlfn.CONCAT(LEFT(Teams[[#This Row],[teamType]], 1), "-", LEFT(SUBSTITUTE(Teams[[#This Row],[nation]], "/", ""), 3), "-", SUBSTITUTE(SUBSTITUTE(SUBSTITUTE(Teams[[#This Row],[name]], ".", ""), " ", ""), "-", "")))</f>
        <v>C-SAU-ALFATEH</v>
      </c>
      <c r="E30" s="16"/>
      <c r="F30" s="16"/>
      <c r="G30" s="1" t="b">
        <f>COUNTBLANK(Teams[[#This Row],[startDate]:[endDate]]) &lt; 2</f>
        <v>0</v>
      </c>
      <c r="H30" s="1" t="str">
        <f>IF(Teams[[#This Row],[relevant]], COUNTIFS(Fixtures[userTeam], Teams[[#This Row],[name]], Fixtures[APP], TRUE), "")</f>
        <v/>
      </c>
      <c r="I30" s="1" t="str">
        <f>IF(Teams[[#This Row],[relevant]], COUNTIFS(Fixtures[userTeam], Teams[[#This Row],[name]], Fixtures[result], "W", Fixtures[APP], TRUE), "")</f>
        <v/>
      </c>
      <c r="J30" s="1" t="str">
        <f>IF(Teams[[#This Row],[relevant]], COUNTIFS(Fixtures[userTeam], Teams[[#This Row],[name]], Fixtures[result], "D", Fixtures[APP], TRUE), "")</f>
        <v/>
      </c>
      <c r="K30" s="1" t="str">
        <f>IF(Teams[[#This Row],[relevant]], COUNTIFS(Fixtures[userTeam], Teams[[#This Row],[name]], Fixtures[result], "L", Fixtures[APP], TRUE), "")</f>
        <v/>
      </c>
      <c r="L30" s="1" t="str">
        <f>IF(Teams[[#This Row],[relevant]], SUMIFS(Fixtures[G], Fixtures[userTeam], Teams[[#This Row],[name]]), "")</f>
        <v/>
      </c>
      <c r="M30" s="1" t="str">
        <f>IF(Teams[[#This Row],[relevant]], SUMIFS(Fixtures[A], Fixtures[userTeam], Teams[[#This Row],[name]]), "")</f>
        <v/>
      </c>
      <c r="N30" s="1" t="str">
        <f>IF(Teams[[#This Row],[relevant]], SUMIFS(Fixtures[INV], Fixtures[userTeam], Teams[[#This Row],[name]]), "")</f>
        <v/>
      </c>
      <c r="O30" s="1" t="str">
        <f>IF(Teams[[#This Row],[relevant]], SUMIFS(Fixtures[YC], Fixtures[userTeam], Teams[[#This Row],[name]]), "")</f>
        <v/>
      </c>
      <c r="P30" s="1" t="str">
        <f>IF(Teams[[#This Row],[relevant]], SUMIFS(Fixtures[RC], Fixtures[userTeam], Teams[[#This Row],[name]]), "")</f>
        <v/>
      </c>
      <c r="Q30" s="13" t="str">
        <f>IF(Teams[[#This Row],[relevant]], IF(ISERROR(AVERAGEIFS(Fixtures[MR], Fixtures[userTeam], Teams[[#This Row],[name]])), 0, AVERAGEIFS(Fixtures[MR], Fixtures[userTeam], Teams[[#This Row],[name]])), "")</f>
        <v/>
      </c>
      <c r="R30" s="1" t="str">
        <f>IF(Teams[[#This Row],[relevant]], COUNTIFS(Fixtures[userTeam], Teams[[#This Row],[name]], Fixtures[MOTM], TRUE), "")</f>
        <v/>
      </c>
      <c r="S30" s="1" t="str" cm="1">
        <f t="array" ref="S30">IF(Teams[[#This Row],[relevant]], _xlfn.TEXTJOIN(", ", TRUE, _xlfn._xlws.FILTER(Stats[competition]&amp;" ("&amp;Stats[season]&amp;")",(Stats[team]=Teams[[#This Row],[name]])*(Stats[result]="Winner"),"")), "")</f>
        <v/>
      </c>
    </row>
    <row r="31" spans="1:19" ht="13" hidden="1">
      <c r="A31" s="1" t="s">
        <v>431</v>
      </c>
      <c r="B31" s="1" t="s">
        <v>403</v>
      </c>
      <c r="C31" s="1" t="s">
        <v>391</v>
      </c>
      <c r="D31" s="1" t="str">
        <f>UPPER(_xlfn.CONCAT(LEFT(Teams[[#This Row],[teamType]], 1), "-", LEFT(SUBSTITUTE(Teams[[#This Row],[nation]], "/", ""), 3), "-", SUBSTITUTE(SUBSTITUTE(SUBSTITUTE(Teams[[#This Row],[name]], ".", ""), " ", ""), "-", "")))</f>
        <v>C-SAU-ALFAYHA</v>
      </c>
      <c r="E31" s="16"/>
      <c r="F31" s="16"/>
      <c r="G31" s="1" t="b">
        <f>COUNTBLANK(Teams[[#This Row],[startDate]:[endDate]]) &lt; 2</f>
        <v>0</v>
      </c>
      <c r="H31" s="1" t="str">
        <f>IF(Teams[[#This Row],[relevant]], COUNTIFS(Fixtures[userTeam], Teams[[#This Row],[name]], Fixtures[APP], TRUE), "")</f>
        <v/>
      </c>
      <c r="I31" s="1" t="str">
        <f>IF(Teams[[#This Row],[relevant]], COUNTIFS(Fixtures[userTeam], Teams[[#This Row],[name]], Fixtures[result], "W", Fixtures[APP], TRUE), "")</f>
        <v/>
      </c>
      <c r="J31" s="1" t="str">
        <f>IF(Teams[[#This Row],[relevant]], COUNTIFS(Fixtures[userTeam], Teams[[#This Row],[name]], Fixtures[result], "D", Fixtures[APP], TRUE), "")</f>
        <v/>
      </c>
      <c r="K31" s="1" t="str">
        <f>IF(Teams[[#This Row],[relevant]], COUNTIFS(Fixtures[userTeam], Teams[[#This Row],[name]], Fixtures[result], "L", Fixtures[APP], TRUE), "")</f>
        <v/>
      </c>
      <c r="L31" s="1" t="str">
        <f>IF(Teams[[#This Row],[relevant]], SUMIFS(Fixtures[G], Fixtures[userTeam], Teams[[#This Row],[name]]), "")</f>
        <v/>
      </c>
      <c r="M31" s="1" t="str">
        <f>IF(Teams[[#This Row],[relevant]], SUMIFS(Fixtures[A], Fixtures[userTeam], Teams[[#This Row],[name]]), "")</f>
        <v/>
      </c>
      <c r="N31" s="1" t="str">
        <f>IF(Teams[[#This Row],[relevant]], SUMIFS(Fixtures[INV], Fixtures[userTeam], Teams[[#This Row],[name]]), "")</f>
        <v/>
      </c>
      <c r="O31" s="1" t="str">
        <f>IF(Teams[[#This Row],[relevant]], SUMIFS(Fixtures[YC], Fixtures[userTeam], Teams[[#This Row],[name]]), "")</f>
        <v/>
      </c>
      <c r="P31" s="1" t="str">
        <f>IF(Teams[[#This Row],[relevant]], SUMIFS(Fixtures[RC], Fixtures[userTeam], Teams[[#This Row],[name]]), "")</f>
        <v/>
      </c>
      <c r="Q31" s="13" t="str">
        <f>IF(Teams[[#This Row],[relevant]], IF(ISERROR(AVERAGEIFS(Fixtures[MR], Fixtures[userTeam], Teams[[#This Row],[name]])), 0, AVERAGEIFS(Fixtures[MR], Fixtures[userTeam], Teams[[#This Row],[name]])), "")</f>
        <v/>
      </c>
      <c r="R31" s="1" t="str">
        <f>IF(Teams[[#This Row],[relevant]], COUNTIFS(Fixtures[userTeam], Teams[[#This Row],[name]], Fixtures[MOTM], TRUE), "")</f>
        <v/>
      </c>
      <c r="S31" s="1" t="str" cm="1">
        <f t="array" ref="S31">IF(Teams[[#This Row],[relevant]], _xlfn.TEXTJOIN(", ", TRUE, _xlfn._xlws.FILTER(Stats[competition]&amp;" ("&amp;Stats[season]&amp;")",(Stats[team]=Teams[[#This Row],[name]])*(Stats[result]="Winner"),"")), "")</f>
        <v/>
      </c>
    </row>
    <row r="32" spans="1:19" ht="13" hidden="1">
      <c r="A32" s="1" t="s">
        <v>432</v>
      </c>
      <c r="B32" s="1" t="s">
        <v>403</v>
      </c>
      <c r="C32" s="1" t="s">
        <v>391</v>
      </c>
      <c r="D32" s="1" t="str">
        <f>UPPER(_xlfn.CONCAT(LEFT(Teams[[#This Row],[teamType]], 1), "-", LEFT(SUBSTITUTE(Teams[[#This Row],[nation]], "/", ""), 3), "-", SUBSTITUTE(SUBSTITUTE(SUBSTITUTE(Teams[[#This Row],[name]], ".", ""), " ", ""), "-", "")))</f>
        <v>C-SAU-ALHILAL</v>
      </c>
      <c r="E32" s="16"/>
      <c r="F32" s="16"/>
      <c r="G32" s="1" t="b">
        <f>COUNTBLANK(Teams[[#This Row],[startDate]:[endDate]]) &lt; 2</f>
        <v>0</v>
      </c>
      <c r="H32" s="1" t="str">
        <f>IF(Teams[[#This Row],[relevant]], COUNTIFS(Fixtures[userTeam], Teams[[#This Row],[name]], Fixtures[APP], TRUE), "")</f>
        <v/>
      </c>
      <c r="I32" s="1" t="str">
        <f>IF(Teams[[#This Row],[relevant]], COUNTIFS(Fixtures[userTeam], Teams[[#This Row],[name]], Fixtures[result], "W", Fixtures[APP], TRUE), "")</f>
        <v/>
      </c>
      <c r="J32" s="1" t="str">
        <f>IF(Teams[[#This Row],[relevant]], COUNTIFS(Fixtures[userTeam], Teams[[#This Row],[name]], Fixtures[result], "D", Fixtures[APP], TRUE), "")</f>
        <v/>
      </c>
      <c r="K32" s="1" t="str">
        <f>IF(Teams[[#This Row],[relevant]], COUNTIFS(Fixtures[userTeam], Teams[[#This Row],[name]], Fixtures[result], "L", Fixtures[APP], TRUE), "")</f>
        <v/>
      </c>
      <c r="L32" s="1" t="str">
        <f>IF(Teams[[#This Row],[relevant]], SUMIFS(Fixtures[G], Fixtures[userTeam], Teams[[#This Row],[name]]), "")</f>
        <v/>
      </c>
      <c r="M32" s="1" t="str">
        <f>IF(Teams[[#This Row],[relevant]], SUMIFS(Fixtures[A], Fixtures[userTeam], Teams[[#This Row],[name]]), "")</f>
        <v/>
      </c>
      <c r="N32" s="1" t="str">
        <f>IF(Teams[[#This Row],[relevant]], SUMIFS(Fixtures[INV], Fixtures[userTeam], Teams[[#This Row],[name]]), "")</f>
        <v/>
      </c>
      <c r="O32" s="1" t="str">
        <f>IF(Teams[[#This Row],[relevant]], SUMIFS(Fixtures[YC], Fixtures[userTeam], Teams[[#This Row],[name]]), "")</f>
        <v/>
      </c>
      <c r="P32" s="1" t="str">
        <f>IF(Teams[[#This Row],[relevant]], SUMIFS(Fixtures[RC], Fixtures[userTeam], Teams[[#This Row],[name]]), "")</f>
        <v/>
      </c>
      <c r="Q32" s="13" t="str">
        <f>IF(Teams[[#This Row],[relevant]], IF(ISERROR(AVERAGEIFS(Fixtures[MR], Fixtures[userTeam], Teams[[#This Row],[name]])), 0, AVERAGEIFS(Fixtures[MR], Fixtures[userTeam], Teams[[#This Row],[name]])), "")</f>
        <v/>
      </c>
      <c r="R32" s="1" t="str">
        <f>IF(Teams[[#This Row],[relevant]], COUNTIFS(Fixtures[userTeam], Teams[[#This Row],[name]], Fixtures[MOTM], TRUE), "")</f>
        <v/>
      </c>
      <c r="S32" s="1" t="str" cm="1">
        <f t="array" ref="S32">IF(Teams[[#This Row],[relevant]], _xlfn.TEXTJOIN(", ", TRUE, _xlfn._xlws.FILTER(Stats[competition]&amp;" ("&amp;Stats[season]&amp;")",(Stats[team]=Teams[[#This Row],[name]])*(Stats[result]="Winner"),"")), "")</f>
        <v/>
      </c>
    </row>
    <row r="33" spans="1:19" ht="13" hidden="1">
      <c r="A33" s="1" t="s">
        <v>433</v>
      </c>
      <c r="B33" s="1" t="s">
        <v>403</v>
      </c>
      <c r="C33" s="1" t="s">
        <v>391</v>
      </c>
      <c r="D33" s="1" t="str">
        <f>UPPER(_xlfn.CONCAT(LEFT(Teams[[#This Row],[teamType]], 1), "-", LEFT(SUBSTITUTE(Teams[[#This Row],[nation]], "/", ""), 3), "-", SUBSTITUTE(SUBSTITUTE(SUBSTITUTE(Teams[[#This Row],[name]], ".", ""), " ", ""), "-", "")))</f>
        <v>C-SAU-ALITTIHAD</v>
      </c>
      <c r="E33" s="16"/>
      <c r="F33" s="16"/>
      <c r="G33" s="1" t="b">
        <f>COUNTBLANK(Teams[[#This Row],[startDate]:[endDate]]) &lt; 2</f>
        <v>0</v>
      </c>
      <c r="H33" s="1" t="str">
        <f>IF(Teams[[#This Row],[relevant]], COUNTIFS(Fixtures[userTeam], Teams[[#This Row],[name]], Fixtures[APP], TRUE), "")</f>
        <v/>
      </c>
      <c r="I33" s="1" t="str">
        <f>IF(Teams[[#This Row],[relevant]], COUNTIFS(Fixtures[userTeam], Teams[[#This Row],[name]], Fixtures[result], "W", Fixtures[APP], TRUE), "")</f>
        <v/>
      </c>
      <c r="J33" s="1" t="str">
        <f>IF(Teams[[#This Row],[relevant]], COUNTIFS(Fixtures[userTeam], Teams[[#This Row],[name]], Fixtures[result], "D", Fixtures[APP], TRUE), "")</f>
        <v/>
      </c>
      <c r="K33" s="1" t="str">
        <f>IF(Teams[[#This Row],[relevant]], COUNTIFS(Fixtures[userTeam], Teams[[#This Row],[name]], Fixtures[result], "L", Fixtures[APP], TRUE), "")</f>
        <v/>
      </c>
      <c r="L33" s="1" t="str">
        <f>IF(Teams[[#This Row],[relevant]], SUMIFS(Fixtures[G], Fixtures[userTeam], Teams[[#This Row],[name]]), "")</f>
        <v/>
      </c>
      <c r="M33" s="1" t="str">
        <f>IF(Teams[[#This Row],[relevant]], SUMIFS(Fixtures[A], Fixtures[userTeam], Teams[[#This Row],[name]]), "")</f>
        <v/>
      </c>
      <c r="N33" s="1" t="str">
        <f>IF(Teams[[#This Row],[relevant]], SUMIFS(Fixtures[INV], Fixtures[userTeam], Teams[[#This Row],[name]]), "")</f>
        <v/>
      </c>
      <c r="O33" s="1" t="str">
        <f>IF(Teams[[#This Row],[relevant]], SUMIFS(Fixtures[YC], Fixtures[userTeam], Teams[[#This Row],[name]]), "")</f>
        <v/>
      </c>
      <c r="P33" s="1" t="str">
        <f>IF(Teams[[#This Row],[relevant]], SUMIFS(Fixtures[RC], Fixtures[userTeam], Teams[[#This Row],[name]]), "")</f>
        <v/>
      </c>
      <c r="Q33" s="13" t="str">
        <f>IF(Teams[[#This Row],[relevant]], IF(ISERROR(AVERAGEIFS(Fixtures[MR], Fixtures[userTeam], Teams[[#This Row],[name]])), 0, AVERAGEIFS(Fixtures[MR], Fixtures[userTeam], Teams[[#This Row],[name]])), "")</f>
        <v/>
      </c>
      <c r="R33" s="1" t="str">
        <f>IF(Teams[[#This Row],[relevant]], COUNTIFS(Fixtures[userTeam], Teams[[#This Row],[name]], Fixtures[MOTM], TRUE), "")</f>
        <v/>
      </c>
      <c r="S33" s="1" t="str" cm="1">
        <f t="array" ref="S33">IF(Teams[[#This Row],[relevant]], _xlfn.TEXTJOIN(", ", TRUE, _xlfn._xlws.FILTER(Stats[competition]&amp;" ("&amp;Stats[season]&amp;")",(Stats[team]=Teams[[#This Row],[name]])*(Stats[result]="Winner"),"")), "")</f>
        <v/>
      </c>
    </row>
    <row r="34" spans="1:19" ht="13" hidden="1">
      <c r="A34" s="1" t="s">
        <v>434</v>
      </c>
      <c r="B34" s="1" t="s">
        <v>403</v>
      </c>
      <c r="C34" s="1" t="s">
        <v>391</v>
      </c>
      <c r="D34" s="1" t="str">
        <f>UPPER(_xlfn.CONCAT(LEFT(Teams[[#This Row],[teamType]], 1), "-", LEFT(SUBSTITUTE(Teams[[#This Row],[nation]], "/", ""), 3), "-", SUBSTITUTE(SUBSTITUTE(SUBSTITUTE(Teams[[#This Row],[name]], ".", ""), " ", ""), "-", "")))</f>
        <v>C-SAU-ALKHALEEJ</v>
      </c>
      <c r="E34" s="16"/>
      <c r="F34" s="16"/>
      <c r="G34" s="1" t="b">
        <f>COUNTBLANK(Teams[[#This Row],[startDate]:[endDate]]) &lt; 2</f>
        <v>0</v>
      </c>
      <c r="H34" s="1" t="str">
        <f>IF(Teams[[#This Row],[relevant]], COUNTIFS(Fixtures[userTeam], Teams[[#This Row],[name]], Fixtures[APP], TRUE), "")</f>
        <v/>
      </c>
      <c r="I34" s="1" t="str">
        <f>IF(Teams[[#This Row],[relevant]], COUNTIFS(Fixtures[userTeam], Teams[[#This Row],[name]], Fixtures[result], "W", Fixtures[APP], TRUE), "")</f>
        <v/>
      </c>
      <c r="J34" s="1" t="str">
        <f>IF(Teams[[#This Row],[relevant]], COUNTIFS(Fixtures[userTeam], Teams[[#This Row],[name]], Fixtures[result], "D", Fixtures[APP], TRUE), "")</f>
        <v/>
      </c>
      <c r="K34" s="1" t="str">
        <f>IF(Teams[[#This Row],[relevant]], COUNTIFS(Fixtures[userTeam], Teams[[#This Row],[name]], Fixtures[result], "L", Fixtures[APP], TRUE), "")</f>
        <v/>
      </c>
      <c r="L34" s="1" t="str">
        <f>IF(Teams[[#This Row],[relevant]], SUMIFS(Fixtures[G], Fixtures[userTeam], Teams[[#This Row],[name]]), "")</f>
        <v/>
      </c>
      <c r="M34" s="1" t="str">
        <f>IF(Teams[[#This Row],[relevant]], SUMIFS(Fixtures[A], Fixtures[userTeam], Teams[[#This Row],[name]]), "")</f>
        <v/>
      </c>
      <c r="N34" s="1" t="str">
        <f>IF(Teams[[#This Row],[relevant]], SUMIFS(Fixtures[INV], Fixtures[userTeam], Teams[[#This Row],[name]]), "")</f>
        <v/>
      </c>
      <c r="O34" s="1" t="str">
        <f>IF(Teams[[#This Row],[relevant]], SUMIFS(Fixtures[YC], Fixtures[userTeam], Teams[[#This Row],[name]]), "")</f>
        <v/>
      </c>
      <c r="P34" s="1" t="str">
        <f>IF(Teams[[#This Row],[relevant]], SUMIFS(Fixtures[RC], Fixtures[userTeam], Teams[[#This Row],[name]]), "")</f>
        <v/>
      </c>
      <c r="Q34" s="13" t="str">
        <f>IF(Teams[[#This Row],[relevant]], IF(ISERROR(AVERAGEIFS(Fixtures[MR], Fixtures[userTeam], Teams[[#This Row],[name]])), 0, AVERAGEIFS(Fixtures[MR], Fixtures[userTeam], Teams[[#This Row],[name]])), "")</f>
        <v/>
      </c>
      <c r="R34" s="1" t="str">
        <f>IF(Teams[[#This Row],[relevant]], COUNTIFS(Fixtures[userTeam], Teams[[#This Row],[name]], Fixtures[MOTM], TRUE), "")</f>
        <v/>
      </c>
      <c r="S34" s="1" t="str" cm="1">
        <f t="array" ref="S34">IF(Teams[[#This Row],[relevant]], _xlfn.TEXTJOIN(", ", TRUE, _xlfn._xlws.FILTER(Stats[competition]&amp;" ("&amp;Stats[season]&amp;")",(Stats[team]=Teams[[#This Row],[name]])*(Stats[result]="Winner"),"")), "")</f>
        <v/>
      </c>
    </row>
    <row r="35" spans="1:19" ht="13" hidden="1">
      <c r="A35" s="1" t="s">
        <v>435</v>
      </c>
      <c r="B35" s="1" t="s">
        <v>403</v>
      </c>
      <c r="C35" s="1" t="s">
        <v>391</v>
      </c>
      <c r="D35" s="1" t="str">
        <f>UPPER(_xlfn.CONCAT(LEFT(Teams[[#This Row],[teamType]], 1), "-", LEFT(SUBSTITUTE(Teams[[#This Row],[nation]], "/", ""), 3), "-", SUBSTITUTE(SUBSTITUTE(SUBSTITUTE(Teams[[#This Row],[name]], ".", ""), " ", ""), "-", "")))</f>
        <v>C-SAU-ALNASSR</v>
      </c>
      <c r="E35" s="16"/>
      <c r="F35" s="16"/>
      <c r="G35" s="1" t="b">
        <f>COUNTBLANK(Teams[[#This Row],[startDate]:[endDate]]) &lt; 2</f>
        <v>0</v>
      </c>
      <c r="H35" s="1" t="str">
        <f>IF(Teams[[#This Row],[relevant]], COUNTIFS(Fixtures[userTeam], Teams[[#This Row],[name]], Fixtures[APP], TRUE), "")</f>
        <v/>
      </c>
      <c r="I35" s="1" t="str">
        <f>IF(Teams[[#This Row],[relevant]], COUNTIFS(Fixtures[userTeam], Teams[[#This Row],[name]], Fixtures[result], "W", Fixtures[APP], TRUE), "")</f>
        <v/>
      </c>
      <c r="J35" s="1" t="str">
        <f>IF(Teams[[#This Row],[relevant]], COUNTIFS(Fixtures[userTeam], Teams[[#This Row],[name]], Fixtures[result], "D", Fixtures[APP], TRUE), "")</f>
        <v/>
      </c>
      <c r="K35" s="1" t="str">
        <f>IF(Teams[[#This Row],[relevant]], COUNTIFS(Fixtures[userTeam], Teams[[#This Row],[name]], Fixtures[result], "L", Fixtures[APP], TRUE), "")</f>
        <v/>
      </c>
      <c r="L35" s="1" t="str">
        <f>IF(Teams[[#This Row],[relevant]], SUMIFS(Fixtures[G], Fixtures[userTeam], Teams[[#This Row],[name]]), "")</f>
        <v/>
      </c>
      <c r="M35" s="1" t="str">
        <f>IF(Teams[[#This Row],[relevant]], SUMIFS(Fixtures[A], Fixtures[userTeam], Teams[[#This Row],[name]]), "")</f>
        <v/>
      </c>
      <c r="N35" s="1" t="str">
        <f>IF(Teams[[#This Row],[relevant]], SUMIFS(Fixtures[INV], Fixtures[userTeam], Teams[[#This Row],[name]]), "")</f>
        <v/>
      </c>
      <c r="O35" s="1" t="str">
        <f>IF(Teams[[#This Row],[relevant]], SUMIFS(Fixtures[YC], Fixtures[userTeam], Teams[[#This Row],[name]]), "")</f>
        <v/>
      </c>
      <c r="P35" s="1" t="str">
        <f>IF(Teams[[#This Row],[relevant]], SUMIFS(Fixtures[RC], Fixtures[userTeam], Teams[[#This Row],[name]]), "")</f>
        <v/>
      </c>
      <c r="Q35" s="13" t="str">
        <f>IF(Teams[[#This Row],[relevant]], IF(ISERROR(AVERAGEIFS(Fixtures[MR], Fixtures[userTeam], Teams[[#This Row],[name]])), 0, AVERAGEIFS(Fixtures[MR], Fixtures[userTeam], Teams[[#This Row],[name]])), "")</f>
        <v/>
      </c>
      <c r="R35" s="1" t="str">
        <f>IF(Teams[[#This Row],[relevant]], COUNTIFS(Fixtures[userTeam], Teams[[#This Row],[name]], Fixtures[MOTM], TRUE), "")</f>
        <v/>
      </c>
      <c r="S35" s="1" t="str" cm="1">
        <f t="array" ref="S35">IF(Teams[[#This Row],[relevant]], _xlfn.TEXTJOIN(", ", TRUE, _xlfn._xlws.FILTER(Stats[competition]&amp;" ("&amp;Stats[season]&amp;")",(Stats[team]=Teams[[#This Row],[name]])*(Stats[result]="Winner"),"")), "")</f>
        <v/>
      </c>
    </row>
    <row r="36" spans="1:19" ht="13" hidden="1">
      <c r="A36" s="1" t="s">
        <v>436</v>
      </c>
      <c r="B36" s="1" t="s">
        <v>403</v>
      </c>
      <c r="C36" s="1" t="s">
        <v>391</v>
      </c>
      <c r="D36" s="1" t="str">
        <f>UPPER(_xlfn.CONCAT(LEFT(Teams[[#This Row],[teamType]], 1), "-", LEFT(SUBSTITUTE(Teams[[#This Row],[nation]], "/", ""), 3), "-", SUBSTITUTE(SUBSTITUTE(SUBSTITUTE(Teams[[#This Row],[name]], ".", ""), " ", ""), "-", "")))</f>
        <v>C-SAU-ALRAED</v>
      </c>
      <c r="E36" s="16"/>
      <c r="F36" s="16"/>
      <c r="G36" s="1" t="b">
        <f>COUNTBLANK(Teams[[#This Row],[startDate]:[endDate]]) &lt; 2</f>
        <v>0</v>
      </c>
      <c r="H36" s="1" t="str">
        <f>IF(Teams[[#This Row],[relevant]], COUNTIFS(Fixtures[userTeam], Teams[[#This Row],[name]], Fixtures[APP], TRUE), "")</f>
        <v/>
      </c>
      <c r="I36" s="1" t="str">
        <f>IF(Teams[[#This Row],[relevant]], COUNTIFS(Fixtures[userTeam], Teams[[#This Row],[name]], Fixtures[result], "W", Fixtures[APP], TRUE), "")</f>
        <v/>
      </c>
      <c r="J36" s="1" t="str">
        <f>IF(Teams[[#This Row],[relevant]], COUNTIFS(Fixtures[userTeam], Teams[[#This Row],[name]], Fixtures[result], "D", Fixtures[APP], TRUE), "")</f>
        <v/>
      </c>
      <c r="K36" s="1" t="str">
        <f>IF(Teams[[#This Row],[relevant]], COUNTIFS(Fixtures[userTeam], Teams[[#This Row],[name]], Fixtures[result], "L", Fixtures[APP], TRUE), "")</f>
        <v/>
      </c>
      <c r="L36" s="1" t="str">
        <f>IF(Teams[[#This Row],[relevant]], SUMIFS(Fixtures[G], Fixtures[userTeam], Teams[[#This Row],[name]]), "")</f>
        <v/>
      </c>
      <c r="M36" s="1" t="str">
        <f>IF(Teams[[#This Row],[relevant]], SUMIFS(Fixtures[A], Fixtures[userTeam], Teams[[#This Row],[name]]), "")</f>
        <v/>
      </c>
      <c r="N36" s="1" t="str">
        <f>IF(Teams[[#This Row],[relevant]], SUMIFS(Fixtures[INV], Fixtures[userTeam], Teams[[#This Row],[name]]), "")</f>
        <v/>
      </c>
      <c r="O36" s="1" t="str">
        <f>IF(Teams[[#This Row],[relevant]], SUMIFS(Fixtures[YC], Fixtures[userTeam], Teams[[#This Row],[name]]), "")</f>
        <v/>
      </c>
      <c r="P36" s="1" t="str">
        <f>IF(Teams[[#This Row],[relevant]], SUMIFS(Fixtures[RC], Fixtures[userTeam], Teams[[#This Row],[name]]), "")</f>
        <v/>
      </c>
      <c r="Q36" s="13" t="str">
        <f>IF(Teams[[#This Row],[relevant]], IF(ISERROR(AVERAGEIFS(Fixtures[MR], Fixtures[userTeam], Teams[[#This Row],[name]])), 0, AVERAGEIFS(Fixtures[MR], Fixtures[userTeam], Teams[[#This Row],[name]])), "")</f>
        <v/>
      </c>
      <c r="R36" s="1" t="str">
        <f>IF(Teams[[#This Row],[relevant]], COUNTIFS(Fixtures[userTeam], Teams[[#This Row],[name]], Fixtures[MOTM], TRUE), "")</f>
        <v/>
      </c>
      <c r="S36" s="1" t="str" cm="1">
        <f t="array" ref="S36">IF(Teams[[#This Row],[relevant]], _xlfn.TEXTJOIN(", ", TRUE, _xlfn._xlws.FILTER(Stats[competition]&amp;" ("&amp;Stats[season]&amp;")",(Stats[team]=Teams[[#This Row],[name]])*(Stats[result]="Winner"),"")), "")</f>
        <v/>
      </c>
    </row>
    <row r="37" spans="1:19" ht="13" hidden="1">
      <c r="A37" s="1" t="s">
        <v>437</v>
      </c>
      <c r="B37" s="1" t="s">
        <v>403</v>
      </c>
      <c r="C37" s="1" t="s">
        <v>391</v>
      </c>
      <c r="D37" s="1" t="str">
        <f>UPPER(_xlfn.CONCAT(LEFT(Teams[[#This Row],[teamType]], 1), "-", LEFT(SUBSTITUTE(Teams[[#This Row],[nation]], "/", ""), 3), "-", SUBSTITUTE(SUBSTITUTE(SUBSTITUTE(Teams[[#This Row],[name]], ".", ""), " ", ""), "-", "")))</f>
        <v>C-SAU-ALSHABAB</v>
      </c>
      <c r="E37" s="16"/>
      <c r="F37" s="16"/>
      <c r="G37" s="1" t="b">
        <f>COUNTBLANK(Teams[[#This Row],[startDate]:[endDate]]) &lt; 2</f>
        <v>0</v>
      </c>
      <c r="H37" s="1" t="str">
        <f>IF(Teams[[#This Row],[relevant]], COUNTIFS(Fixtures[userTeam], Teams[[#This Row],[name]], Fixtures[APP], TRUE), "")</f>
        <v/>
      </c>
      <c r="I37" s="1" t="str">
        <f>IF(Teams[[#This Row],[relevant]], COUNTIFS(Fixtures[userTeam], Teams[[#This Row],[name]], Fixtures[result], "W", Fixtures[APP], TRUE), "")</f>
        <v/>
      </c>
      <c r="J37" s="1" t="str">
        <f>IF(Teams[[#This Row],[relevant]], COUNTIFS(Fixtures[userTeam], Teams[[#This Row],[name]], Fixtures[result], "D", Fixtures[APP], TRUE), "")</f>
        <v/>
      </c>
      <c r="K37" s="1" t="str">
        <f>IF(Teams[[#This Row],[relevant]], COUNTIFS(Fixtures[userTeam], Teams[[#This Row],[name]], Fixtures[result], "L", Fixtures[APP], TRUE), "")</f>
        <v/>
      </c>
      <c r="L37" s="1" t="str">
        <f>IF(Teams[[#This Row],[relevant]], SUMIFS(Fixtures[G], Fixtures[userTeam], Teams[[#This Row],[name]]), "")</f>
        <v/>
      </c>
      <c r="M37" s="1" t="str">
        <f>IF(Teams[[#This Row],[relevant]], SUMIFS(Fixtures[A], Fixtures[userTeam], Teams[[#This Row],[name]]), "")</f>
        <v/>
      </c>
      <c r="N37" s="1" t="str">
        <f>IF(Teams[[#This Row],[relevant]], SUMIFS(Fixtures[INV], Fixtures[userTeam], Teams[[#This Row],[name]]), "")</f>
        <v/>
      </c>
      <c r="O37" s="1" t="str">
        <f>IF(Teams[[#This Row],[relevant]], SUMIFS(Fixtures[YC], Fixtures[userTeam], Teams[[#This Row],[name]]), "")</f>
        <v/>
      </c>
      <c r="P37" s="1" t="str">
        <f>IF(Teams[[#This Row],[relevant]], SUMIFS(Fixtures[RC], Fixtures[userTeam], Teams[[#This Row],[name]]), "")</f>
        <v/>
      </c>
      <c r="Q37" s="13" t="str">
        <f>IF(Teams[[#This Row],[relevant]], IF(ISERROR(AVERAGEIFS(Fixtures[MR], Fixtures[userTeam], Teams[[#This Row],[name]])), 0, AVERAGEIFS(Fixtures[MR], Fixtures[userTeam], Teams[[#This Row],[name]])), "")</f>
        <v/>
      </c>
      <c r="R37" s="1" t="str">
        <f>IF(Teams[[#This Row],[relevant]], COUNTIFS(Fixtures[userTeam], Teams[[#This Row],[name]], Fixtures[MOTM], TRUE), "")</f>
        <v/>
      </c>
      <c r="S37" s="1" t="str" cm="1">
        <f t="array" ref="S37">IF(Teams[[#This Row],[relevant]], _xlfn.TEXTJOIN(", ", TRUE, _xlfn._xlws.FILTER(Stats[competition]&amp;" ("&amp;Stats[season]&amp;")",(Stats[team]=Teams[[#This Row],[name]])*(Stats[result]="Winner"),"")), "")</f>
        <v/>
      </c>
    </row>
    <row r="38" spans="1:19" ht="13" hidden="1">
      <c r="A38" s="1" t="s">
        <v>438</v>
      </c>
      <c r="B38" s="1" t="s">
        <v>403</v>
      </c>
      <c r="C38" s="1" t="s">
        <v>391</v>
      </c>
      <c r="D38" s="1" t="str">
        <f>UPPER(_xlfn.CONCAT(LEFT(Teams[[#This Row],[teamType]], 1), "-", LEFT(SUBSTITUTE(Teams[[#This Row],[nation]], "/", ""), 3), "-", SUBSTITUTE(SUBSTITUTE(SUBSTITUTE(Teams[[#This Row],[name]], ".", ""), " ", ""), "-", "")))</f>
        <v>C-SAU-ALTAAWOUN</v>
      </c>
      <c r="E38" s="16"/>
      <c r="F38" s="16"/>
      <c r="G38" s="1" t="b">
        <f>COUNTBLANK(Teams[[#This Row],[startDate]:[endDate]]) &lt; 2</f>
        <v>0</v>
      </c>
      <c r="H38" s="1" t="str">
        <f>IF(Teams[[#This Row],[relevant]], COUNTIFS(Fixtures[userTeam], Teams[[#This Row],[name]], Fixtures[APP], TRUE), "")</f>
        <v/>
      </c>
      <c r="I38" s="1" t="str">
        <f>IF(Teams[[#This Row],[relevant]], COUNTIFS(Fixtures[userTeam], Teams[[#This Row],[name]], Fixtures[result], "W", Fixtures[APP], TRUE), "")</f>
        <v/>
      </c>
      <c r="J38" s="1" t="str">
        <f>IF(Teams[[#This Row],[relevant]], COUNTIFS(Fixtures[userTeam], Teams[[#This Row],[name]], Fixtures[result], "D", Fixtures[APP], TRUE), "")</f>
        <v/>
      </c>
      <c r="K38" s="1" t="str">
        <f>IF(Teams[[#This Row],[relevant]], COUNTIFS(Fixtures[userTeam], Teams[[#This Row],[name]], Fixtures[result], "L", Fixtures[APP], TRUE), "")</f>
        <v/>
      </c>
      <c r="L38" s="1" t="str">
        <f>IF(Teams[[#This Row],[relevant]], SUMIFS(Fixtures[G], Fixtures[userTeam], Teams[[#This Row],[name]]), "")</f>
        <v/>
      </c>
      <c r="M38" s="1" t="str">
        <f>IF(Teams[[#This Row],[relevant]], SUMIFS(Fixtures[A], Fixtures[userTeam], Teams[[#This Row],[name]]), "")</f>
        <v/>
      </c>
      <c r="N38" s="1" t="str">
        <f>IF(Teams[[#This Row],[relevant]], SUMIFS(Fixtures[INV], Fixtures[userTeam], Teams[[#This Row],[name]]), "")</f>
        <v/>
      </c>
      <c r="O38" s="1" t="str">
        <f>IF(Teams[[#This Row],[relevant]], SUMIFS(Fixtures[YC], Fixtures[userTeam], Teams[[#This Row],[name]]), "")</f>
        <v/>
      </c>
      <c r="P38" s="1" t="str">
        <f>IF(Teams[[#This Row],[relevant]], SUMIFS(Fixtures[RC], Fixtures[userTeam], Teams[[#This Row],[name]]), "")</f>
        <v/>
      </c>
      <c r="Q38" s="13" t="str">
        <f>IF(Teams[[#This Row],[relevant]], IF(ISERROR(AVERAGEIFS(Fixtures[MR], Fixtures[userTeam], Teams[[#This Row],[name]])), 0, AVERAGEIFS(Fixtures[MR], Fixtures[userTeam], Teams[[#This Row],[name]])), "")</f>
        <v/>
      </c>
      <c r="R38" s="1" t="str">
        <f>IF(Teams[[#This Row],[relevant]], COUNTIFS(Fixtures[userTeam], Teams[[#This Row],[name]], Fixtures[MOTM], TRUE), "")</f>
        <v/>
      </c>
      <c r="S38" s="1" t="str" cm="1">
        <f t="array" ref="S38">IF(Teams[[#This Row],[relevant]], _xlfn.TEXTJOIN(", ", TRUE, _xlfn._xlws.FILTER(Stats[competition]&amp;" ("&amp;Stats[season]&amp;")",(Stats[team]=Teams[[#This Row],[name]])*(Stats[result]="Winner"),"")), "")</f>
        <v/>
      </c>
    </row>
    <row r="39" spans="1:19" ht="13" hidden="1">
      <c r="A39" s="1" t="s">
        <v>439</v>
      </c>
      <c r="B39" s="1" t="s">
        <v>403</v>
      </c>
      <c r="C39" s="1" t="s">
        <v>391</v>
      </c>
      <c r="D39" s="1" t="str">
        <f>UPPER(_xlfn.CONCAT(LEFT(Teams[[#This Row],[teamType]], 1), "-", LEFT(SUBSTITUTE(Teams[[#This Row],[nation]], "/", ""), 3), "-", SUBSTITUTE(SUBSTITUTE(SUBSTITUTE(Teams[[#This Row],[name]], ".", ""), " ", ""), "-", "")))</f>
        <v>C-SAU-ALTAI</v>
      </c>
      <c r="E39" s="16"/>
      <c r="F39" s="16"/>
      <c r="G39" s="1" t="b">
        <f>COUNTBLANK(Teams[[#This Row],[startDate]:[endDate]]) &lt; 2</f>
        <v>0</v>
      </c>
      <c r="H39" s="1" t="str">
        <f>IF(Teams[[#This Row],[relevant]], COUNTIFS(Fixtures[userTeam], Teams[[#This Row],[name]], Fixtures[APP], TRUE), "")</f>
        <v/>
      </c>
      <c r="I39" s="1" t="str">
        <f>IF(Teams[[#This Row],[relevant]], COUNTIFS(Fixtures[userTeam], Teams[[#This Row],[name]], Fixtures[result], "W", Fixtures[APP], TRUE), "")</f>
        <v/>
      </c>
      <c r="J39" s="1" t="str">
        <f>IF(Teams[[#This Row],[relevant]], COUNTIFS(Fixtures[userTeam], Teams[[#This Row],[name]], Fixtures[result], "D", Fixtures[APP], TRUE), "")</f>
        <v/>
      </c>
      <c r="K39" s="1" t="str">
        <f>IF(Teams[[#This Row],[relevant]], COUNTIFS(Fixtures[userTeam], Teams[[#This Row],[name]], Fixtures[result], "L", Fixtures[APP], TRUE), "")</f>
        <v/>
      </c>
      <c r="L39" s="1" t="str">
        <f>IF(Teams[[#This Row],[relevant]], SUMIFS(Fixtures[G], Fixtures[userTeam], Teams[[#This Row],[name]]), "")</f>
        <v/>
      </c>
      <c r="M39" s="1" t="str">
        <f>IF(Teams[[#This Row],[relevant]], SUMIFS(Fixtures[A], Fixtures[userTeam], Teams[[#This Row],[name]]), "")</f>
        <v/>
      </c>
      <c r="N39" s="1" t="str">
        <f>IF(Teams[[#This Row],[relevant]], SUMIFS(Fixtures[INV], Fixtures[userTeam], Teams[[#This Row],[name]]), "")</f>
        <v/>
      </c>
      <c r="O39" s="1" t="str">
        <f>IF(Teams[[#This Row],[relevant]], SUMIFS(Fixtures[YC], Fixtures[userTeam], Teams[[#This Row],[name]]), "")</f>
        <v/>
      </c>
      <c r="P39" s="1" t="str">
        <f>IF(Teams[[#This Row],[relevant]], SUMIFS(Fixtures[RC], Fixtures[userTeam], Teams[[#This Row],[name]]), "")</f>
        <v/>
      </c>
      <c r="Q39" s="13" t="str">
        <f>IF(Teams[[#This Row],[relevant]], IF(ISERROR(AVERAGEIFS(Fixtures[MR], Fixtures[userTeam], Teams[[#This Row],[name]])), 0, AVERAGEIFS(Fixtures[MR], Fixtures[userTeam], Teams[[#This Row],[name]])), "")</f>
        <v/>
      </c>
      <c r="R39" s="1" t="str">
        <f>IF(Teams[[#This Row],[relevant]], COUNTIFS(Fixtures[userTeam], Teams[[#This Row],[name]], Fixtures[MOTM], TRUE), "")</f>
        <v/>
      </c>
      <c r="S39" s="1" t="str" cm="1">
        <f t="array" ref="S39">IF(Teams[[#This Row],[relevant]], _xlfn.TEXTJOIN(", ", TRUE, _xlfn._xlws.FILTER(Stats[competition]&amp;" ("&amp;Stats[season]&amp;")",(Stats[team]=Teams[[#This Row],[name]])*(Stats[result]="Winner"),"")), "")</f>
        <v/>
      </c>
    </row>
    <row r="40" spans="1:19" ht="13" hidden="1">
      <c r="A40" s="1" t="s">
        <v>440</v>
      </c>
      <c r="B40" s="1" t="s">
        <v>403</v>
      </c>
      <c r="C40" s="1" t="s">
        <v>391</v>
      </c>
      <c r="D40" s="1" t="str">
        <f>UPPER(_xlfn.CONCAT(LEFT(Teams[[#This Row],[teamType]], 1), "-", LEFT(SUBSTITUTE(Teams[[#This Row],[nation]], "/", ""), 3), "-", SUBSTITUTE(SUBSTITUTE(SUBSTITUTE(Teams[[#This Row],[name]], ".", ""), " ", ""), "-", "")))</f>
        <v>C-SAU-ALWEHDA</v>
      </c>
      <c r="E40" s="16"/>
      <c r="F40" s="16"/>
      <c r="G40" s="1" t="b">
        <f>COUNTBLANK(Teams[[#This Row],[startDate]:[endDate]]) &lt; 2</f>
        <v>0</v>
      </c>
      <c r="H40" s="1" t="str">
        <f>IF(Teams[[#This Row],[relevant]], COUNTIFS(Fixtures[userTeam], Teams[[#This Row],[name]], Fixtures[APP], TRUE), "")</f>
        <v/>
      </c>
      <c r="I40" s="1" t="str">
        <f>IF(Teams[[#This Row],[relevant]], COUNTIFS(Fixtures[userTeam], Teams[[#This Row],[name]], Fixtures[result], "W", Fixtures[APP], TRUE), "")</f>
        <v/>
      </c>
      <c r="J40" s="1" t="str">
        <f>IF(Teams[[#This Row],[relevant]], COUNTIFS(Fixtures[userTeam], Teams[[#This Row],[name]], Fixtures[result], "D", Fixtures[APP], TRUE), "")</f>
        <v/>
      </c>
      <c r="K40" s="1" t="str">
        <f>IF(Teams[[#This Row],[relevant]], COUNTIFS(Fixtures[userTeam], Teams[[#This Row],[name]], Fixtures[result], "L", Fixtures[APP], TRUE), "")</f>
        <v/>
      </c>
      <c r="L40" s="1" t="str">
        <f>IF(Teams[[#This Row],[relevant]], SUMIFS(Fixtures[G], Fixtures[userTeam], Teams[[#This Row],[name]]), "")</f>
        <v/>
      </c>
      <c r="M40" s="1" t="str">
        <f>IF(Teams[[#This Row],[relevant]], SUMIFS(Fixtures[A], Fixtures[userTeam], Teams[[#This Row],[name]]), "")</f>
        <v/>
      </c>
      <c r="N40" s="1" t="str">
        <f>IF(Teams[[#This Row],[relevant]], SUMIFS(Fixtures[INV], Fixtures[userTeam], Teams[[#This Row],[name]]), "")</f>
        <v/>
      </c>
      <c r="O40" s="1" t="str">
        <f>IF(Teams[[#This Row],[relevant]], SUMIFS(Fixtures[YC], Fixtures[userTeam], Teams[[#This Row],[name]]), "")</f>
        <v/>
      </c>
      <c r="P40" s="1" t="str">
        <f>IF(Teams[[#This Row],[relevant]], SUMIFS(Fixtures[RC], Fixtures[userTeam], Teams[[#This Row],[name]]), "")</f>
        <v/>
      </c>
      <c r="Q40" s="13" t="str">
        <f>IF(Teams[[#This Row],[relevant]], IF(ISERROR(AVERAGEIFS(Fixtures[MR], Fixtures[userTeam], Teams[[#This Row],[name]])), 0, AVERAGEIFS(Fixtures[MR], Fixtures[userTeam], Teams[[#This Row],[name]])), "")</f>
        <v/>
      </c>
      <c r="R40" s="1" t="str">
        <f>IF(Teams[[#This Row],[relevant]], COUNTIFS(Fixtures[userTeam], Teams[[#This Row],[name]], Fixtures[MOTM], TRUE), "")</f>
        <v/>
      </c>
      <c r="S40" s="1" t="str" cm="1">
        <f t="array" ref="S40">IF(Teams[[#This Row],[relevant]], _xlfn.TEXTJOIN(", ", TRUE, _xlfn._xlws.FILTER(Stats[competition]&amp;" ("&amp;Stats[season]&amp;")",(Stats[team]=Teams[[#This Row],[name]])*(Stats[result]="Winner"),"")), "")</f>
        <v/>
      </c>
    </row>
    <row r="41" spans="1:19" ht="13" hidden="1">
      <c r="A41" s="1" t="s">
        <v>441</v>
      </c>
      <c r="B41" s="1" t="s">
        <v>408</v>
      </c>
      <c r="C41" s="1" t="s">
        <v>391</v>
      </c>
      <c r="D41" s="1" t="str">
        <f>UPPER(_xlfn.CONCAT(LEFT(Teams[[#This Row],[teamType]], 1), "-", LEFT(SUBSTITUTE(Teams[[#This Row],[nation]], "/", ""), 3), "-", SUBSTITUTE(SUBSTITUTE(SUBSTITUTE(Teams[[#This Row],[name]], ".", ""), " ", ""), "-", "")))</f>
        <v>C-TUR-ALANYASPOR</v>
      </c>
      <c r="E41" s="16"/>
      <c r="F41" s="16"/>
      <c r="G41" s="1" t="b">
        <f>COUNTBLANK(Teams[[#This Row],[startDate]:[endDate]]) &lt; 2</f>
        <v>0</v>
      </c>
      <c r="H41" s="1" t="str">
        <f>IF(Teams[[#This Row],[relevant]], COUNTIFS(Fixtures[userTeam], Teams[[#This Row],[name]], Fixtures[APP], TRUE), "")</f>
        <v/>
      </c>
      <c r="I41" s="1" t="str">
        <f>IF(Teams[[#This Row],[relevant]], COUNTIFS(Fixtures[userTeam], Teams[[#This Row],[name]], Fixtures[result], "W", Fixtures[APP], TRUE), "")</f>
        <v/>
      </c>
      <c r="J41" s="1" t="str">
        <f>IF(Teams[[#This Row],[relevant]], COUNTIFS(Fixtures[userTeam], Teams[[#This Row],[name]], Fixtures[result], "D", Fixtures[APP], TRUE), "")</f>
        <v/>
      </c>
      <c r="K41" s="1" t="str">
        <f>IF(Teams[[#This Row],[relevant]], COUNTIFS(Fixtures[userTeam], Teams[[#This Row],[name]], Fixtures[result], "L", Fixtures[APP], TRUE), "")</f>
        <v/>
      </c>
      <c r="L41" s="1" t="str">
        <f>IF(Teams[[#This Row],[relevant]], SUMIFS(Fixtures[G], Fixtures[userTeam], Teams[[#This Row],[name]]), "")</f>
        <v/>
      </c>
      <c r="M41" s="1" t="str">
        <f>IF(Teams[[#This Row],[relevant]], SUMIFS(Fixtures[A], Fixtures[userTeam], Teams[[#This Row],[name]]), "")</f>
        <v/>
      </c>
      <c r="N41" s="1" t="str">
        <f>IF(Teams[[#This Row],[relevant]], SUMIFS(Fixtures[INV], Fixtures[userTeam], Teams[[#This Row],[name]]), "")</f>
        <v/>
      </c>
      <c r="O41" s="1" t="str">
        <f>IF(Teams[[#This Row],[relevant]], SUMIFS(Fixtures[YC], Fixtures[userTeam], Teams[[#This Row],[name]]), "")</f>
        <v/>
      </c>
      <c r="P41" s="1" t="str">
        <f>IF(Teams[[#This Row],[relevant]], SUMIFS(Fixtures[RC], Fixtures[userTeam], Teams[[#This Row],[name]]), "")</f>
        <v/>
      </c>
      <c r="Q41" s="13" t="str">
        <f>IF(Teams[[#This Row],[relevant]], IF(ISERROR(AVERAGEIFS(Fixtures[MR], Fixtures[userTeam], Teams[[#This Row],[name]])), 0, AVERAGEIFS(Fixtures[MR], Fixtures[userTeam], Teams[[#This Row],[name]])), "")</f>
        <v/>
      </c>
      <c r="R41" s="1" t="str">
        <f>IF(Teams[[#This Row],[relevant]], COUNTIFS(Fixtures[userTeam], Teams[[#This Row],[name]], Fixtures[MOTM], TRUE), "")</f>
        <v/>
      </c>
      <c r="S41" s="1" t="str" cm="1">
        <f t="array" ref="S41">IF(Teams[[#This Row],[relevant]], _xlfn.TEXTJOIN(", ", TRUE, _xlfn._xlws.FILTER(Stats[competition]&amp;" ("&amp;Stats[season]&amp;")",(Stats[team]=Teams[[#This Row],[name]])*(Stats[result]="Winner"),"")), "")</f>
        <v/>
      </c>
    </row>
    <row r="42" spans="1:19" ht="13" hidden="1">
      <c r="A42" s="1" t="s">
        <v>442</v>
      </c>
      <c r="B42" s="1" t="s">
        <v>163</v>
      </c>
      <c r="C42" s="1" t="s">
        <v>391</v>
      </c>
      <c r="D42" s="1" t="str">
        <f>UPPER(_xlfn.CONCAT(LEFT(Teams[[#This Row],[teamType]], 1), "-", LEFT(SUBSTITUTE(Teams[[#This Row],[nation]], "/", ""), 3), "-", SUBSTITUTE(SUBSTITUTE(SUBSTITUTE(Teams[[#This Row],[name]], ".", ""), " ", ""), "-", "")))</f>
        <v>C-SPA-ALBACETEBP</v>
      </c>
      <c r="E42" s="16"/>
      <c r="F42" s="16"/>
      <c r="G42" s="1" t="b">
        <f>COUNTBLANK(Teams[[#This Row],[startDate]:[endDate]]) &lt; 2</f>
        <v>0</v>
      </c>
      <c r="H42" s="1" t="str">
        <f>IF(Teams[[#This Row],[relevant]], COUNTIFS(Fixtures[userTeam], Teams[[#This Row],[name]], Fixtures[APP], TRUE), "")</f>
        <v/>
      </c>
      <c r="I42" s="1" t="str">
        <f>IF(Teams[[#This Row],[relevant]], COUNTIFS(Fixtures[userTeam], Teams[[#This Row],[name]], Fixtures[result], "W", Fixtures[APP], TRUE), "")</f>
        <v/>
      </c>
      <c r="J42" s="1" t="str">
        <f>IF(Teams[[#This Row],[relevant]], COUNTIFS(Fixtures[userTeam], Teams[[#This Row],[name]], Fixtures[result], "D", Fixtures[APP], TRUE), "")</f>
        <v/>
      </c>
      <c r="K42" s="1" t="str">
        <f>IF(Teams[[#This Row],[relevant]], COUNTIFS(Fixtures[userTeam], Teams[[#This Row],[name]], Fixtures[result], "L", Fixtures[APP], TRUE), "")</f>
        <v/>
      </c>
      <c r="L42" s="1" t="str">
        <f>IF(Teams[[#This Row],[relevant]], SUMIFS(Fixtures[G], Fixtures[userTeam], Teams[[#This Row],[name]]), "")</f>
        <v/>
      </c>
      <c r="M42" s="1" t="str">
        <f>IF(Teams[[#This Row],[relevant]], SUMIFS(Fixtures[A], Fixtures[userTeam], Teams[[#This Row],[name]]), "")</f>
        <v/>
      </c>
      <c r="N42" s="1" t="str">
        <f>IF(Teams[[#This Row],[relevant]], SUMIFS(Fixtures[INV], Fixtures[userTeam], Teams[[#This Row],[name]]), "")</f>
        <v/>
      </c>
      <c r="O42" s="1" t="str">
        <f>IF(Teams[[#This Row],[relevant]], SUMIFS(Fixtures[YC], Fixtures[userTeam], Teams[[#This Row],[name]]), "")</f>
        <v/>
      </c>
      <c r="P42" s="1" t="str">
        <f>IF(Teams[[#This Row],[relevant]], SUMIFS(Fixtures[RC], Fixtures[userTeam], Teams[[#This Row],[name]]), "")</f>
        <v/>
      </c>
      <c r="Q42" s="13" t="str">
        <f>IF(Teams[[#This Row],[relevant]], IF(ISERROR(AVERAGEIFS(Fixtures[MR], Fixtures[userTeam], Teams[[#This Row],[name]])), 0, AVERAGEIFS(Fixtures[MR], Fixtures[userTeam], Teams[[#This Row],[name]])), "")</f>
        <v/>
      </c>
      <c r="R42" s="1" t="str">
        <f>IF(Teams[[#This Row],[relevant]], COUNTIFS(Fixtures[userTeam], Teams[[#This Row],[name]], Fixtures[MOTM], TRUE), "")</f>
        <v/>
      </c>
      <c r="S42" s="1" t="str" cm="1">
        <f t="array" ref="S42">IF(Teams[[#This Row],[relevant]], _xlfn.TEXTJOIN(", ", TRUE, _xlfn._xlws.FILTER(Stats[competition]&amp;" ("&amp;Stats[season]&amp;")",(Stats[team]=Teams[[#This Row],[name]])*(Stats[result]="Winner"),"")), "")</f>
        <v/>
      </c>
    </row>
    <row r="43" spans="1:19" ht="13" hidden="1">
      <c r="A43" s="1" t="s">
        <v>443</v>
      </c>
      <c r="B43" s="1" t="s">
        <v>131</v>
      </c>
      <c r="C43" s="1" t="s">
        <v>391</v>
      </c>
      <c r="D43" s="1" t="str">
        <f>UPPER(_xlfn.CONCAT(LEFT(Teams[[#This Row],[teamType]], 1), "-", LEFT(SUBSTITUTE(Teams[[#This Row],[nation]], "/", ""), 3), "-", SUBSTITUTE(SUBSTITUTE(SUBSTITUTE(Teams[[#This Row],[name]], ".", ""), " ", ""), "-", "")))</f>
        <v>C-ARG-ALDOSIVI</v>
      </c>
      <c r="E43" s="16"/>
      <c r="F43" s="16"/>
      <c r="G43" s="1" t="b">
        <f>COUNTBLANK(Teams[[#This Row],[startDate]:[endDate]]) &lt; 2</f>
        <v>0</v>
      </c>
      <c r="H43" s="1" t="str">
        <f>IF(Teams[[#This Row],[relevant]], COUNTIFS(Fixtures[userTeam], Teams[[#This Row],[name]], Fixtures[APP], TRUE), "")</f>
        <v/>
      </c>
      <c r="I43" s="1" t="str">
        <f>IF(Teams[[#This Row],[relevant]], COUNTIFS(Fixtures[userTeam], Teams[[#This Row],[name]], Fixtures[result], "W", Fixtures[APP], TRUE), "")</f>
        <v/>
      </c>
      <c r="J43" s="1" t="str">
        <f>IF(Teams[[#This Row],[relevant]], COUNTIFS(Fixtures[userTeam], Teams[[#This Row],[name]], Fixtures[result], "D", Fixtures[APP], TRUE), "")</f>
        <v/>
      </c>
      <c r="K43" s="1" t="str">
        <f>IF(Teams[[#This Row],[relevant]], COUNTIFS(Fixtures[userTeam], Teams[[#This Row],[name]], Fixtures[result], "L", Fixtures[APP], TRUE), "")</f>
        <v/>
      </c>
      <c r="L43" s="1" t="str">
        <f>IF(Teams[[#This Row],[relevant]], SUMIFS(Fixtures[G], Fixtures[userTeam], Teams[[#This Row],[name]]), "")</f>
        <v/>
      </c>
      <c r="M43" s="1" t="str">
        <f>IF(Teams[[#This Row],[relevant]], SUMIFS(Fixtures[A], Fixtures[userTeam], Teams[[#This Row],[name]]), "")</f>
        <v/>
      </c>
      <c r="N43" s="1" t="str">
        <f>IF(Teams[[#This Row],[relevant]], SUMIFS(Fixtures[INV], Fixtures[userTeam], Teams[[#This Row],[name]]), "")</f>
        <v/>
      </c>
      <c r="O43" s="1" t="str">
        <f>IF(Teams[[#This Row],[relevant]], SUMIFS(Fixtures[YC], Fixtures[userTeam], Teams[[#This Row],[name]]), "")</f>
        <v/>
      </c>
      <c r="P43" s="1" t="str">
        <f>IF(Teams[[#This Row],[relevant]], SUMIFS(Fixtures[RC], Fixtures[userTeam], Teams[[#This Row],[name]]), "")</f>
        <v/>
      </c>
      <c r="Q43" s="13" t="str">
        <f>IF(Teams[[#This Row],[relevant]], IF(ISERROR(AVERAGEIFS(Fixtures[MR], Fixtures[userTeam], Teams[[#This Row],[name]])), 0, AVERAGEIFS(Fixtures[MR], Fixtures[userTeam], Teams[[#This Row],[name]])), "")</f>
        <v/>
      </c>
      <c r="R43" s="1" t="str">
        <f>IF(Teams[[#This Row],[relevant]], COUNTIFS(Fixtures[userTeam], Teams[[#This Row],[name]], Fixtures[MOTM], TRUE), "")</f>
        <v/>
      </c>
      <c r="S43" s="1" t="str" cm="1">
        <f t="array" ref="S43">IF(Teams[[#This Row],[relevant]], _xlfn.TEXTJOIN(", ", TRUE, _xlfn._xlws.FILTER(Stats[competition]&amp;" ("&amp;Stats[season]&amp;")",(Stats[team]=Teams[[#This Row],[name]])*(Stats[result]="Winner"),"")), "")</f>
        <v/>
      </c>
    </row>
    <row r="44" spans="1:19" ht="13" hidden="1">
      <c r="A44" s="1" t="s">
        <v>444</v>
      </c>
      <c r="B44" s="1" t="s">
        <v>445</v>
      </c>
      <c r="C44" s="1" t="s">
        <v>391</v>
      </c>
      <c r="D44" s="1" t="str">
        <f>UPPER(_xlfn.CONCAT(LEFT(Teams[[#This Row],[teamType]], 1), "-", LEFT(SUBSTITUTE(Teams[[#This Row],[nation]], "/", ""), 3), "-", SUBSTITUTE(SUBSTITUTE(SUBSTITUTE(Teams[[#This Row],[name]], ".", ""), " ", ""), "-", "")))</f>
        <v>C-PER-ALIANZALIMA</v>
      </c>
      <c r="E44" s="16"/>
      <c r="F44" s="16"/>
      <c r="G44" s="1" t="b">
        <f>COUNTBLANK(Teams[[#This Row],[startDate]:[endDate]]) &lt; 2</f>
        <v>0</v>
      </c>
      <c r="H44" s="1" t="str">
        <f>IF(Teams[[#This Row],[relevant]], COUNTIFS(Fixtures[userTeam], Teams[[#This Row],[name]], Fixtures[APP], TRUE), "")</f>
        <v/>
      </c>
      <c r="I44" s="1" t="str">
        <f>IF(Teams[[#This Row],[relevant]], COUNTIFS(Fixtures[userTeam], Teams[[#This Row],[name]], Fixtures[result], "W", Fixtures[APP], TRUE), "")</f>
        <v/>
      </c>
      <c r="J44" s="1" t="str">
        <f>IF(Teams[[#This Row],[relevant]], COUNTIFS(Fixtures[userTeam], Teams[[#This Row],[name]], Fixtures[result], "D", Fixtures[APP], TRUE), "")</f>
        <v/>
      </c>
      <c r="K44" s="1" t="str">
        <f>IF(Teams[[#This Row],[relevant]], COUNTIFS(Fixtures[userTeam], Teams[[#This Row],[name]], Fixtures[result], "L", Fixtures[APP], TRUE), "")</f>
        <v/>
      </c>
      <c r="L44" s="1" t="str">
        <f>IF(Teams[[#This Row],[relevant]], SUMIFS(Fixtures[G], Fixtures[userTeam], Teams[[#This Row],[name]]), "")</f>
        <v/>
      </c>
      <c r="M44" s="1" t="str">
        <f>IF(Teams[[#This Row],[relevant]], SUMIFS(Fixtures[A], Fixtures[userTeam], Teams[[#This Row],[name]]), "")</f>
        <v/>
      </c>
      <c r="N44" s="1" t="str">
        <f>IF(Teams[[#This Row],[relevant]], SUMIFS(Fixtures[INV], Fixtures[userTeam], Teams[[#This Row],[name]]), "")</f>
        <v/>
      </c>
      <c r="O44" s="1" t="str">
        <f>IF(Teams[[#This Row],[relevant]], SUMIFS(Fixtures[YC], Fixtures[userTeam], Teams[[#This Row],[name]]), "")</f>
        <v/>
      </c>
      <c r="P44" s="1" t="str">
        <f>IF(Teams[[#This Row],[relevant]], SUMIFS(Fixtures[RC], Fixtures[userTeam], Teams[[#This Row],[name]]), "")</f>
        <v/>
      </c>
      <c r="Q44" s="13" t="str">
        <f>IF(Teams[[#This Row],[relevant]], IF(ISERROR(AVERAGEIFS(Fixtures[MR], Fixtures[userTeam], Teams[[#This Row],[name]])), 0, AVERAGEIFS(Fixtures[MR], Fixtures[userTeam], Teams[[#This Row],[name]])), "")</f>
        <v/>
      </c>
      <c r="R44" s="1" t="str">
        <f>IF(Teams[[#This Row],[relevant]], COUNTIFS(Fixtures[userTeam], Teams[[#This Row],[name]], Fixtures[MOTM], TRUE), "")</f>
        <v/>
      </c>
      <c r="S44" s="1" t="str" cm="1">
        <f t="array" ref="S44">IF(Teams[[#This Row],[relevant]], _xlfn.TEXTJOIN(", ", TRUE, _xlfn._xlws.FILTER(Stats[competition]&amp;" ("&amp;Stats[season]&amp;")",(Stats[team]=Teams[[#This Row],[name]])*(Stats[result]="Winner"),"")), "")</f>
        <v/>
      </c>
    </row>
    <row r="45" spans="1:19" ht="13" hidden="1">
      <c r="A45" s="1" t="s">
        <v>446</v>
      </c>
      <c r="B45" s="1" t="s">
        <v>447</v>
      </c>
      <c r="C45" s="1" t="s">
        <v>391</v>
      </c>
      <c r="D45" s="1" t="str">
        <f>UPPER(_xlfn.CONCAT(LEFT(Teams[[#This Row],[teamType]], 1), "-", LEFT(SUBSTITUTE(Teams[[#This Row],[nation]], "/", ""), 3), "-", SUBSTITUTE(SUBSTITUTE(SUBSTITUTE(Teams[[#This Row],[name]], ".", ""), " ", ""), "-", "")))</f>
        <v>C-BOL-ALWAYSREADY</v>
      </c>
      <c r="E45" s="16"/>
      <c r="F45" s="16"/>
      <c r="G45" s="1" t="b">
        <f>COUNTBLANK(Teams[[#This Row],[startDate]:[endDate]]) &lt; 2</f>
        <v>0</v>
      </c>
      <c r="H45" s="1" t="str">
        <f>IF(Teams[[#This Row],[relevant]], COUNTIFS(Fixtures[userTeam], Teams[[#This Row],[name]], Fixtures[APP], TRUE), "")</f>
        <v/>
      </c>
      <c r="I45" s="1" t="str">
        <f>IF(Teams[[#This Row],[relevant]], COUNTIFS(Fixtures[userTeam], Teams[[#This Row],[name]], Fixtures[result], "W", Fixtures[APP], TRUE), "")</f>
        <v/>
      </c>
      <c r="J45" s="1" t="str">
        <f>IF(Teams[[#This Row],[relevant]], COUNTIFS(Fixtures[userTeam], Teams[[#This Row],[name]], Fixtures[result], "D", Fixtures[APP], TRUE), "")</f>
        <v/>
      </c>
      <c r="K45" s="1" t="str">
        <f>IF(Teams[[#This Row],[relevant]], COUNTIFS(Fixtures[userTeam], Teams[[#This Row],[name]], Fixtures[result], "L", Fixtures[APP], TRUE), "")</f>
        <v/>
      </c>
      <c r="L45" s="1" t="str">
        <f>IF(Teams[[#This Row],[relevant]], SUMIFS(Fixtures[G], Fixtures[userTeam], Teams[[#This Row],[name]]), "")</f>
        <v/>
      </c>
      <c r="M45" s="1" t="str">
        <f>IF(Teams[[#This Row],[relevant]], SUMIFS(Fixtures[A], Fixtures[userTeam], Teams[[#This Row],[name]]), "")</f>
        <v/>
      </c>
      <c r="N45" s="1" t="str">
        <f>IF(Teams[[#This Row],[relevant]], SUMIFS(Fixtures[INV], Fixtures[userTeam], Teams[[#This Row],[name]]), "")</f>
        <v/>
      </c>
      <c r="O45" s="1" t="str">
        <f>IF(Teams[[#This Row],[relevant]], SUMIFS(Fixtures[YC], Fixtures[userTeam], Teams[[#This Row],[name]]), "")</f>
        <v/>
      </c>
      <c r="P45" s="1" t="str">
        <f>IF(Teams[[#This Row],[relevant]], SUMIFS(Fixtures[RC], Fixtures[userTeam], Teams[[#This Row],[name]]), "")</f>
        <v/>
      </c>
      <c r="Q45" s="13" t="str">
        <f>IF(Teams[[#This Row],[relevant]], IF(ISERROR(AVERAGEIFS(Fixtures[MR], Fixtures[userTeam], Teams[[#This Row],[name]])), 0, AVERAGEIFS(Fixtures[MR], Fixtures[userTeam], Teams[[#This Row],[name]])), "")</f>
        <v/>
      </c>
      <c r="R45" s="1" t="str">
        <f>IF(Teams[[#This Row],[relevant]], COUNTIFS(Fixtures[userTeam], Teams[[#This Row],[name]], Fixtures[MOTM], TRUE), "")</f>
        <v/>
      </c>
      <c r="S45" s="1" t="str" cm="1">
        <f t="array" ref="S45">IF(Teams[[#This Row],[relevant]], _xlfn.TEXTJOIN(", ", TRUE, _xlfn._xlws.FILTER(Stats[competition]&amp;" ("&amp;Stats[season]&amp;")",(Stats[team]=Teams[[#This Row],[name]])*(Stats[result]="Winner"),"")), "")</f>
        <v/>
      </c>
    </row>
    <row r="46" spans="1:19" ht="13" hidden="1">
      <c r="A46" s="1" t="s">
        <v>448</v>
      </c>
      <c r="B46" s="1" t="s">
        <v>449</v>
      </c>
      <c r="C46" s="1" t="s">
        <v>391</v>
      </c>
      <c r="D46" s="1" t="str">
        <f>UPPER(_xlfn.CONCAT(LEFT(Teams[[#This Row],[teamType]], 1), "-", LEFT(SUBSTITUTE(Teams[[#This Row],[nation]], "/", ""), 3), "-", SUBSTITUTE(SUBSTITUTE(SUBSTITUTE(Teams[[#This Row],[name]], ".", ""), " ", ""), "-", "")))</f>
        <v>C-COL-AMÉRICADECALI</v>
      </c>
      <c r="E46" s="16"/>
      <c r="F46" s="16"/>
      <c r="G46" s="1" t="b">
        <f>COUNTBLANK(Teams[[#This Row],[startDate]:[endDate]]) &lt; 2</f>
        <v>0</v>
      </c>
      <c r="H46" s="1" t="str">
        <f>IF(Teams[[#This Row],[relevant]], COUNTIFS(Fixtures[userTeam], Teams[[#This Row],[name]], Fixtures[APP], TRUE), "")</f>
        <v/>
      </c>
      <c r="I46" s="1" t="str">
        <f>IF(Teams[[#This Row],[relevant]], COUNTIFS(Fixtures[userTeam], Teams[[#This Row],[name]], Fixtures[result], "W", Fixtures[APP], TRUE), "")</f>
        <v/>
      </c>
      <c r="J46" s="1" t="str">
        <f>IF(Teams[[#This Row],[relevant]], COUNTIFS(Fixtures[userTeam], Teams[[#This Row],[name]], Fixtures[result], "D", Fixtures[APP], TRUE), "")</f>
        <v/>
      </c>
      <c r="K46" s="1" t="str">
        <f>IF(Teams[[#This Row],[relevant]], COUNTIFS(Fixtures[userTeam], Teams[[#This Row],[name]], Fixtures[result], "L", Fixtures[APP], TRUE), "")</f>
        <v/>
      </c>
      <c r="L46" s="1" t="str">
        <f>IF(Teams[[#This Row],[relevant]], SUMIFS(Fixtures[G], Fixtures[userTeam], Teams[[#This Row],[name]]), "")</f>
        <v/>
      </c>
      <c r="M46" s="1" t="str">
        <f>IF(Teams[[#This Row],[relevant]], SUMIFS(Fixtures[A], Fixtures[userTeam], Teams[[#This Row],[name]]), "")</f>
        <v/>
      </c>
      <c r="N46" s="1" t="str">
        <f>IF(Teams[[#This Row],[relevant]], SUMIFS(Fixtures[INV], Fixtures[userTeam], Teams[[#This Row],[name]]), "")</f>
        <v/>
      </c>
      <c r="O46" s="1" t="str">
        <f>IF(Teams[[#This Row],[relevant]], SUMIFS(Fixtures[YC], Fixtures[userTeam], Teams[[#This Row],[name]]), "")</f>
        <v/>
      </c>
      <c r="P46" s="1" t="str">
        <f>IF(Teams[[#This Row],[relevant]], SUMIFS(Fixtures[RC], Fixtures[userTeam], Teams[[#This Row],[name]]), "")</f>
        <v/>
      </c>
      <c r="Q46" s="13" t="str">
        <f>IF(Teams[[#This Row],[relevant]], IF(ISERROR(AVERAGEIFS(Fixtures[MR], Fixtures[userTeam], Teams[[#This Row],[name]])), 0, AVERAGEIFS(Fixtures[MR], Fixtures[userTeam], Teams[[#This Row],[name]])), "")</f>
        <v/>
      </c>
      <c r="R46" s="1" t="str">
        <f>IF(Teams[[#This Row],[relevant]], COUNTIFS(Fixtures[userTeam], Teams[[#This Row],[name]], Fixtures[MOTM], TRUE), "")</f>
        <v/>
      </c>
      <c r="S46" s="1" t="str" cm="1">
        <f t="array" ref="S46">IF(Teams[[#This Row],[relevant]], _xlfn.TEXTJOIN(", ", TRUE, _xlfn._xlws.FILTER(Stats[competition]&amp;" ("&amp;Stats[season]&amp;")",(Stats[team]=Teams[[#This Row],[name]])*(Stats[result]="Winner"),"")), "")</f>
        <v/>
      </c>
    </row>
    <row r="47" spans="1:19" ht="13" hidden="1">
      <c r="A47" s="1" t="s">
        <v>450</v>
      </c>
      <c r="B47" s="1" t="s">
        <v>451</v>
      </c>
      <c r="C47" s="1" t="s">
        <v>391</v>
      </c>
      <c r="D47" s="1" t="str">
        <f>UPPER(_xlfn.CONCAT(LEFT(Teams[[#This Row],[teamType]], 1), "-", LEFT(SUBSTITUTE(Teams[[#This Row],[nation]], "/", ""), 3), "-", SUBSTITUTE(SUBSTITUTE(SUBSTITUTE(Teams[[#This Row],[name]], ".", ""), " ", ""), "-", "")))</f>
        <v>C-BRA-AMÉRICAMINEIRO</v>
      </c>
      <c r="E47" s="16"/>
      <c r="F47" s="16"/>
      <c r="G47" s="1" t="b">
        <f>COUNTBLANK(Teams[[#This Row],[startDate]:[endDate]]) &lt; 2</f>
        <v>0</v>
      </c>
      <c r="H47" s="1" t="str">
        <f>IF(Teams[[#This Row],[relevant]], COUNTIFS(Fixtures[userTeam], Teams[[#This Row],[name]], Fixtures[APP], TRUE), "")</f>
        <v/>
      </c>
      <c r="I47" s="1" t="str">
        <f>IF(Teams[[#This Row],[relevant]], COUNTIFS(Fixtures[userTeam], Teams[[#This Row],[name]], Fixtures[result], "W", Fixtures[APP], TRUE), "")</f>
        <v/>
      </c>
      <c r="J47" s="1" t="str">
        <f>IF(Teams[[#This Row],[relevant]], COUNTIFS(Fixtures[userTeam], Teams[[#This Row],[name]], Fixtures[result], "D", Fixtures[APP], TRUE), "")</f>
        <v/>
      </c>
      <c r="K47" s="1" t="str">
        <f>IF(Teams[[#This Row],[relevant]], COUNTIFS(Fixtures[userTeam], Teams[[#This Row],[name]], Fixtures[result], "L", Fixtures[APP], TRUE), "")</f>
        <v/>
      </c>
      <c r="L47" s="1" t="str">
        <f>IF(Teams[[#This Row],[relevant]], SUMIFS(Fixtures[G], Fixtures[userTeam], Teams[[#This Row],[name]]), "")</f>
        <v/>
      </c>
      <c r="M47" s="1" t="str">
        <f>IF(Teams[[#This Row],[relevant]], SUMIFS(Fixtures[A], Fixtures[userTeam], Teams[[#This Row],[name]]), "")</f>
        <v/>
      </c>
      <c r="N47" s="1" t="str">
        <f>IF(Teams[[#This Row],[relevant]], SUMIFS(Fixtures[INV], Fixtures[userTeam], Teams[[#This Row],[name]]), "")</f>
        <v/>
      </c>
      <c r="O47" s="1" t="str">
        <f>IF(Teams[[#This Row],[relevant]], SUMIFS(Fixtures[YC], Fixtures[userTeam], Teams[[#This Row],[name]]), "")</f>
        <v/>
      </c>
      <c r="P47" s="1" t="str">
        <f>IF(Teams[[#This Row],[relevant]], SUMIFS(Fixtures[RC], Fixtures[userTeam], Teams[[#This Row],[name]]), "")</f>
        <v/>
      </c>
      <c r="Q47" s="13" t="str">
        <f>IF(Teams[[#This Row],[relevant]], IF(ISERROR(AVERAGEIFS(Fixtures[MR], Fixtures[userTeam], Teams[[#This Row],[name]])), 0, AVERAGEIFS(Fixtures[MR], Fixtures[userTeam], Teams[[#This Row],[name]])), "")</f>
        <v/>
      </c>
      <c r="R47" s="1" t="str">
        <f>IF(Teams[[#This Row],[relevant]], COUNTIFS(Fixtures[userTeam], Teams[[#This Row],[name]], Fixtures[MOTM], TRUE), "")</f>
        <v/>
      </c>
      <c r="S47" s="1" t="str" cm="1">
        <f t="array" ref="S47">IF(Teams[[#This Row],[relevant]], _xlfn.TEXTJOIN(", ", TRUE, _xlfn._xlws.FILTER(Stats[competition]&amp;" ("&amp;Stats[season]&amp;")",(Stats[team]=Teams[[#This Row],[name]])*(Stats[result]="Winner"),"")), "")</f>
        <v/>
      </c>
    </row>
    <row r="48" spans="1:19" ht="13" hidden="1">
      <c r="A48" s="1" t="s">
        <v>452</v>
      </c>
      <c r="B48" s="1" t="s">
        <v>339</v>
      </c>
      <c r="C48" s="1" t="s">
        <v>391</v>
      </c>
      <c r="D48" s="1" t="str">
        <f>UPPER(_xlfn.CONCAT(LEFT(Teams[[#This Row],[teamType]], 1), "-", LEFT(SUBSTITUTE(Teams[[#This Row],[nation]], "/", ""), 3), "-", SUBSTITUTE(SUBSTITUTE(SUBSTITUTE(Teams[[#This Row],[name]], ".", ""), " ", ""), "-", "")))</f>
        <v>C-FRA-AMIENSSC</v>
      </c>
      <c r="E48" s="16"/>
      <c r="F48" s="16"/>
      <c r="G48" s="1" t="b">
        <f>COUNTBLANK(Teams[[#This Row],[startDate]:[endDate]]) &lt; 2</f>
        <v>0</v>
      </c>
      <c r="H48" s="1" t="str">
        <f>IF(Teams[[#This Row],[relevant]], COUNTIFS(Fixtures[userTeam], Teams[[#This Row],[name]], Fixtures[APP], TRUE), "")</f>
        <v/>
      </c>
      <c r="I48" s="1" t="str">
        <f>IF(Teams[[#This Row],[relevant]], COUNTIFS(Fixtures[userTeam], Teams[[#This Row],[name]], Fixtures[result], "W", Fixtures[APP], TRUE), "")</f>
        <v/>
      </c>
      <c r="J48" s="1" t="str">
        <f>IF(Teams[[#This Row],[relevant]], COUNTIFS(Fixtures[userTeam], Teams[[#This Row],[name]], Fixtures[result], "D", Fixtures[APP], TRUE), "")</f>
        <v/>
      </c>
      <c r="K48" s="1" t="str">
        <f>IF(Teams[[#This Row],[relevant]], COUNTIFS(Fixtures[userTeam], Teams[[#This Row],[name]], Fixtures[result], "L", Fixtures[APP], TRUE), "")</f>
        <v/>
      </c>
      <c r="L48" s="1" t="str">
        <f>IF(Teams[[#This Row],[relevant]], SUMIFS(Fixtures[G], Fixtures[userTeam], Teams[[#This Row],[name]]), "")</f>
        <v/>
      </c>
      <c r="M48" s="1" t="str">
        <f>IF(Teams[[#This Row],[relevant]], SUMIFS(Fixtures[A], Fixtures[userTeam], Teams[[#This Row],[name]]), "")</f>
        <v/>
      </c>
      <c r="N48" s="1" t="str">
        <f>IF(Teams[[#This Row],[relevant]], SUMIFS(Fixtures[INV], Fixtures[userTeam], Teams[[#This Row],[name]]), "")</f>
        <v/>
      </c>
      <c r="O48" s="1" t="str">
        <f>IF(Teams[[#This Row],[relevant]], SUMIFS(Fixtures[YC], Fixtures[userTeam], Teams[[#This Row],[name]]), "")</f>
        <v/>
      </c>
      <c r="P48" s="1" t="str">
        <f>IF(Teams[[#This Row],[relevant]], SUMIFS(Fixtures[RC], Fixtures[userTeam], Teams[[#This Row],[name]]), "")</f>
        <v/>
      </c>
      <c r="Q48" s="13" t="str">
        <f>IF(Teams[[#This Row],[relevant]], IF(ISERROR(AVERAGEIFS(Fixtures[MR], Fixtures[userTeam], Teams[[#This Row],[name]])), 0, AVERAGEIFS(Fixtures[MR], Fixtures[userTeam], Teams[[#This Row],[name]])), "")</f>
        <v/>
      </c>
      <c r="R48" s="1" t="str">
        <f>IF(Teams[[#This Row],[relevant]], COUNTIFS(Fixtures[userTeam], Teams[[#This Row],[name]], Fixtures[MOTM], TRUE), "")</f>
        <v/>
      </c>
      <c r="S48" s="1" t="str" cm="1">
        <f t="array" ref="S48">IF(Teams[[#This Row],[relevant]], _xlfn.TEXTJOIN(", ", TRUE, _xlfn._xlws.FILTER(Stats[competition]&amp;" ("&amp;Stats[season]&amp;")",(Stats[team]=Teams[[#This Row],[name]])*(Stats[result]="Winner"),"")), "")</f>
        <v/>
      </c>
    </row>
    <row r="49" spans="1:19" ht="13" hidden="1">
      <c r="A49" s="1" t="s">
        <v>453</v>
      </c>
      <c r="B49" s="1" t="s">
        <v>339</v>
      </c>
      <c r="C49" s="1" t="s">
        <v>391</v>
      </c>
      <c r="D49" s="1" t="str">
        <f>UPPER(_xlfn.CONCAT(LEFT(Teams[[#This Row],[teamType]], 1), "-", LEFT(SUBSTITUTE(Teams[[#This Row],[nation]], "/", ""), 3), "-", SUBSTITUTE(SUBSTITUTE(SUBSTITUTE(Teams[[#This Row],[name]], ".", ""), " ", ""), "-", "")))</f>
        <v>C-FRA-ANGERSSCO</v>
      </c>
      <c r="E49" s="16"/>
      <c r="F49" s="16"/>
      <c r="G49" s="1" t="b">
        <f>COUNTBLANK(Teams[[#This Row],[startDate]:[endDate]]) &lt; 2</f>
        <v>0</v>
      </c>
      <c r="H49" s="1" t="str">
        <f>IF(Teams[[#This Row],[relevant]], COUNTIFS(Fixtures[userTeam], Teams[[#This Row],[name]], Fixtures[APP], TRUE), "")</f>
        <v/>
      </c>
      <c r="I49" s="1" t="str">
        <f>IF(Teams[[#This Row],[relevant]], COUNTIFS(Fixtures[userTeam], Teams[[#This Row],[name]], Fixtures[result], "W", Fixtures[APP], TRUE), "")</f>
        <v/>
      </c>
      <c r="J49" s="1" t="str">
        <f>IF(Teams[[#This Row],[relevant]], COUNTIFS(Fixtures[userTeam], Teams[[#This Row],[name]], Fixtures[result], "D", Fixtures[APP], TRUE), "")</f>
        <v/>
      </c>
      <c r="K49" s="1" t="str">
        <f>IF(Teams[[#This Row],[relevant]], COUNTIFS(Fixtures[userTeam], Teams[[#This Row],[name]], Fixtures[result], "L", Fixtures[APP], TRUE), "")</f>
        <v/>
      </c>
      <c r="L49" s="1" t="str">
        <f>IF(Teams[[#This Row],[relevant]], SUMIFS(Fixtures[G], Fixtures[userTeam], Teams[[#This Row],[name]]), "")</f>
        <v/>
      </c>
      <c r="M49" s="1" t="str">
        <f>IF(Teams[[#This Row],[relevant]], SUMIFS(Fixtures[A], Fixtures[userTeam], Teams[[#This Row],[name]]), "")</f>
        <v/>
      </c>
      <c r="N49" s="1" t="str">
        <f>IF(Teams[[#This Row],[relevant]], SUMIFS(Fixtures[INV], Fixtures[userTeam], Teams[[#This Row],[name]]), "")</f>
        <v/>
      </c>
      <c r="O49" s="1" t="str">
        <f>IF(Teams[[#This Row],[relevant]], SUMIFS(Fixtures[YC], Fixtures[userTeam], Teams[[#This Row],[name]]), "")</f>
        <v/>
      </c>
      <c r="P49" s="1" t="str">
        <f>IF(Teams[[#This Row],[relevant]], SUMIFS(Fixtures[RC], Fixtures[userTeam], Teams[[#This Row],[name]]), "")</f>
        <v/>
      </c>
      <c r="Q49" s="13" t="str">
        <f>IF(Teams[[#This Row],[relevant]], IF(ISERROR(AVERAGEIFS(Fixtures[MR], Fixtures[userTeam], Teams[[#This Row],[name]])), 0, AVERAGEIFS(Fixtures[MR], Fixtures[userTeam], Teams[[#This Row],[name]])), "")</f>
        <v/>
      </c>
      <c r="R49" s="1" t="str">
        <f>IF(Teams[[#This Row],[relevant]], COUNTIFS(Fixtures[userTeam], Teams[[#This Row],[name]], Fixtures[MOTM], TRUE), "")</f>
        <v/>
      </c>
      <c r="S49" s="1" t="str" cm="1">
        <f t="array" ref="S49">IF(Teams[[#This Row],[relevant]], _xlfn.TEXTJOIN(", ", TRUE, _xlfn._xlws.FILTER(Stats[competition]&amp;" ("&amp;Stats[season]&amp;")",(Stats[team]=Teams[[#This Row],[name]])*(Stats[result]="Winner"),"")), "")</f>
        <v/>
      </c>
    </row>
    <row r="50" spans="1:19" ht="13" hidden="1">
      <c r="A50" s="1" t="s">
        <v>454</v>
      </c>
      <c r="B50" s="1" t="s">
        <v>408</v>
      </c>
      <c r="C50" s="1" t="s">
        <v>391</v>
      </c>
      <c r="D50" s="1" t="str">
        <f>UPPER(_xlfn.CONCAT(LEFT(Teams[[#This Row],[teamType]], 1), "-", LEFT(SUBSTITUTE(Teams[[#This Row],[nation]], "/", ""), 3), "-", SUBSTITUTE(SUBSTITUTE(SUBSTITUTE(Teams[[#This Row],[name]], ".", ""), " ", ""), "-", "")))</f>
        <v>C-TUR-ANTALYASPOR</v>
      </c>
      <c r="E50" s="16"/>
      <c r="F50" s="16"/>
      <c r="G50" s="1" t="b">
        <f>COUNTBLANK(Teams[[#This Row],[startDate]:[endDate]]) &lt; 2</f>
        <v>0</v>
      </c>
      <c r="H50" s="1" t="str">
        <f>IF(Teams[[#This Row],[relevant]], COUNTIFS(Fixtures[userTeam], Teams[[#This Row],[name]], Fixtures[APP], TRUE), "")</f>
        <v/>
      </c>
      <c r="I50" s="1" t="str">
        <f>IF(Teams[[#This Row],[relevant]], COUNTIFS(Fixtures[userTeam], Teams[[#This Row],[name]], Fixtures[result], "W", Fixtures[APP], TRUE), "")</f>
        <v/>
      </c>
      <c r="J50" s="1" t="str">
        <f>IF(Teams[[#This Row],[relevant]], COUNTIFS(Fixtures[userTeam], Teams[[#This Row],[name]], Fixtures[result], "D", Fixtures[APP], TRUE), "")</f>
        <v/>
      </c>
      <c r="K50" s="1" t="str">
        <f>IF(Teams[[#This Row],[relevant]], COUNTIFS(Fixtures[userTeam], Teams[[#This Row],[name]], Fixtures[result], "L", Fixtures[APP], TRUE), "")</f>
        <v/>
      </c>
      <c r="L50" s="1" t="str">
        <f>IF(Teams[[#This Row],[relevant]], SUMIFS(Fixtures[G], Fixtures[userTeam], Teams[[#This Row],[name]]), "")</f>
        <v/>
      </c>
      <c r="M50" s="1" t="str">
        <f>IF(Teams[[#This Row],[relevant]], SUMIFS(Fixtures[A], Fixtures[userTeam], Teams[[#This Row],[name]]), "")</f>
        <v/>
      </c>
      <c r="N50" s="1" t="str">
        <f>IF(Teams[[#This Row],[relevant]], SUMIFS(Fixtures[INV], Fixtures[userTeam], Teams[[#This Row],[name]]), "")</f>
        <v/>
      </c>
      <c r="O50" s="1" t="str">
        <f>IF(Teams[[#This Row],[relevant]], SUMIFS(Fixtures[YC], Fixtures[userTeam], Teams[[#This Row],[name]]), "")</f>
        <v/>
      </c>
      <c r="P50" s="1" t="str">
        <f>IF(Teams[[#This Row],[relevant]], SUMIFS(Fixtures[RC], Fixtures[userTeam], Teams[[#This Row],[name]]), "")</f>
        <v/>
      </c>
      <c r="Q50" s="13" t="str">
        <f>IF(Teams[[#This Row],[relevant]], IF(ISERROR(AVERAGEIFS(Fixtures[MR], Fixtures[userTeam], Teams[[#This Row],[name]])), 0, AVERAGEIFS(Fixtures[MR], Fixtures[userTeam], Teams[[#This Row],[name]])), "")</f>
        <v/>
      </c>
      <c r="R50" s="1" t="str">
        <f>IF(Teams[[#This Row],[relevant]], COUNTIFS(Fixtures[userTeam], Teams[[#This Row],[name]], Fixtures[MOTM], TRUE), "")</f>
        <v/>
      </c>
      <c r="S50" s="1" t="str" cm="1">
        <f t="array" ref="S50">IF(Teams[[#This Row],[relevant]], _xlfn.TEXTJOIN(", ", TRUE, _xlfn._xlws.FILTER(Stats[competition]&amp;" ("&amp;Stats[season]&amp;")",(Stats[team]=Teams[[#This Row],[name]])*(Stats[result]="Winner"),"")), "")</f>
        <v/>
      </c>
    </row>
    <row r="51" spans="1:19" ht="13" hidden="1">
      <c r="A51" s="1" t="s">
        <v>455</v>
      </c>
      <c r="B51" s="1" t="s">
        <v>456</v>
      </c>
      <c r="C51" s="1" t="s">
        <v>391</v>
      </c>
      <c r="D51" s="1" t="str">
        <f>UPPER(_xlfn.CONCAT(LEFT(Teams[[#This Row],[teamType]], 1), "-", LEFT(SUBSTITUTE(Teams[[#This Row],[nation]], "/", ""), 3), "-", SUBSTITUTE(SUBSTITUTE(SUBSTITUTE(Teams[[#This Row],[name]], ".", ""), " ", ""), "-", "")))</f>
        <v>C-CHI-ANTOFAGASTA</v>
      </c>
      <c r="E51" s="16"/>
      <c r="F51" s="16"/>
      <c r="G51" s="1" t="b">
        <f>COUNTBLANK(Teams[[#This Row],[startDate]:[endDate]]) &lt; 2</f>
        <v>0</v>
      </c>
      <c r="H51" s="1" t="str">
        <f>IF(Teams[[#This Row],[relevant]], COUNTIFS(Fixtures[userTeam], Teams[[#This Row],[name]], Fixtures[APP], TRUE), "")</f>
        <v/>
      </c>
      <c r="I51" s="1" t="str">
        <f>IF(Teams[[#This Row],[relevant]], COUNTIFS(Fixtures[userTeam], Teams[[#This Row],[name]], Fixtures[result], "W", Fixtures[APP], TRUE), "")</f>
        <v/>
      </c>
      <c r="J51" s="1" t="str">
        <f>IF(Teams[[#This Row],[relevant]], COUNTIFS(Fixtures[userTeam], Teams[[#This Row],[name]], Fixtures[result], "D", Fixtures[APP], TRUE), "")</f>
        <v/>
      </c>
      <c r="K51" s="1" t="str">
        <f>IF(Teams[[#This Row],[relevant]], COUNTIFS(Fixtures[userTeam], Teams[[#This Row],[name]], Fixtures[result], "L", Fixtures[APP], TRUE), "")</f>
        <v/>
      </c>
      <c r="L51" s="1" t="str">
        <f>IF(Teams[[#This Row],[relevant]], SUMIFS(Fixtures[G], Fixtures[userTeam], Teams[[#This Row],[name]]), "")</f>
        <v/>
      </c>
      <c r="M51" s="1" t="str">
        <f>IF(Teams[[#This Row],[relevant]], SUMIFS(Fixtures[A], Fixtures[userTeam], Teams[[#This Row],[name]]), "")</f>
        <v/>
      </c>
      <c r="N51" s="1" t="str">
        <f>IF(Teams[[#This Row],[relevant]], SUMIFS(Fixtures[INV], Fixtures[userTeam], Teams[[#This Row],[name]]), "")</f>
        <v/>
      </c>
      <c r="O51" s="1" t="str">
        <f>IF(Teams[[#This Row],[relevant]], SUMIFS(Fixtures[YC], Fixtures[userTeam], Teams[[#This Row],[name]]), "")</f>
        <v/>
      </c>
      <c r="P51" s="1" t="str">
        <f>IF(Teams[[#This Row],[relevant]], SUMIFS(Fixtures[RC], Fixtures[userTeam], Teams[[#This Row],[name]]), "")</f>
        <v/>
      </c>
      <c r="Q51" s="13" t="str">
        <f>IF(Teams[[#This Row],[relevant]], IF(ISERROR(AVERAGEIFS(Fixtures[MR], Fixtures[userTeam], Teams[[#This Row],[name]])), 0, AVERAGEIFS(Fixtures[MR], Fixtures[userTeam], Teams[[#This Row],[name]])), "")</f>
        <v/>
      </c>
      <c r="R51" s="1" t="str">
        <f>IF(Teams[[#This Row],[relevant]], COUNTIFS(Fixtures[userTeam], Teams[[#This Row],[name]], Fixtures[MOTM], TRUE), "")</f>
        <v/>
      </c>
      <c r="S51" s="1" t="str" cm="1">
        <f t="array" ref="S51">IF(Teams[[#This Row],[relevant]], _xlfn.TEXTJOIN(", ", TRUE, _xlfn._xlws.FILTER(Stats[competition]&amp;" ("&amp;Stats[season]&amp;")",(Stats[team]=Teams[[#This Row],[name]])*(Stats[result]="Winner"),"")), "")</f>
        <v/>
      </c>
    </row>
    <row r="52" spans="1:19" ht="13" hidden="1">
      <c r="A52" s="1" t="s">
        <v>457</v>
      </c>
      <c r="B52" s="1" t="s">
        <v>458</v>
      </c>
      <c r="C52" s="1" t="s">
        <v>391</v>
      </c>
      <c r="D52" s="1" t="str">
        <f>UPPER(_xlfn.CONCAT(LEFT(Teams[[#This Row],[teamType]], 1), "-", LEFT(SUBSTITUTE(Teams[[#This Row],[nation]], "/", ""), 3), "-", SUBSTITUTE(SUBSTITUTE(SUBSTITUTE(Teams[[#This Row],[name]], ".", ""), " ", ""), "-", "")))</f>
        <v>C-CYP-APOELFC</v>
      </c>
      <c r="E52" s="16"/>
      <c r="F52" s="16"/>
      <c r="G52" s="1" t="b">
        <f>COUNTBLANK(Teams[[#This Row],[startDate]:[endDate]]) &lt; 2</f>
        <v>0</v>
      </c>
      <c r="H52" s="1" t="str">
        <f>IF(Teams[[#This Row],[relevant]], COUNTIFS(Fixtures[userTeam], Teams[[#This Row],[name]], Fixtures[APP], TRUE), "")</f>
        <v/>
      </c>
      <c r="I52" s="1" t="str">
        <f>IF(Teams[[#This Row],[relevant]], COUNTIFS(Fixtures[userTeam], Teams[[#This Row],[name]], Fixtures[result], "W", Fixtures[APP], TRUE), "")</f>
        <v/>
      </c>
      <c r="J52" s="1" t="str">
        <f>IF(Teams[[#This Row],[relevant]], COUNTIFS(Fixtures[userTeam], Teams[[#This Row],[name]], Fixtures[result], "D", Fixtures[APP], TRUE), "")</f>
        <v/>
      </c>
      <c r="K52" s="1" t="str">
        <f>IF(Teams[[#This Row],[relevant]], COUNTIFS(Fixtures[userTeam], Teams[[#This Row],[name]], Fixtures[result], "L", Fixtures[APP], TRUE), "")</f>
        <v/>
      </c>
      <c r="L52" s="1" t="str">
        <f>IF(Teams[[#This Row],[relevant]], SUMIFS(Fixtures[G], Fixtures[userTeam], Teams[[#This Row],[name]]), "")</f>
        <v/>
      </c>
      <c r="M52" s="1" t="str">
        <f>IF(Teams[[#This Row],[relevant]], SUMIFS(Fixtures[A], Fixtures[userTeam], Teams[[#This Row],[name]]), "")</f>
        <v/>
      </c>
      <c r="N52" s="1" t="str">
        <f>IF(Teams[[#This Row],[relevant]], SUMIFS(Fixtures[INV], Fixtures[userTeam], Teams[[#This Row],[name]]), "")</f>
        <v/>
      </c>
      <c r="O52" s="1" t="str">
        <f>IF(Teams[[#This Row],[relevant]], SUMIFS(Fixtures[YC], Fixtures[userTeam], Teams[[#This Row],[name]]), "")</f>
        <v/>
      </c>
      <c r="P52" s="1" t="str">
        <f>IF(Teams[[#This Row],[relevant]], SUMIFS(Fixtures[RC], Fixtures[userTeam], Teams[[#This Row],[name]]), "")</f>
        <v/>
      </c>
      <c r="Q52" s="13" t="str">
        <f>IF(Teams[[#This Row],[relevant]], IF(ISERROR(AVERAGEIFS(Fixtures[MR], Fixtures[userTeam], Teams[[#This Row],[name]])), 0, AVERAGEIFS(Fixtures[MR], Fixtures[userTeam], Teams[[#This Row],[name]])), "")</f>
        <v/>
      </c>
      <c r="R52" s="1" t="str">
        <f>IF(Teams[[#This Row],[relevant]], COUNTIFS(Fixtures[userTeam], Teams[[#This Row],[name]], Fixtures[MOTM], TRUE), "")</f>
        <v/>
      </c>
      <c r="S52" s="1" t="str" cm="1">
        <f t="array" ref="S52">IF(Teams[[#This Row],[relevant]], _xlfn.TEXTJOIN(", ", TRUE, _xlfn._xlws.FILTER(Stats[competition]&amp;" ("&amp;Stats[season]&amp;")",(Stats[team]=Teams[[#This Row],[name]])*(Stats[result]="Winner"),"")), "")</f>
        <v/>
      </c>
    </row>
    <row r="53" spans="1:19" ht="13" hidden="1">
      <c r="A53" s="1" t="s">
        <v>131</v>
      </c>
      <c r="B53" s="1" t="s">
        <v>131</v>
      </c>
      <c r="C53" s="1" t="s">
        <v>459</v>
      </c>
      <c r="D53" s="1" t="str">
        <f>UPPER(_xlfn.CONCAT(LEFT(Teams[[#This Row],[teamType]], 1), "-", LEFT(SUBSTITUTE(Teams[[#This Row],[nation]], "/", ""), 3), "-", SUBSTITUTE(SUBSTITUTE(SUBSTITUTE(Teams[[#This Row],[name]], ".", ""), " ", ""), "-", "")))</f>
        <v>N-ARG-ARGENTINA</v>
      </c>
      <c r="E53" s="16"/>
      <c r="F53" s="16"/>
      <c r="G53" s="1" t="b">
        <f>COUNTBLANK(Teams[[#This Row],[startDate]:[endDate]]) &lt; 2</f>
        <v>0</v>
      </c>
      <c r="H53" s="1" t="str">
        <f>IF(Teams[[#This Row],[relevant]], COUNTIFS(Fixtures[userTeam], Teams[[#This Row],[name]], Fixtures[APP], TRUE), "")</f>
        <v/>
      </c>
      <c r="I53" s="1" t="str">
        <f>IF(Teams[[#This Row],[relevant]], COUNTIFS(Fixtures[userTeam], Teams[[#This Row],[name]], Fixtures[result], "W", Fixtures[APP], TRUE), "")</f>
        <v/>
      </c>
      <c r="J53" s="1" t="str">
        <f>IF(Teams[[#This Row],[relevant]], COUNTIFS(Fixtures[userTeam], Teams[[#This Row],[name]], Fixtures[result], "D", Fixtures[APP], TRUE), "")</f>
        <v/>
      </c>
      <c r="K53" s="1" t="str">
        <f>IF(Teams[[#This Row],[relevant]], COUNTIFS(Fixtures[userTeam], Teams[[#This Row],[name]], Fixtures[result], "L", Fixtures[APP], TRUE), "")</f>
        <v/>
      </c>
      <c r="L53" s="1" t="str">
        <f>IF(Teams[[#This Row],[relevant]], SUMIFS(Fixtures[G], Fixtures[userTeam], Teams[[#This Row],[name]]), "")</f>
        <v/>
      </c>
      <c r="M53" s="1" t="str">
        <f>IF(Teams[[#This Row],[relevant]], SUMIFS(Fixtures[A], Fixtures[userTeam], Teams[[#This Row],[name]]), "")</f>
        <v/>
      </c>
      <c r="N53" s="1" t="str">
        <f>IF(Teams[[#This Row],[relevant]], SUMIFS(Fixtures[INV], Fixtures[userTeam], Teams[[#This Row],[name]]), "")</f>
        <v/>
      </c>
      <c r="O53" s="1" t="str">
        <f>IF(Teams[[#This Row],[relevant]], SUMIFS(Fixtures[YC], Fixtures[userTeam], Teams[[#This Row],[name]]), "")</f>
        <v/>
      </c>
      <c r="P53" s="1" t="str">
        <f>IF(Teams[[#This Row],[relevant]], SUMIFS(Fixtures[RC], Fixtures[userTeam], Teams[[#This Row],[name]]), "")</f>
        <v/>
      </c>
      <c r="Q53" s="13" t="str">
        <f>IF(Teams[[#This Row],[relevant]], IF(ISERROR(AVERAGEIFS(Fixtures[MR], Fixtures[userTeam], Teams[[#This Row],[name]])), 0, AVERAGEIFS(Fixtures[MR], Fixtures[userTeam], Teams[[#This Row],[name]])), "")</f>
        <v/>
      </c>
      <c r="R53" s="1" t="str">
        <f>IF(Teams[[#This Row],[relevant]], COUNTIFS(Fixtures[userTeam], Teams[[#This Row],[name]], Fixtures[MOTM], TRUE), "")</f>
        <v/>
      </c>
      <c r="S53" s="1" t="str" cm="1">
        <f t="array" ref="S53">IF(Teams[[#This Row],[relevant]], _xlfn.TEXTJOIN(", ", TRUE, _xlfn._xlws.FILTER(Stats[competition]&amp;" ("&amp;Stats[season]&amp;")",(Stats[team]=Teams[[#This Row],[name]])*(Stats[result]="Winner"),"")), "")</f>
        <v/>
      </c>
    </row>
    <row r="54" spans="1:19" ht="13" hidden="1">
      <c r="A54" s="1" t="s">
        <v>460</v>
      </c>
      <c r="B54" s="1" t="s">
        <v>131</v>
      </c>
      <c r="C54" s="1" t="s">
        <v>391</v>
      </c>
      <c r="D54" s="1" t="str">
        <f>UPPER(_xlfn.CONCAT(LEFT(Teams[[#This Row],[teamType]], 1), "-", LEFT(SUBSTITUTE(Teams[[#This Row],[nation]], "/", ""), 3), "-", SUBSTITUTE(SUBSTITUTE(SUBSTITUTE(Teams[[#This Row],[name]], ".", ""), " ", ""), "-", "")))</f>
        <v>C-ARG-ARGENTINOSJRS</v>
      </c>
      <c r="E54" s="16"/>
      <c r="F54" s="16"/>
      <c r="G54" s="1" t="b">
        <f>COUNTBLANK(Teams[[#This Row],[startDate]:[endDate]]) &lt; 2</f>
        <v>0</v>
      </c>
      <c r="H54" s="1" t="str">
        <f>IF(Teams[[#This Row],[relevant]], COUNTIFS(Fixtures[userTeam], Teams[[#This Row],[name]], Fixtures[APP], TRUE), "")</f>
        <v/>
      </c>
      <c r="I54" s="1" t="str">
        <f>IF(Teams[[#This Row],[relevant]], COUNTIFS(Fixtures[userTeam], Teams[[#This Row],[name]], Fixtures[result], "W", Fixtures[APP], TRUE), "")</f>
        <v/>
      </c>
      <c r="J54" s="1" t="str">
        <f>IF(Teams[[#This Row],[relevant]], COUNTIFS(Fixtures[userTeam], Teams[[#This Row],[name]], Fixtures[result], "D", Fixtures[APP], TRUE), "")</f>
        <v/>
      </c>
      <c r="K54" s="1" t="str">
        <f>IF(Teams[[#This Row],[relevant]], COUNTIFS(Fixtures[userTeam], Teams[[#This Row],[name]], Fixtures[result], "L", Fixtures[APP], TRUE), "")</f>
        <v/>
      </c>
      <c r="L54" s="1" t="str">
        <f>IF(Teams[[#This Row],[relevant]], SUMIFS(Fixtures[G], Fixtures[userTeam], Teams[[#This Row],[name]]), "")</f>
        <v/>
      </c>
      <c r="M54" s="1" t="str">
        <f>IF(Teams[[#This Row],[relevant]], SUMIFS(Fixtures[A], Fixtures[userTeam], Teams[[#This Row],[name]]), "")</f>
        <v/>
      </c>
      <c r="N54" s="1" t="str">
        <f>IF(Teams[[#This Row],[relevant]], SUMIFS(Fixtures[INV], Fixtures[userTeam], Teams[[#This Row],[name]]), "")</f>
        <v/>
      </c>
      <c r="O54" s="1" t="str">
        <f>IF(Teams[[#This Row],[relevant]], SUMIFS(Fixtures[YC], Fixtures[userTeam], Teams[[#This Row],[name]]), "")</f>
        <v/>
      </c>
      <c r="P54" s="1" t="str">
        <f>IF(Teams[[#This Row],[relevant]], SUMIFS(Fixtures[RC], Fixtures[userTeam], Teams[[#This Row],[name]]), "")</f>
        <v/>
      </c>
      <c r="Q54" s="13" t="str">
        <f>IF(Teams[[#This Row],[relevant]], IF(ISERROR(AVERAGEIFS(Fixtures[MR], Fixtures[userTeam], Teams[[#This Row],[name]])), 0, AVERAGEIFS(Fixtures[MR], Fixtures[userTeam], Teams[[#This Row],[name]])), "")</f>
        <v/>
      </c>
      <c r="R54" s="1" t="str">
        <f>IF(Teams[[#This Row],[relevant]], COUNTIFS(Fixtures[userTeam], Teams[[#This Row],[name]], Fixtures[MOTM], TRUE), "")</f>
        <v/>
      </c>
      <c r="S54" s="1" t="str" cm="1">
        <f t="array" ref="S54">IF(Teams[[#This Row],[relevant]], _xlfn.TEXTJOIN(", ", TRUE, _xlfn._xlws.FILTER(Stats[competition]&amp;" ("&amp;Stats[season]&amp;")",(Stats[team]=Teams[[#This Row],[name]])*(Stats[result]="Winner"),"")), "")</f>
        <v/>
      </c>
    </row>
    <row r="55" spans="1:19" ht="13" hidden="1">
      <c r="A55" s="1" t="s">
        <v>461</v>
      </c>
      <c r="B55" s="1" t="s">
        <v>337</v>
      </c>
      <c r="C55" s="1" t="s">
        <v>391</v>
      </c>
      <c r="D55" s="1" t="str">
        <f>UPPER(_xlfn.CONCAT(LEFT(Teams[[#This Row],[teamType]], 1), "-", LEFT(SUBSTITUTE(Teams[[#This Row],[nation]], "/", ""), 3), "-", SUBSTITUTE(SUBSTITUTE(SUBSTITUTE(Teams[[#This Row],[name]], ".", ""), " ", ""), "-", "")))</f>
        <v>C-GER-ARMINIABIELEFELD</v>
      </c>
      <c r="E55" s="16"/>
      <c r="F55" s="16"/>
      <c r="G55" s="1" t="b">
        <f>COUNTBLANK(Teams[[#This Row],[startDate]:[endDate]]) &lt; 2</f>
        <v>0</v>
      </c>
      <c r="H55" s="1" t="str">
        <f>IF(Teams[[#This Row],[relevant]], COUNTIFS(Fixtures[userTeam], Teams[[#This Row],[name]], Fixtures[APP], TRUE), "")</f>
        <v/>
      </c>
      <c r="I55" s="1" t="str">
        <f>IF(Teams[[#This Row],[relevant]], COUNTIFS(Fixtures[userTeam], Teams[[#This Row],[name]], Fixtures[result], "W", Fixtures[APP], TRUE), "")</f>
        <v/>
      </c>
      <c r="J55" s="1" t="str">
        <f>IF(Teams[[#This Row],[relevant]], COUNTIFS(Fixtures[userTeam], Teams[[#This Row],[name]], Fixtures[result], "D", Fixtures[APP], TRUE), "")</f>
        <v/>
      </c>
      <c r="K55" s="1" t="str">
        <f>IF(Teams[[#This Row],[relevant]], COUNTIFS(Fixtures[userTeam], Teams[[#This Row],[name]], Fixtures[result], "L", Fixtures[APP], TRUE), "")</f>
        <v/>
      </c>
      <c r="L55" s="1" t="str">
        <f>IF(Teams[[#This Row],[relevant]], SUMIFS(Fixtures[G], Fixtures[userTeam], Teams[[#This Row],[name]]), "")</f>
        <v/>
      </c>
      <c r="M55" s="1" t="str">
        <f>IF(Teams[[#This Row],[relevant]], SUMIFS(Fixtures[A], Fixtures[userTeam], Teams[[#This Row],[name]]), "")</f>
        <v/>
      </c>
      <c r="N55" s="1" t="str">
        <f>IF(Teams[[#This Row],[relevant]], SUMIFS(Fixtures[INV], Fixtures[userTeam], Teams[[#This Row],[name]]), "")</f>
        <v/>
      </c>
      <c r="O55" s="1" t="str">
        <f>IF(Teams[[#This Row],[relevant]], SUMIFS(Fixtures[YC], Fixtures[userTeam], Teams[[#This Row],[name]]), "")</f>
        <v/>
      </c>
      <c r="P55" s="1" t="str">
        <f>IF(Teams[[#This Row],[relevant]], SUMIFS(Fixtures[RC], Fixtures[userTeam], Teams[[#This Row],[name]]), "")</f>
        <v/>
      </c>
      <c r="Q55" s="13" t="str">
        <f>IF(Teams[[#This Row],[relevant]], IF(ISERROR(AVERAGEIFS(Fixtures[MR], Fixtures[userTeam], Teams[[#This Row],[name]])), 0, AVERAGEIFS(Fixtures[MR], Fixtures[userTeam], Teams[[#This Row],[name]])), "")</f>
        <v/>
      </c>
      <c r="R55" s="1" t="str">
        <f>IF(Teams[[#This Row],[relevant]], COUNTIFS(Fixtures[userTeam], Teams[[#This Row],[name]], Fixtures[MOTM], TRUE), "")</f>
        <v/>
      </c>
      <c r="S55" s="1" t="str" cm="1">
        <f t="array" ref="S55">IF(Teams[[#This Row],[relevant]], _xlfn.TEXTJOIN(", ", TRUE, _xlfn._xlws.FILTER(Stats[competition]&amp;" ("&amp;Stats[season]&amp;")",(Stats[team]=Teams[[#This Row],[name]])*(Stats[result]="Winner"),"")), "")</f>
        <v/>
      </c>
    </row>
    <row r="56" spans="1:19" ht="13" hidden="1">
      <c r="A56" s="1" t="s">
        <v>462</v>
      </c>
      <c r="B56" s="1" t="s">
        <v>463</v>
      </c>
      <c r="C56" s="1" t="s">
        <v>391</v>
      </c>
      <c r="D56" s="1" t="str">
        <f>UPPER(_xlfn.CONCAT(LEFT(Teams[[#This Row],[teamType]], 1), "-", LEFT(SUBSTITUTE(Teams[[#This Row],[nation]], "/", ""), 3), "-", SUBSTITUTE(SUBSTITUTE(SUBSTITUTE(Teams[[#This Row],[name]], ".", ""), " ", ""), "-", "")))</f>
        <v>C-POR-AROUCA</v>
      </c>
      <c r="E56" s="16"/>
      <c r="F56" s="16"/>
      <c r="G56" s="1" t="b">
        <f>COUNTBLANK(Teams[[#This Row],[startDate]:[endDate]]) &lt; 2</f>
        <v>0</v>
      </c>
      <c r="H56" s="1" t="str">
        <f>IF(Teams[[#This Row],[relevant]], COUNTIFS(Fixtures[userTeam], Teams[[#This Row],[name]], Fixtures[APP], TRUE), "")</f>
        <v/>
      </c>
      <c r="I56" s="1" t="str">
        <f>IF(Teams[[#This Row],[relevant]], COUNTIFS(Fixtures[userTeam], Teams[[#This Row],[name]], Fixtures[result], "W", Fixtures[APP], TRUE), "")</f>
        <v/>
      </c>
      <c r="J56" s="1" t="str">
        <f>IF(Teams[[#This Row],[relevant]], COUNTIFS(Fixtures[userTeam], Teams[[#This Row],[name]], Fixtures[result], "D", Fixtures[APP], TRUE), "")</f>
        <v/>
      </c>
      <c r="K56" s="1" t="str">
        <f>IF(Teams[[#This Row],[relevant]], COUNTIFS(Fixtures[userTeam], Teams[[#This Row],[name]], Fixtures[result], "L", Fixtures[APP], TRUE), "")</f>
        <v/>
      </c>
      <c r="L56" s="1" t="str">
        <f>IF(Teams[[#This Row],[relevant]], SUMIFS(Fixtures[G], Fixtures[userTeam], Teams[[#This Row],[name]]), "")</f>
        <v/>
      </c>
      <c r="M56" s="1" t="str">
        <f>IF(Teams[[#This Row],[relevant]], SUMIFS(Fixtures[A], Fixtures[userTeam], Teams[[#This Row],[name]]), "")</f>
        <v/>
      </c>
      <c r="N56" s="1" t="str">
        <f>IF(Teams[[#This Row],[relevant]], SUMIFS(Fixtures[INV], Fixtures[userTeam], Teams[[#This Row],[name]]), "")</f>
        <v/>
      </c>
      <c r="O56" s="1" t="str">
        <f>IF(Teams[[#This Row],[relevant]], SUMIFS(Fixtures[YC], Fixtures[userTeam], Teams[[#This Row],[name]]), "")</f>
        <v/>
      </c>
      <c r="P56" s="1" t="str">
        <f>IF(Teams[[#This Row],[relevant]], SUMIFS(Fixtures[RC], Fixtures[userTeam], Teams[[#This Row],[name]]), "")</f>
        <v/>
      </c>
      <c r="Q56" s="13" t="str">
        <f>IF(Teams[[#This Row],[relevant]], IF(ISERROR(AVERAGEIFS(Fixtures[MR], Fixtures[userTeam], Teams[[#This Row],[name]])), 0, AVERAGEIFS(Fixtures[MR], Fixtures[userTeam], Teams[[#This Row],[name]])), "")</f>
        <v/>
      </c>
      <c r="R56" s="1" t="str">
        <f>IF(Teams[[#This Row],[relevant]], COUNTIFS(Fixtures[userTeam], Teams[[#This Row],[name]], Fixtures[MOTM], TRUE), "")</f>
        <v/>
      </c>
      <c r="S56" s="1" t="str" cm="1">
        <f t="array" ref="S56">IF(Teams[[#This Row],[relevant]], _xlfn.TEXTJOIN(", ", TRUE, _xlfn._xlws.FILTER(Stats[competition]&amp;" ("&amp;Stats[season]&amp;")",(Stats[team]=Teams[[#This Row],[name]])*(Stats[result]="Winner"),"")), "")</f>
        <v/>
      </c>
    </row>
    <row r="57" spans="1:19" ht="13" hidden="1">
      <c r="A57" s="1" t="s">
        <v>464</v>
      </c>
      <c r="B57" s="1" t="s">
        <v>152</v>
      </c>
      <c r="C57" s="1" t="s">
        <v>391</v>
      </c>
      <c r="D57" s="1" t="str">
        <f>UPPER(_xlfn.CONCAT(LEFT(Teams[[#This Row],[teamType]], 1), "-", LEFT(SUBSTITUTE(Teams[[#This Row],[nation]], "/", ""), 3), "-", SUBSTITUTE(SUBSTITUTE(SUBSTITUTE(Teams[[#This Row],[name]], ".", ""), " ", ""), "-", "")))</f>
        <v>C-ENG-ARSENAL</v>
      </c>
      <c r="E57" s="16"/>
      <c r="F57" s="16"/>
      <c r="G57" s="1" t="b">
        <f>COUNTBLANK(Teams[[#This Row],[startDate]:[endDate]]) &lt; 2</f>
        <v>0</v>
      </c>
      <c r="H57" s="1" t="str">
        <f>IF(Teams[[#This Row],[relevant]], COUNTIFS(Fixtures[userTeam], Teams[[#This Row],[name]], Fixtures[APP], TRUE), "")</f>
        <v/>
      </c>
      <c r="I57" s="1" t="str">
        <f>IF(Teams[[#This Row],[relevant]], COUNTIFS(Fixtures[userTeam], Teams[[#This Row],[name]], Fixtures[result], "W", Fixtures[APP], TRUE), "")</f>
        <v/>
      </c>
      <c r="J57" s="1" t="str">
        <f>IF(Teams[[#This Row],[relevant]], COUNTIFS(Fixtures[userTeam], Teams[[#This Row],[name]], Fixtures[result], "D", Fixtures[APP], TRUE), "")</f>
        <v/>
      </c>
      <c r="K57" s="1" t="str">
        <f>IF(Teams[[#This Row],[relevant]], COUNTIFS(Fixtures[userTeam], Teams[[#This Row],[name]], Fixtures[result], "L", Fixtures[APP], TRUE), "")</f>
        <v/>
      </c>
      <c r="L57" s="1" t="str">
        <f>IF(Teams[[#This Row],[relevant]], SUMIFS(Fixtures[G], Fixtures[userTeam], Teams[[#This Row],[name]]), "")</f>
        <v/>
      </c>
      <c r="M57" s="1" t="str">
        <f>IF(Teams[[#This Row],[relevant]], SUMIFS(Fixtures[A], Fixtures[userTeam], Teams[[#This Row],[name]]), "")</f>
        <v/>
      </c>
      <c r="N57" s="1" t="str">
        <f>IF(Teams[[#This Row],[relevant]], SUMIFS(Fixtures[INV], Fixtures[userTeam], Teams[[#This Row],[name]]), "")</f>
        <v/>
      </c>
      <c r="O57" s="1" t="str">
        <f>IF(Teams[[#This Row],[relevant]], SUMIFS(Fixtures[YC], Fixtures[userTeam], Teams[[#This Row],[name]]), "")</f>
        <v/>
      </c>
      <c r="P57" s="1" t="str">
        <f>IF(Teams[[#This Row],[relevant]], SUMIFS(Fixtures[RC], Fixtures[userTeam], Teams[[#This Row],[name]]), "")</f>
        <v/>
      </c>
      <c r="Q57" s="13" t="str">
        <f>IF(Teams[[#This Row],[relevant]], IF(ISERROR(AVERAGEIFS(Fixtures[MR], Fixtures[userTeam], Teams[[#This Row],[name]])), 0, AVERAGEIFS(Fixtures[MR], Fixtures[userTeam], Teams[[#This Row],[name]])), "")</f>
        <v/>
      </c>
      <c r="R57" s="1" t="str">
        <f>IF(Teams[[#This Row],[relevant]], COUNTIFS(Fixtures[userTeam], Teams[[#This Row],[name]], Fixtures[MOTM], TRUE), "")</f>
        <v/>
      </c>
      <c r="S57" s="1" t="str" cm="1">
        <f t="array" ref="S57">IF(Teams[[#This Row],[relevant]], _xlfn.TEXTJOIN(", ", TRUE, _xlfn._xlws.FILTER(Stats[competition]&amp;" ("&amp;Stats[season]&amp;")",(Stats[team]=Teams[[#This Row],[name]])*(Stats[result]="Winner"),"")), "")</f>
        <v/>
      </c>
    </row>
    <row r="58" spans="1:19" ht="13" hidden="1">
      <c r="A58" s="1" t="s">
        <v>465</v>
      </c>
      <c r="B58" s="1" t="s">
        <v>131</v>
      </c>
      <c r="C58" s="1" t="s">
        <v>391</v>
      </c>
      <c r="D58" s="1" t="str">
        <f>UPPER(_xlfn.CONCAT(LEFT(Teams[[#This Row],[teamType]], 1), "-", LEFT(SUBSTITUTE(Teams[[#This Row],[nation]], "/", ""), 3), "-", SUBSTITUTE(SUBSTITUTE(SUBSTITUTE(Teams[[#This Row],[name]], ".", ""), " ", ""), "-", "")))</f>
        <v>C-ARG-ARSENALFÚTBOLCLUB</v>
      </c>
      <c r="E58" s="16"/>
      <c r="F58" s="16"/>
      <c r="G58" s="1" t="b">
        <f>COUNTBLANK(Teams[[#This Row],[startDate]:[endDate]]) &lt; 2</f>
        <v>0</v>
      </c>
      <c r="H58" s="1" t="str">
        <f>IF(Teams[[#This Row],[relevant]], COUNTIFS(Fixtures[userTeam], Teams[[#This Row],[name]], Fixtures[APP], TRUE), "")</f>
        <v/>
      </c>
      <c r="I58" s="1" t="str">
        <f>IF(Teams[[#This Row],[relevant]], COUNTIFS(Fixtures[userTeam], Teams[[#This Row],[name]], Fixtures[result], "W", Fixtures[APP], TRUE), "")</f>
        <v/>
      </c>
      <c r="J58" s="1" t="str">
        <f>IF(Teams[[#This Row],[relevant]], COUNTIFS(Fixtures[userTeam], Teams[[#This Row],[name]], Fixtures[result], "D", Fixtures[APP], TRUE), "")</f>
        <v/>
      </c>
      <c r="K58" s="1" t="str">
        <f>IF(Teams[[#This Row],[relevant]], COUNTIFS(Fixtures[userTeam], Teams[[#This Row],[name]], Fixtures[result], "L", Fixtures[APP], TRUE), "")</f>
        <v/>
      </c>
      <c r="L58" s="1" t="str">
        <f>IF(Teams[[#This Row],[relevant]], SUMIFS(Fixtures[G], Fixtures[userTeam], Teams[[#This Row],[name]]), "")</f>
        <v/>
      </c>
      <c r="M58" s="1" t="str">
        <f>IF(Teams[[#This Row],[relevant]], SUMIFS(Fixtures[A], Fixtures[userTeam], Teams[[#This Row],[name]]), "")</f>
        <v/>
      </c>
      <c r="N58" s="1" t="str">
        <f>IF(Teams[[#This Row],[relevant]], SUMIFS(Fixtures[INV], Fixtures[userTeam], Teams[[#This Row],[name]]), "")</f>
        <v/>
      </c>
      <c r="O58" s="1" t="str">
        <f>IF(Teams[[#This Row],[relevant]], SUMIFS(Fixtures[YC], Fixtures[userTeam], Teams[[#This Row],[name]]), "")</f>
        <v/>
      </c>
      <c r="P58" s="1" t="str">
        <f>IF(Teams[[#This Row],[relevant]], SUMIFS(Fixtures[RC], Fixtures[userTeam], Teams[[#This Row],[name]]), "")</f>
        <v/>
      </c>
      <c r="Q58" s="13" t="str">
        <f>IF(Teams[[#This Row],[relevant]], IF(ISERROR(AVERAGEIFS(Fixtures[MR], Fixtures[userTeam], Teams[[#This Row],[name]])), 0, AVERAGEIFS(Fixtures[MR], Fixtures[userTeam], Teams[[#This Row],[name]])), "")</f>
        <v/>
      </c>
      <c r="R58" s="1" t="str">
        <f>IF(Teams[[#This Row],[relevant]], COUNTIFS(Fixtures[userTeam], Teams[[#This Row],[name]], Fixtures[MOTM], TRUE), "")</f>
        <v/>
      </c>
      <c r="S58" s="1" t="str" cm="1">
        <f t="array" ref="S58">IF(Teams[[#This Row],[relevant]], _xlfn.TEXTJOIN(", ", TRUE, _xlfn._xlws.FILTER(Stats[competition]&amp;" ("&amp;Stats[season]&amp;")",(Stats[team]=Teams[[#This Row],[name]])*(Stats[result]="Winner"),"")), "")</f>
        <v/>
      </c>
    </row>
    <row r="59" spans="1:19" ht="13" hidden="1">
      <c r="A59" s="1" t="s">
        <v>466</v>
      </c>
      <c r="B59" s="1" t="s">
        <v>339</v>
      </c>
      <c r="C59" s="1" t="s">
        <v>391</v>
      </c>
      <c r="D59" s="1" t="str">
        <f>UPPER(_xlfn.CONCAT(LEFT(Teams[[#This Row],[teamType]], 1), "-", LEFT(SUBSTITUTE(Teams[[#This Row],[nation]], "/", ""), 3), "-", SUBSTITUTE(SUBSTITUTE(SUBSTITUTE(Teams[[#This Row],[name]], ".", ""), " ", ""), "-", "")))</f>
        <v>C-FRA-ASMONACO</v>
      </c>
      <c r="E59" s="16"/>
      <c r="F59" s="16"/>
      <c r="G59" s="1" t="b">
        <f>COUNTBLANK(Teams[[#This Row],[startDate]:[endDate]]) &lt; 2</f>
        <v>0</v>
      </c>
      <c r="H59" s="1" t="str">
        <f>IF(Teams[[#This Row],[relevant]], COUNTIFS(Fixtures[userTeam], Teams[[#This Row],[name]], Fixtures[APP], TRUE), "")</f>
        <v/>
      </c>
      <c r="I59" s="1" t="str">
        <f>IF(Teams[[#This Row],[relevant]], COUNTIFS(Fixtures[userTeam], Teams[[#This Row],[name]], Fixtures[result], "W", Fixtures[APP], TRUE), "")</f>
        <v/>
      </c>
      <c r="J59" s="1" t="str">
        <f>IF(Teams[[#This Row],[relevant]], COUNTIFS(Fixtures[userTeam], Teams[[#This Row],[name]], Fixtures[result], "D", Fixtures[APP], TRUE), "")</f>
        <v/>
      </c>
      <c r="K59" s="1" t="str">
        <f>IF(Teams[[#This Row],[relevant]], COUNTIFS(Fixtures[userTeam], Teams[[#This Row],[name]], Fixtures[result], "L", Fixtures[APP], TRUE), "")</f>
        <v/>
      </c>
      <c r="L59" s="1" t="str">
        <f>IF(Teams[[#This Row],[relevant]], SUMIFS(Fixtures[G], Fixtures[userTeam], Teams[[#This Row],[name]]), "")</f>
        <v/>
      </c>
      <c r="M59" s="1" t="str">
        <f>IF(Teams[[#This Row],[relevant]], SUMIFS(Fixtures[A], Fixtures[userTeam], Teams[[#This Row],[name]]), "")</f>
        <v/>
      </c>
      <c r="N59" s="1" t="str">
        <f>IF(Teams[[#This Row],[relevant]], SUMIFS(Fixtures[INV], Fixtures[userTeam], Teams[[#This Row],[name]]), "")</f>
        <v/>
      </c>
      <c r="O59" s="1" t="str">
        <f>IF(Teams[[#This Row],[relevant]], SUMIFS(Fixtures[YC], Fixtures[userTeam], Teams[[#This Row],[name]]), "")</f>
        <v/>
      </c>
      <c r="P59" s="1" t="str">
        <f>IF(Teams[[#This Row],[relevant]], SUMIFS(Fixtures[RC], Fixtures[userTeam], Teams[[#This Row],[name]]), "")</f>
        <v/>
      </c>
      <c r="Q59" s="13" t="str">
        <f>IF(Teams[[#This Row],[relevant]], IF(ISERROR(AVERAGEIFS(Fixtures[MR], Fixtures[userTeam], Teams[[#This Row],[name]])), 0, AVERAGEIFS(Fixtures[MR], Fixtures[userTeam], Teams[[#This Row],[name]])), "")</f>
        <v/>
      </c>
      <c r="R59" s="1" t="str">
        <f>IF(Teams[[#This Row],[relevant]], COUNTIFS(Fixtures[userTeam], Teams[[#This Row],[name]], Fixtures[MOTM], TRUE), "")</f>
        <v/>
      </c>
      <c r="S59" s="1" t="str" cm="1">
        <f t="array" ref="S59">IF(Teams[[#This Row],[relevant]], _xlfn.TEXTJOIN(", ", TRUE, _xlfn._xlws.FILTER(Stats[competition]&amp;" ("&amp;Stats[season]&amp;")",(Stats[team]=Teams[[#This Row],[name]])*(Stats[result]="Winner"),"")), "")</f>
        <v/>
      </c>
    </row>
    <row r="60" spans="1:19" ht="13" hidden="1">
      <c r="A60" s="1" t="s">
        <v>467</v>
      </c>
      <c r="B60" s="1" t="s">
        <v>339</v>
      </c>
      <c r="C60" s="1" t="s">
        <v>391</v>
      </c>
      <c r="D60" s="1" t="str">
        <f>UPPER(_xlfn.CONCAT(LEFT(Teams[[#This Row],[teamType]], 1), "-", LEFT(SUBSTITUTE(Teams[[#This Row],[nation]], "/", ""), 3), "-", SUBSTITUTE(SUBSTITUTE(SUBSTITUTE(Teams[[#This Row],[name]], ".", ""), " ", ""), "-", "")))</f>
        <v>C-FRA-ASSAINTÉTIENNE</v>
      </c>
      <c r="E60" s="16"/>
      <c r="F60" s="16"/>
      <c r="G60" s="1" t="b">
        <f>COUNTBLANK(Teams[[#This Row],[startDate]:[endDate]]) &lt; 2</f>
        <v>0</v>
      </c>
      <c r="H60" s="1" t="str">
        <f>IF(Teams[[#This Row],[relevant]], COUNTIFS(Fixtures[userTeam], Teams[[#This Row],[name]], Fixtures[APP], TRUE), "")</f>
        <v/>
      </c>
      <c r="I60" s="1" t="str">
        <f>IF(Teams[[#This Row],[relevant]], COUNTIFS(Fixtures[userTeam], Teams[[#This Row],[name]], Fixtures[result], "W", Fixtures[APP], TRUE), "")</f>
        <v/>
      </c>
      <c r="J60" s="1" t="str">
        <f>IF(Teams[[#This Row],[relevant]], COUNTIFS(Fixtures[userTeam], Teams[[#This Row],[name]], Fixtures[result], "D", Fixtures[APP], TRUE), "")</f>
        <v/>
      </c>
      <c r="K60" s="1" t="str">
        <f>IF(Teams[[#This Row],[relevant]], COUNTIFS(Fixtures[userTeam], Teams[[#This Row],[name]], Fixtures[result], "L", Fixtures[APP], TRUE), "")</f>
        <v/>
      </c>
      <c r="L60" s="1" t="str">
        <f>IF(Teams[[#This Row],[relevant]], SUMIFS(Fixtures[G], Fixtures[userTeam], Teams[[#This Row],[name]]), "")</f>
        <v/>
      </c>
      <c r="M60" s="1" t="str">
        <f>IF(Teams[[#This Row],[relevant]], SUMIFS(Fixtures[A], Fixtures[userTeam], Teams[[#This Row],[name]]), "")</f>
        <v/>
      </c>
      <c r="N60" s="1" t="str">
        <f>IF(Teams[[#This Row],[relevant]], SUMIFS(Fixtures[INV], Fixtures[userTeam], Teams[[#This Row],[name]]), "")</f>
        <v/>
      </c>
      <c r="O60" s="1" t="str">
        <f>IF(Teams[[#This Row],[relevant]], SUMIFS(Fixtures[YC], Fixtures[userTeam], Teams[[#This Row],[name]]), "")</f>
        <v/>
      </c>
      <c r="P60" s="1" t="str">
        <f>IF(Teams[[#This Row],[relevant]], SUMIFS(Fixtures[RC], Fixtures[userTeam], Teams[[#This Row],[name]]), "")</f>
        <v/>
      </c>
      <c r="Q60" s="13" t="str">
        <f>IF(Teams[[#This Row],[relevant]], IF(ISERROR(AVERAGEIFS(Fixtures[MR], Fixtures[userTeam], Teams[[#This Row],[name]])), 0, AVERAGEIFS(Fixtures[MR], Fixtures[userTeam], Teams[[#This Row],[name]])), "")</f>
        <v/>
      </c>
      <c r="R60" s="1" t="str">
        <f>IF(Teams[[#This Row],[relevant]], COUNTIFS(Fixtures[userTeam], Teams[[#This Row],[name]], Fixtures[MOTM], TRUE), "")</f>
        <v/>
      </c>
      <c r="S60" s="1" t="str" cm="1">
        <f t="array" ref="S60">IF(Teams[[#This Row],[relevant]], _xlfn.TEXTJOIN(", ", TRUE, _xlfn._xlws.FILTER(Stats[competition]&amp;" ("&amp;Stats[season]&amp;")",(Stats[team]=Teams[[#This Row],[name]])*(Stats[result]="Winner"),"")), "")</f>
        <v/>
      </c>
    </row>
    <row r="61" spans="1:19" ht="13" hidden="1">
      <c r="A61" s="1" t="s">
        <v>468</v>
      </c>
      <c r="B61" s="1" t="s">
        <v>254</v>
      </c>
      <c r="C61" s="1" t="s">
        <v>391</v>
      </c>
      <c r="D61" s="1" t="str">
        <f>UPPER(_xlfn.CONCAT(LEFT(Teams[[#This Row],[teamType]], 1), "-", LEFT(SUBSTITUTE(Teams[[#This Row],[nation]], "/", ""), 3), "-", SUBSTITUTE(SUBSTITUTE(SUBSTITUTE(Teams[[#This Row],[name]], ".", ""), " ", ""), "-", "")))</f>
        <v>C-ITA-ASCOLI</v>
      </c>
      <c r="E61" s="16"/>
      <c r="F61" s="16"/>
      <c r="G61" s="1" t="b">
        <f>COUNTBLANK(Teams[[#This Row],[startDate]:[endDate]]) &lt; 2</f>
        <v>0</v>
      </c>
      <c r="H61" s="1" t="str">
        <f>IF(Teams[[#This Row],[relevant]], COUNTIFS(Fixtures[userTeam], Teams[[#This Row],[name]], Fixtures[APP], TRUE), "")</f>
        <v/>
      </c>
      <c r="I61" s="1" t="str">
        <f>IF(Teams[[#This Row],[relevant]], COUNTIFS(Fixtures[userTeam], Teams[[#This Row],[name]], Fixtures[result], "W", Fixtures[APP], TRUE), "")</f>
        <v/>
      </c>
      <c r="J61" s="1" t="str">
        <f>IF(Teams[[#This Row],[relevant]], COUNTIFS(Fixtures[userTeam], Teams[[#This Row],[name]], Fixtures[result], "D", Fixtures[APP], TRUE), "")</f>
        <v/>
      </c>
      <c r="K61" s="1" t="str">
        <f>IF(Teams[[#This Row],[relevant]], COUNTIFS(Fixtures[userTeam], Teams[[#This Row],[name]], Fixtures[result], "L", Fixtures[APP], TRUE), "")</f>
        <v/>
      </c>
      <c r="L61" s="1" t="str">
        <f>IF(Teams[[#This Row],[relevant]], SUMIFS(Fixtures[G], Fixtures[userTeam], Teams[[#This Row],[name]]), "")</f>
        <v/>
      </c>
      <c r="M61" s="1" t="str">
        <f>IF(Teams[[#This Row],[relevant]], SUMIFS(Fixtures[A], Fixtures[userTeam], Teams[[#This Row],[name]]), "")</f>
        <v/>
      </c>
      <c r="N61" s="1" t="str">
        <f>IF(Teams[[#This Row],[relevant]], SUMIFS(Fixtures[INV], Fixtures[userTeam], Teams[[#This Row],[name]]), "")</f>
        <v/>
      </c>
      <c r="O61" s="1" t="str">
        <f>IF(Teams[[#This Row],[relevant]], SUMIFS(Fixtures[YC], Fixtures[userTeam], Teams[[#This Row],[name]]), "")</f>
        <v/>
      </c>
      <c r="P61" s="1" t="str">
        <f>IF(Teams[[#This Row],[relevant]], SUMIFS(Fixtures[RC], Fixtures[userTeam], Teams[[#This Row],[name]]), "")</f>
        <v/>
      </c>
      <c r="Q61" s="13" t="str">
        <f>IF(Teams[[#This Row],[relevant]], IF(ISERROR(AVERAGEIFS(Fixtures[MR], Fixtures[userTeam], Teams[[#This Row],[name]])), 0, AVERAGEIFS(Fixtures[MR], Fixtures[userTeam], Teams[[#This Row],[name]])), "")</f>
        <v/>
      </c>
      <c r="R61" s="1" t="str">
        <f>IF(Teams[[#This Row],[relevant]], COUNTIFS(Fixtures[userTeam], Teams[[#This Row],[name]], Fixtures[MOTM], TRUE), "")</f>
        <v/>
      </c>
      <c r="S61" s="1" t="str" cm="1">
        <f t="array" ref="S61">IF(Teams[[#This Row],[relevant]], _xlfn.TEXTJOIN(", ", TRUE, _xlfn._xlws.FILTER(Stats[competition]&amp;" ("&amp;Stats[season]&amp;")",(Stats[team]=Teams[[#This Row],[name]])*(Stats[result]="Winner"),"")), "")</f>
        <v/>
      </c>
    </row>
    <row r="62" spans="1:19" ht="13" hidden="1">
      <c r="A62" s="1" t="s">
        <v>469</v>
      </c>
      <c r="B62" s="1" t="s">
        <v>152</v>
      </c>
      <c r="C62" s="1" t="s">
        <v>391</v>
      </c>
      <c r="D62" s="1" t="str">
        <f>UPPER(_xlfn.CONCAT(LEFT(Teams[[#This Row],[teamType]], 1), "-", LEFT(SUBSTITUTE(Teams[[#This Row],[nation]], "/", ""), 3), "-", SUBSTITUTE(SUBSTITUTE(SUBSTITUTE(Teams[[#This Row],[name]], ".", ""), " ", ""), "-", "")))</f>
        <v>C-ENG-ASTONVILLA</v>
      </c>
      <c r="E62" s="16"/>
      <c r="F62" s="16"/>
      <c r="G62" s="1" t="b">
        <f>COUNTBLANK(Teams[[#This Row],[startDate]:[endDate]]) &lt; 2</f>
        <v>0</v>
      </c>
      <c r="H62" s="1" t="str">
        <f>IF(Teams[[#This Row],[relevant]], COUNTIFS(Fixtures[userTeam], Teams[[#This Row],[name]], Fixtures[APP], TRUE), "")</f>
        <v/>
      </c>
      <c r="I62" s="1" t="str">
        <f>IF(Teams[[#This Row],[relevant]], COUNTIFS(Fixtures[userTeam], Teams[[#This Row],[name]], Fixtures[result], "W", Fixtures[APP], TRUE), "")</f>
        <v/>
      </c>
      <c r="J62" s="1" t="str">
        <f>IF(Teams[[#This Row],[relevant]], COUNTIFS(Fixtures[userTeam], Teams[[#This Row],[name]], Fixtures[result], "D", Fixtures[APP], TRUE), "")</f>
        <v/>
      </c>
      <c r="K62" s="1" t="str">
        <f>IF(Teams[[#This Row],[relevant]], COUNTIFS(Fixtures[userTeam], Teams[[#This Row],[name]], Fixtures[result], "L", Fixtures[APP], TRUE), "")</f>
        <v/>
      </c>
      <c r="L62" s="1" t="str">
        <f>IF(Teams[[#This Row],[relevant]], SUMIFS(Fixtures[G], Fixtures[userTeam], Teams[[#This Row],[name]]), "")</f>
        <v/>
      </c>
      <c r="M62" s="1" t="str">
        <f>IF(Teams[[#This Row],[relevant]], SUMIFS(Fixtures[A], Fixtures[userTeam], Teams[[#This Row],[name]]), "")</f>
        <v/>
      </c>
      <c r="N62" s="1" t="str">
        <f>IF(Teams[[#This Row],[relevant]], SUMIFS(Fixtures[INV], Fixtures[userTeam], Teams[[#This Row],[name]]), "")</f>
        <v/>
      </c>
      <c r="O62" s="1" t="str">
        <f>IF(Teams[[#This Row],[relevant]], SUMIFS(Fixtures[YC], Fixtures[userTeam], Teams[[#This Row],[name]]), "")</f>
        <v/>
      </c>
      <c r="P62" s="1" t="str">
        <f>IF(Teams[[#This Row],[relevant]], SUMIFS(Fixtures[RC], Fixtures[userTeam], Teams[[#This Row],[name]]), "")</f>
        <v/>
      </c>
      <c r="Q62" s="13" t="str">
        <f>IF(Teams[[#This Row],[relevant]], IF(ISERROR(AVERAGEIFS(Fixtures[MR], Fixtures[userTeam], Teams[[#This Row],[name]])), 0, AVERAGEIFS(Fixtures[MR], Fixtures[userTeam], Teams[[#This Row],[name]])), "")</f>
        <v/>
      </c>
      <c r="R62" s="1" t="str">
        <f>IF(Teams[[#This Row],[relevant]], COUNTIFS(Fixtures[userTeam], Teams[[#This Row],[name]], Fixtures[MOTM], TRUE), "")</f>
        <v/>
      </c>
      <c r="S62" s="1" t="str" cm="1">
        <f t="array" ref="S62">IF(Teams[[#This Row],[relevant]], _xlfn.TEXTJOIN(", ", TRUE, _xlfn._xlws.FILTER(Stats[competition]&amp;" ("&amp;Stats[season]&amp;")",(Stats[team]=Teams[[#This Row],[name]])*(Stats[result]="Winner"),"")), "")</f>
        <v/>
      </c>
    </row>
    <row r="63" spans="1:19" ht="13" hidden="1">
      <c r="A63" s="1" t="s">
        <v>470</v>
      </c>
      <c r="B63" s="1" t="s">
        <v>163</v>
      </c>
      <c r="C63" s="1" t="s">
        <v>391</v>
      </c>
      <c r="D63" s="1" t="str">
        <f>UPPER(_xlfn.CONCAT(LEFT(Teams[[#This Row],[teamType]], 1), "-", LEFT(SUBSTITUTE(Teams[[#This Row],[nation]], "/", ""), 3), "-", SUBSTITUTE(SUBSTITUTE(SUBSTITUTE(Teams[[#This Row],[name]], ".", ""), " ", ""), "-", "")))</f>
        <v>C-SPA-ATHLETICCLUB</v>
      </c>
      <c r="E63" s="16"/>
      <c r="F63" s="16"/>
      <c r="G63" s="1" t="b">
        <f>COUNTBLANK(Teams[[#This Row],[startDate]:[endDate]]) &lt; 2</f>
        <v>0</v>
      </c>
      <c r="H63" s="1" t="str">
        <f>IF(Teams[[#This Row],[relevant]], COUNTIFS(Fixtures[userTeam], Teams[[#This Row],[name]], Fixtures[APP], TRUE), "")</f>
        <v/>
      </c>
      <c r="I63" s="1" t="str">
        <f>IF(Teams[[#This Row],[relevant]], COUNTIFS(Fixtures[userTeam], Teams[[#This Row],[name]], Fixtures[result], "W", Fixtures[APP], TRUE), "")</f>
        <v/>
      </c>
      <c r="J63" s="1" t="str">
        <f>IF(Teams[[#This Row],[relevant]], COUNTIFS(Fixtures[userTeam], Teams[[#This Row],[name]], Fixtures[result], "D", Fixtures[APP], TRUE), "")</f>
        <v/>
      </c>
      <c r="K63" s="1" t="str">
        <f>IF(Teams[[#This Row],[relevant]], COUNTIFS(Fixtures[userTeam], Teams[[#This Row],[name]], Fixtures[result], "L", Fixtures[APP], TRUE), "")</f>
        <v/>
      </c>
      <c r="L63" s="1" t="str">
        <f>IF(Teams[[#This Row],[relevant]], SUMIFS(Fixtures[G], Fixtures[userTeam], Teams[[#This Row],[name]]), "")</f>
        <v/>
      </c>
      <c r="M63" s="1" t="str">
        <f>IF(Teams[[#This Row],[relevant]], SUMIFS(Fixtures[A], Fixtures[userTeam], Teams[[#This Row],[name]]), "")</f>
        <v/>
      </c>
      <c r="N63" s="1" t="str">
        <f>IF(Teams[[#This Row],[relevant]], SUMIFS(Fixtures[INV], Fixtures[userTeam], Teams[[#This Row],[name]]), "")</f>
        <v/>
      </c>
      <c r="O63" s="1" t="str">
        <f>IF(Teams[[#This Row],[relevant]], SUMIFS(Fixtures[YC], Fixtures[userTeam], Teams[[#This Row],[name]]), "")</f>
        <v/>
      </c>
      <c r="P63" s="1" t="str">
        <f>IF(Teams[[#This Row],[relevant]], SUMIFS(Fixtures[RC], Fixtures[userTeam], Teams[[#This Row],[name]]), "")</f>
        <v/>
      </c>
      <c r="Q63" s="13" t="str">
        <f>IF(Teams[[#This Row],[relevant]], IF(ISERROR(AVERAGEIFS(Fixtures[MR], Fixtures[userTeam], Teams[[#This Row],[name]])), 0, AVERAGEIFS(Fixtures[MR], Fixtures[userTeam], Teams[[#This Row],[name]])), "")</f>
        <v/>
      </c>
      <c r="R63" s="1" t="str">
        <f>IF(Teams[[#This Row],[relevant]], COUNTIFS(Fixtures[userTeam], Teams[[#This Row],[name]], Fixtures[MOTM], TRUE), "")</f>
        <v/>
      </c>
      <c r="S63" s="1" t="str" cm="1">
        <f t="array" ref="S63">IF(Teams[[#This Row],[relevant]], _xlfn.TEXTJOIN(", ", TRUE, _xlfn._xlws.FILTER(Stats[competition]&amp;" ("&amp;Stats[season]&amp;")",(Stats[team]=Teams[[#This Row],[name]])*(Stats[result]="Winner"),"")), "")</f>
        <v/>
      </c>
    </row>
    <row r="64" spans="1:19" ht="13" hidden="1">
      <c r="A64" s="1" t="s">
        <v>471</v>
      </c>
      <c r="B64" s="1" t="s">
        <v>451</v>
      </c>
      <c r="C64" s="1" t="s">
        <v>391</v>
      </c>
      <c r="D64" s="1" t="str">
        <f>UPPER(_xlfn.CONCAT(LEFT(Teams[[#This Row],[teamType]], 1), "-", LEFT(SUBSTITUTE(Teams[[#This Row],[nation]], "/", ""), 3), "-", SUBSTITUTE(SUBSTITUTE(SUBSTITUTE(Teams[[#This Row],[name]], ".", ""), " ", ""), "-", "")))</f>
        <v>C-BRA-ATHLETICOPR</v>
      </c>
      <c r="E64" s="16"/>
      <c r="F64" s="16"/>
      <c r="G64" s="1" t="b">
        <f>COUNTBLANK(Teams[[#This Row],[startDate]:[endDate]]) &lt; 2</f>
        <v>0</v>
      </c>
      <c r="H64" s="1" t="str">
        <f>IF(Teams[[#This Row],[relevant]], COUNTIFS(Fixtures[userTeam], Teams[[#This Row],[name]], Fixtures[APP], TRUE), "")</f>
        <v/>
      </c>
      <c r="I64" s="1" t="str">
        <f>IF(Teams[[#This Row],[relevant]], COUNTIFS(Fixtures[userTeam], Teams[[#This Row],[name]], Fixtures[result], "W", Fixtures[APP], TRUE), "")</f>
        <v/>
      </c>
      <c r="J64" s="1" t="str">
        <f>IF(Teams[[#This Row],[relevant]], COUNTIFS(Fixtures[userTeam], Teams[[#This Row],[name]], Fixtures[result], "D", Fixtures[APP], TRUE), "")</f>
        <v/>
      </c>
      <c r="K64" s="1" t="str">
        <f>IF(Teams[[#This Row],[relevant]], COUNTIFS(Fixtures[userTeam], Teams[[#This Row],[name]], Fixtures[result], "L", Fixtures[APP], TRUE), "")</f>
        <v/>
      </c>
      <c r="L64" s="1" t="str">
        <f>IF(Teams[[#This Row],[relevant]], SUMIFS(Fixtures[G], Fixtures[userTeam], Teams[[#This Row],[name]]), "")</f>
        <v/>
      </c>
      <c r="M64" s="1" t="str">
        <f>IF(Teams[[#This Row],[relevant]], SUMIFS(Fixtures[A], Fixtures[userTeam], Teams[[#This Row],[name]]), "")</f>
        <v/>
      </c>
      <c r="N64" s="1" t="str">
        <f>IF(Teams[[#This Row],[relevant]], SUMIFS(Fixtures[INV], Fixtures[userTeam], Teams[[#This Row],[name]]), "")</f>
        <v/>
      </c>
      <c r="O64" s="1" t="str">
        <f>IF(Teams[[#This Row],[relevant]], SUMIFS(Fixtures[YC], Fixtures[userTeam], Teams[[#This Row],[name]]), "")</f>
        <v/>
      </c>
      <c r="P64" s="1" t="str">
        <f>IF(Teams[[#This Row],[relevant]], SUMIFS(Fixtures[RC], Fixtures[userTeam], Teams[[#This Row],[name]]), "")</f>
        <v/>
      </c>
      <c r="Q64" s="13" t="str">
        <f>IF(Teams[[#This Row],[relevant]], IF(ISERROR(AVERAGEIFS(Fixtures[MR], Fixtures[userTeam], Teams[[#This Row],[name]])), 0, AVERAGEIFS(Fixtures[MR], Fixtures[userTeam], Teams[[#This Row],[name]])), "")</f>
        <v/>
      </c>
      <c r="R64" s="1" t="str">
        <f>IF(Teams[[#This Row],[relevant]], COUNTIFS(Fixtures[userTeam], Teams[[#This Row],[name]], Fixtures[MOTM], TRUE), "")</f>
        <v/>
      </c>
      <c r="S64" s="1" t="str" cm="1">
        <f t="array" ref="S64">IF(Teams[[#This Row],[relevant]], _xlfn.TEXTJOIN(", ", TRUE, _xlfn._xlws.FILTER(Stats[competition]&amp;" ("&amp;Stats[season]&amp;")",(Stats[team]=Teams[[#This Row],[name]])*(Stats[result]="Winner"),"")), "")</f>
        <v/>
      </c>
    </row>
    <row r="65" spans="1:19" ht="13" hidden="1">
      <c r="A65" s="1" t="s">
        <v>472</v>
      </c>
      <c r="B65" s="1" t="s">
        <v>473</v>
      </c>
      <c r="C65" s="1" t="s">
        <v>391</v>
      </c>
      <c r="D65" s="1" t="str">
        <f>UPPER(_xlfn.CONCAT(LEFT(Teams[[#This Row],[teamType]], 1), "-", LEFT(SUBSTITUTE(Teams[[#This Row],[nation]], "/", ""), 3), "-", SUBSTITUTE(SUBSTITUTE(SUBSTITUTE(Teams[[#This Row],[name]], ".", ""), " ", ""), "-", "")))</f>
        <v>C-IND-ATKMOHUNBAGAN</v>
      </c>
      <c r="E65" s="16"/>
      <c r="F65" s="16"/>
      <c r="G65" s="1" t="b">
        <f>COUNTBLANK(Teams[[#This Row],[startDate]:[endDate]]) &lt; 2</f>
        <v>0</v>
      </c>
      <c r="H65" s="1" t="str">
        <f>IF(Teams[[#This Row],[relevant]], COUNTIFS(Fixtures[userTeam], Teams[[#This Row],[name]], Fixtures[APP], TRUE), "")</f>
        <v/>
      </c>
      <c r="I65" s="1" t="str">
        <f>IF(Teams[[#This Row],[relevant]], COUNTIFS(Fixtures[userTeam], Teams[[#This Row],[name]], Fixtures[result], "W", Fixtures[APP], TRUE), "")</f>
        <v/>
      </c>
      <c r="J65" s="1" t="str">
        <f>IF(Teams[[#This Row],[relevant]], COUNTIFS(Fixtures[userTeam], Teams[[#This Row],[name]], Fixtures[result], "D", Fixtures[APP], TRUE), "")</f>
        <v/>
      </c>
      <c r="K65" s="1" t="str">
        <f>IF(Teams[[#This Row],[relevant]], COUNTIFS(Fixtures[userTeam], Teams[[#This Row],[name]], Fixtures[result], "L", Fixtures[APP], TRUE), "")</f>
        <v/>
      </c>
      <c r="L65" s="1" t="str">
        <f>IF(Teams[[#This Row],[relevant]], SUMIFS(Fixtures[G], Fixtures[userTeam], Teams[[#This Row],[name]]), "")</f>
        <v/>
      </c>
      <c r="M65" s="1" t="str">
        <f>IF(Teams[[#This Row],[relevant]], SUMIFS(Fixtures[A], Fixtures[userTeam], Teams[[#This Row],[name]]), "")</f>
        <v/>
      </c>
      <c r="N65" s="1" t="str">
        <f>IF(Teams[[#This Row],[relevant]], SUMIFS(Fixtures[INV], Fixtures[userTeam], Teams[[#This Row],[name]]), "")</f>
        <v/>
      </c>
      <c r="O65" s="1" t="str">
        <f>IF(Teams[[#This Row],[relevant]], SUMIFS(Fixtures[YC], Fixtures[userTeam], Teams[[#This Row],[name]]), "")</f>
        <v/>
      </c>
      <c r="P65" s="1" t="str">
        <f>IF(Teams[[#This Row],[relevant]], SUMIFS(Fixtures[RC], Fixtures[userTeam], Teams[[#This Row],[name]]), "")</f>
        <v/>
      </c>
      <c r="Q65" s="13" t="str">
        <f>IF(Teams[[#This Row],[relevant]], IF(ISERROR(AVERAGEIFS(Fixtures[MR], Fixtures[userTeam], Teams[[#This Row],[name]])), 0, AVERAGEIFS(Fixtures[MR], Fixtures[userTeam], Teams[[#This Row],[name]])), "")</f>
        <v/>
      </c>
      <c r="R65" s="1" t="str">
        <f>IF(Teams[[#This Row],[relevant]], COUNTIFS(Fixtures[userTeam], Teams[[#This Row],[name]], Fixtures[MOTM], TRUE), "")</f>
        <v/>
      </c>
      <c r="S65" s="1" t="str" cm="1">
        <f t="array" ref="S65">IF(Teams[[#This Row],[relevant]], _xlfn.TEXTJOIN(", ", TRUE, _xlfn._xlws.FILTER(Stats[competition]&amp;" ("&amp;Stats[season]&amp;")",(Stats[team]=Teams[[#This Row],[name]])*(Stats[result]="Winner"),"")), "")</f>
        <v/>
      </c>
    </row>
    <row r="66" spans="1:19" ht="13" hidden="1">
      <c r="A66" s="1" t="s">
        <v>474</v>
      </c>
      <c r="B66" s="1" t="s">
        <v>449</v>
      </c>
      <c r="C66" s="1" t="s">
        <v>391</v>
      </c>
      <c r="D66" s="1" t="str">
        <f>UPPER(_xlfn.CONCAT(LEFT(Teams[[#This Row],[teamType]], 1), "-", LEFT(SUBSTITUTE(Teams[[#This Row],[nation]], "/", ""), 3), "-", SUBSTITUTE(SUBSTITUTE(SUBSTITUTE(Teams[[#This Row],[name]], ".", ""), " ", ""), "-", "")))</f>
        <v>C-COL-ATLNACIONAL</v>
      </c>
      <c r="E66" s="16"/>
      <c r="F66" s="16"/>
      <c r="G66" s="1" t="b">
        <f>COUNTBLANK(Teams[[#This Row],[startDate]:[endDate]]) &lt; 2</f>
        <v>0</v>
      </c>
      <c r="H66" s="1" t="str">
        <f>IF(Teams[[#This Row],[relevant]], COUNTIFS(Fixtures[userTeam], Teams[[#This Row],[name]], Fixtures[APP], TRUE), "")</f>
        <v/>
      </c>
      <c r="I66" s="1" t="str">
        <f>IF(Teams[[#This Row],[relevant]], COUNTIFS(Fixtures[userTeam], Teams[[#This Row],[name]], Fixtures[result], "W", Fixtures[APP], TRUE), "")</f>
        <v/>
      </c>
      <c r="J66" s="1" t="str">
        <f>IF(Teams[[#This Row],[relevant]], COUNTIFS(Fixtures[userTeam], Teams[[#This Row],[name]], Fixtures[result], "D", Fixtures[APP], TRUE), "")</f>
        <v/>
      </c>
      <c r="K66" s="1" t="str">
        <f>IF(Teams[[#This Row],[relevant]], COUNTIFS(Fixtures[userTeam], Teams[[#This Row],[name]], Fixtures[result], "L", Fixtures[APP], TRUE), "")</f>
        <v/>
      </c>
      <c r="L66" s="1" t="str">
        <f>IF(Teams[[#This Row],[relevant]], SUMIFS(Fixtures[G], Fixtures[userTeam], Teams[[#This Row],[name]]), "")</f>
        <v/>
      </c>
      <c r="M66" s="1" t="str">
        <f>IF(Teams[[#This Row],[relevant]], SUMIFS(Fixtures[A], Fixtures[userTeam], Teams[[#This Row],[name]]), "")</f>
        <v/>
      </c>
      <c r="N66" s="1" t="str">
        <f>IF(Teams[[#This Row],[relevant]], SUMIFS(Fixtures[INV], Fixtures[userTeam], Teams[[#This Row],[name]]), "")</f>
        <v/>
      </c>
      <c r="O66" s="1" t="str">
        <f>IF(Teams[[#This Row],[relevant]], SUMIFS(Fixtures[YC], Fixtures[userTeam], Teams[[#This Row],[name]]), "")</f>
        <v/>
      </c>
      <c r="P66" s="1" t="str">
        <f>IF(Teams[[#This Row],[relevant]], SUMIFS(Fixtures[RC], Fixtures[userTeam], Teams[[#This Row],[name]]), "")</f>
        <v/>
      </c>
      <c r="Q66" s="13" t="str">
        <f>IF(Teams[[#This Row],[relevant]], IF(ISERROR(AVERAGEIFS(Fixtures[MR], Fixtures[userTeam], Teams[[#This Row],[name]])), 0, AVERAGEIFS(Fixtures[MR], Fixtures[userTeam], Teams[[#This Row],[name]])), "")</f>
        <v/>
      </c>
      <c r="R66" s="1" t="str">
        <f>IF(Teams[[#This Row],[relevant]], COUNTIFS(Fixtures[userTeam], Teams[[#This Row],[name]], Fixtures[MOTM], TRUE), "")</f>
        <v/>
      </c>
      <c r="S66" s="1" t="str" cm="1">
        <f t="array" ref="S66">IF(Teams[[#This Row],[relevant]], _xlfn.TEXTJOIN(", ", TRUE, _xlfn._xlws.FILTER(Stats[competition]&amp;" ("&amp;Stats[season]&amp;")",(Stats[team]=Teams[[#This Row],[name]])*(Stats[result]="Winner"),"")), "")</f>
        <v/>
      </c>
    </row>
    <row r="67" spans="1:19" ht="13" hidden="1">
      <c r="A67" s="1" t="s">
        <v>475</v>
      </c>
      <c r="B67" s="1" t="s">
        <v>16</v>
      </c>
      <c r="C67" s="1" t="s">
        <v>391</v>
      </c>
      <c r="D67" s="1" t="str">
        <f>UPPER(_xlfn.CONCAT(LEFT(Teams[[#This Row],[teamType]], 1), "-", LEFT(SUBSTITUTE(Teams[[#This Row],[nation]], "/", ""), 3), "-", SUBSTITUTE(SUBSTITUTE(SUBSTITUTE(Teams[[#This Row],[name]], ".", ""), " ", ""), "-", "")))</f>
        <v>C-UNI-ATLANTAUNITED</v>
      </c>
      <c r="E67" s="16"/>
      <c r="F67" s="16"/>
      <c r="G67" s="1" t="b">
        <f>COUNTBLANK(Teams[[#This Row],[startDate]:[endDate]]) &lt; 2</f>
        <v>0</v>
      </c>
      <c r="H67" s="1" t="str">
        <f>IF(Teams[[#This Row],[relevant]], COUNTIFS(Fixtures[userTeam], Teams[[#This Row],[name]], Fixtures[APP], TRUE), "")</f>
        <v/>
      </c>
      <c r="I67" s="1" t="str">
        <f>IF(Teams[[#This Row],[relevant]], COUNTIFS(Fixtures[userTeam], Teams[[#This Row],[name]], Fixtures[result], "W", Fixtures[APP], TRUE), "")</f>
        <v/>
      </c>
      <c r="J67" s="1" t="str">
        <f>IF(Teams[[#This Row],[relevant]], COUNTIFS(Fixtures[userTeam], Teams[[#This Row],[name]], Fixtures[result], "D", Fixtures[APP], TRUE), "")</f>
        <v/>
      </c>
      <c r="K67" s="1" t="str">
        <f>IF(Teams[[#This Row],[relevant]], COUNTIFS(Fixtures[userTeam], Teams[[#This Row],[name]], Fixtures[result], "L", Fixtures[APP], TRUE), "")</f>
        <v/>
      </c>
      <c r="L67" s="1" t="str">
        <f>IF(Teams[[#This Row],[relevant]], SUMIFS(Fixtures[G], Fixtures[userTeam], Teams[[#This Row],[name]]), "")</f>
        <v/>
      </c>
      <c r="M67" s="1" t="str">
        <f>IF(Teams[[#This Row],[relevant]], SUMIFS(Fixtures[A], Fixtures[userTeam], Teams[[#This Row],[name]]), "")</f>
        <v/>
      </c>
      <c r="N67" s="1" t="str">
        <f>IF(Teams[[#This Row],[relevant]], SUMIFS(Fixtures[INV], Fixtures[userTeam], Teams[[#This Row],[name]]), "")</f>
        <v/>
      </c>
      <c r="O67" s="1" t="str">
        <f>IF(Teams[[#This Row],[relevant]], SUMIFS(Fixtures[YC], Fixtures[userTeam], Teams[[#This Row],[name]]), "")</f>
        <v/>
      </c>
      <c r="P67" s="1" t="str">
        <f>IF(Teams[[#This Row],[relevant]], SUMIFS(Fixtures[RC], Fixtures[userTeam], Teams[[#This Row],[name]]), "")</f>
        <v/>
      </c>
      <c r="Q67" s="13" t="str">
        <f>IF(Teams[[#This Row],[relevant]], IF(ISERROR(AVERAGEIFS(Fixtures[MR], Fixtures[userTeam], Teams[[#This Row],[name]])), 0, AVERAGEIFS(Fixtures[MR], Fixtures[userTeam], Teams[[#This Row],[name]])), "")</f>
        <v/>
      </c>
      <c r="R67" s="1" t="str">
        <f>IF(Teams[[#This Row],[relevant]], COUNTIFS(Fixtures[userTeam], Teams[[#This Row],[name]], Fixtures[MOTM], TRUE), "")</f>
        <v/>
      </c>
      <c r="S67" s="1" t="str" cm="1">
        <f t="array" ref="S67">IF(Teams[[#This Row],[relevant]], _xlfn.TEXTJOIN(", ", TRUE, _xlfn._xlws.FILTER(Stats[competition]&amp;" ("&amp;Stats[season]&amp;")",(Stats[team]=Teams[[#This Row],[name]])*(Stats[result]="Winner"),"")), "")</f>
        <v/>
      </c>
    </row>
    <row r="68" spans="1:19" ht="13" hidden="1">
      <c r="A68" s="1" t="s">
        <v>476</v>
      </c>
      <c r="B68" s="1" t="s">
        <v>163</v>
      </c>
      <c r="C68" s="1" t="s">
        <v>391</v>
      </c>
      <c r="D68" s="1" t="str">
        <f>UPPER(_xlfn.CONCAT(LEFT(Teams[[#This Row],[teamType]], 1), "-", LEFT(SUBSTITUTE(Teams[[#This Row],[nation]], "/", ""), 3), "-", SUBSTITUTE(SUBSTITUTE(SUBSTITUTE(Teams[[#This Row],[name]], ".", ""), " ", ""), "-", "")))</f>
        <v>C-SPA-ATLÉTICODEMADRID</v>
      </c>
      <c r="E68" s="16"/>
      <c r="F68" s="16"/>
      <c r="G68" s="1" t="b">
        <f>COUNTBLANK(Teams[[#This Row],[startDate]:[endDate]]) &lt; 2</f>
        <v>0</v>
      </c>
      <c r="H68" s="1" t="str">
        <f>IF(Teams[[#This Row],[relevant]], COUNTIFS(Fixtures[userTeam], Teams[[#This Row],[name]], Fixtures[APP], TRUE), "")</f>
        <v/>
      </c>
      <c r="I68" s="1" t="str">
        <f>IF(Teams[[#This Row],[relevant]], COUNTIFS(Fixtures[userTeam], Teams[[#This Row],[name]], Fixtures[result], "W", Fixtures[APP], TRUE), "")</f>
        <v/>
      </c>
      <c r="J68" s="1" t="str">
        <f>IF(Teams[[#This Row],[relevant]], COUNTIFS(Fixtures[userTeam], Teams[[#This Row],[name]], Fixtures[result], "D", Fixtures[APP], TRUE), "")</f>
        <v/>
      </c>
      <c r="K68" s="1" t="str">
        <f>IF(Teams[[#This Row],[relevant]], COUNTIFS(Fixtures[userTeam], Teams[[#This Row],[name]], Fixtures[result], "L", Fixtures[APP], TRUE), "")</f>
        <v/>
      </c>
      <c r="L68" s="1" t="str">
        <f>IF(Teams[[#This Row],[relevant]], SUMIFS(Fixtures[G], Fixtures[userTeam], Teams[[#This Row],[name]]), "")</f>
        <v/>
      </c>
      <c r="M68" s="1" t="str">
        <f>IF(Teams[[#This Row],[relevant]], SUMIFS(Fixtures[A], Fixtures[userTeam], Teams[[#This Row],[name]]), "")</f>
        <v/>
      </c>
      <c r="N68" s="1" t="str">
        <f>IF(Teams[[#This Row],[relevant]], SUMIFS(Fixtures[INV], Fixtures[userTeam], Teams[[#This Row],[name]]), "")</f>
        <v/>
      </c>
      <c r="O68" s="1" t="str">
        <f>IF(Teams[[#This Row],[relevant]], SUMIFS(Fixtures[YC], Fixtures[userTeam], Teams[[#This Row],[name]]), "")</f>
        <v/>
      </c>
      <c r="P68" s="1" t="str">
        <f>IF(Teams[[#This Row],[relevant]], SUMIFS(Fixtures[RC], Fixtures[userTeam], Teams[[#This Row],[name]]), "")</f>
        <v/>
      </c>
      <c r="Q68" s="13" t="str">
        <f>IF(Teams[[#This Row],[relevant]], IF(ISERROR(AVERAGEIFS(Fixtures[MR], Fixtures[userTeam], Teams[[#This Row],[name]])), 0, AVERAGEIFS(Fixtures[MR], Fixtures[userTeam], Teams[[#This Row],[name]])), "")</f>
        <v/>
      </c>
      <c r="R68" s="1" t="str">
        <f>IF(Teams[[#This Row],[relevant]], COUNTIFS(Fixtures[userTeam], Teams[[#This Row],[name]], Fixtures[MOTM], TRUE), "")</f>
        <v/>
      </c>
      <c r="S68" s="1" t="str" cm="1">
        <f t="array" ref="S68">IF(Teams[[#This Row],[relevant]], _xlfn.TEXTJOIN(", ", TRUE, _xlfn._xlws.FILTER(Stats[competition]&amp;" ("&amp;Stats[season]&amp;")",(Stats[team]=Teams[[#This Row],[name]])*(Stats[result]="Winner"),"")), "")</f>
        <v/>
      </c>
    </row>
    <row r="69" spans="1:19" ht="13" hidden="1">
      <c r="A69" s="1" t="s">
        <v>477</v>
      </c>
      <c r="B69" s="1" t="s">
        <v>451</v>
      </c>
      <c r="C69" s="1" t="s">
        <v>391</v>
      </c>
      <c r="D69" s="1" t="str">
        <f>UPPER(_xlfn.CONCAT(LEFT(Teams[[#This Row],[teamType]], 1), "-", LEFT(SUBSTITUTE(Teams[[#This Row],[nation]], "/", ""), 3), "-", SUBSTITUTE(SUBSTITUTE(SUBSTITUTE(Teams[[#This Row],[name]], ".", ""), " ", ""), "-", "")))</f>
        <v>C-BRA-ATLÉTICOMINEIRO</v>
      </c>
      <c r="E69" s="16"/>
      <c r="F69" s="16"/>
      <c r="G69" s="1" t="b">
        <f>COUNTBLANK(Teams[[#This Row],[startDate]:[endDate]]) &lt; 2</f>
        <v>0</v>
      </c>
      <c r="H69" s="1" t="str">
        <f>IF(Teams[[#This Row],[relevant]], COUNTIFS(Fixtures[userTeam], Teams[[#This Row],[name]], Fixtures[APP], TRUE), "")</f>
        <v/>
      </c>
      <c r="I69" s="1" t="str">
        <f>IF(Teams[[#This Row],[relevant]], COUNTIFS(Fixtures[userTeam], Teams[[#This Row],[name]], Fixtures[result], "W", Fixtures[APP], TRUE), "")</f>
        <v/>
      </c>
      <c r="J69" s="1" t="str">
        <f>IF(Teams[[#This Row],[relevant]], COUNTIFS(Fixtures[userTeam], Teams[[#This Row],[name]], Fixtures[result], "D", Fixtures[APP], TRUE), "")</f>
        <v/>
      </c>
      <c r="K69" s="1" t="str">
        <f>IF(Teams[[#This Row],[relevant]], COUNTIFS(Fixtures[userTeam], Teams[[#This Row],[name]], Fixtures[result], "L", Fixtures[APP], TRUE), "")</f>
        <v/>
      </c>
      <c r="L69" s="1" t="str">
        <f>IF(Teams[[#This Row],[relevant]], SUMIFS(Fixtures[G], Fixtures[userTeam], Teams[[#This Row],[name]]), "")</f>
        <v/>
      </c>
      <c r="M69" s="1" t="str">
        <f>IF(Teams[[#This Row],[relevant]], SUMIFS(Fixtures[A], Fixtures[userTeam], Teams[[#This Row],[name]]), "")</f>
        <v/>
      </c>
      <c r="N69" s="1" t="str">
        <f>IF(Teams[[#This Row],[relevant]], SUMIFS(Fixtures[INV], Fixtures[userTeam], Teams[[#This Row],[name]]), "")</f>
        <v/>
      </c>
      <c r="O69" s="1" t="str">
        <f>IF(Teams[[#This Row],[relevant]], SUMIFS(Fixtures[YC], Fixtures[userTeam], Teams[[#This Row],[name]]), "")</f>
        <v/>
      </c>
      <c r="P69" s="1" t="str">
        <f>IF(Teams[[#This Row],[relevant]], SUMIFS(Fixtures[RC], Fixtures[userTeam], Teams[[#This Row],[name]]), "")</f>
        <v/>
      </c>
      <c r="Q69" s="13" t="str">
        <f>IF(Teams[[#This Row],[relevant]], IF(ISERROR(AVERAGEIFS(Fixtures[MR], Fixtures[userTeam], Teams[[#This Row],[name]])), 0, AVERAGEIFS(Fixtures[MR], Fixtures[userTeam], Teams[[#This Row],[name]])), "")</f>
        <v/>
      </c>
      <c r="R69" s="1" t="str">
        <f>IF(Teams[[#This Row],[relevant]], COUNTIFS(Fixtures[userTeam], Teams[[#This Row],[name]], Fixtures[MOTM], TRUE), "")</f>
        <v/>
      </c>
      <c r="S69" s="1" t="str" cm="1">
        <f t="array" ref="S69">IF(Teams[[#This Row],[relevant]], _xlfn.TEXTJOIN(", ", TRUE, _xlfn._xlws.FILTER(Stats[competition]&amp;" ("&amp;Stats[season]&amp;")",(Stats[team]=Teams[[#This Row],[name]])*(Stats[result]="Winner"),"")), "")</f>
        <v/>
      </c>
    </row>
    <row r="70" spans="1:19" ht="13" hidden="1">
      <c r="A70" s="1" t="s">
        <v>478</v>
      </c>
      <c r="B70" s="1" t="s">
        <v>131</v>
      </c>
      <c r="C70" s="1" t="s">
        <v>391</v>
      </c>
      <c r="D70" s="1" t="str">
        <f>UPPER(_xlfn.CONCAT(LEFT(Teams[[#This Row],[teamType]], 1), "-", LEFT(SUBSTITUTE(Teams[[#This Row],[nation]], "/", ""), 3), "-", SUBSTITUTE(SUBSTITUTE(SUBSTITUTE(Teams[[#This Row],[name]], ".", ""), " ", ""), "-", "")))</f>
        <v>C-ARG-ATLÉTICOTUCUMÁN</v>
      </c>
      <c r="E70" s="16"/>
      <c r="F70" s="16"/>
      <c r="G70" s="1" t="b">
        <f>COUNTBLANK(Teams[[#This Row],[startDate]:[endDate]]) &lt; 2</f>
        <v>0</v>
      </c>
      <c r="H70" s="1" t="str">
        <f>IF(Teams[[#This Row],[relevant]], COUNTIFS(Fixtures[userTeam], Teams[[#This Row],[name]], Fixtures[APP], TRUE), "")</f>
        <v/>
      </c>
      <c r="I70" s="1" t="str">
        <f>IF(Teams[[#This Row],[relevant]], COUNTIFS(Fixtures[userTeam], Teams[[#This Row],[name]], Fixtures[result], "W", Fixtures[APP], TRUE), "")</f>
        <v/>
      </c>
      <c r="J70" s="1" t="str">
        <f>IF(Teams[[#This Row],[relevant]], COUNTIFS(Fixtures[userTeam], Teams[[#This Row],[name]], Fixtures[result], "D", Fixtures[APP], TRUE), "")</f>
        <v/>
      </c>
      <c r="K70" s="1" t="str">
        <f>IF(Teams[[#This Row],[relevant]], COUNTIFS(Fixtures[userTeam], Teams[[#This Row],[name]], Fixtures[result], "L", Fixtures[APP], TRUE), "")</f>
        <v/>
      </c>
      <c r="L70" s="1" t="str">
        <f>IF(Teams[[#This Row],[relevant]], SUMIFS(Fixtures[G], Fixtures[userTeam], Teams[[#This Row],[name]]), "")</f>
        <v/>
      </c>
      <c r="M70" s="1" t="str">
        <f>IF(Teams[[#This Row],[relevant]], SUMIFS(Fixtures[A], Fixtures[userTeam], Teams[[#This Row],[name]]), "")</f>
        <v/>
      </c>
      <c r="N70" s="1" t="str">
        <f>IF(Teams[[#This Row],[relevant]], SUMIFS(Fixtures[INV], Fixtures[userTeam], Teams[[#This Row],[name]]), "")</f>
        <v/>
      </c>
      <c r="O70" s="1" t="str">
        <f>IF(Teams[[#This Row],[relevant]], SUMIFS(Fixtures[YC], Fixtures[userTeam], Teams[[#This Row],[name]]), "")</f>
        <v/>
      </c>
      <c r="P70" s="1" t="str">
        <f>IF(Teams[[#This Row],[relevant]], SUMIFS(Fixtures[RC], Fixtures[userTeam], Teams[[#This Row],[name]]), "")</f>
        <v/>
      </c>
      <c r="Q70" s="13" t="str">
        <f>IF(Teams[[#This Row],[relevant]], IF(ISERROR(AVERAGEIFS(Fixtures[MR], Fixtures[userTeam], Teams[[#This Row],[name]])), 0, AVERAGEIFS(Fixtures[MR], Fixtures[userTeam], Teams[[#This Row],[name]])), "")</f>
        <v/>
      </c>
      <c r="R70" s="1" t="str">
        <f>IF(Teams[[#This Row],[relevant]], COUNTIFS(Fixtures[userTeam], Teams[[#This Row],[name]], Fixtures[MOTM], TRUE), "")</f>
        <v/>
      </c>
      <c r="S70" s="1" t="str" cm="1">
        <f t="array" ref="S70">IF(Teams[[#This Row],[relevant]], _xlfn.TEXTJOIN(", ", TRUE, _xlfn._xlws.FILTER(Stats[competition]&amp;" ("&amp;Stats[season]&amp;")",(Stats[team]=Teams[[#This Row],[name]])*(Stats[result]="Winner"),"")), "")</f>
        <v/>
      </c>
    </row>
    <row r="71" spans="1:19" ht="13" hidden="1">
      <c r="A71" s="1" t="s">
        <v>479</v>
      </c>
      <c r="B71" s="1" t="s">
        <v>451</v>
      </c>
      <c r="C71" s="1" t="s">
        <v>391</v>
      </c>
      <c r="D71" s="1" t="str">
        <f>UPPER(_xlfn.CONCAT(LEFT(Teams[[#This Row],[teamType]], 1), "-", LEFT(SUBSTITUTE(Teams[[#This Row],[nation]], "/", ""), 3), "-", SUBSTITUTE(SUBSTITUTE(SUBSTITUTE(Teams[[#This Row],[name]], ".", ""), " ", ""), "-", "")))</f>
        <v>C-BRA-ATLÉTICOGO</v>
      </c>
      <c r="E71" s="16"/>
      <c r="F71" s="16"/>
      <c r="G71" s="1" t="b">
        <f>COUNTBLANK(Teams[[#This Row],[startDate]:[endDate]]) &lt; 2</f>
        <v>0</v>
      </c>
      <c r="H71" s="1" t="str">
        <f>IF(Teams[[#This Row],[relevant]], COUNTIFS(Fixtures[userTeam], Teams[[#This Row],[name]], Fixtures[APP], TRUE), "")</f>
        <v/>
      </c>
      <c r="I71" s="1" t="str">
        <f>IF(Teams[[#This Row],[relevant]], COUNTIFS(Fixtures[userTeam], Teams[[#This Row],[name]], Fixtures[result], "W", Fixtures[APP], TRUE), "")</f>
        <v/>
      </c>
      <c r="J71" s="1" t="str">
        <f>IF(Teams[[#This Row],[relevant]], COUNTIFS(Fixtures[userTeam], Teams[[#This Row],[name]], Fixtures[result], "D", Fixtures[APP], TRUE), "")</f>
        <v/>
      </c>
      <c r="K71" s="1" t="str">
        <f>IF(Teams[[#This Row],[relevant]], COUNTIFS(Fixtures[userTeam], Teams[[#This Row],[name]], Fixtures[result], "L", Fixtures[APP], TRUE), "")</f>
        <v/>
      </c>
      <c r="L71" s="1" t="str">
        <f>IF(Teams[[#This Row],[relevant]], SUMIFS(Fixtures[G], Fixtures[userTeam], Teams[[#This Row],[name]]), "")</f>
        <v/>
      </c>
      <c r="M71" s="1" t="str">
        <f>IF(Teams[[#This Row],[relevant]], SUMIFS(Fixtures[A], Fixtures[userTeam], Teams[[#This Row],[name]]), "")</f>
        <v/>
      </c>
      <c r="N71" s="1" t="str">
        <f>IF(Teams[[#This Row],[relevant]], SUMIFS(Fixtures[INV], Fixtures[userTeam], Teams[[#This Row],[name]]), "")</f>
        <v/>
      </c>
      <c r="O71" s="1" t="str">
        <f>IF(Teams[[#This Row],[relevant]], SUMIFS(Fixtures[YC], Fixtures[userTeam], Teams[[#This Row],[name]]), "")</f>
        <v/>
      </c>
      <c r="P71" s="1" t="str">
        <f>IF(Teams[[#This Row],[relevant]], SUMIFS(Fixtures[RC], Fixtures[userTeam], Teams[[#This Row],[name]]), "")</f>
        <v/>
      </c>
      <c r="Q71" s="13" t="str">
        <f>IF(Teams[[#This Row],[relevant]], IF(ISERROR(AVERAGEIFS(Fixtures[MR], Fixtures[userTeam], Teams[[#This Row],[name]])), 0, AVERAGEIFS(Fixtures[MR], Fixtures[userTeam], Teams[[#This Row],[name]])), "")</f>
        <v/>
      </c>
      <c r="R71" s="1" t="str">
        <f>IF(Teams[[#This Row],[relevant]], COUNTIFS(Fixtures[userTeam], Teams[[#This Row],[name]], Fixtures[MOTM], TRUE), "")</f>
        <v/>
      </c>
      <c r="S71" s="1" t="str" cm="1">
        <f t="array" ref="S71">IF(Teams[[#This Row],[relevant]], _xlfn.TEXTJOIN(", ", TRUE, _xlfn._xlws.FILTER(Stats[competition]&amp;" ("&amp;Stats[season]&amp;")",(Stats[team]=Teams[[#This Row],[name]])*(Stats[result]="Winner"),"")), "")</f>
        <v/>
      </c>
    </row>
    <row r="72" spans="1:19" ht="13" hidden="1">
      <c r="A72" s="1" t="s">
        <v>480</v>
      </c>
      <c r="B72" s="1" t="s">
        <v>16</v>
      </c>
      <c r="C72" s="1" t="s">
        <v>391</v>
      </c>
      <c r="D72" s="1" t="str">
        <f>UPPER(_xlfn.CONCAT(LEFT(Teams[[#This Row],[teamType]], 1), "-", LEFT(SUBSTITUTE(Teams[[#This Row],[nation]], "/", ""), 3), "-", SUBSTITUTE(SUBSTITUTE(SUBSTITUTE(Teams[[#This Row],[name]], ".", ""), " ", ""), "-", "")))</f>
        <v>C-UNI-AUSTINFC</v>
      </c>
      <c r="E72" s="16"/>
      <c r="F72" s="16"/>
      <c r="G72" s="1" t="b">
        <f>COUNTBLANK(Teams[[#This Row],[startDate]:[endDate]]) &lt; 2</f>
        <v>0</v>
      </c>
      <c r="H72" s="1" t="str">
        <f>IF(Teams[[#This Row],[relevant]], COUNTIFS(Fixtures[userTeam], Teams[[#This Row],[name]], Fixtures[APP], TRUE), "")</f>
        <v/>
      </c>
      <c r="I72" s="1" t="str">
        <f>IF(Teams[[#This Row],[relevant]], COUNTIFS(Fixtures[userTeam], Teams[[#This Row],[name]], Fixtures[result], "W", Fixtures[APP], TRUE), "")</f>
        <v/>
      </c>
      <c r="J72" s="1" t="str">
        <f>IF(Teams[[#This Row],[relevant]], COUNTIFS(Fixtures[userTeam], Teams[[#This Row],[name]], Fixtures[result], "D", Fixtures[APP], TRUE), "")</f>
        <v/>
      </c>
      <c r="K72" s="1" t="str">
        <f>IF(Teams[[#This Row],[relevant]], COUNTIFS(Fixtures[userTeam], Teams[[#This Row],[name]], Fixtures[result], "L", Fixtures[APP], TRUE), "")</f>
        <v/>
      </c>
      <c r="L72" s="1" t="str">
        <f>IF(Teams[[#This Row],[relevant]], SUMIFS(Fixtures[G], Fixtures[userTeam], Teams[[#This Row],[name]]), "")</f>
        <v/>
      </c>
      <c r="M72" s="1" t="str">
        <f>IF(Teams[[#This Row],[relevant]], SUMIFS(Fixtures[A], Fixtures[userTeam], Teams[[#This Row],[name]]), "")</f>
        <v/>
      </c>
      <c r="N72" s="1" t="str">
        <f>IF(Teams[[#This Row],[relevant]], SUMIFS(Fixtures[INV], Fixtures[userTeam], Teams[[#This Row],[name]]), "")</f>
        <v/>
      </c>
      <c r="O72" s="1" t="str">
        <f>IF(Teams[[#This Row],[relevant]], SUMIFS(Fixtures[YC], Fixtures[userTeam], Teams[[#This Row],[name]]), "")</f>
        <v/>
      </c>
      <c r="P72" s="1" t="str">
        <f>IF(Teams[[#This Row],[relevant]], SUMIFS(Fixtures[RC], Fixtures[userTeam], Teams[[#This Row],[name]]), "")</f>
        <v/>
      </c>
      <c r="Q72" s="13" t="str">
        <f>IF(Teams[[#This Row],[relevant]], IF(ISERROR(AVERAGEIFS(Fixtures[MR], Fixtures[userTeam], Teams[[#This Row],[name]])), 0, AVERAGEIFS(Fixtures[MR], Fixtures[userTeam], Teams[[#This Row],[name]])), "")</f>
        <v/>
      </c>
      <c r="R72" s="1" t="str">
        <f>IF(Teams[[#This Row],[relevant]], COUNTIFS(Fixtures[userTeam], Teams[[#This Row],[name]], Fixtures[MOTM], TRUE), "")</f>
        <v/>
      </c>
      <c r="S72" s="1" t="str" cm="1">
        <f t="array" ref="S72">IF(Teams[[#This Row],[relevant]], _xlfn.TEXTJOIN(", ", TRUE, _xlfn._xlws.FILTER(Stats[competition]&amp;" ("&amp;Stats[season]&amp;")",(Stats[team]=Teams[[#This Row],[name]])*(Stats[result]="Winner"),"")), "")</f>
        <v/>
      </c>
    </row>
    <row r="73" spans="1:19" ht="13" hidden="1">
      <c r="A73" s="1" t="s">
        <v>410</v>
      </c>
      <c r="B73" s="1" t="s">
        <v>410</v>
      </c>
      <c r="C73" s="1" t="s">
        <v>459</v>
      </c>
      <c r="D73" s="1" t="str">
        <f>UPPER(_xlfn.CONCAT(LEFT(Teams[[#This Row],[teamType]], 1), "-", LEFT(SUBSTITUTE(Teams[[#This Row],[nation]], "/", ""), 3), "-", SUBSTITUTE(SUBSTITUTE(SUBSTITUTE(Teams[[#This Row],[name]], ".", ""), " ", ""), "-", "")))</f>
        <v>N-AUS-AUSTRALIA</v>
      </c>
      <c r="E73" s="16"/>
      <c r="F73" s="16"/>
      <c r="G73" s="1" t="b">
        <f>COUNTBLANK(Teams[[#This Row],[startDate]:[endDate]]) &lt; 2</f>
        <v>0</v>
      </c>
      <c r="H73" s="1" t="str">
        <f>IF(Teams[[#This Row],[relevant]], COUNTIFS(Fixtures[userTeam], Teams[[#This Row],[name]], Fixtures[APP], TRUE), "")</f>
        <v/>
      </c>
      <c r="I73" s="1" t="str">
        <f>IF(Teams[[#This Row],[relevant]], COUNTIFS(Fixtures[userTeam], Teams[[#This Row],[name]], Fixtures[result], "W", Fixtures[APP], TRUE), "")</f>
        <v/>
      </c>
      <c r="J73" s="1" t="str">
        <f>IF(Teams[[#This Row],[relevant]], COUNTIFS(Fixtures[userTeam], Teams[[#This Row],[name]], Fixtures[result], "D", Fixtures[APP], TRUE), "")</f>
        <v/>
      </c>
      <c r="K73" s="1" t="str">
        <f>IF(Teams[[#This Row],[relevant]], COUNTIFS(Fixtures[userTeam], Teams[[#This Row],[name]], Fixtures[result], "L", Fixtures[APP], TRUE), "")</f>
        <v/>
      </c>
      <c r="L73" s="1" t="str">
        <f>IF(Teams[[#This Row],[relevant]], SUMIFS(Fixtures[G], Fixtures[userTeam], Teams[[#This Row],[name]]), "")</f>
        <v/>
      </c>
      <c r="M73" s="1" t="str">
        <f>IF(Teams[[#This Row],[relevant]], SUMIFS(Fixtures[A], Fixtures[userTeam], Teams[[#This Row],[name]]), "")</f>
        <v/>
      </c>
      <c r="N73" s="1" t="str">
        <f>IF(Teams[[#This Row],[relevant]], SUMIFS(Fixtures[INV], Fixtures[userTeam], Teams[[#This Row],[name]]), "")</f>
        <v/>
      </c>
      <c r="O73" s="1" t="str">
        <f>IF(Teams[[#This Row],[relevant]], SUMIFS(Fixtures[YC], Fixtures[userTeam], Teams[[#This Row],[name]]), "")</f>
        <v/>
      </c>
      <c r="P73" s="1" t="str">
        <f>IF(Teams[[#This Row],[relevant]], SUMIFS(Fixtures[RC], Fixtures[userTeam], Teams[[#This Row],[name]]), "")</f>
        <v/>
      </c>
      <c r="Q73" s="13" t="str">
        <f>IF(Teams[[#This Row],[relevant]], IF(ISERROR(AVERAGEIFS(Fixtures[MR], Fixtures[userTeam], Teams[[#This Row],[name]])), 0, AVERAGEIFS(Fixtures[MR], Fixtures[userTeam], Teams[[#This Row],[name]])), "")</f>
        <v/>
      </c>
      <c r="R73" s="1" t="str">
        <f>IF(Teams[[#This Row],[relevant]], COUNTIFS(Fixtures[userTeam], Teams[[#This Row],[name]], Fixtures[MOTM], TRUE), "")</f>
        <v/>
      </c>
      <c r="S73" s="1" t="str" cm="1">
        <f t="array" ref="S73">IF(Teams[[#This Row],[relevant]], _xlfn.TEXTJOIN(", ", TRUE, _xlfn._xlws.FILTER(Stats[competition]&amp;" ("&amp;Stats[season]&amp;")",(Stats[team]=Teams[[#This Row],[name]])*(Stats[result]="Winner"),"")), "")</f>
        <v/>
      </c>
    </row>
    <row r="74" spans="1:19" ht="13" hidden="1">
      <c r="A74" s="1" t="s">
        <v>414</v>
      </c>
      <c r="B74" s="1" t="s">
        <v>414</v>
      </c>
      <c r="C74" s="1" t="s">
        <v>459</v>
      </c>
      <c r="D74" s="1" t="str">
        <f>UPPER(_xlfn.CONCAT(LEFT(Teams[[#This Row],[teamType]], 1), "-", LEFT(SUBSTITUTE(Teams[[#This Row],[nation]], "/", ""), 3), "-", SUBSTITUTE(SUBSTITUTE(SUBSTITUTE(Teams[[#This Row],[name]], ".", ""), " ", ""), "-", "")))</f>
        <v>N-AUS-AUSTRIA</v>
      </c>
      <c r="E74" s="16"/>
      <c r="F74" s="16"/>
      <c r="G74" s="1" t="b">
        <f>COUNTBLANK(Teams[[#This Row],[startDate]:[endDate]]) &lt; 2</f>
        <v>0</v>
      </c>
      <c r="H74" s="1" t="str">
        <f>IF(Teams[[#This Row],[relevant]], COUNTIFS(Fixtures[userTeam], Teams[[#This Row],[name]], Fixtures[APP], TRUE), "")</f>
        <v/>
      </c>
      <c r="I74" s="1" t="str">
        <f>IF(Teams[[#This Row],[relevant]], COUNTIFS(Fixtures[userTeam], Teams[[#This Row],[name]], Fixtures[result], "W", Fixtures[APP], TRUE), "")</f>
        <v/>
      </c>
      <c r="J74" s="1" t="str">
        <f>IF(Teams[[#This Row],[relevant]], COUNTIFS(Fixtures[userTeam], Teams[[#This Row],[name]], Fixtures[result], "D", Fixtures[APP], TRUE), "")</f>
        <v/>
      </c>
      <c r="K74" s="1" t="str">
        <f>IF(Teams[[#This Row],[relevant]], COUNTIFS(Fixtures[userTeam], Teams[[#This Row],[name]], Fixtures[result], "L", Fixtures[APP], TRUE), "")</f>
        <v/>
      </c>
      <c r="L74" s="1" t="str">
        <f>IF(Teams[[#This Row],[relevant]], SUMIFS(Fixtures[G], Fixtures[userTeam], Teams[[#This Row],[name]]), "")</f>
        <v/>
      </c>
      <c r="M74" s="1" t="str">
        <f>IF(Teams[[#This Row],[relevant]], SUMIFS(Fixtures[A], Fixtures[userTeam], Teams[[#This Row],[name]]), "")</f>
        <v/>
      </c>
      <c r="N74" s="1" t="str">
        <f>IF(Teams[[#This Row],[relevant]], SUMIFS(Fixtures[INV], Fixtures[userTeam], Teams[[#This Row],[name]]), "")</f>
        <v/>
      </c>
      <c r="O74" s="1" t="str">
        <f>IF(Teams[[#This Row],[relevant]], SUMIFS(Fixtures[YC], Fixtures[userTeam], Teams[[#This Row],[name]]), "")</f>
        <v/>
      </c>
      <c r="P74" s="1" t="str">
        <f>IF(Teams[[#This Row],[relevant]], SUMIFS(Fixtures[RC], Fixtures[userTeam], Teams[[#This Row],[name]]), "")</f>
        <v/>
      </c>
      <c r="Q74" s="13" t="str">
        <f>IF(Teams[[#This Row],[relevant]], IF(ISERROR(AVERAGEIFS(Fixtures[MR], Fixtures[userTeam], Teams[[#This Row],[name]])), 0, AVERAGEIFS(Fixtures[MR], Fixtures[userTeam], Teams[[#This Row],[name]])), "")</f>
        <v/>
      </c>
      <c r="R74" s="1" t="str">
        <f>IF(Teams[[#This Row],[relevant]], COUNTIFS(Fixtures[userTeam], Teams[[#This Row],[name]], Fixtures[MOTM], TRUE), "")</f>
        <v/>
      </c>
      <c r="S74" s="1" t="str" cm="1">
        <f t="array" ref="S74">IF(Teams[[#This Row],[relevant]], _xlfn.TEXTJOIN(", ", TRUE, _xlfn._xlws.FILTER(Stats[competition]&amp;" ("&amp;Stats[season]&amp;")",(Stats[team]=Teams[[#This Row],[name]])*(Stats[result]="Winner"),"")), "")</f>
        <v/>
      </c>
    </row>
    <row r="75" spans="1:19" ht="13" hidden="1">
      <c r="A75" s="1" t="s">
        <v>481</v>
      </c>
      <c r="B75" s="1" t="s">
        <v>414</v>
      </c>
      <c r="C75" s="1" t="s">
        <v>391</v>
      </c>
      <c r="D75" s="1" t="str">
        <f>UPPER(_xlfn.CONCAT(LEFT(Teams[[#This Row],[teamType]], 1), "-", LEFT(SUBSTITUTE(Teams[[#This Row],[nation]], "/", ""), 3), "-", SUBSTITUTE(SUBSTITUTE(SUBSTITUTE(Teams[[#This Row],[name]], ".", ""), " ", ""), "-", "")))</f>
        <v>C-AUS-AUSTRIAKLAGENFURT</v>
      </c>
      <c r="E75" s="16"/>
      <c r="F75" s="16"/>
      <c r="G75" s="1" t="b">
        <f>COUNTBLANK(Teams[[#This Row],[startDate]:[endDate]]) &lt; 2</f>
        <v>0</v>
      </c>
      <c r="H75" s="1" t="str">
        <f>IF(Teams[[#This Row],[relevant]], COUNTIFS(Fixtures[userTeam], Teams[[#This Row],[name]], Fixtures[APP], TRUE), "")</f>
        <v/>
      </c>
      <c r="I75" s="1" t="str">
        <f>IF(Teams[[#This Row],[relevant]], COUNTIFS(Fixtures[userTeam], Teams[[#This Row],[name]], Fixtures[result], "W", Fixtures[APP], TRUE), "")</f>
        <v/>
      </c>
      <c r="J75" s="1" t="str">
        <f>IF(Teams[[#This Row],[relevant]], COUNTIFS(Fixtures[userTeam], Teams[[#This Row],[name]], Fixtures[result], "D", Fixtures[APP], TRUE), "")</f>
        <v/>
      </c>
      <c r="K75" s="1" t="str">
        <f>IF(Teams[[#This Row],[relevant]], COUNTIFS(Fixtures[userTeam], Teams[[#This Row],[name]], Fixtures[result], "L", Fixtures[APP], TRUE), "")</f>
        <v/>
      </c>
      <c r="L75" s="1" t="str">
        <f>IF(Teams[[#This Row],[relevant]], SUMIFS(Fixtures[G], Fixtures[userTeam], Teams[[#This Row],[name]]), "")</f>
        <v/>
      </c>
      <c r="M75" s="1" t="str">
        <f>IF(Teams[[#This Row],[relevant]], SUMIFS(Fixtures[A], Fixtures[userTeam], Teams[[#This Row],[name]]), "")</f>
        <v/>
      </c>
      <c r="N75" s="1" t="str">
        <f>IF(Teams[[#This Row],[relevant]], SUMIFS(Fixtures[INV], Fixtures[userTeam], Teams[[#This Row],[name]]), "")</f>
        <v/>
      </c>
      <c r="O75" s="1" t="str">
        <f>IF(Teams[[#This Row],[relevant]], SUMIFS(Fixtures[YC], Fixtures[userTeam], Teams[[#This Row],[name]]), "")</f>
        <v/>
      </c>
      <c r="P75" s="1" t="str">
        <f>IF(Teams[[#This Row],[relevant]], SUMIFS(Fixtures[RC], Fixtures[userTeam], Teams[[#This Row],[name]]), "")</f>
        <v/>
      </c>
      <c r="Q75" s="13" t="str">
        <f>IF(Teams[[#This Row],[relevant]], IF(ISERROR(AVERAGEIFS(Fixtures[MR], Fixtures[userTeam], Teams[[#This Row],[name]])), 0, AVERAGEIFS(Fixtures[MR], Fixtures[userTeam], Teams[[#This Row],[name]])), "")</f>
        <v/>
      </c>
      <c r="R75" s="1" t="str">
        <f>IF(Teams[[#This Row],[relevant]], COUNTIFS(Fixtures[userTeam], Teams[[#This Row],[name]], Fixtures[MOTM], TRUE), "")</f>
        <v/>
      </c>
      <c r="S75" s="1" t="str" cm="1">
        <f t="array" ref="S75">IF(Teams[[#This Row],[relevant]], _xlfn.TEXTJOIN(", ", TRUE, _xlfn._xlws.FILTER(Stats[competition]&amp;" ("&amp;Stats[season]&amp;")",(Stats[team]=Teams[[#This Row],[name]])*(Stats[result]="Winner"),"")), "")</f>
        <v/>
      </c>
    </row>
    <row r="76" spans="1:19" ht="13" hidden="1">
      <c r="A76" s="1" t="s">
        <v>482</v>
      </c>
      <c r="B76" s="1" t="s">
        <v>445</v>
      </c>
      <c r="C76" s="1" t="s">
        <v>391</v>
      </c>
      <c r="D76" s="1" t="str">
        <f>UPPER(_xlfn.CONCAT(LEFT(Teams[[#This Row],[teamType]], 1), "-", LEFT(SUBSTITUTE(Teams[[#This Row],[nation]], "/", ""), 3), "-", SUBSTITUTE(SUBSTITUTE(SUBSTITUTE(Teams[[#This Row],[name]], ".", ""), " ", ""), "-", "")))</f>
        <v>C-PER-AYACUCHO</v>
      </c>
      <c r="E76" s="16"/>
      <c r="F76" s="16"/>
      <c r="G76" s="1" t="b">
        <f>COUNTBLANK(Teams[[#This Row],[startDate]:[endDate]]) &lt; 2</f>
        <v>0</v>
      </c>
      <c r="H76" s="1" t="str">
        <f>IF(Teams[[#This Row],[relevant]], COUNTIFS(Fixtures[userTeam], Teams[[#This Row],[name]], Fixtures[APP], TRUE), "")</f>
        <v/>
      </c>
      <c r="I76" s="1" t="str">
        <f>IF(Teams[[#This Row],[relevant]], COUNTIFS(Fixtures[userTeam], Teams[[#This Row],[name]], Fixtures[result], "W", Fixtures[APP], TRUE), "")</f>
        <v/>
      </c>
      <c r="J76" s="1" t="str">
        <f>IF(Teams[[#This Row],[relevant]], COUNTIFS(Fixtures[userTeam], Teams[[#This Row],[name]], Fixtures[result], "D", Fixtures[APP], TRUE), "")</f>
        <v/>
      </c>
      <c r="K76" s="1" t="str">
        <f>IF(Teams[[#This Row],[relevant]], COUNTIFS(Fixtures[userTeam], Teams[[#This Row],[name]], Fixtures[result], "L", Fixtures[APP], TRUE), "")</f>
        <v/>
      </c>
      <c r="L76" s="1" t="str">
        <f>IF(Teams[[#This Row],[relevant]], SUMIFS(Fixtures[G], Fixtures[userTeam], Teams[[#This Row],[name]]), "")</f>
        <v/>
      </c>
      <c r="M76" s="1" t="str">
        <f>IF(Teams[[#This Row],[relevant]], SUMIFS(Fixtures[A], Fixtures[userTeam], Teams[[#This Row],[name]]), "")</f>
        <v/>
      </c>
      <c r="N76" s="1" t="str">
        <f>IF(Teams[[#This Row],[relevant]], SUMIFS(Fixtures[INV], Fixtures[userTeam], Teams[[#This Row],[name]]), "")</f>
        <v/>
      </c>
      <c r="O76" s="1" t="str">
        <f>IF(Teams[[#This Row],[relevant]], SUMIFS(Fixtures[YC], Fixtures[userTeam], Teams[[#This Row],[name]]), "")</f>
        <v/>
      </c>
      <c r="P76" s="1" t="str">
        <f>IF(Teams[[#This Row],[relevant]], SUMIFS(Fixtures[RC], Fixtures[userTeam], Teams[[#This Row],[name]]), "")</f>
        <v/>
      </c>
      <c r="Q76" s="13" t="str">
        <f>IF(Teams[[#This Row],[relevant]], IF(ISERROR(AVERAGEIFS(Fixtures[MR], Fixtures[userTeam], Teams[[#This Row],[name]])), 0, AVERAGEIFS(Fixtures[MR], Fixtures[userTeam], Teams[[#This Row],[name]])), "")</f>
        <v/>
      </c>
      <c r="R76" s="1" t="str">
        <f>IF(Teams[[#This Row],[relevant]], COUNTIFS(Fixtures[userTeam], Teams[[#This Row],[name]], Fixtures[MOTM], TRUE), "")</f>
        <v/>
      </c>
      <c r="S76" s="1" t="str" cm="1">
        <f t="array" ref="S76">IF(Teams[[#This Row],[relevant]], _xlfn.TEXTJOIN(", ", TRUE, _xlfn._xlws.FILTER(Stats[competition]&amp;" ("&amp;Stats[season]&amp;")",(Stats[team]=Teams[[#This Row],[name]])*(Stats[result]="Winner"),"")), "")</f>
        <v/>
      </c>
    </row>
    <row r="77" spans="1:19" ht="13" hidden="1">
      <c r="A77" s="1" t="s">
        <v>483</v>
      </c>
      <c r="B77" s="1" t="s">
        <v>425</v>
      </c>
      <c r="C77" s="1" t="s">
        <v>391</v>
      </c>
      <c r="D77" s="1" t="str">
        <f>UPPER(_xlfn.CONCAT(LEFT(Teams[[#This Row],[teamType]], 1), "-", LEFT(SUBSTITUTE(Teams[[#This Row],[nation]], "/", ""), 3), "-", SUBSTITUTE(SUBSTITUTE(SUBSTITUTE(Teams[[#This Row],[name]], ".", ""), " ", ""), "-", "")))</f>
        <v>C-NET-AZ</v>
      </c>
      <c r="E77" s="16"/>
      <c r="F77" s="16"/>
      <c r="G77" s="1" t="b">
        <f>COUNTBLANK(Teams[[#This Row],[startDate]:[endDate]]) &lt; 2</f>
        <v>0</v>
      </c>
      <c r="H77" s="1" t="str">
        <f>IF(Teams[[#This Row],[relevant]], COUNTIFS(Fixtures[userTeam], Teams[[#This Row],[name]], Fixtures[APP], TRUE), "")</f>
        <v/>
      </c>
      <c r="I77" s="1" t="str">
        <f>IF(Teams[[#This Row],[relevant]], COUNTIFS(Fixtures[userTeam], Teams[[#This Row],[name]], Fixtures[result], "W", Fixtures[APP], TRUE), "")</f>
        <v/>
      </c>
      <c r="J77" s="1" t="str">
        <f>IF(Teams[[#This Row],[relevant]], COUNTIFS(Fixtures[userTeam], Teams[[#This Row],[name]], Fixtures[result], "D", Fixtures[APP], TRUE), "")</f>
        <v/>
      </c>
      <c r="K77" s="1" t="str">
        <f>IF(Teams[[#This Row],[relevant]], COUNTIFS(Fixtures[userTeam], Teams[[#This Row],[name]], Fixtures[result], "L", Fixtures[APP], TRUE), "")</f>
        <v/>
      </c>
      <c r="L77" s="1" t="str">
        <f>IF(Teams[[#This Row],[relevant]], SUMIFS(Fixtures[G], Fixtures[userTeam], Teams[[#This Row],[name]]), "")</f>
        <v/>
      </c>
      <c r="M77" s="1" t="str">
        <f>IF(Teams[[#This Row],[relevant]], SUMIFS(Fixtures[A], Fixtures[userTeam], Teams[[#This Row],[name]]), "")</f>
        <v/>
      </c>
      <c r="N77" s="1" t="str">
        <f>IF(Teams[[#This Row],[relevant]], SUMIFS(Fixtures[INV], Fixtures[userTeam], Teams[[#This Row],[name]]), "")</f>
        <v/>
      </c>
      <c r="O77" s="1" t="str">
        <f>IF(Teams[[#This Row],[relevant]], SUMIFS(Fixtures[YC], Fixtures[userTeam], Teams[[#This Row],[name]]), "")</f>
        <v/>
      </c>
      <c r="P77" s="1" t="str">
        <f>IF(Teams[[#This Row],[relevant]], SUMIFS(Fixtures[RC], Fixtures[userTeam], Teams[[#This Row],[name]]), "")</f>
        <v/>
      </c>
      <c r="Q77" s="13" t="str">
        <f>IF(Teams[[#This Row],[relevant]], IF(ISERROR(AVERAGEIFS(Fixtures[MR], Fixtures[userTeam], Teams[[#This Row],[name]])), 0, AVERAGEIFS(Fixtures[MR], Fixtures[userTeam], Teams[[#This Row],[name]])), "")</f>
        <v/>
      </c>
      <c r="R77" s="1" t="str">
        <f>IF(Teams[[#This Row],[relevant]], COUNTIFS(Fixtures[userTeam], Teams[[#This Row],[name]], Fixtures[MOTM], TRUE), "")</f>
        <v/>
      </c>
      <c r="S77" s="1" t="str" cm="1">
        <f t="array" ref="S77">IF(Teams[[#This Row],[relevant]], _xlfn.TEXTJOIN(", ", TRUE, _xlfn._xlws.FILTER(Stats[competition]&amp;" ("&amp;Stats[season]&amp;")",(Stats[team]=Teams[[#This Row],[name]])*(Stats[result]="Winner"),"")), "")</f>
        <v/>
      </c>
    </row>
    <row r="78" spans="1:19" ht="13" hidden="1">
      <c r="A78" s="1" t="s">
        <v>484</v>
      </c>
      <c r="B78" s="1" t="s">
        <v>337</v>
      </c>
      <c r="C78" s="1" t="s">
        <v>391</v>
      </c>
      <c r="D78" s="1" t="str">
        <f>UPPER(_xlfn.CONCAT(LEFT(Teams[[#This Row],[teamType]], 1), "-", LEFT(SUBSTITUTE(Teams[[#This Row],[nation]], "/", ""), 3), "-", SUBSTITUTE(SUBSTITUTE(SUBSTITUTE(Teams[[#This Row],[name]], ".", ""), " ", ""), "-", "")))</f>
        <v>C-GER-BDORTMUNDII</v>
      </c>
      <c r="E78" s="16"/>
      <c r="F78" s="16"/>
      <c r="G78" s="1" t="b">
        <f>COUNTBLANK(Teams[[#This Row],[startDate]:[endDate]]) &lt; 2</f>
        <v>0</v>
      </c>
      <c r="H78" s="1" t="str">
        <f>IF(Teams[[#This Row],[relevant]], COUNTIFS(Fixtures[userTeam], Teams[[#This Row],[name]], Fixtures[APP], TRUE), "")</f>
        <v/>
      </c>
      <c r="I78" s="1" t="str">
        <f>IF(Teams[[#This Row],[relevant]], COUNTIFS(Fixtures[userTeam], Teams[[#This Row],[name]], Fixtures[result], "W", Fixtures[APP], TRUE), "")</f>
        <v/>
      </c>
      <c r="J78" s="1" t="str">
        <f>IF(Teams[[#This Row],[relevant]], COUNTIFS(Fixtures[userTeam], Teams[[#This Row],[name]], Fixtures[result], "D", Fixtures[APP], TRUE), "")</f>
        <v/>
      </c>
      <c r="K78" s="1" t="str">
        <f>IF(Teams[[#This Row],[relevant]], COUNTIFS(Fixtures[userTeam], Teams[[#This Row],[name]], Fixtures[result], "L", Fixtures[APP], TRUE), "")</f>
        <v/>
      </c>
      <c r="L78" s="1" t="str">
        <f>IF(Teams[[#This Row],[relevant]], SUMIFS(Fixtures[G], Fixtures[userTeam], Teams[[#This Row],[name]]), "")</f>
        <v/>
      </c>
      <c r="M78" s="1" t="str">
        <f>IF(Teams[[#This Row],[relevant]], SUMIFS(Fixtures[A], Fixtures[userTeam], Teams[[#This Row],[name]]), "")</f>
        <v/>
      </c>
      <c r="N78" s="1" t="str">
        <f>IF(Teams[[#This Row],[relevant]], SUMIFS(Fixtures[INV], Fixtures[userTeam], Teams[[#This Row],[name]]), "")</f>
        <v/>
      </c>
      <c r="O78" s="1" t="str">
        <f>IF(Teams[[#This Row],[relevant]], SUMIFS(Fixtures[YC], Fixtures[userTeam], Teams[[#This Row],[name]]), "")</f>
        <v/>
      </c>
      <c r="P78" s="1" t="str">
        <f>IF(Teams[[#This Row],[relevant]], SUMIFS(Fixtures[RC], Fixtures[userTeam], Teams[[#This Row],[name]]), "")</f>
        <v/>
      </c>
      <c r="Q78" s="13" t="str">
        <f>IF(Teams[[#This Row],[relevant]], IF(ISERROR(AVERAGEIFS(Fixtures[MR], Fixtures[userTeam], Teams[[#This Row],[name]])), 0, AVERAGEIFS(Fixtures[MR], Fixtures[userTeam], Teams[[#This Row],[name]])), "")</f>
        <v/>
      </c>
      <c r="R78" s="1" t="str">
        <f>IF(Teams[[#This Row],[relevant]], COUNTIFS(Fixtures[userTeam], Teams[[#This Row],[name]], Fixtures[MOTM], TRUE), "")</f>
        <v/>
      </c>
      <c r="S78" s="1" t="str" cm="1">
        <f t="array" ref="S78">IF(Teams[[#This Row],[relevant]], _xlfn.TEXTJOIN(", ", TRUE, _xlfn._xlws.FILTER(Stats[competition]&amp;" ("&amp;Stats[season]&amp;")",(Stats[team]=Teams[[#This Row],[name]])*(Stats[result]="Winner"),"")), "")</f>
        <v/>
      </c>
    </row>
    <row r="79" spans="1:19" ht="13" hidden="1">
      <c r="A79" s="1" t="s">
        <v>485</v>
      </c>
      <c r="B79" s="1" t="s">
        <v>131</v>
      </c>
      <c r="C79" s="1" t="s">
        <v>391</v>
      </c>
      <c r="D79" s="1" t="str">
        <f>UPPER(_xlfn.CONCAT(LEFT(Teams[[#This Row],[teamType]], 1), "-", LEFT(SUBSTITUTE(Teams[[#This Row],[nation]], "/", ""), 3), "-", SUBSTITUTE(SUBSTITUTE(SUBSTITUTE(Teams[[#This Row],[name]], ".", ""), " ", ""), "-", "")))</f>
        <v>C-ARG-BANFIELD</v>
      </c>
      <c r="E79" s="16"/>
      <c r="F79" s="16"/>
      <c r="G79" s="1" t="b">
        <f>COUNTBLANK(Teams[[#This Row],[startDate]:[endDate]]) &lt; 2</f>
        <v>0</v>
      </c>
      <c r="H79" s="1" t="str">
        <f>IF(Teams[[#This Row],[relevant]], COUNTIFS(Fixtures[userTeam], Teams[[#This Row],[name]], Fixtures[APP], TRUE), "")</f>
        <v/>
      </c>
      <c r="I79" s="1" t="str">
        <f>IF(Teams[[#This Row],[relevant]], COUNTIFS(Fixtures[userTeam], Teams[[#This Row],[name]], Fixtures[result], "W", Fixtures[APP], TRUE), "")</f>
        <v/>
      </c>
      <c r="J79" s="1" t="str">
        <f>IF(Teams[[#This Row],[relevant]], COUNTIFS(Fixtures[userTeam], Teams[[#This Row],[name]], Fixtures[result], "D", Fixtures[APP], TRUE), "")</f>
        <v/>
      </c>
      <c r="K79" s="1" t="str">
        <f>IF(Teams[[#This Row],[relevant]], COUNTIFS(Fixtures[userTeam], Teams[[#This Row],[name]], Fixtures[result], "L", Fixtures[APP], TRUE), "")</f>
        <v/>
      </c>
      <c r="L79" s="1" t="str">
        <f>IF(Teams[[#This Row],[relevant]], SUMIFS(Fixtures[G], Fixtures[userTeam], Teams[[#This Row],[name]]), "")</f>
        <v/>
      </c>
      <c r="M79" s="1" t="str">
        <f>IF(Teams[[#This Row],[relevant]], SUMIFS(Fixtures[A], Fixtures[userTeam], Teams[[#This Row],[name]]), "")</f>
        <v/>
      </c>
      <c r="N79" s="1" t="str">
        <f>IF(Teams[[#This Row],[relevant]], SUMIFS(Fixtures[INV], Fixtures[userTeam], Teams[[#This Row],[name]]), "")</f>
        <v/>
      </c>
      <c r="O79" s="1" t="str">
        <f>IF(Teams[[#This Row],[relevant]], SUMIFS(Fixtures[YC], Fixtures[userTeam], Teams[[#This Row],[name]]), "")</f>
        <v/>
      </c>
      <c r="P79" s="1" t="str">
        <f>IF(Teams[[#This Row],[relevant]], SUMIFS(Fixtures[RC], Fixtures[userTeam], Teams[[#This Row],[name]]), "")</f>
        <v/>
      </c>
      <c r="Q79" s="13" t="str">
        <f>IF(Teams[[#This Row],[relevant]], IF(ISERROR(AVERAGEIFS(Fixtures[MR], Fixtures[userTeam], Teams[[#This Row],[name]])), 0, AVERAGEIFS(Fixtures[MR], Fixtures[userTeam], Teams[[#This Row],[name]])), "")</f>
        <v/>
      </c>
      <c r="R79" s="1" t="str">
        <f>IF(Teams[[#This Row],[relevant]], COUNTIFS(Fixtures[userTeam], Teams[[#This Row],[name]], Fixtures[MOTM], TRUE), "")</f>
        <v/>
      </c>
      <c r="S79" s="1" t="str" cm="1">
        <f t="array" ref="S79">IF(Teams[[#This Row],[relevant]], _xlfn.TEXTJOIN(", ", TRUE, _xlfn._xlws.FILTER(Stats[competition]&amp;" ("&amp;Stats[season]&amp;")",(Stats[team]=Teams[[#This Row],[name]])*(Stats[result]="Winner"),"")), "")</f>
        <v/>
      </c>
    </row>
    <row r="80" spans="1:19" ht="13" hidden="1">
      <c r="A80" s="1" t="s">
        <v>486</v>
      </c>
      <c r="B80" s="1" t="s">
        <v>396</v>
      </c>
      <c r="C80" s="1" t="s">
        <v>391</v>
      </c>
      <c r="D80" s="1" t="str">
        <f>UPPER(_xlfn.CONCAT(LEFT(Teams[[#This Row],[teamType]], 1), "-", LEFT(SUBSTITUTE(Teams[[#This Row],[nation]], "/", ""), 3), "-", SUBSTITUTE(SUBSTITUTE(SUBSTITUTE(Teams[[#This Row],[name]], ".", ""), " ", ""), "-", "")))</f>
        <v>C-ECU-BARCELONASC</v>
      </c>
      <c r="E80" s="16"/>
      <c r="F80" s="16"/>
      <c r="G80" s="1" t="b">
        <f>COUNTBLANK(Teams[[#This Row],[startDate]:[endDate]]) &lt; 2</f>
        <v>0</v>
      </c>
      <c r="H80" s="1" t="str">
        <f>IF(Teams[[#This Row],[relevant]], COUNTIFS(Fixtures[userTeam], Teams[[#This Row],[name]], Fixtures[APP], TRUE), "")</f>
        <v/>
      </c>
      <c r="I80" s="1" t="str">
        <f>IF(Teams[[#This Row],[relevant]], COUNTIFS(Fixtures[userTeam], Teams[[#This Row],[name]], Fixtures[result], "W", Fixtures[APP], TRUE), "")</f>
        <v/>
      </c>
      <c r="J80" s="1" t="str">
        <f>IF(Teams[[#This Row],[relevant]], COUNTIFS(Fixtures[userTeam], Teams[[#This Row],[name]], Fixtures[result], "D", Fixtures[APP], TRUE), "")</f>
        <v/>
      </c>
      <c r="K80" s="1" t="str">
        <f>IF(Teams[[#This Row],[relevant]], COUNTIFS(Fixtures[userTeam], Teams[[#This Row],[name]], Fixtures[result], "L", Fixtures[APP], TRUE), "")</f>
        <v/>
      </c>
      <c r="L80" s="1" t="str">
        <f>IF(Teams[[#This Row],[relevant]], SUMIFS(Fixtures[G], Fixtures[userTeam], Teams[[#This Row],[name]]), "")</f>
        <v/>
      </c>
      <c r="M80" s="1" t="str">
        <f>IF(Teams[[#This Row],[relevant]], SUMIFS(Fixtures[A], Fixtures[userTeam], Teams[[#This Row],[name]]), "")</f>
        <v/>
      </c>
      <c r="N80" s="1" t="str">
        <f>IF(Teams[[#This Row],[relevant]], SUMIFS(Fixtures[INV], Fixtures[userTeam], Teams[[#This Row],[name]]), "")</f>
        <v/>
      </c>
      <c r="O80" s="1" t="str">
        <f>IF(Teams[[#This Row],[relevant]], SUMIFS(Fixtures[YC], Fixtures[userTeam], Teams[[#This Row],[name]]), "")</f>
        <v/>
      </c>
      <c r="P80" s="1" t="str">
        <f>IF(Teams[[#This Row],[relevant]], SUMIFS(Fixtures[RC], Fixtures[userTeam], Teams[[#This Row],[name]]), "")</f>
        <v/>
      </c>
      <c r="Q80" s="13" t="str">
        <f>IF(Teams[[#This Row],[relevant]], IF(ISERROR(AVERAGEIFS(Fixtures[MR], Fixtures[userTeam], Teams[[#This Row],[name]])), 0, AVERAGEIFS(Fixtures[MR], Fixtures[userTeam], Teams[[#This Row],[name]])), "")</f>
        <v/>
      </c>
      <c r="R80" s="1" t="str">
        <f>IF(Teams[[#This Row],[relevant]], COUNTIFS(Fixtures[userTeam], Teams[[#This Row],[name]], Fixtures[MOTM], TRUE), "")</f>
        <v/>
      </c>
      <c r="S80" s="1" t="str" cm="1">
        <f t="array" ref="S80">IF(Teams[[#This Row],[relevant]], _xlfn.TEXTJOIN(", ", TRUE, _xlfn._xlws.FILTER(Stats[competition]&amp;" ("&amp;Stats[season]&amp;")",(Stats[team]=Teams[[#This Row],[name]])*(Stats[result]="Winner"),"")), "")</f>
        <v/>
      </c>
    </row>
    <row r="81" spans="1:19" ht="13" hidden="1">
      <c r="A81" s="1" t="s">
        <v>487</v>
      </c>
      <c r="B81" s="1" t="s">
        <v>254</v>
      </c>
      <c r="C81" s="1" t="s">
        <v>391</v>
      </c>
      <c r="D81" s="1" t="str">
        <f>UPPER(_xlfn.CONCAT(LEFT(Teams[[#This Row],[teamType]], 1), "-", LEFT(SUBSTITUTE(Teams[[#This Row],[nation]], "/", ""), 3), "-", SUBSTITUTE(SUBSTITUTE(SUBSTITUTE(Teams[[#This Row],[name]], ".", ""), " ", ""), "-", "")))</f>
        <v>C-ITA-BARI</v>
      </c>
      <c r="E81" s="16"/>
      <c r="F81" s="16"/>
      <c r="G81" s="1" t="b">
        <f>COUNTBLANK(Teams[[#This Row],[startDate]:[endDate]]) &lt; 2</f>
        <v>0</v>
      </c>
      <c r="H81" s="1" t="str">
        <f>IF(Teams[[#This Row],[relevant]], COUNTIFS(Fixtures[userTeam], Teams[[#This Row],[name]], Fixtures[APP], TRUE), "")</f>
        <v/>
      </c>
      <c r="I81" s="1" t="str">
        <f>IF(Teams[[#This Row],[relevant]], COUNTIFS(Fixtures[userTeam], Teams[[#This Row],[name]], Fixtures[result], "W", Fixtures[APP], TRUE), "")</f>
        <v/>
      </c>
      <c r="J81" s="1" t="str">
        <f>IF(Teams[[#This Row],[relevant]], COUNTIFS(Fixtures[userTeam], Teams[[#This Row],[name]], Fixtures[result], "D", Fixtures[APP], TRUE), "")</f>
        <v/>
      </c>
      <c r="K81" s="1" t="str">
        <f>IF(Teams[[#This Row],[relevant]], COUNTIFS(Fixtures[userTeam], Teams[[#This Row],[name]], Fixtures[result], "L", Fixtures[APP], TRUE), "")</f>
        <v/>
      </c>
      <c r="L81" s="1" t="str">
        <f>IF(Teams[[#This Row],[relevant]], SUMIFS(Fixtures[G], Fixtures[userTeam], Teams[[#This Row],[name]]), "")</f>
        <v/>
      </c>
      <c r="M81" s="1" t="str">
        <f>IF(Teams[[#This Row],[relevant]], SUMIFS(Fixtures[A], Fixtures[userTeam], Teams[[#This Row],[name]]), "")</f>
        <v/>
      </c>
      <c r="N81" s="1" t="str">
        <f>IF(Teams[[#This Row],[relevant]], SUMIFS(Fixtures[INV], Fixtures[userTeam], Teams[[#This Row],[name]]), "")</f>
        <v/>
      </c>
      <c r="O81" s="1" t="str">
        <f>IF(Teams[[#This Row],[relevant]], SUMIFS(Fixtures[YC], Fixtures[userTeam], Teams[[#This Row],[name]]), "")</f>
        <v/>
      </c>
      <c r="P81" s="1" t="str">
        <f>IF(Teams[[#This Row],[relevant]], SUMIFS(Fixtures[RC], Fixtures[userTeam], Teams[[#This Row],[name]]), "")</f>
        <v/>
      </c>
      <c r="Q81" s="13" t="str">
        <f>IF(Teams[[#This Row],[relevant]], IF(ISERROR(AVERAGEIFS(Fixtures[MR], Fixtures[userTeam], Teams[[#This Row],[name]])), 0, AVERAGEIFS(Fixtures[MR], Fixtures[userTeam], Teams[[#This Row],[name]])), "")</f>
        <v/>
      </c>
      <c r="R81" s="1" t="str">
        <f>IF(Teams[[#This Row],[relevant]], COUNTIFS(Fixtures[userTeam], Teams[[#This Row],[name]], Fixtures[MOTM], TRUE), "")</f>
        <v/>
      </c>
      <c r="S81" s="1" t="str" cm="1">
        <f t="array" ref="S81">IF(Teams[[#This Row],[relevant]], _xlfn.TEXTJOIN(", ", TRUE, _xlfn._xlws.FILTER(Stats[competition]&amp;" ("&amp;Stats[season]&amp;")",(Stats[team]=Teams[[#This Row],[name]])*(Stats[result]="Winner"),"")), "")</f>
        <v/>
      </c>
    </row>
    <row r="82" spans="1:19" ht="13" hidden="1">
      <c r="A82" s="1" t="s">
        <v>488</v>
      </c>
      <c r="B82" s="1" t="s">
        <v>152</v>
      </c>
      <c r="C82" s="1" t="s">
        <v>391</v>
      </c>
      <c r="D82" s="1" t="str">
        <f>UPPER(_xlfn.CONCAT(LEFT(Teams[[#This Row],[teamType]], 1), "-", LEFT(SUBSTITUTE(Teams[[#This Row],[nation]], "/", ""), 3), "-", SUBSTITUTE(SUBSTITUTE(SUBSTITUTE(Teams[[#This Row],[name]], ".", ""), " ", ""), "-", "")))</f>
        <v>C-ENG-BARNSLEY</v>
      </c>
      <c r="E82" s="16"/>
      <c r="F82" s="16"/>
      <c r="G82" s="1" t="b">
        <f>COUNTBLANK(Teams[[#This Row],[startDate]:[endDate]]) &lt; 2</f>
        <v>0</v>
      </c>
      <c r="H82" s="1" t="str">
        <f>IF(Teams[[#This Row],[relevant]], COUNTIFS(Fixtures[userTeam], Teams[[#This Row],[name]], Fixtures[APP], TRUE), "")</f>
        <v/>
      </c>
      <c r="I82" s="1" t="str">
        <f>IF(Teams[[#This Row],[relevant]], COUNTIFS(Fixtures[userTeam], Teams[[#This Row],[name]], Fixtures[result], "W", Fixtures[APP], TRUE), "")</f>
        <v/>
      </c>
      <c r="J82" s="1" t="str">
        <f>IF(Teams[[#This Row],[relevant]], COUNTIFS(Fixtures[userTeam], Teams[[#This Row],[name]], Fixtures[result], "D", Fixtures[APP], TRUE), "")</f>
        <v/>
      </c>
      <c r="K82" s="1" t="str">
        <f>IF(Teams[[#This Row],[relevant]], COUNTIFS(Fixtures[userTeam], Teams[[#This Row],[name]], Fixtures[result], "L", Fixtures[APP], TRUE), "")</f>
        <v/>
      </c>
      <c r="L82" s="1" t="str">
        <f>IF(Teams[[#This Row],[relevant]], SUMIFS(Fixtures[G], Fixtures[userTeam], Teams[[#This Row],[name]]), "")</f>
        <v/>
      </c>
      <c r="M82" s="1" t="str">
        <f>IF(Teams[[#This Row],[relevant]], SUMIFS(Fixtures[A], Fixtures[userTeam], Teams[[#This Row],[name]]), "")</f>
        <v/>
      </c>
      <c r="N82" s="1" t="str">
        <f>IF(Teams[[#This Row],[relevant]], SUMIFS(Fixtures[INV], Fixtures[userTeam], Teams[[#This Row],[name]]), "")</f>
        <v/>
      </c>
      <c r="O82" s="1" t="str">
        <f>IF(Teams[[#This Row],[relevant]], SUMIFS(Fixtures[YC], Fixtures[userTeam], Teams[[#This Row],[name]]), "")</f>
        <v/>
      </c>
      <c r="P82" s="1" t="str">
        <f>IF(Teams[[#This Row],[relevant]], SUMIFS(Fixtures[RC], Fixtures[userTeam], Teams[[#This Row],[name]]), "")</f>
        <v/>
      </c>
      <c r="Q82" s="13" t="str">
        <f>IF(Teams[[#This Row],[relevant]], IF(ISERROR(AVERAGEIFS(Fixtures[MR], Fixtures[userTeam], Teams[[#This Row],[name]])), 0, AVERAGEIFS(Fixtures[MR], Fixtures[userTeam], Teams[[#This Row],[name]])), "")</f>
        <v/>
      </c>
      <c r="R82" s="1" t="str">
        <f>IF(Teams[[#This Row],[relevant]], COUNTIFS(Fixtures[userTeam], Teams[[#This Row],[name]], Fixtures[MOTM], TRUE), "")</f>
        <v/>
      </c>
      <c r="S82" s="1" t="str" cm="1">
        <f t="array" ref="S82">IF(Teams[[#This Row],[relevant]], _xlfn.TEXTJOIN(", ", TRUE, _xlfn._xlws.FILTER(Stats[competition]&amp;" ("&amp;Stats[season]&amp;")",(Stats[team]=Teams[[#This Row],[name]])*(Stats[result]="Winner"),"")), "")</f>
        <v/>
      </c>
    </row>
    <row r="83" spans="1:19" ht="13" hidden="1">
      <c r="A83" s="1" t="s">
        <v>489</v>
      </c>
      <c r="B83" s="1" t="s">
        <v>131</v>
      </c>
      <c r="C83" s="1" t="s">
        <v>391</v>
      </c>
      <c r="D83" s="1" t="str">
        <f>UPPER(_xlfn.CONCAT(LEFT(Teams[[#This Row],[teamType]], 1), "-", LEFT(SUBSTITUTE(Teams[[#This Row],[nation]], "/", ""), 3), "-", SUBSTITUTE(SUBSTITUTE(SUBSTITUTE(Teams[[#This Row],[name]], ".", ""), " ", ""), "-", "")))</f>
        <v>C-ARG-BARRACASCENTRAL</v>
      </c>
      <c r="E83" s="16"/>
      <c r="F83" s="16"/>
      <c r="G83" s="1" t="b">
        <f>COUNTBLANK(Teams[[#This Row],[startDate]:[endDate]]) &lt; 2</f>
        <v>0</v>
      </c>
      <c r="H83" s="1" t="str">
        <f>IF(Teams[[#This Row],[relevant]], COUNTIFS(Fixtures[userTeam], Teams[[#This Row],[name]], Fixtures[APP], TRUE), "")</f>
        <v/>
      </c>
      <c r="I83" s="1" t="str">
        <f>IF(Teams[[#This Row],[relevant]], COUNTIFS(Fixtures[userTeam], Teams[[#This Row],[name]], Fixtures[result], "W", Fixtures[APP], TRUE), "")</f>
        <v/>
      </c>
      <c r="J83" s="1" t="str">
        <f>IF(Teams[[#This Row],[relevant]], COUNTIFS(Fixtures[userTeam], Teams[[#This Row],[name]], Fixtures[result], "D", Fixtures[APP], TRUE), "")</f>
        <v/>
      </c>
      <c r="K83" s="1" t="str">
        <f>IF(Teams[[#This Row],[relevant]], COUNTIFS(Fixtures[userTeam], Teams[[#This Row],[name]], Fixtures[result], "L", Fixtures[APP], TRUE), "")</f>
        <v/>
      </c>
      <c r="L83" s="1" t="str">
        <f>IF(Teams[[#This Row],[relevant]], SUMIFS(Fixtures[G], Fixtures[userTeam], Teams[[#This Row],[name]]), "")</f>
        <v/>
      </c>
      <c r="M83" s="1" t="str">
        <f>IF(Teams[[#This Row],[relevant]], SUMIFS(Fixtures[A], Fixtures[userTeam], Teams[[#This Row],[name]]), "")</f>
        <v/>
      </c>
      <c r="N83" s="1" t="str">
        <f>IF(Teams[[#This Row],[relevant]], SUMIFS(Fixtures[INV], Fixtures[userTeam], Teams[[#This Row],[name]]), "")</f>
        <v/>
      </c>
      <c r="O83" s="1" t="str">
        <f>IF(Teams[[#This Row],[relevant]], SUMIFS(Fixtures[YC], Fixtures[userTeam], Teams[[#This Row],[name]]), "")</f>
        <v/>
      </c>
      <c r="P83" s="1" t="str">
        <f>IF(Teams[[#This Row],[relevant]], SUMIFS(Fixtures[RC], Fixtures[userTeam], Teams[[#This Row],[name]]), "")</f>
        <v/>
      </c>
      <c r="Q83" s="13" t="str">
        <f>IF(Teams[[#This Row],[relevant]], IF(ISERROR(AVERAGEIFS(Fixtures[MR], Fixtures[userTeam], Teams[[#This Row],[name]])), 0, AVERAGEIFS(Fixtures[MR], Fixtures[userTeam], Teams[[#This Row],[name]])), "")</f>
        <v/>
      </c>
      <c r="R83" s="1" t="str">
        <f>IF(Teams[[#This Row],[relevant]], COUNTIFS(Fixtures[userTeam], Teams[[#This Row],[name]], Fixtures[MOTM], TRUE), "")</f>
        <v/>
      </c>
      <c r="S83" s="1" t="str" cm="1">
        <f t="array" ref="S83">IF(Teams[[#This Row],[relevant]], _xlfn.TEXTJOIN(", ", TRUE, _xlfn._xlws.FILTER(Stats[competition]&amp;" ("&amp;Stats[season]&amp;")",(Stats[team]=Teams[[#This Row],[name]])*(Stats[result]="Winner"),"")), "")</f>
        <v/>
      </c>
    </row>
    <row r="84" spans="1:19" ht="13" hidden="1">
      <c r="A84" s="1" t="s">
        <v>490</v>
      </c>
      <c r="B84" s="1" t="s">
        <v>152</v>
      </c>
      <c r="C84" s="1" t="s">
        <v>391</v>
      </c>
      <c r="D84" s="1" t="str">
        <f>UPPER(_xlfn.CONCAT(LEFT(Teams[[#This Row],[teamType]], 1), "-", LEFT(SUBSTITUTE(Teams[[#This Row],[nation]], "/", ""), 3), "-", SUBSTITUTE(SUBSTITUTE(SUBSTITUTE(Teams[[#This Row],[name]], ".", ""), " ", ""), "-", "")))</f>
        <v>C-ENG-BARROW</v>
      </c>
      <c r="E84" s="16"/>
      <c r="F84" s="16"/>
      <c r="G84" s="1" t="b">
        <f>COUNTBLANK(Teams[[#This Row],[startDate]:[endDate]]) &lt; 2</f>
        <v>0</v>
      </c>
      <c r="H84" s="1" t="str">
        <f>IF(Teams[[#This Row],[relevant]], COUNTIFS(Fixtures[userTeam], Teams[[#This Row],[name]], Fixtures[APP], TRUE), "")</f>
        <v/>
      </c>
      <c r="I84" s="1" t="str">
        <f>IF(Teams[[#This Row],[relevant]], COUNTIFS(Fixtures[userTeam], Teams[[#This Row],[name]], Fixtures[result], "W", Fixtures[APP], TRUE), "")</f>
        <v/>
      </c>
      <c r="J84" s="1" t="str">
        <f>IF(Teams[[#This Row],[relevant]], COUNTIFS(Fixtures[userTeam], Teams[[#This Row],[name]], Fixtures[result], "D", Fixtures[APP], TRUE), "")</f>
        <v/>
      </c>
      <c r="K84" s="1" t="str">
        <f>IF(Teams[[#This Row],[relevant]], COUNTIFS(Fixtures[userTeam], Teams[[#This Row],[name]], Fixtures[result], "L", Fixtures[APP], TRUE), "")</f>
        <v/>
      </c>
      <c r="L84" s="1" t="str">
        <f>IF(Teams[[#This Row],[relevant]], SUMIFS(Fixtures[G], Fixtures[userTeam], Teams[[#This Row],[name]]), "")</f>
        <v/>
      </c>
      <c r="M84" s="1" t="str">
        <f>IF(Teams[[#This Row],[relevant]], SUMIFS(Fixtures[A], Fixtures[userTeam], Teams[[#This Row],[name]]), "")</f>
        <v/>
      </c>
      <c r="N84" s="1" t="str">
        <f>IF(Teams[[#This Row],[relevant]], SUMIFS(Fixtures[INV], Fixtures[userTeam], Teams[[#This Row],[name]]), "")</f>
        <v/>
      </c>
      <c r="O84" s="1" t="str">
        <f>IF(Teams[[#This Row],[relevant]], SUMIFS(Fixtures[YC], Fixtures[userTeam], Teams[[#This Row],[name]]), "")</f>
        <v/>
      </c>
      <c r="P84" s="1" t="str">
        <f>IF(Teams[[#This Row],[relevant]], SUMIFS(Fixtures[RC], Fixtures[userTeam], Teams[[#This Row],[name]]), "")</f>
        <v/>
      </c>
      <c r="Q84" s="13" t="str">
        <f>IF(Teams[[#This Row],[relevant]], IF(ISERROR(AVERAGEIFS(Fixtures[MR], Fixtures[userTeam], Teams[[#This Row],[name]])), 0, AVERAGEIFS(Fixtures[MR], Fixtures[userTeam], Teams[[#This Row],[name]])), "")</f>
        <v/>
      </c>
      <c r="R84" s="1" t="str">
        <f>IF(Teams[[#This Row],[relevant]], COUNTIFS(Fixtures[userTeam], Teams[[#This Row],[name]], Fixtures[MOTM], TRUE), "")</f>
        <v/>
      </c>
      <c r="S84" s="1" t="str" cm="1">
        <f t="array" ref="S84">IF(Teams[[#This Row],[relevant]], _xlfn.TEXTJOIN(", ", TRUE, _xlfn._xlws.FILTER(Stats[competition]&amp;" ("&amp;Stats[season]&amp;")",(Stats[team]=Teams[[#This Row],[name]])*(Stats[result]="Winner"),"")), "")</f>
        <v/>
      </c>
    </row>
    <row r="85" spans="1:19" ht="13" hidden="1">
      <c r="A85" s="1" t="s">
        <v>491</v>
      </c>
      <c r="B85" s="1" t="s">
        <v>408</v>
      </c>
      <c r="C85" s="1" t="s">
        <v>391</v>
      </c>
      <c r="D85" s="1" t="str">
        <f>UPPER(_xlfn.CONCAT(LEFT(Teams[[#This Row],[teamType]], 1), "-", LEFT(SUBSTITUTE(Teams[[#This Row],[nation]], "/", ""), 3), "-", SUBSTITUTE(SUBSTITUTE(SUBSTITUTE(Teams[[#This Row],[name]], ".", ""), " ", ""), "-", "")))</f>
        <v>C-TUR-BAŞAKŞEHIR</v>
      </c>
      <c r="E85" s="16"/>
      <c r="F85" s="16"/>
      <c r="G85" s="1" t="b">
        <f>COUNTBLANK(Teams[[#This Row],[startDate]:[endDate]]) &lt; 2</f>
        <v>0</v>
      </c>
      <c r="H85" s="1" t="str">
        <f>IF(Teams[[#This Row],[relevant]], COUNTIFS(Fixtures[userTeam], Teams[[#This Row],[name]], Fixtures[APP], TRUE), "")</f>
        <v/>
      </c>
      <c r="I85" s="1" t="str">
        <f>IF(Teams[[#This Row],[relevant]], COUNTIFS(Fixtures[userTeam], Teams[[#This Row],[name]], Fixtures[result], "W", Fixtures[APP], TRUE), "")</f>
        <v/>
      </c>
      <c r="J85" s="1" t="str">
        <f>IF(Teams[[#This Row],[relevant]], COUNTIFS(Fixtures[userTeam], Teams[[#This Row],[name]], Fixtures[result], "D", Fixtures[APP], TRUE), "")</f>
        <v/>
      </c>
      <c r="K85" s="1" t="str">
        <f>IF(Teams[[#This Row],[relevant]], COUNTIFS(Fixtures[userTeam], Teams[[#This Row],[name]], Fixtures[result], "L", Fixtures[APP], TRUE), "")</f>
        <v/>
      </c>
      <c r="L85" s="1" t="str">
        <f>IF(Teams[[#This Row],[relevant]], SUMIFS(Fixtures[G], Fixtures[userTeam], Teams[[#This Row],[name]]), "")</f>
        <v/>
      </c>
      <c r="M85" s="1" t="str">
        <f>IF(Teams[[#This Row],[relevant]], SUMIFS(Fixtures[A], Fixtures[userTeam], Teams[[#This Row],[name]]), "")</f>
        <v/>
      </c>
      <c r="N85" s="1" t="str">
        <f>IF(Teams[[#This Row],[relevant]], SUMIFS(Fixtures[INV], Fixtures[userTeam], Teams[[#This Row],[name]]), "")</f>
        <v/>
      </c>
      <c r="O85" s="1" t="str">
        <f>IF(Teams[[#This Row],[relevant]], SUMIFS(Fixtures[YC], Fixtures[userTeam], Teams[[#This Row],[name]]), "")</f>
        <v/>
      </c>
      <c r="P85" s="1" t="str">
        <f>IF(Teams[[#This Row],[relevant]], SUMIFS(Fixtures[RC], Fixtures[userTeam], Teams[[#This Row],[name]]), "")</f>
        <v/>
      </c>
      <c r="Q85" s="13" t="str">
        <f>IF(Teams[[#This Row],[relevant]], IF(ISERROR(AVERAGEIFS(Fixtures[MR], Fixtures[userTeam], Teams[[#This Row],[name]])), 0, AVERAGEIFS(Fixtures[MR], Fixtures[userTeam], Teams[[#This Row],[name]])), "")</f>
        <v/>
      </c>
      <c r="R85" s="1" t="str">
        <f>IF(Teams[[#This Row],[relevant]], COUNTIFS(Fixtures[userTeam], Teams[[#This Row],[name]], Fixtures[MOTM], TRUE), "")</f>
        <v/>
      </c>
      <c r="S85" s="1" t="str" cm="1">
        <f t="array" ref="S85">IF(Teams[[#This Row],[relevant]], _xlfn.TEXTJOIN(", ", TRUE, _xlfn._xlws.FILTER(Stats[competition]&amp;" ("&amp;Stats[season]&amp;")",(Stats[team]=Teams[[#This Row],[name]])*(Stats[result]="Winner"),"")), "")</f>
        <v/>
      </c>
    </row>
    <row r="86" spans="1:19" ht="13" hidden="1">
      <c r="A86" s="1" t="s">
        <v>492</v>
      </c>
      <c r="B86" s="1" t="s">
        <v>493</v>
      </c>
      <c r="C86" s="1" t="s">
        <v>391</v>
      </c>
      <c r="D86" s="1" t="str">
        <f>UPPER(_xlfn.CONCAT(LEFT(Teams[[#This Row],[teamType]], 1), "-", LEFT(SUBSTITUTE(Teams[[#This Row],[nation]], "/", ""), 3), "-", SUBSTITUTE(SUBSTITUTE(SUBSTITUTE(Teams[[#This Row],[name]], ".", ""), " ", ""), "-", "")))</f>
        <v>C-CHI-BEIJINGGUOAN</v>
      </c>
      <c r="E86" s="16"/>
      <c r="F86" s="16"/>
      <c r="G86" s="1" t="b">
        <f>COUNTBLANK(Teams[[#This Row],[startDate]:[endDate]]) &lt; 2</f>
        <v>0</v>
      </c>
      <c r="H86" s="1" t="str">
        <f>IF(Teams[[#This Row],[relevant]], COUNTIFS(Fixtures[userTeam], Teams[[#This Row],[name]], Fixtures[APP], TRUE), "")</f>
        <v/>
      </c>
      <c r="I86" s="1" t="str">
        <f>IF(Teams[[#This Row],[relevant]], COUNTIFS(Fixtures[userTeam], Teams[[#This Row],[name]], Fixtures[result], "W", Fixtures[APP], TRUE), "")</f>
        <v/>
      </c>
      <c r="J86" s="1" t="str">
        <f>IF(Teams[[#This Row],[relevant]], COUNTIFS(Fixtures[userTeam], Teams[[#This Row],[name]], Fixtures[result], "D", Fixtures[APP], TRUE), "")</f>
        <v/>
      </c>
      <c r="K86" s="1" t="str">
        <f>IF(Teams[[#This Row],[relevant]], COUNTIFS(Fixtures[userTeam], Teams[[#This Row],[name]], Fixtures[result], "L", Fixtures[APP], TRUE), "")</f>
        <v/>
      </c>
      <c r="L86" s="1" t="str">
        <f>IF(Teams[[#This Row],[relevant]], SUMIFS(Fixtures[G], Fixtures[userTeam], Teams[[#This Row],[name]]), "")</f>
        <v/>
      </c>
      <c r="M86" s="1" t="str">
        <f>IF(Teams[[#This Row],[relevant]], SUMIFS(Fixtures[A], Fixtures[userTeam], Teams[[#This Row],[name]]), "")</f>
        <v/>
      </c>
      <c r="N86" s="1" t="str">
        <f>IF(Teams[[#This Row],[relevant]], SUMIFS(Fixtures[INV], Fixtures[userTeam], Teams[[#This Row],[name]]), "")</f>
        <v/>
      </c>
      <c r="O86" s="1" t="str">
        <f>IF(Teams[[#This Row],[relevant]], SUMIFS(Fixtures[YC], Fixtures[userTeam], Teams[[#This Row],[name]]), "")</f>
        <v/>
      </c>
      <c r="P86" s="1" t="str">
        <f>IF(Teams[[#This Row],[relevant]], SUMIFS(Fixtures[RC], Fixtures[userTeam], Teams[[#This Row],[name]]), "")</f>
        <v/>
      </c>
      <c r="Q86" s="13" t="str">
        <f>IF(Teams[[#This Row],[relevant]], IF(ISERROR(AVERAGEIFS(Fixtures[MR], Fixtures[userTeam], Teams[[#This Row],[name]])), 0, AVERAGEIFS(Fixtures[MR], Fixtures[userTeam], Teams[[#This Row],[name]])), "")</f>
        <v/>
      </c>
      <c r="R86" s="1" t="str">
        <f>IF(Teams[[#This Row],[relevant]], COUNTIFS(Fixtures[userTeam], Teams[[#This Row],[name]], Fixtures[MOTM], TRUE), "")</f>
        <v/>
      </c>
      <c r="S86" s="1" t="str" cm="1">
        <f t="array" ref="S86">IF(Teams[[#This Row],[relevant]], _xlfn.TEXTJOIN(", ", TRUE, _xlfn._xlws.FILTER(Stats[competition]&amp;" ("&amp;Stats[season]&amp;")",(Stats[team]=Teams[[#This Row],[name]])*(Stats[result]="Winner"),"")), "")</f>
        <v/>
      </c>
    </row>
    <row r="87" spans="1:19" ht="13" hidden="1">
      <c r="A87" s="1" t="s">
        <v>144</v>
      </c>
      <c r="B87" s="1" t="s">
        <v>144</v>
      </c>
      <c r="C87" s="1" t="s">
        <v>459</v>
      </c>
      <c r="D87" s="1" t="str">
        <f>UPPER(_xlfn.CONCAT(LEFT(Teams[[#This Row],[teamType]], 1), "-", LEFT(SUBSTITUTE(Teams[[#This Row],[nation]], "/", ""), 3), "-", SUBSTITUTE(SUBSTITUTE(SUBSTITUTE(Teams[[#This Row],[name]], ".", ""), " ", ""), "-", "")))</f>
        <v>N-BEL-BELGIUM</v>
      </c>
      <c r="E87" s="16"/>
      <c r="F87" s="16"/>
      <c r="G87" s="1" t="b">
        <f>COUNTBLANK(Teams[[#This Row],[startDate]:[endDate]]) &lt; 2</f>
        <v>0</v>
      </c>
      <c r="H87" s="1" t="str">
        <f>IF(Teams[[#This Row],[relevant]], COUNTIFS(Fixtures[userTeam], Teams[[#This Row],[name]], Fixtures[APP], TRUE), "")</f>
        <v/>
      </c>
      <c r="I87" s="1" t="str">
        <f>IF(Teams[[#This Row],[relevant]], COUNTIFS(Fixtures[userTeam], Teams[[#This Row],[name]], Fixtures[result], "W", Fixtures[APP], TRUE), "")</f>
        <v/>
      </c>
      <c r="J87" s="1" t="str">
        <f>IF(Teams[[#This Row],[relevant]], COUNTIFS(Fixtures[userTeam], Teams[[#This Row],[name]], Fixtures[result], "D", Fixtures[APP], TRUE), "")</f>
        <v/>
      </c>
      <c r="K87" s="1" t="str">
        <f>IF(Teams[[#This Row],[relevant]], COUNTIFS(Fixtures[userTeam], Teams[[#This Row],[name]], Fixtures[result], "L", Fixtures[APP], TRUE), "")</f>
        <v/>
      </c>
      <c r="L87" s="1" t="str">
        <f>IF(Teams[[#This Row],[relevant]], SUMIFS(Fixtures[G], Fixtures[userTeam], Teams[[#This Row],[name]]), "")</f>
        <v/>
      </c>
      <c r="M87" s="1" t="str">
        <f>IF(Teams[[#This Row],[relevant]], SUMIFS(Fixtures[A], Fixtures[userTeam], Teams[[#This Row],[name]]), "")</f>
        <v/>
      </c>
      <c r="N87" s="1" t="str">
        <f>IF(Teams[[#This Row],[relevant]], SUMIFS(Fixtures[INV], Fixtures[userTeam], Teams[[#This Row],[name]]), "")</f>
        <v/>
      </c>
      <c r="O87" s="1" t="str">
        <f>IF(Teams[[#This Row],[relevant]], SUMIFS(Fixtures[YC], Fixtures[userTeam], Teams[[#This Row],[name]]), "")</f>
        <v/>
      </c>
      <c r="P87" s="1" t="str">
        <f>IF(Teams[[#This Row],[relevant]], SUMIFS(Fixtures[RC], Fixtures[userTeam], Teams[[#This Row],[name]]), "")</f>
        <v/>
      </c>
      <c r="Q87" s="13" t="str">
        <f>IF(Teams[[#This Row],[relevant]], IF(ISERROR(AVERAGEIFS(Fixtures[MR], Fixtures[userTeam], Teams[[#This Row],[name]])), 0, AVERAGEIFS(Fixtures[MR], Fixtures[userTeam], Teams[[#This Row],[name]])), "")</f>
        <v/>
      </c>
      <c r="R87" s="1" t="str">
        <f>IF(Teams[[#This Row],[relevant]], COUNTIFS(Fixtures[userTeam], Teams[[#This Row],[name]], Fixtures[MOTM], TRUE), "")</f>
        <v/>
      </c>
      <c r="S87" s="1" t="str" cm="1">
        <f t="array" ref="S87">IF(Teams[[#This Row],[relevant]], _xlfn.TEXTJOIN(", ", TRUE, _xlfn._xlws.FILTER(Stats[competition]&amp;" ("&amp;Stats[season]&amp;")",(Stats[team]=Teams[[#This Row],[name]])*(Stats[result]="Winner"),"")), "")</f>
        <v/>
      </c>
    </row>
    <row r="88" spans="1:19" ht="13" hidden="1">
      <c r="A88" s="1" t="s">
        <v>494</v>
      </c>
      <c r="B88" s="1" t="s">
        <v>254</v>
      </c>
      <c r="C88" s="1" t="s">
        <v>391</v>
      </c>
      <c r="D88" s="1" t="str">
        <f>UPPER(_xlfn.CONCAT(LEFT(Teams[[#This Row],[teamType]], 1), "-", LEFT(SUBSTITUTE(Teams[[#This Row],[nation]], "/", ""), 3), "-", SUBSTITUTE(SUBSTITUTE(SUBSTITUTE(Teams[[#This Row],[name]], ".", ""), " ", ""), "-", "")))</f>
        <v>C-ITA-BENEVENTO</v>
      </c>
      <c r="E88" s="16"/>
      <c r="F88" s="16"/>
      <c r="G88" s="1" t="b">
        <f>COUNTBLANK(Teams[[#This Row],[startDate]:[endDate]]) &lt; 2</f>
        <v>0</v>
      </c>
      <c r="H88" s="1" t="str">
        <f>IF(Teams[[#This Row],[relevant]], COUNTIFS(Fixtures[userTeam], Teams[[#This Row],[name]], Fixtures[APP], TRUE), "")</f>
        <v/>
      </c>
      <c r="I88" s="1" t="str">
        <f>IF(Teams[[#This Row],[relevant]], COUNTIFS(Fixtures[userTeam], Teams[[#This Row],[name]], Fixtures[result], "W", Fixtures[APP], TRUE), "")</f>
        <v/>
      </c>
      <c r="J88" s="1" t="str">
        <f>IF(Teams[[#This Row],[relevant]], COUNTIFS(Fixtures[userTeam], Teams[[#This Row],[name]], Fixtures[result], "D", Fixtures[APP], TRUE), "")</f>
        <v/>
      </c>
      <c r="K88" s="1" t="str">
        <f>IF(Teams[[#This Row],[relevant]], COUNTIFS(Fixtures[userTeam], Teams[[#This Row],[name]], Fixtures[result], "L", Fixtures[APP], TRUE), "")</f>
        <v/>
      </c>
      <c r="L88" s="1" t="str">
        <f>IF(Teams[[#This Row],[relevant]], SUMIFS(Fixtures[G], Fixtures[userTeam], Teams[[#This Row],[name]]), "")</f>
        <v/>
      </c>
      <c r="M88" s="1" t="str">
        <f>IF(Teams[[#This Row],[relevant]], SUMIFS(Fixtures[A], Fixtures[userTeam], Teams[[#This Row],[name]]), "")</f>
        <v/>
      </c>
      <c r="N88" s="1" t="str">
        <f>IF(Teams[[#This Row],[relevant]], SUMIFS(Fixtures[INV], Fixtures[userTeam], Teams[[#This Row],[name]]), "")</f>
        <v/>
      </c>
      <c r="O88" s="1" t="str">
        <f>IF(Teams[[#This Row],[relevant]], SUMIFS(Fixtures[YC], Fixtures[userTeam], Teams[[#This Row],[name]]), "")</f>
        <v/>
      </c>
      <c r="P88" s="1" t="str">
        <f>IF(Teams[[#This Row],[relevant]], SUMIFS(Fixtures[RC], Fixtures[userTeam], Teams[[#This Row],[name]]), "")</f>
        <v/>
      </c>
      <c r="Q88" s="13" t="str">
        <f>IF(Teams[[#This Row],[relevant]], IF(ISERROR(AVERAGEIFS(Fixtures[MR], Fixtures[userTeam], Teams[[#This Row],[name]])), 0, AVERAGEIFS(Fixtures[MR], Fixtures[userTeam], Teams[[#This Row],[name]])), "")</f>
        <v/>
      </c>
      <c r="R88" s="1" t="str">
        <f>IF(Teams[[#This Row],[relevant]], COUNTIFS(Fixtures[userTeam], Teams[[#This Row],[name]], Fixtures[MOTM], TRUE), "")</f>
        <v/>
      </c>
      <c r="S88" s="1" t="str" cm="1">
        <f t="array" ref="S88">IF(Teams[[#This Row],[relevant]], _xlfn.TEXTJOIN(", ", TRUE, _xlfn._xlws.FILTER(Stats[competition]&amp;" ("&amp;Stats[season]&amp;")",(Stats[team]=Teams[[#This Row],[name]])*(Stats[result]="Winner"),"")), "")</f>
        <v/>
      </c>
    </row>
    <row r="89" spans="1:19" ht="13" hidden="1">
      <c r="A89" s="1" t="s">
        <v>495</v>
      </c>
      <c r="B89" s="1" t="s">
        <v>473</v>
      </c>
      <c r="C89" s="1" t="s">
        <v>391</v>
      </c>
      <c r="D89" s="1" t="str">
        <f>UPPER(_xlfn.CONCAT(LEFT(Teams[[#This Row],[teamType]], 1), "-", LEFT(SUBSTITUTE(Teams[[#This Row],[nation]], "/", ""), 3), "-", SUBSTITUTE(SUBSTITUTE(SUBSTITUTE(Teams[[#This Row],[name]], ".", ""), " ", ""), "-", "")))</f>
        <v>C-IND-BENGALURUFC</v>
      </c>
      <c r="E89" s="16"/>
      <c r="F89" s="16"/>
      <c r="G89" s="1" t="b">
        <f>COUNTBLANK(Teams[[#This Row],[startDate]:[endDate]]) &lt; 2</f>
        <v>0</v>
      </c>
      <c r="H89" s="1" t="str">
        <f>IF(Teams[[#This Row],[relevant]], COUNTIFS(Fixtures[userTeam], Teams[[#This Row],[name]], Fixtures[APP], TRUE), "")</f>
        <v/>
      </c>
      <c r="I89" s="1" t="str">
        <f>IF(Teams[[#This Row],[relevant]], COUNTIFS(Fixtures[userTeam], Teams[[#This Row],[name]], Fixtures[result], "W", Fixtures[APP], TRUE), "")</f>
        <v/>
      </c>
      <c r="J89" s="1" t="str">
        <f>IF(Teams[[#This Row],[relevant]], COUNTIFS(Fixtures[userTeam], Teams[[#This Row],[name]], Fixtures[result], "D", Fixtures[APP], TRUE), "")</f>
        <v/>
      </c>
      <c r="K89" s="1" t="str">
        <f>IF(Teams[[#This Row],[relevant]], COUNTIFS(Fixtures[userTeam], Teams[[#This Row],[name]], Fixtures[result], "L", Fixtures[APP], TRUE), "")</f>
        <v/>
      </c>
      <c r="L89" s="1" t="str">
        <f>IF(Teams[[#This Row],[relevant]], SUMIFS(Fixtures[G], Fixtures[userTeam], Teams[[#This Row],[name]]), "")</f>
        <v/>
      </c>
      <c r="M89" s="1" t="str">
        <f>IF(Teams[[#This Row],[relevant]], SUMIFS(Fixtures[A], Fixtures[userTeam], Teams[[#This Row],[name]]), "")</f>
        <v/>
      </c>
      <c r="N89" s="1" t="str">
        <f>IF(Teams[[#This Row],[relevant]], SUMIFS(Fixtures[INV], Fixtures[userTeam], Teams[[#This Row],[name]]), "")</f>
        <v/>
      </c>
      <c r="O89" s="1" t="str">
        <f>IF(Teams[[#This Row],[relevant]], SUMIFS(Fixtures[YC], Fixtures[userTeam], Teams[[#This Row],[name]]), "")</f>
        <v/>
      </c>
      <c r="P89" s="1" t="str">
        <f>IF(Teams[[#This Row],[relevant]], SUMIFS(Fixtures[RC], Fixtures[userTeam], Teams[[#This Row],[name]]), "")</f>
        <v/>
      </c>
      <c r="Q89" s="13" t="str">
        <f>IF(Teams[[#This Row],[relevant]], IF(ISERROR(AVERAGEIFS(Fixtures[MR], Fixtures[userTeam], Teams[[#This Row],[name]])), 0, AVERAGEIFS(Fixtures[MR], Fixtures[userTeam], Teams[[#This Row],[name]])), "")</f>
        <v/>
      </c>
      <c r="R89" s="1" t="str">
        <f>IF(Teams[[#This Row],[relevant]], COUNTIFS(Fixtures[userTeam], Teams[[#This Row],[name]], Fixtures[MOTM], TRUE), "")</f>
        <v/>
      </c>
      <c r="S89" s="1" t="str" cm="1">
        <f t="array" ref="S89">IF(Teams[[#This Row],[relevant]], _xlfn.TEXTJOIN(", ", TRUE, _xlfn._xlws.FILTER(Stats[competition]&amp;" ("&amp;Stats[season]&amp;")",(Stats[team]=Teams[[#This Row],[name]])*(Stats[result]="Winner"),"")), "")</f>
        <v/>
      </c>
    </row>
    <row r="90" spans="1:19" ht="13" hidden="1">
      <c r="A90" s="1" t="s">
        <v>496</v>
      </c>
      <c r="B90" s="1" t="s">
        <v>254</v>
      </c>
      <c r="C90" s="1" t="s">
        <v>391</v>
      </c>
      <c r="D90" s="1" t="str">
        <f>UPPER(_xlfn.CONCAT(LEFT(Teams[[#This Row],[teamType]], 1), "-", LEFT(SUBSTITUTE(Teams[[#This Row],[nation]], "/", ""), 3), "-", SUBSTITUTE(SUBSTITUTE(SUBSTITUTE(Teams[[#This Row],[name]], ".", ""), " ", ""), "-", "")))</f>
        <v>C-ITA-BERGAMOCALCIO**</v>
      </c>
      <c r="E90" s="16"/>
      <c r="F90" s="16"/>
      <c r="G90" s="1" t="b">
        <f>COUNTBLANK(Teams[[#This Row],[startDate]:[endDate]]) &lt; 2</f>
        <v>0</v>
      </c>
      <c r="H90" s="1" t="str">
        <f>IF(Teams[[#This Row],[relevant]], COUNTIFS(Fixtures[userTeam], Teams[[#This Row],[name]], Fixtures[APP], TRUE), "")</f>
        <v/>
      </c>
      <c r="I90" s="1" t="str">
        <f>IF(Teams[[#This Row],[relevant]], COUNTIFS(Fixtures[userTeam], Teams[[#This Row],[name]], Fixtures[result], "W", Fixtures[APP], TRUE), "")</f>
        <v/>
      </c>
      <c r="J90" s="1" t="str">
        <f>IF(Teams[[#This Row],[relevant]], COUNTIFS(Fixtures[userTeam], Teams[[#This Row],[name]], Fixtures[result], "D", Fixtures[APP], TRUE), "")</f>
        <v/>
      </c>
      <c r="K90" s="1" t="str">
        <f>IF(Teams[[#This Row],[relevant]], COUNTIFS(Fixtures[userTeam], Teams[[#This Row],[name]], Fixtures[result], "L", Fixtures[APP], TRUE), "")</f>
        <v/>
      </c>
      <c r="L90" s="1" t="str">
        <f>IF(Teams[[#This Row],[relevant]], SUMIFS(Fixtures[G], Fixtures[userTeam], Teams[[#This Row],[name]]), "")</f>
        <v/>
      </c>
      <c r="M90" s="1" t="str">
        <f>IF(Teams[[#This Row],[relevant]], SUMIFS(Fixtures[A], Fixtures[userTeam], Teams[[#This Row],[name]]), "")</f>
        <v/>
      </c>
      <c r="N90" s="1" t="str">
        <f>IF(Teams[[#This Row],[relevant]], SUMIFS(Fixtures[INV], Fixtures[userTeam], Teams[[#This Row],[name]]), "")</f>
        <v/>
      </c>
      <c r="O90" s="1" t="str">
        <f>IF(Teams[[#This Row],[relevant]], SUMIFS(Fixtures[YC], Fixtures[userTeam], Teams[[#This Row],[name]]), "")</f>
        <v/>
      </c>
      <c r="P90" s="1" t="str">
        <f>IF(Teams[[#This Row],[relevant]], SUMIFS(Fixtures[RC], Fixtures[userTeam], Teams[[#This Row],[name]]), "")</f>
        <v/>
      </c>
      <c r="Q90" s="13" t="str">
        <f>IF(Teams[[#This Row],[relevant]], IF(ISERROR(AVERAGEIFS(Fixtures[MR], Fixtures[userTeam], Teams[[#This Row],[name]])), 0, AVERAGEIFS(Fixtures[MR], Fixtures[userTeam], Teams[[#This Row],[name]])), "")</f>
        <v/>
      </c>
      <c r="R90" s="1" t="str">
        <f>IF(Teams[[#This Row],[relevant]], COUNTIFS(Fixtures[userTeam], Teams[[#This Row],[name]], Fixtures[MOTM], TRUE), "")</f>
        <v/>
      </c>
      <c r="S90" s="1" t="str" cm="1">
        <f t="array" ref="S90">IF(Teams[[#This Row],[relevant]], _xlfn.TEXTJOIN(", ", TRUE, _xlfn._xlws.FILTER(Stats[competition]&amp;" ("&amp;Stats[season]&amp;")",(Stats[team]=Teams[[#This Row],[name]])*(Stats[result]="Winner"),"")), "")</f>
        <v/>
      </c>
    </row>
    <row r="91" spans="1:19" ht="13" hidden="1">
      <c r="A91" s="1" t="s">
        <v>497</v>
      </c>
      <c r="B91" s="1" t="s">
        <v>408</v>
      </c>
      <c r="C91" s="1" t="s">
        <v>391</v>
      </c>
      <c r="D91" s="1" t="str">
        <f>UPPER(_xlfn.CONCAT(LEFT(Teams[[#This Row],[teamType]], 1), "-", LEFT(SUBSTITUTE(Teams[[#This Row],[nation]], "/", ""), 3), "-", SUBSTITUTE(SUBSTITUTE(SUBSTITUTE(Teams[[#This Row],[name]], ".", ""), " ", ""), "-", "")))</f>
        <v>C-TUR-BEŞIKTAŞ</v>
      </c>
      <c r="E91" s="16"/>
      <c r="F91" s="16"/>
      <c r="G91" s="1" t="b">
        <f>COUNTBLANK(Teams[[#This Row],[startDate]:[endDate]]) &lt; 2</f>
        <v>0</v>
      </c>
      <c r="H91" s="1" t="str">
        <f>IF(Teams[[#This Row],[relevant]], COUNTIFS(Fixtures[userTeam], Teams[[#This Row],[name]], Fixtures[APP], TRUE), "")</f>
        <v/>
      </c>
      <c r="I91" s="1" t="str">
        <f>IF(Teams[[#This Row],[relevant]], COUNTIFS(Fixtures[userTeam], Teams[[#This Row],[name]], Fixtures[result], "W", Fixtures[APP], TRUE), "")</f>
        <v/>
      </c>
      <c r="J91" s="1" t="str">
        <f>IF(Teams[[#This Row],[relevant]], COUNTIFS(Fixtures[userTeam], Teams[[#This Row],[name]], Fixtures[result], "D", Fixtures[APP], TRUE), "")</f>
        <v/>
      </c>
      <c r="K91" s="1" t="str">
        <f>IF(Teams[[#This Row],[relevant]], COUNTIFS(Fixtures[userTeam], Teams[[#This Row],[name]], Fixtures[result], "L", Fixtures[APP], TRUE), "")</f>
        <v/>
      </c>
      <c r="L91" s="1" t="str">
        <f>IF(Teams[[#This Row],[relevant]], SUMIFS(Fixtures[G], Fixtures[userTeam], Teams[[#This Row],[name]]), "")</f>
        <v/>
      </c>
      <c r="M91" s="1" t="str">
        <f>IF(Teams[[#This Row],[relevant]], SUMIFS(Fixtures[A], Fixtures[userTeam], Teams[[#This Row],[name]]), "")</f>
        <v/>
      </c>
      <c r="N91" s="1" t="str">
        <f>IF(Teams[[#This Row],[relevant]], SUMIFS(Fixtures[INV], Fixtures[userTeam], Teams[[#This Row],[name]]), "")</f>
        <v/>
      </c>
      <c r="O91" s="1" t="str">
        <f>IF(Teams[[#This Row],[relevant]], SUMIFS(Fixtures[YC], Fixtures[userTeam], Teams[[#This Row],[name]]), "")</f>
        <v/>
      </c>
      <c r="P91" s="1" t="str">
        <f>IF(Teams[[#This Row],[relevant]], SUMIFS(Fixtures[RC], Fixtures[userTeam], Teams[[#This Row],[name]]), "")</f>
        <v/>
      </c>
      <c r="Q91" s="13" t="str">
        <f>IF(Teams[[#This Row],[relevant]], IF(ISERROR(AVERAGEIFS(Fixtures[MR], Fixtures[userTeam], Teams[[#This Row],[name]])), 0, AVERAGEIFS(Fixtures[MR], Fixtures[userTeam], Teams[[#This Row],[name]])), "")</f>
        <v/>
      </c>
      <c r="R91" s="1" t="str">
        <f>IF(Teams[[#This Row],[relevant]], COUNTIFS(Fixtures[userTeam], Teams[[#This Row],[name]], Fixtures[MOTM], TRUE), "")</f>
        <v/>
      </c>
      <c r="S91" s="1" t="str" cm="1">
        <f t="array" ref="S91">IF(Teams[[#This Row],[relevant]], _xlfn.TEXTJOIN(", ", TRUE, _xlfn._xlws.FILTER(Stats[competition]&amp;" ("&amp;Stats[season]&amp;")",(Stats[team]=Teams[[#This Row],[name]])*(Stats[result]="Winner"),"")), "")</f>
        <v/>
      </c>
    </row>
    <row r="92" spans="1:19" ht="13" hidden="1">
      <c r="A92" s="1" t="s">
        <v>233</v>
      </c>
      <c r="B92" s="1" t="s">
        <v>152</v>
      </c>
      <c r="C92" s="1" t="s">
        <v>391</v>
      </c>
      <c r="D92" s="1" t="str">
        <f>UPPER(_xlfn.CONCAT(LEFT(Teams[[#This Row],[teamType]], 1), "-", LEFT(SUBSTITUTE(Teams[[#This Row],[nation]], "/", ""), 3), "-", SUBSTITUTE(SUBSTITUTE(SUBSTITUTE(Teams[[#This Row],[name]], ".", ""), " ", ""), "-", "")))</f>
        <v>C-ENG-BIRMINGHAMCITY</v>
      </c>
      <c r="E92" s="16"/>
      <c r="F92" s="16"/>
      <c r="G92" s="1" t="b">
        <f>COUNTBLANK(Teams[[#This Row],[startDate]:[endDate]]) &lt; 2</f>
        <v>0</v>
      </c>
      <c r="H92" s="1" t="str">
        <f>IF(Teams[[#This Row],[relevant]], COUNTIFS(Fixtures[userTeam], Teams[[#This Row],[name]], Fixtures[APP], TRUE), "")</f>
        <v/>
      </c>
      <c r="I92" s="1" t="str">
        <f>IF(Teams[[#This Row],[relevant]], COUNTIFS(Fixtures[userTeam], Teams[[#This Row],[name]], Fixtures[result], "W", Fixtures[APP], TRUE), "")</f>
        <v/>
      </c>
      <c r="J92" s="1" t="str">
        <f>IF(Teams[[#This Row],[relevant]], COUNTIFS(Fixtures[userTeam], Teams[[#This Row],[name]], Fixtures[result], "D", Fixtures[APP], TRUE), "")</f>
        <v/>
      </c>
      <c r="K92" s="1" t="str">
        <f>IF(Teams[[#This Row],[relevant]], COUNTIFS(Fixtures[userTeam], Teams[[#This Row],[name]], Fixtures[result], "L", Fixtures[APP], TRUE), "")</f>
        <v/>
      </c>
      <c r="L92" s="1" t="str">
        <f>IF(Teams[[#This Row],[relevant]], SUMIFS(Fixtures[G], Fixtures[userTeam], Teams[[#This Row],[name]]), "")</f>
        <v/>
      </c>
      <c r="M92" s="1" t="str">
        <f>IF(Teams[[#This Row],[relevant]], SUMIFS(Fixtures[A], Fixtures[userTeam], Teams[[#This Row],[name]]), "")</f>
        <v/>
      </c>
      <c r="N92" s="1" t="str">
        <f>IF(Teams[[#This Row],[relevant]], SUMIFS(Fixtures[INV], Fixtures[userTeam], Teams[[#This Row],[name]]), "")</f>
        <v/>
      </c>
      <c r="O92" s="1" t="str">
        <f>IF(Teams[[#This Row],[relevant]], SUMIFS(Fixtures[YC], Fixtures[userTeam], Teams[[#This Row],[name]]), "")</f>
        <v/>
      </c>
      <c r="P92" s="1" t="str">
        <f>IF(Teams[[#This Row],[relevant]], SUMIFS(Fixtures[RC], Fixtures[userTeam], Teams[[#This Row],[name]]), "")</f>
        <v/>
      </c>
      <c r="Q92" s="13" t="str">
        <f>IF(Teams[[#This Row],[relevant]], IF(ISERROR(AVERAGEIFS(Fixtures[MR], Fixtures[userTeam], Teams[[#This Row],[name]])), 0, AVERAGEIFS(Fixtures[MR], Fixtures[userTeam], Teams[[#This Row],[name]])), "")</f>
        <v/>
      </c>
      <c r="R92" s="1" t="str">
        <f>IF(Teams[[#This Row],[relevant]], COUNTIFS(Fixtures[userTeam], Teams[[#This Row],[name]], Fixtures[MOTM], TRUE), "")</f>
        <v/>
      </c>
      <c r="S92" s="1" t="str" cm="1">
        <f t="array" ref="S92">IF(Teams[[#This Row],[relevant]], _xlfn.TEXTJOIN(", ", TRUE, _xlfn._xlws.FILTER(Stats[competition]&amp;" ("&amp;Stats[season]&amp;")",(Stats[team]=Teams[[#This Row],[name]])*(Stats[result]="Winner"),"")), "")</f>
        <v/>
      </c>
    </row>
    <row r="93" spans="1:19" ht="13" hidden="1">
      <c r="A93" s="1" t="s">
        <v>498</v>
      </c>
      <c r="B93" s="1" t="s">
        <v>284</v>
      </c>
      <c r="C93" s="1" t="s">
        <v>391</v>
      </c>
      <c r="D93" s="1" t="str">
        <f>UPPER(_xlfn.CONCAT(LEFT(Teams[[#This Row],[teamType]], 1), "-", LEFT(SUBSTITUTE(Teams[[#This Row],[nation]], "/", ""), 3), "-", SUBSTITUTE(SUBSTITUTE(SUBSTITUTE(Teams[[#This Row],[name]], ".", ""), " ", ""), "-", "")))</f>
        <v>C-SWE-BKHÄCKEN</v>
      </c>
      <c r="E93" s="16"/>
      <c r="F93" s="16"/>
      <c r="G93" s="1" t="b">
        <f>COUNTBLANK(Teams[[#This Row],[startDate]:[endDate]]) &lt; 2</f>
        <v>0</v>
      </c>
      <c r="H93" s="1" t="str">
        <f>IF(Teams[[#This Row],[relevant]], COUNTIFS(Fixtures[userTeam], Teams[[#This Row],[name]], Fixtures[APP], TRUE), "")</f>
        <v/>
      </c>
      <c r="I93" s="1" t="str">
        <f>IF(Teams[[#This Row],[relevant]], COUNTIFS(Fixtures[userTeam], Teams[[#This Row],[name]], Fixtures[result], "W", Fixtures[APP], TRUE), "")</f>
        <v/>
      </c>
      <c r="J93" s="1" t="str">
        <f>IF(Teams[[#This Row],[relevant]], COUNTIFS(Fixtures[userTeam], Teams[[#This Row],[name]], Fixtures[result], "D", Fixtures[APP], TRUE), "")</f>
        <v/>
      </c>
      <c r="K93" s="1" t="str">
        <f>IF(Teams[[#This Row],[relevant]], COUNTIFS(Fixtures[userTeam], Teams[[#This Row],[name]], Fixtures[result], "L", Fixtures[APP], TRUE), "")</f>
        <v/>
      </c>
      <c r="L93" s="1" t="str">
        <f>IF(Teams[[#This Row],[relevant]], SUMIFS(Fixtures[G], Fixtures[userTeam], Teams[[#This Row],[name]]), "")</f>
        <v/>
      </c>
      <c r="M93" s="1" t="str">
        <f>IF(Teams[[#This Row],[relevant]], SUMIFS(Fixtures[A], Fixtures[userTeam], Teams[[#This Row],[name]]), "")</f>
        <v/>
      </c>
      <c r="N93" s="1" t="str">
        <f>IF(Teams[[#This Row],[relevant]], SUMIFS(Fixtures[INV], Fixtures[userTeam], Teams[[#This Row],[name]]), "")</f>
        <v/>
      </c>
      <c r="O93" s="1" t="str">
        <f>IF(Teams[[#This Row],[relevant]], SUMIFS(Fixtures[YC], Fixtures[userTeam], Teams[[#This Row],[name]]), "")</f>
        <v/>
      </c>
      <c r="P93" s="1" t="str">
        <f>IF(Teams[[#This Row],[relevant]], SUMIFS(Fixtures[RC], Fixtures[userTeam], Teams[[#This Row],[name]]), "")</f>
        <v/>
      </c>
      <c r="Q93" s="13" t="str">
        <f>IF(Teams[[#This Row],[relevant]], IF(ISERROR(AVERAGEIFS(Fixtures[MR], Fixtures[userTeam], Teams[[#This Row],[name]])), 0, AVERAGEIFS(Fixtures[MR], Fixtures[userTeam], Teams[[#This Row],[name]])), "")</f>
        <v/>
      </c>
      <c r="R93" s="1" t="str">
        <f>IF(Teams[[#This Row],[relevant]], COUNTIFS(Fixtures[userTeam], Teams[[#This Row],[name]], Fixtures[MOTM], TRUE), "")</f>
        <v/>
      </c>
      <c r="S93" s="1" t="str" cm="1">
        <f t="array" ref="S93">IF(Teams[[#This Row],[relevant]], _xlfn.TEXTJOIN(", ", TRUE, _xlfn._xlws.FILTER(Stats[competition]&amp;" ("&amp;Stats[season]&amp;")",(Stats[team]=Teams[[#This Row],[name]])*(Stats[result]="Winner"),"")), "")</f>
        <v/>
      </c>
    </row>
    <row r="94" spans="1:19" ht="13" hidden="1">
      <c r="A94" s="1" t="s">
        <v>177</v>
      </c>
      <c r="B94" s="1" t="s">
        <v>152</v>
      </c>
      <c r="C94" s="1" t="s">
        <v>391</v>
      </c>
      <c r="D94" s="1" t="str">
        <f>UPPER(_xlfn.CONCAT(LEFT(Teams[[#This Row],[teamType]], 1), "-", LEFT(SUBSTITUTE(Teams[[#This Row],[nation]], "/", ""), 3), "-", SUBSTITUTE(SUBSTITUTE(SUBSTITUTE(Teams[[#This Row],[name]], ".", ""), " ", ""), "-", "")))</f>
        <v>C-ENG-BLACKBURNROVERS</v>
      </c>
      <c r="E94" s="16"/>
      <c r="F94" s="16"/>
      <c r="G94" s="1" t="b">
        <f>COUNTBLANK(Teams[[#This Row],[startDate]:[endDate]]) &lt; 2</f>
        <v>0</v>
      </c>
      <c r="H94" s="1" t="str">
        <f>IF(Teams[[#This Row],[relevant]], COUNTIFS(Fixtures[userTeam], Teams[[#This Row],[name]], Fixtures[APP], TRUE), "")</f>
        <v/>
      </c>
      <c r="I94" s="1" t="str">
        <f>IF(Teams[[#This Row],[relevant]], COUNTIFS(Fixtures[userTeam], Teams[[#This Row],[name]], Fixtures[result], "W", Fixtures[APP], TRUE), "")</f>
        <v/>
      </c>
      <c r="J94" s="1" t="str">
        <f>IF(Teams[[#This Row],[relevant]], COUNTIFS(Fixtures[userTeam], Teams[[#This Row],[name]], Fixtures[result], "D", Fixtures[APP], TRUE), "")</f>
        <v/>
      </c>
      <c r="K94" s="1" t="str">
        <f>IF(Teams[[#This Row],[relevant]], COUNTIFS(Fixtures[userTeam], Teams[[#This Row],[name]], Fixtures[result], "L", Fixtures[APP], TRUE), "")</f>
        <v/>
      </c>
      <c r="L94" s="1" t="str">
        <f>IF(Teams[[#This Row],[relevant]], SUMIFS(Fixtures[G], Fixtures[userTeam], Teams[[#This Row],[name]]), "")</f>
        <v/>
      </c>
      <c r="M94" s="1" t="str">
        <f>IF(Teams[[#This Row],[relevant]], SUMIFS(Fixtures[A], Fixtures[userTeam], Teams[[#This Row],[name]]), "")</f>
        <v/>
      </c>
      <c r="N94" s="1" t="str">
        <f>IF(Teams[[#This Row],[relevant]], SUMIFS(Fixtures[INV], Fixtures[userTeam], Teams[[#This Row],[name]]), "")</f>
        <v/>
      </c>
      <c r="O94" s="1" t="str">
        <f>IF(Teams[[#This Row],[relevant]], SUMIFS(Fixtures[YC], Fixtures[userTeam], Teams[[#This Row],[name]]), "")</f>
        <v/>
      </c>
      <c r="P94" s="1" t="str">
        <f>IF(Teams[[#This Row],[relevant]], SUMIFS(Fixtures[RC], Fixtures[userTeam], Teams[[#This Row],[name]]), "")</f>
        <v/>
      </c>
      <c r="Q94" s="13" t="str">
        <f>IF(Teams[[#This Row],[relevant]], IF(ISERROR(AVERAGEIFS(Fixtures[MR], Fixtures[userTeam], Teams[[#This Row],[name]])), 0, AVERAGEIFS(Fixtures[MR], Fixtures[userTeam], Teams[[#This Row],[name]])), "")</f>
        <v/>
      </c>
      <c r="R94" s="1" t="str">
        <f>IF(Teams[[#This Row],[relevant]], COUNTIFS(Fixtures[userTeam], Teams[[#This Row],[name]], Fixtures[MOTM], TRUE), "")</f>
        <v/>
      </c>
      <c r="S94" s="1" t="str" cm="1">
        <f t="array" ref="S94">IF(Teams[[#This Row],[relevant]], _xlfn.TEXTJOIN(", ", TRUE, _xlfn._xlws.FILTER(Stats[competition]&amp;" ("&amp;Stats[season]&amp;")",(Stats[team]=Teams[[#This Row],[name]])*(Stats[result]="Winner"),"")), "")</f>
        <v/>
      </c>
    </row>
    <row r="95" spans="1:19" ht="13" hidden="1">
      <c r="A95" s="1" t="s">
        <v>192</v>
      </c>
      <c r="B95" s="1" t="s">
        <v>152</v>
      </c>
      <c r="C95" s="1" t="s">
        <v>391</v>
      </c>
      <c r="D95" s="1" t="str">
        <f>UPPER(_xlfn.CONCAT(LEFT(Teams[[#This Row],[teamType]], 1), "-", LEFT(SUBSTITUTE(Teams[[#This Row],[nation]], "/", ""), 3), "-", SUBSTITUTE(SUBSTITUTE(SUBSTITUTE(Teams[[#This Row],[name]], ".", ""), " ", ""), "-", "")))</f>
        <v>C-ENG-BLACKPOOL</v>
      </c>
      <c r="E95" s="16"/>
      <c r="F95" s="16"/>
      <c r="G95" s="1" t="b">
        <f>COUNTBLANK(Teams[[#This Row],[startDate]:[endDate]]) &lt; 2</f>
        <v>0</v>
      </c>
      <c r="H95" s="1" t="str">
        <f>IF(Teams[[#This Row],[relevant]], COUNTIFS(Fixtures[userTeam], Teams[[#This Row],[name]], Fixtures[APP], TRUE), "")</f>
        <v/>
      </c>
      <c r="I95" s="1" t="str">
        <f>IF(Teams[[#This Row],[relevant]], COUNTIFS(Fixtures[userTeam], Teams[[#This Row],[name]], Fixtures[result], "W", Fixtures[APP], TRUE), "")</f>
        <v/>
      </c>
      <c r="J95" s="1" t="str">
        <f>IF(Teams[[#This Row],[relevant]], COUNTIFS(Fixtures[userTeam], Teams[[#This Row],[name]], Fixtures[result], "D", Fixtures[APP], TRUE), "")</f>
        <v/>
      </c>
      <c r="K95" s="1" t="str">
        <f>IF(Teams[[#This Row],[relevant]], COUNTIFS(Fixtures[userTeam], Teams[[#This Row],[name]], Fixtures[result], "L", Fixtures[APP], TRUE), "")</f>
        <v/>
      </c>
      <c r="L95" s="1" t="str">
        <f>IF(Teams[[#This Row],[relevant]], SUMIFS(Fixtures[G], Fixtures[userTeam], Teams[[#This Row],[name]]), "")</f>
        <v/>
      </c>
      <c r="M95" s="1" t="str">
        <f>IF(Teams[[#This Row],[relevant]], SUMIFS(Fixtures[A], Fixtures[userTeam], Teams[[#This Row],[name]]), "")</f>
        <v/>
      </c>
      <c r="N95" s="1" t="str">
        <f>IF(Teams[[#This Row],[relevant]], SUMIFS(Fixtures[INV], Fixtures[userTeam], Teams[[#This Row],[name]]), "")</f>
        <v/>
      </c>
      <c r="O95" s="1" t="str">
        <f>IF(Teams[[#This Row],[relevant]], SUMIFS(Fixtures[YC], Fixtures[userTeam], Teams[[#This Row],[name]]), "")</f>
        <v/>
      </c>
      <c r="P95" s="1" t="str">
        <f>IF(Teams[[#This Row],[relevant]], SUMIFS(Fixtures[RC], Fixtures[userTeam], Teams[[#This Row],[name]]), "")</f>
        <v/>
      </c>
      <c r="Q95" s="13" t="str">
        <f>IF(Teams[[#This Row],[relevant]], IF(ISERROR(AVERAGEIFS(Fixtures[MR], Fixtures[userTeam], Teams[[#This Row],[name]])), 0, AVERAGEIFS(Fixtures[MR], Fixtures[userTeam], Teams[[#This Row],[name]])), "")</f>
        <v/>
      </c>
      <c r="R95" s="1" t="str">
        <f>IF(Teams[[#This Row],[relevant]], COUNTIFS(Fixtures[userTeam], Teams[[#This Row],[name]], Fixtures[MOTM], TRUE), "")</f>
        <v/>
      </c>
      <c r="S95" s="1" t="str" cm="1">
        <f t="array" ref="S95">IF(Teams[[#This Row],[relevant]], _xlfn.TEXTJOIN(", ", TRUE, _xlfn._xlws.FILTER(Stats[competition]&amp;" ("&amp;Stats[season]&amp;")",(Stats[team]=Teams[[#This Row],[name]])*(Stats[result]="Winner"),"")), "")</f>
        <v/>
      </c>
    </row>
    <row r="96" spans="1:19" ht="13" hidden="1">
      <c r="A96" s="1" t="s">
        <v>499</v>
      </c>
      <c r="B96" s="1" t="s">
        <v>463</v>
      </c>
      <c r="C96" s="1" t="s">
        <v>391</v>
      </c>
      <c r="D96" s="1" t="str">
        <f>UPPER(_xlfn.CONCAT(LEFT(Teams[[#This Row],[teamType]], 1), "-", LEFT(SUBSTITUTE(Teams[[#This Row],[nation]], "/", ""), 3), "-", SUBSTITUTE(SUBSTITUTE(SUBSTITUTE(Teams[[#This Row],[name]], ".", ""), " ", ""), "-", "")))</f>
        <v>C-POR-BOAVISTAFC</v>
      </c>
      <c r="E96" s="16"/>
      <c r="F96" s="16"/>
      <c r="G96" s="1" t="b">
        <f>COUNTBLANK(Teams[[#This Row],[startDate]:[endDate]]) &lt; 2</f>
        <v>0</v>
      </c>
      <c r="H96" s="1" t="str">
        <f>IF(Teams[[#This Row],[relevant]], COUNTIFS(Fixtures[userTeam], Teams[[#This Row],[name]], Fixtures[APP], TRUE), "")</f>
        <v/>
      </c>
      <c r="I96" s="1" t="str">
        <f>IF(Teams[[#This Row],[relevant]], COUNTIFS(Fixtures[userTeam], Teams[[#This Row],[name]], Fixtures[result], "W", Fixtures[APP], TRUE), "")</f>
        <v/>
      </c>
      <c r="J96" s="1" t="str">
        <f>IF(Teams[[#This Row],[relevant]], COUNTIFS(Fixtures[userTeam], Teams[[#This Row],[name]], Fixtures[result], "D", Fixtures[APP], TRUE), "")</f>
        <v/>
      </c>
      <c r="K96" s="1" t="str">
        <f>IF(Teams[[#This Row],[relevant]], COUNTIFS(Fixtures[userTeam], Teams[[#This Row],[name]], Fixtures[result], "L", Fixtures[APP], TRUE), "")</f>
        <v/>
      </c>
      <c r="L96" s="1" t="str">
        <f>IF(Teams[[#This Row],[relevant]], SUMIFS(Fixtures[G], Fixtures[userTeam], Teams[[#This Row],[name]]), "")</f>
        <v/>
      </c>
      <c r="M96" s="1" t="str">
        <f>IF(Teams[[#This Row],[relevant]], SUMIFS(Fixtures[A], Fixtures[userTeam], Teams[[#This Row],[name]]), "")</f>
        <v/>
      </c>
      <c r="N96" s="1" t="str">
        <f>IF(Teams[[#This Row],[relevant]], SUMIFS(Fixtures[INV], Fixtures[userTeam], Teams[[#This Row],[name]]), "")</f>
        <v/>
      </c>
      <c r="O96" s="1" t="str">
        <f>IF(Teams[[#This Row],[relevant]], SUMIFS(Fixtures[YC], Fixtures[userTeam], Teams[[#This Row],[name]]), "")</f>
        <v/>
      </c>
      <c r="P96" s="1" t="str">
        <f>IF(Teams[[#This Row],[relevant]], SUMIFS(Fixtures[RC], Fixtures[userTeam], Teams[[#This Row],[name]]), "")</f>
        <v/>
      </c>
      <c r="Q96" s="13" t="str">
        <f>IF(Teams[[#This Row],[relevant]], IF(ISERROR(AVERAGEIFS(Fixtures[MR], Fixtures[userTeam], Teams[[#This Row],[name]])), 0, AVERAGEIFS(Fixtures[MR], Fixtures[userTeam], Teams[[#This Row],[name]])), "")</f>
        <v/>
      </c>
      <c r="R96" s="1" t="str">
        <f>IF(Teams[[#This Row],[relevant]], COUNTIFS(Fixtures[userTeam], Teams[[#This Row],[name]], Fixtures[MOTM], TRUE), "")</f>
        <v/>
      </c>
      <c r="S96" s="1" t="str" cm="1">
        <f t="array" ref="S96">IF(Teams[[#This Row],[relevant]], _xlfn.TEXTJOIN(", ", TRUE, _xlfn._xlws.FILTER(Stats[competition]&amp;" ("&amp;Stats[season]&amp;")",(Stats[team]=Teams[[#This Row],[name]])*(Stats[result]="Winner"),"")), "")</f>
        <v/>
      </c>
    </row>
    <row r="97" spans="1:19" ht="13" hidden="1">
      <c r="A97" s="1" t="s">
        <v>500</v>
      </c>
      <c r="B97" s="1" t="s">
        <v>131</v>
      </c>
      <c r="C97" s="1" t="s">
        <v>391</v>
      </c>
      <c r="D97" s="1" t="str">
        <f>UPPER(_xlfn.CONCAT(LEFT(Teams[[#This Row],[teamType]], 1), "-", LEFT(SUBSTITUTE(Teams[[#This Row],[nation]], "/", ""), 3), "-", SUBSTITUTE(SUBSTITUTE(SUBSTITUTE(Teams[[#This Row],[name]], ".", ""), " ", ""), "-", "")))</f>
        <v>C-ARG-BOCAJUNIORS</v>
      </c>
      <c r="E97" s="16"/>
      <c r="F97" s="16"/>
      <c r="G97" s="1" t="b">
        <f>COUNTBLANK(Teams[[#This Row],[startDate]:[endDate]]) &lt; 2</f>
        <v>0</v>
      </c>
      <c r="H97" s="1" t="str">
        <f>IF(Teams[[#This Row],[relevant]], COUNTIFS(Fixtures[userTeam], Teams[[#This Row],[name]], Fixtures[APP], TRUE), "")</f>
        <v/>
      </c>
      <c r="I97" s="1" t="str">
        <f>IF(Teams[[#This Row],[relevant]], COUNTIFS(Fixtures[userTeam], Teams[[#This Row],[name]], Fixtures[result], "W", Fixtures[APP], TRUE), "")</f>
        <v/>
      </c>
      <c r="J97" s="1" t="str">
        <f>IF(Teams[[#This Row],[relevant]], COUNTIFS(Fixtures[userTeam], Teams[[#This Row],[name]], Fixtures[result], "D", Fixtures[APP], TRUE), "")</f>
        <v/>
      </c>
      <c r="K97" s="1" t="str">
        <f>IF(Teams[[#This Row],[relevant]], COUNTIFS(Fixtures[userTeam], Teams[[#This Row],[name]], Fixtures[result], "L", Fixtures[APP], TRUE), "")</f>
        <v/>
      </c>
      <c r="L97" s="1" t="str">
        <f>IF(Teams[[#This Row],[relevant]], SUMIFS(Fixtures[G], Fixtures[userTeam], Teams[[#This Row],[name]]), "")</f>
        <v/>
      </c>
      <c r="M97" s="1" t="str">
        <f>IF(Teams[[#This Row],[relevant]], SUMIFS(Fixtures[A], Fixtures[userTeam], Teams[[#This Row],[name]]), "")</f>
        <v/>
      </c>
      <c r="N97" s="1" t="str">
        <f>IF(Teams[[#This Row],[relevant]], SUMIFS(Fixtures[INV], Fixtures[userTeam], Teams[[#This Row],[name]]), "")</f>
        <v/>
      </c>
      <c r="O97" s="1" t="str">
        <f>IF(Teams[[#This Row],[relevant]], SUMIFS(Fixtures[YC], Fixtures[userTeam], Teams[[#This Row],[name]]), "")</f>
        <v/>
      </c>
      <c r="P97" s="1" t="str">
        <f>IF(Teams[[#This Row],[relevant]], SUMIFS(Fixtures[RC], Fixtures[userTeam], Teams[[#This Row],[name]]), "")</f>
        <v/>
      </c>
      <c r="Q97" s="13" t="str">
        <f>IF(Teams[[#This Row],[relevant]], IF(ISERROR(AVERAGEIFS(Fixtures[MR], Fixtures[userTeam], Teams[[#This Row],[name]])), 0, AVERAGEIFS(Fixtures[MR], Fixtures[userTeam], Teams[[#This Row],[name]])), "")</f>
        <v/>
      </c>
      <c r="R97" s="1" t="str">
        <f>IF(Teams[[#This Row],[relevant]], COUNTIFS(Fixtures[userTeam], Teams[[#This Row],[name]], Fixtures[MOTM], TRUE), "")</f>
        <v/>
      </c>
      <c r="S97" s="1" t="str" cm="1">
        <f t="array" ref="S97">IF(Teams[[#This Row],[relevant]], _xlfn.TEXTJOIN(", ", TRUE, _xlfn._xlws.FILTER(Stats[competition]&amp;" ("&amp;Stats[season]&amp;")",(Stats[team]=Teams[[#This Row],[name]])*(Stats[result]="Winner"),"")), "")</f>
        <v/>
      </c>
    </row>
    <row r="98" spans="1:19" ht="13" hidden="1">
      <c r="A98" s="1" t="s">
        <v>501</v>
      </c>
      <c r="B98" s="1" t="s">
        <v>270</v>
      </c>
      <c r="C98" s="1" t="s">
        <v>391</v>
      </c>
      <c r="D98" s="1" t="str">
        <f>UPPER(_xlfn.CONCAT(LEFT(Teams[[#This Row],[teamType]], 1), "-", LEFT(SUBSTITUTE(Teams[[#This Row],[nation]], "/", ""), 3), "-", SUBSTITUTE(SUBSTITUTE(SUBSTITUTE(Teams[[#This Row],[name]], ".", ""), " ", ""), "-", "")))</f>
        <v>C-IRE-BOHEMIANFC</v>
      </c>
      <c r="E98" s="16"/>
      <c r="F98" s="16"/>
      <c r="G98" s="1" t="b">
        <f>COUNTBLANK(Teams[[#This Row],[startDate]:[endDate]]) &lt; 2</f>
        <v>0</v>
      </c>
      <c r="H98" s="1" t="str">
        <f>IF(Teams[[#This Row],[relevant]], COUNTIFS(Fixtures[userTeam], Teams[[#This Row],[name]], Fixtures[APP], TRUE), "")</f>
        <v/>
      </c>
      <c r="I98" s="1" t="str">
        <f>IF(Teams[[#This Row],[relevant]], COUNTIFS(Fixtures[userTeam], Teams[[#This Row],[name]], Fixtures[result], "W", Fixtures[APP], TRUE), "")</f>
        <v/>
      </c>
      <c r="J98" s="1" t="str">
        <f>IF(Teams[[#This Row],[relevant]], COUNTIFS(Fixtures[userTeam], Teams[[#This Row],[name]], Fixtures[result], "D", Fixtures[APP], TRUE), "")</f>
        <v/>
      </c>
      <c r="K98" s="1" t="str">
        <f>IF(Teams[[#This Row],[relevant]], COUNTIFS(Fixtures[userTeam], Teams[[#This Row],[name]], Fixtures[result], "L", Fixtures[APP], TRUE), "")</f>
        <v/>
      </c>
      <c r="L98" s="1" t="str">
        <f>IF(Teams[[#This Row],[relevant]], SUMIFS(Fixtures[G], Fixtures[userTeam], Teams[[#This Row],[name]]), "")</f>
        <v/>
      </c>
      <c r="M98" s="1" t="str">
        <f>IF(Teams[[#This Row],[relevant]], SUMIFS(Fixtures[A], Fixtures[userTeam], Teams[[#This Row],[name]]), "")</f>
        <v/>
      </c>
      <c r="N98" s="1" t="str">
        <f>IF(Teams[[#This Row],[relevant]], SUMIFS(Fixtures[INV], Fixtures[userTeam], Teams[[#This Row],[name]]), "")</f>
        <v/>
      </c>
      <c r="O98" s="1" t="str">
        <f>IF(Teams[[#This Row],[relevant]], SUMIFS(Fixtures[YC], Fixtures[userTeam], Teams[[#This Row],[name]]), "")</f>
        <v/>
      </c>
      <c r="P98" s="1" t="str">
        <f>IF(Teams[[#This Row],[relevant]], SUMIFS(Fixtures[RC], Fixtures[userTeam], Teams[[#This Row],[name]]), "")</f>
        <v/>
      </c>
      <c r="Q98" s="13" t="str">
        <f>IF(Teams[[#This Row],[relevant]], IF(ISERROR(AVERAGEIFS(Fixtures[MR], Fixtures[userTeam], Teams[[#This Row],[name]])), 0, AVERAGEIFS(Fixtures[MR], Fixtures[userTeam], Teams[[#This Row],[name]])), "")</f>
        <v/>
      </c>
      <c r="R98" s="1" t="str">
        <f>IF(Teams[[#This Row],[relevant]], COUNTIFS(Fixtures[userTeam], Teams[[#This Row],[name]], Fixtures[MOTM], TRUE), "")</f>
        <v/>
      </c>
      <c r="S98" s="1" t="str" cm="1">
        <f t="array" ref="S98">IF(Teams[[#This Row],[relevant]], _xlfn.TEXTJOIN(", ", TRUE, _xlfn._xlws.FILTER(Stats[competition]&amp;" ("&amp;Stats[season]&amp;")",(Stats[team]=Teams[[#This Row],[name]])*(Stats[result]="Winner"),"")), "")</f>
        <v/>
      </c>
    </row>
    <row r="99" spans="1:19" ht="13" hidden="1">
      <c r="A99" s="1" t="s">
        <v>502</v>
      </c>
      <c r="B99" s="1" t="s">
        <v>254</v>
      </c>
      <c r="C99" s="1" t="s">
        <v>391</v>
      </c>
      <c r="D99" s="1" t="str">
        <f>UPPER(_xlfn.CONCAT(LEFT(Teams[[#This Row],[teamType]], 1), "-", LEFT(SUBSTITUTE(Teams[[#This Row],[nation]], "/", ""), 3), "-", SUBSTITUTE(SUBSTITUTE(SUBSTITUTE(Teams[[#This Row],[name]], ".", ""), " ", ""), "-", "")))</f>
        <v>C-ITA-BOLOGNA</v>
      </c>
      <c r="E99" s="16"/>
      <c r="F99" s="16"/>
      <c r="G99" s="1" t="b">
        <f>COUNTBLANK(Teams[[#This Row],[startDate]:[endDate]]) &lt; 2</f>
        <v>0</v>
      </c>
      <c r="H99" s="1" t="str">
        <f>IF(Teams[[#This Row],[relevant]], COUNTIFS(Fixtures[userTeam], Teams[[#This Row],[name]], Fixtures[APP], TRUE), "")</f>
        <v/>
      </c>
      <c r="I99" s="1" t="str">
        <f>IF(Teams[[#This Row],[relevant]], COUNTIFS(Fixtures[userTeam], Teams[[#This Row],[name]], Fixtures[result], "W", Fixtures[APP], TRUE), "")</f>
        <v/>
      </c>
      <c r="J99" s="1" t="str">
        <f>IF(Teams[[#This Row],[relevant]], COUNTIFS(Fixtures[userTeam], Teams[[#This Row],[name]], Fixtures[result], "D", Fixtures[APP], TRUE), "")</f>
        <v/>
      </c>
      <c r="K99" s="1" t="str">
        <f>IF(Teams[[#This Row],[relevant]], COUNTIFS(Fixtures[userTeam], Teams[[#This Row],[name]], Fixtures[result], "L", Fixtures[APP], TRUE), "")</f>
        <v/>
      </c>
      <c r="L99" s="1" t="str">
        <f>IF(Teams[[#This Row],[relevant]], SUMIFS(Fixtures[G], Fixtures[userTeam], Teams[[#This Row],[name]]), "")</f>
        <v/>
      </c>
      <c r="M99" s="1" t="str">
        <f>IF(Teams[[#This Row],[relevant]], SUMIFS(Fixtures[A], Fixtures[userTeam], Teams[[#This Row],[name]]), "")</f>
        <v/>
      </c>
      <c r="N99" s="1" t="str">
        <f>IF(Teams[[#This Row],[relevant]], SUMIFS(Fixtures[INV], Fixtures[userTeam], Teams[[#This Row],[name]]), "")</f>
        <v/>
      </c>
      <c r="O99" s="1" t="str">
        <f>IF(Teams[[#This Row],[relevant]], SUMIFS(Fixtures[YC], Fixtures[userTeam], Teams[[#This Row],[name]]), "")</f>
        <v/>
      </c>
      <c r="P99" s="1" t="str">
        <f>IF(Teams[[#This Row],[relevant]], SUMIFS(Fixtures[RC], Fixtures[userTeam], Teams[[#This Row],[name]]), "")</f>
        <v/>
      </c>
      <c r="Q99" s="13" t="str">
        <f>IF(Teams[[#This Row],[relevant]], IF(ISERROR(AVERAGEIFS(Fixtures[MR], Fixtures[userTeam], Teams[[#This Row],[name]])), 0, AVERAGEIFS(Fixtures[MR], Fixtures[userTeam], Teams[[#This Row],[name]])), "")</f>
        <v/>
      </c>
      <c r="R99" s="1" t="str">
        <f>IF(Teams[[#This Row],[relevant]], COUNTIFS(Fixtures[userTeam], Teams[[#This Row],[name]], Fixtures[MOTM], TRUE), "")</f>
        <v/>
      </c>
      <c r="S99" s="1" t="str" cm="1">
        <f t="array" ref="S99">IF(Teams[[#This Row],[relevant]], _xlfn.TEXTJOIN(", ", TRUE, _xlfn._xlws.FILTER(Stats[competition]&amp;" ("&amp;Stats[season]&amp;")",(Stats[team]=Teams[[#This Row],[name]])*(Stats[result]="Winner"),"")), "")</f>
        <v/>
      </c>
    </row>
    <row r="100" spans="1:19" ht="13" hidden="1">
      <c r="A100" s="1" t="s">
        <v>199</v>
      </c>
      <c r="B100" s="1" t="s">
        <v>152</v>
      </c>
      <c r="C100" s="1" t="s">
        <v>391</v>
      </c>
      <c r="D100" s="1" t="str">
        <f>UPPER(_xlfn.CONCAT(LEFT(Teams[[#This Row],[teamType]], 1), "-", LEFT(SUBSTITUTE(Teams[[#This Row],[nation]], "/", ""), 3), "-", SUBSTITUTE(SUBSTITUTE(SUBSTITUTE(Teams[[#This Row],[name]], ".", ""), " ", ""), "-", "")))</f>
        <v>C-ENG-BOLTON</v>
      </c>
      <c r="E100" s="16"/>
      <c r="F100" s="16"/>
      <c r="G100" s="1" t="b">
        <f>COUNTBLANK(Teams[[#This Row],[startDate]:[endDate]]) &lt; 2</f>
        <v>0</v>
      </c>
      <c r="H100" s="1" t="str">
        <f>IF(Teams[[#This Row],[relevant]], COUNTIFS(Fixtures[userTeam], Teams[[#This Row],[name]], Fixtures[APP], TRUE), "")</f>
        <v/>
      </c>
      <c r="I100" s="1" t="str">
        <f>IF(Teams[[#This Row],[relevant]], COUNTIFS(Fixtures[userTeam], Teams[[#This Row],[name]], Fixtures[result], "W", Fixtures[APP], TRUE), "")</f>
        <v/>
      </c>
      <c r="J100" s="1" t="str">
        <f>IF(Teams[[#This Row],[relevant]], COUNTIFS(Fixtures[userTeam], Teams[[#This Row],[name]], Fixtures[result], "D", Fixtures[APP], TRUE), "")</f>
        <v/>
      </c>
      <c r="K100" s="1" t="str">
        <f>IF(Teams[[#This Row],[relevant]], COUNTIFS(Fixtures[userTeam], Teams[[#This Row],[name]], Fixtures[result], "L", Fixtures[APP], TRUE), "")</f>
        <v/>
      </c>
      <c r="L100" s="1" t="str">
        <f>IF(Teams[[#This Row],[relevant]], SUMIFS(Fixtures[G], Fixtures[userTeam], Teams[[#This Row],[name]]), "")</f>
        <v/>
      </c>
      <c r="M100" s="1" t="str">
        <f>IF(Teams[[#This Row],[relevant]], SUMIFS(Fixtures[A], Fixtures[userTeam], Teams[[#This Row],[name]]), "")</f>
        <v/>
      </c>
      <c r="N100" s="1" t="str">
        <f>IF(Teams[[#This Row],[relevant]], SUMIFS(Fixtures[INV], Fixtures[userTeam], Teams[[#This Row],[name]]), "")</f>
        <v/>
      </c>
      <c r="O100" s="1" t="str">
        <f>IF(Teams[[#This Row],[relevant]], SUMIFS(Fixtures[YC], Fixtures[userTeam], Teams[[#This Row],[name]]), "")</f>
        <v/>
      </c>
      <c r="P100" s="1" t="str">
        <f>IF(Teams[[#This Row],[relevant]], SUMIFS(Fixtures[RC], Fixtures[userTeam], Teams[[#This Row],[name]]), "")</f>
        <v/>
      </c>
      <c r="Q100" s="13" t="str">
        <f>IF(Teams[[#This Row],[relevant]], IF(ISERROR(AVERAGEIFS(Fixtures[MR], Fixtures[userTeam], Teams[[#This Row],[name]])), 0, AVERAGEIFS(Fixtures[MR], Fixtures[userTeam], Teams[[#This Row],[name]])), "")</f>
        <v/>
      </c>
      <c r="R100" s="1" t="str">
        <f>IF(Teams[[#This Row],[relevant]], COUNTIFS(Fixtures[userTeam], Teams[[#This Row],[name]], Fixtures[MOTM], TRUE), "")</f>
        <v/>
      </c>
      <c r="S100" s="1" t="str" cm="1">
        <f t="array" ref="S100">IF(Teams[[#This Row],[relevant]], _xlfn.TEXTJOIN(", ", TRUE, _xlfn._xlws.FILTER(Stats[competition]&amp;" ("&amp;Stats[season]&amp;")",(Stats[team]=Teams[[#This Row],[name]])*(Stats[result]="Winner"),"")), "")</f>
        <v/>
      </c>
    </row>
    <row r="101" spans="1:19" ht="13" hidden="1">
      <c r="A101" s="1" t="s">
        <v>503</v>
      </c>
      <c r="B101" s="1" t="s">
        <v>339</v>
      </c>
      <c r="C101" s="1" t="s">
        <v>391</v>
      </c>
      <c r="D101" s="1" t="str">
        <f>UPPER(_xlfn.CONCAT(LEFT(Teams[[#This Row],[teamType]], 1), "-", LEFT(SUBSTITUTE(Teams[[#This Row],[nation]], "/", ""), 3), "-", SUBSTITUTE(SUBSTITUTE(SUBSTITUTE(Teams[[#This Row],[name]], ".", ""), " ", ""), "-", "")))</f>
        <v>C-FRA-BORDEAUX</v>
      </c>
      <c r="E101" s="16"/>
      <c r="F101" s="16"/>
      <c r="G101" s="1" t="b">
        <f>COUNTBLANK(Teams[[#This Row],[startDate]:[endDate]]) &lt; 2</f>
        <v>0</v>
      </c>
      <c r="H101" s="1" t="str">
        <f>IF(Teams[[#This Row],[relevant]], COUNTIFS(Fixtures[userTeam], Teams[[#This Row],[name]], Fixtures[APP], TRUE), "")</f>
        <v/>
      </c>
      <c r="I101" s="1" t="str">
        <f>IF(Teams[[#This Row],[relevant]], COUNTIFS(Fixtures[userTeam], Teams[[#This Row],[name]], Fixtures[result], "W", Fixtures[APP], TRUE), "")</f>
        <v/>
      </c>
      <c r="J101" s="1" t="str">
        <f>IF(Teams[[#This Row],[relevant]], COUNTIFS(Fixtures[userTeam], Teams[[#This Row],[name]], Fixtures[result], "D", Fixtures[APP], TRUE), "")</f>
        <v/>
      </c>
      <c r="K101" s="1" t="str">
        <f>IF(Teams[[#This Row],[relevant]], COUNTIFS(Fixtures[userTeam], Teams[[#This Row],[name]], Fixtures[result], "L", Fixtures[APP], TRUE), "")</f>
        <v/>
      </c>
      <c r="L101" s="1" t="str">
        <f>IF(Teams[[#This Row],[relevant]], SUMIFS(Fixtures[G], Fixtures[userTeam], Teams[[#This Row],[name]]), "")</f>
        <v/>
      </c>
      <c r="M101" s="1" t="str">
        <f>IF(Teams[[#This Row],[relevant]], SUMIFS(Fixtures[A], Fixtures[userTeam], Teams[[#This Row],[name]]), "")</f>
        <v/>
      </c>
      <c r="N101" s="1" t="str">
        <f>IF(Teams[[#This Row],[relevant]], SUMIFS(Fixtures[INV], Fixtures[userTeam], Teams[[#This Row],[name]]), "")</f>
        <v/>
      </c>
      <c r="O101" s="1" t="str">
        <f>IF(Teams[[#This Row],[relevant]], SUMIFS(Fixtures[YC], Fixtures[userTeam], Teams[[#This Row],[name]]), "")</f>
        <v/>
      </c>
      <c r="P101" s="1" t="str">
        <f>IF(Teams[[#This Row],[relevant]], SUMIFS(Fixtures[RC], Fixtures[userTeam], Teams[[#This Row],[name]]), "")</f>
        <v/>
      </c>
      <c r="Q101" s="13" t="str">
        <f>IF(Teams[[#This Row],[relevant]], IF(ISERROR(AVERAGEIFS(Fixtures[MR], Fixtures[userTeam], Teams[[#This Row],[name]])), 0, AVERAGEIFS(Fixtures[MR], Fixtures[userTeam], Teams[[#This Row],[name]])), "")</f>
        <v/>
      </c>
      <c r="R101" s="1" t="str">
        <f>IF(Teams[[#This Row],[relevant]], COUNTIFS(Fixtures[userTeam], Teams[[#This Row],[name]], Fixtures[MOTM], TRUE), "")</f>
        <v/>
      </c>
      <c r="S101" s="1" t="str" cm="1">
        <f t="array" ref="S101">IF(Teams[[#This Row],[relevant]], _xlfn.TEXTJOIN(", ", TRUE, _xlfn._xlws.FILTER(Stats[competition]&amp;" ("&amp;Stats[season]&amp;")",(Stats[team]=Teams[[#This Row],[name]])*(Stats[result]="Winner"),"")), "")</f>
        <v/>
      </c>
    </row>
    <row r="102" spans="1:19" ht="13" hidden="1">
      <c r="A102" s="1" t="s">
        <v>297</v>
      </c>
      <c r="B102" s="1" t="s">
        <v>337</v>
      </c>
      <c r="C102" s="1" t="s">
        <v>391</v>
      </c>
      <c r="D102" s="1" t="str">
        <f>UPPER(_xlfn.CONCAT(LEFT(Teams[[#This Row],[teamType]], 1), "-", LEFT(SUBSTITUTE(Teams[[#This Row],[nation]], "/", ""), 3), "-", SUBSTITUTE(SUBSTITUTE(SUBSTITUTE(Teams[[#This Row],[name]], ".", ""), " ", ""), "-", "")))</f>
        <v>C-GER-BORUSSIADORTMUND</v>
      </c>
      <c r="E102" s="16"/>
      <c r="F102" s="16"/>
      <c r="G102" s="1" t="b">
        <f>COUNTBLANK(Teams[[#This Row],[startDate]:[endDate]]) &lt; 2</f>
        <v>0</v>
      </c>
      <c r="H102" s="1" t="str">
        <f>IF(Teams[[#This Row],[relevant]], COUNTIFS(Fixtures[userTeam], Teams[[#This Row],[name]], Fixtures[APP], TRUE), "")</f>
        <v/>
      </c>
      <c r="I102" s="1" t="str">
        <f>IF(Teams[[#This Row],[relevant]], COUNTIFS(Fixtures[userTeam], Teams[[#This Row],[name]], Fixtures[result], "W", Fixtures[APP], TRUE), "")</f>
        <v/>
      </c>
      <c r="J102" s="1" t="str">
        <f>IF(Teams[[#This Row],[relevant]], COUNTIFS(Fixtures[userTeam], Teams[[#This Row],[name]], Fixtures[result], "D", Fixtures[APP], TRUE), "")</f>
        <v/>
      </c>
      <c r="K102" s="1" t="str">
        <f>IF(Teams[[#This Row],[relevant]], COUNTIFS(Fixtures[userTeam], Teams[[#This Row],[name]], Fixtures[result], "L", Fixtures[APP], TRUE), "")</f>
        <v/>
      </c>
      <c r="L102" s="1" t="str">
        <f>IF(Teams[[#This Row],[relevant]], SUMIFS(Fixtures[G], Fixtures[userTeam], Teams[[#This Row],[name]]), "")</f>
        <v/>
      </c>
      <c r="M102" s="1" t="str">
        <f>IF(Teams[[#This Row],[relevant]], SUMIFS(Fixtures[A], Fixtures[userTeam], Teams[[#This Row],[name]]), "")</f>
        <v/>
      </c>
      <c r="N102" s="1" t="str">
        <f>IF(Teams[[#This Row],[relevant]], SUMIFS(Fixtures[INV], Fixtures[userTeam], Teams[[#This Row],[name]]), "")</f>
        <v/>
      </c>
      <c r="O102" s="1" t="str">
        <f>IF(Teams[[#This Row],[relevant]], SUMIFS(Fixtures[YC], Fixtures[userTeam], Teams[[#This Row],[name]]), "")</f>
        <v/>
      </c>
      <c r="P102" s="1" t="str">
        <f>IF(Teams[[#This Row],[relevant]], SUMIFS(Fixtures[RC], Fixtures[userTeam], Teams[[#This Row],[name]]), "")</f>
        <v/>
      </c>
      <c r="Q102" s="13" t="str">
        <f>IF(Teams[[#This Row],[relevant]], IF(ISERROR(AVERAGEIFS(Fixtures[MR], Fixtures[userTeam], Teams[[#This Row],[name]])), 0, AVERAGEIFS(Fixtures[MR], Fixtures[userTeam], Teams[[#This Row],[name]])), "")</f>
        <v/>
      </c>
      <c r="R102" s="1" t="str">
        <f>IF(Teams[[#This Row],[relevant]], COUNTIFS(Fixtures[userTeam], Teams[[#This Row],[name]], Fixtures[MOTM], TRUE), "")</f>
        <v/>
      </c>
      <c r="S102" s="1" t="str" cm="1">
        <f t="array" ref="S102">IF(Teams[[#This Row],[relevant]], _xlfn.TEXTJOIN(", ", TRUE, _xlfn._xlws.FILTER(Stats[competition]&amp;" ("&amp;Stats[season]&amp;")",(Stats[team]=Teams[[#This Row],[name]])*(Stats[result]="Winner"),"")), "")</f>
        <v/>
      </c>
    </row>
    <row r="103" spans="1:19" ht="13" hidden="1">
      <c r="A103" s="1" t="s">
        <v>504</v>
      </c>
      <c r="B103" s="1" t="s">
        <v>152</v>
      </c>
      <c r="C103" s="1" t="s">
        <v>391</v>
      </c>
      <c r="D103" s="1" t="str">
        <f>UPPER(_xlfn.CONCAT(LEFT(Teams[[#This Row],[teamType]], 1), "-", LEFT(SUBSTITUTE(Teams[[#This Row],[nation]], "/", ""), 3), "-", SUBSTITUTE(SUBSTITUTE(SUBSTITUTE(Teams[[#This Row],[name]], ".", ""), " ", ""), "-", "")))</f>
        <v>C-ENG-BRADFORDCITY</v>
      </c>
      <c r="E103" s="16"/>
      <c r="F103" s="16"/>
      <c r="G103" s="1" t="b">
        <f>COUNTBLANK(Teams[[#This Row],[startDate]:[endDate]]) &lt; 2</f>
        <v>0</v>
      </c>
      <c r="H103" s="1" t="str">
        <f>IF(Teams[[#This Row],[relevant]], COUNTIFS(Fixtures[userTeam], Teams[[#This Row],[name]], Fixtures[APP], TRUE), "")</f>
        <v/>
      </c>
      <c r="I103" s="1" t="str">
        <f>IF(Teams[[#This Row],[relevant]], COUNTIFS(Fixtures[userTeam], Teams[[#This Row],[name]], Fixtures[result], "W", Fixtures[APP], TRUE), "")</f>
        <v/>
      </c>
      <c r="J103" s="1" t="str">
        <f>IF(Teams[[#This Row],[relevant]], COUNTIFS(Fixtures[userTeam], Teams[[#This Row],[name]], Fixtures[result], "D", Fixtures[APP], TRUE), "")</f>
        <v/>
      </c>
      <c r="K103" s="1" t="str">
        <f>IF(Teams[[#This Row],[relevant]], COUNTIFS(Fixtures[userTeam], Teams[[#This Row],[name]], Fixtures[result], "L", Fixtures[APP], TRUE), "")</f>
        <v/>
      </c>
      <c r="L103" s="1" t="str">
        <f>IF(Teams[[#This Row],[relevant]], SUMIFS(Fixtures[G], Fixtures[userTeam], Teams[[#This Row],[name]]), "")</f>
        <v/>
      </c>
      <c r="M103" s="1" t="str">
        <f>IF(Teams[[#This Row],[relevant]], SUMIFS(Fixtures[A], Fixtures[userTeam], Teams[[#This Row],[name]]), "")</f>
        <v/>
      </c>
      <c r="N103" s="1" t="str">
        <f>IF(Teams[[#This Row],[relevant]], SUMIFS(Fixtures[INV], Fixtures[userTeam], Teams[[#This Row],[name]]), "")</f>
        <v/>
      </c>
      <c r="O103" s="1" t="str">
        <f>IF(Teams[[#This Row],[relevant]], SUMIFS(Fixtures[YC], Fixtures[userTeam], Teams[[#This Row],[name]]), "")</f>
        <v/>
      </c>
      <c r="P103" s="1" t="str">
        <f>IF(Teams[[#This Row],[relevant]], SUMIFS(Fixtures[RC], Fixtures[userTeam], Teams[[#This Row],[name]]), "")</f>
        <v/>
      </c>
      <c r="Q103" s="13" t="str">
        <f>IF(Teams[[#This Row],[relevant]], IF(ISERROR(AVERAGEIFS(Fixtures[MR], Fixtures[userTeam], Teams[[#This Row],[name]])), 0, AVERAGEIFS(Fixtures[MR], Fixtures[userTeam], Teams[[#This Row],[name]])), "")</f>
        <v/>
      </c>
      <c r="R103" s="1" t="str">
        <f>IF(Teams[[#This Row],[relevant]], COUNTIFS(Fixtures[userTeam], Teams[[#This Row],[name]], Fixtures[MOTM], TRUE), "")</f>
        <v/>
      </c>
      <c r="S103" s="1" t="str" cm="1">
        <f t="array" ref="S103">IF(Teams[[#This Row],[relevant]], _xlfn.TEXTJOIN(", ", TRUE, _xlfn._xlws.FILTER(Stats[competition]&amp;" ("&amp;Stats[season]&amp;")",(Stats[team]=Teams[[#This Row],[name]])*(Stats[result]="Winner"),"")), "")</f>
        <v/>
      </c>
    </row>
    <row r="104" spans="1:19" ht="13" hidden="1">
      <c r="A104" s="1" t="s">
        <v>505</v>
      </c>
      <c r="B104" s="1" t="s">
        <v>337</v>
      </c>
      <c r="C104" s="1" t="s">
        <v>391</v>
      </c>
      <c r="D104" s="1" t="str">
        <f>UPPER(_xlfn.CONCAT(LEFT(Teams[[#This Row],[teamType]], 1), "-", LEFT(SUBSTITUTE(Teams[[#This Row],[nation]], "/", ""), 3), "-", SUBSTITUTE(SUBSTITUTE(SUBSTITUTE(Teams[[#This Row],[name]], ".", ""), " ", ""), "-", "")))</f>
        <v>C-GER-BRAUNSCHWEIG</v>
      </c>
      <c r="E104" s="16"/>
      <c r="F104" s="16"/>
      <c r="G104" s="1" t="b">
        <f>COUNTBLANK(Teams[[#This Row],[startDate]:[endDate]]) &lt; 2</f>
        <v>0</v>
      </c>
      <c r="H104" s="1" t="str">
        <f>IF(Teams[[#This Row],[relevant]], COUNTIFS(Fixtures[userTeam], Teams[[#This Row],[name]], Fixtures[APP], TRUE), "")</f>
        <v/>
      </c>
      <c r="I104" s="1" t="str">
        <f>IF(Teams[[#This Row],[relevant]], COUNTIFS(Fixtures[userTeam], Teams[[#This Row],[name]], Fixtures[result], "W", Fixtures[APP], TRUE), "")</f>
        <v/>
      </c>
      <c r="J104" s="1" t="str">
        <f>IF(Teams[[#This Row],[relevant]], COUNTIFS(Fixtures[userTeam], Teams[[#This Row],[name]], Fixtures[result], "D", Fixtures[APP], TRUE), "")</f>
        <v/>
      </c>
      <c r="K104" s="1" t="str">
        <f>IF(Teams[[#This Row],[relevant]], COUNTIFS(Fixtures[userTeam], Teams[[#This Row],[name]], Fixtures[result], "L", Fixtures[APP], TRUE), "")</f>
        <v/>
      </c>
      <c r="L104" s="1" t="str">
        <f>IF(Teams[[#This Row],[relevant]], SUMIFS(Fixtures[G], Fixtures[userTeam], Teams[[#This Row],[name]]), "")</f>
        <v/>
      </c>
      <c r="M104" s="1" t="str">
        <f>IF(Teams[[#This Row],[relevant]], SUMIFS(Fixtures[A], Fixtures[userTeam], Teams[[#This Row],[name]]), "")</f>
        <v/>
      </c>
      <c r="N104" s="1" t="str">
        <f>IF(Teams[[#This Row],[relevant]], SUMIFS(Fixtures[INV], Fixtures[userTeam], Teams[[#This Row],[name]]), "")</f>
        <v/>
      </c>
      <c r="O104" s="1" t="str">
        <f>IF(Teams[[#This Row],[relevant]], SUMIFS(Fixtures[YC], Fixtures[userTeam], Teams[[#This Row],[name]]), "")</f>
        <v/>
      </c>
      <c r="P104" s="1" t="str">
        <f>IF(Teams[[#This Row],[relevant]], SUMIFS(Fixtures[RC], Fixtures[userTeam], Teams[[#This Row],[name]]), "")</f>
        <v/>
      </c>
      <c r="Q104" s="13" t="str">
        <f>IF(Teams[[#This Row],[relevant]], IF(ISERROR(AVERAGEIFS(Fixtures[MR], Fixtures[userTeam], Teams[[#This Row],[name]])), 0, AVERAGEIFS(Fixtures[MR], Fixtures[userTeam], Teams[[#This Row],[name]])), "")</f>
        <v/>
      </c>
      <c r="R104" s="1" t="str">
        <f>IF(Teams[[#This Row],[relevant]], COUNTIFS(Fixtures[userTeam], Teams[[#This Row],[name]], Fixtures[MOTM], TRUE), "")</f>
        <v/>
      </c>
      <c r="S104" s="1" t="str" cm="1">
        <f t="array" ref="S104">IF(Teams[[#This Row],[relevant]], _xlfn.TEXTJOIN(", ", TRUE, _xlfn._xlws.FILTER(Stats[competition]&amp;" ("&amp;Stats[season]&amp;")",(Stats[team]=Teams[[#This Row],[name]])*(Stats[result]="Winner"),"")), "")</f>
        <v/>
      </c>
    </row>
    <row r="105" spans="1:19" ht="13" hidden="1">
      <c r="A105" s="1" t="s">
        <v>451</v>
      </c>
      <c r="B105" s="1" t="s">
        <v>451</v>
      </c>
      <c r="C105" s="1" t="s">
        <v>459</v>
      </c>
      <c r="D105" s="1" t="str">
        <f>UPPER(_xlfn.CONCAT(LEFT(Teams[[#This Row],[teamType]], 1), "-", LEFT(SUBSTITUTE(Teams[[#This Row],[nation]], "/", ""), 3), "-", SUBSTITUTE(SUBSTITUTE(SUBSTITUTE(Teams[[#This Row],[name]], ".", ""), " ", ""), "-", "")))</f>
        <v>N-BRA-BRAZIL</v>
      </c>
      <c r="E105" s="16"/>
      <c r="F105" s="16"/>
      <c r="G105" s="1" t="b">
        <f>COUNTBLANK(Teams[[#This Row],[startDate]:[endDate]]) &lt; 2</f>
        <v>0</v>
      </c>
      <c r="H105" s="1" t="str">
        <f>IF(Teams[[#This Row],[relevant]], COUNTIFS(Fixtures[userTeam], Teams[[#This Row],[name]], Fixtures[APP], TRUE), "")</f>
        <v/>
      </c>
      <c r="I105" s="1" t="str">
        <f>IF(Teams[[#This Row],[relevant]], COUNTIFS(Fixtures[userTeam], Teams[[#This Row],[name]], Fixtures[result], "W", Fixtures[APP], TRUE), "")</f>
        <v/>
      </c>
      <c r="J105" s="1" t="str">
        <f>IF(Teams[[#This Row],[relevant]], COUNTIFS(Fixtures[userTeam], Teams[[#This Row],[name]], Fixtures[result], "D", Fixtures[APP], TRUE), "")</f>
        <v/>
      </c>
      <c r="K105" s="1" t="str">
        <f>IF(Teams[[#This Row],[relevant]], COUNTIFS(Fixtures[userTeam], Teams[[#This Row],[name]], Fixtures[result], "L", Fixtures[APP], TRUE), "")</f>
        <v/>
      </c>
      <c r="L105" s="1" t="str">
        <f>IF(Teams[[#This Row],[relevant]], SUMIFS(Fixtures[G], Fixtures[userTeam], Teams[[#This Row],[name]]), "")</f>
        <v/>
      </c>
      <c r="M105" s="1" t="str">
        <f>IF(Teams[[#This Row],[relevant]], SUMIFS(Fixtures[A], Fixtures[userTeam], Teams[[#This Row],[name]]), "")</f>
        <v/>
      </c>
      <c r="N105" s="1" t="str">
        <f>IF(Teams[[#This Row],[relevant]], SUMIFS(Fixtures[INV], Fixtures[userTeam], Teams[[#This Row],[name]]), "")</f>
        <v/>
      </c>
      <c r="O105" s="1" t="str">
        <f>IF(Teams[[#This Row],[relevant]], SUMIFS(Fixtures[YC], Fixtures[userTeam], Teams[[#This Row],[name]]), "")</f>
        <v/>
      </c>
      <c r="P105" s="1" t="str">
        <f>IF(Teams[[#This Row],[relevant]], SUMIFS(Fixtures[RC], Fixtures[userTeam], Teams[[#This Row],[name]]), "")</f>
        <v/>
      </c>
      <c r="Q105" s="13" t="str">
        <f>IF(Teams[[#This Row],[relevant]], IF(ISERROR(AVERAGEIFS(Fixtures[MR], Fixtures[userTeam], Teams[[#This Row],[name]])), 0, AVERAGEIFS(Fixtures[MR], Fixtures[userTeam], Teams[[#This Row],[name]])), "")</f>
        <v/>
      </c>
      <c r="R105" s="1" t="str">
        <f>IF(Teams[[#This Row],[relevant]], COUNTIFS(Fixtures[userTeam], Teams[[#This Row],[name]], Fixtures[MOTM], TRUE), "")</f>
        <v/>
      </c>
      <c r="S105" s="1" t="str" cm="1">
        <f t="array" ref="S105">IF(Teams[[#This Row],[relevant]], _xlfn.TEXTJOIN(", ", TRUE, _xlfn._xlws.FILTER(Stats[competition]&amp;" ("&amp;Stats[season]&amp;")",(Stats[team]=Teams[[#This Row],[name]])*(Stats[result]="Winner"),"")), "")</f>
        <v/>
      </c>
    </row>
    <row r="106" spans="1:19" ht="13" hidden="1">
      <c r="A106" s="1" t="s">
        <v>506</v>
      </c>
      <c r="B106" s="1" t="s">
        <v>152</v>
      </c>
      <c r="C106" s="1" t="s">
        <v>391</v>
      </c>
      <c r="D106" s="1" t="str">
        <f>UPPER(_xlfn.CONCAT(LEFT(Teams[[#This Row],[teamType]], 1), "-", LEFT(SUBSTITUTE(Teams[[#This Row],[nation]], "/", ""), 3), "-", SUBSTITUTE(SUBSTITUTE(SUBSTITUTE(Teams[[#This Row],[name]], ".", ""), " ", ""), "-", "")))</f>
        <v>C-ENG-BRENTFORD</v>
      </c>
      <c r="E106" s="16"/>
      <c r="F106" s="16"/>
      <c r="G106" s="1" t="b">
        <f>COUNTBLANK(Teams[[#This Row],[startDate]:[endDate]]) &lt; 2</f>
        <v>0</v>
      </c>
      <c r="H106" s="1" t="str">
        <f>IF(Teams[[#This Row],[relevant]], COUNTIFS(Fixtures[userTeam], Teams[[#This Row],[name]], Fixtures[APP], TRUE), "")</f>
        <v/>
      </c>
      <c r="I106" s="1" t="str">
        <f>IF(Teams[[#This Row],[relevant]], COUNTIFS(Fixtures[userTeam], Teams[[#This Row],[name]], Fixtures[result], "W", Fixtures[APP], TRUE), "")</f>
        <v/>
      </c>
      <c r="J106" s="1" t="str">
        <f>IF(Teams[[#This Row],[relevant]], COUNTIFS(Fixtures[userTeam], Teams[[#This Row],[name]], Fixtures[result], "D", Fixtures[APP], TRUE), "")</f>
        <v/>
      </c>
      <c r="K106" s="1" t="str">
        <f>IF(Teams[[#This Row],[relevant]], COUNTIFS(Fixtures[userTeam], Teams[[#This Row],[name]], Fixtures[result], "L", Fixtures[APP], TRUE), "")</f>
        <v/>
      </c>
      <c r="L106" s="1" t="str">
        <f>IF(Teams[[#This Row],[relevant]], SUMIFS(Fixtures[G], Fixtures[userTeam], Teams[[#This Row],[name]]), "")</f>
        <v/>
      </c>
      <c r="M106" s="1" t="str">
        <f>IF(Teams[[#This Row],[relevant]], SUMIFS(Fixtures[A], Fixtures[userTeam], Teams[[#This Row],[name]]), "")</f>
        <v/>
      </c>
      <c r="N106" s="1" t="str">
        <f>IF(Teams[[#This Row],[relevant]], SUMIFS(Fixtures[INV], Fixtures[userTeam], Teams[[#This Row],[name]]), "")</f>
        <v/>
      </c>
      <c r="O106" s="1" t="str">
        <f>IF(Teams[[#This Row],[relevant]], SUMIFS(Fixtures[YC], Fixtures[userTeam], Teams[[#This Row],[name]]), "")</f>
        <v/>
      </c>
      <c r="P106" s="1" t="str">
        <f>IF(Teams[[#This Row],[relevant]], SUMIFS(Fixtures[RC], Fixtures[userTeam], Teams[[#This Row],[name]]), "")</f>
        <v/>
      </c>
      <c r="Q106" s="13" t="str">
        <f>IF(Teams[[#This Row],[relevant]], IF(ISERROR(AVERAGEIFS(Fixtures[MR], Fixtures[userTeam], Teams[[#This Row],[name]])), 0, AVERAGEIFS(Fixtures[MR], Fixtures[userTeam], Teams[[#This Row],[name]])), "")</f>
        <v/>
      </c>
      <c r="R106" s="1" t="str">
        <f>IF(Teams[[#This Row],[relevant]], COUNTIFS(Fixtures[userTeam], Teams[[#This Row],[name]], Fixtures[MOTM], TRUE), "")</f>
        <v/>
      </c>
      <c r="S106" s="1" t="str" cm="1">
        <f t="array" ref="S106">IF(Teams[[#This Row],[relevant]], _xlfn.TEXTJOIN(", ", TRUE, _xlfn._xlws.FILTER(Stats[competition]&amp;" ("&amp;Stats[season]&amp;")",(Stats[team]=Teams[[#This Row],[name]])*(Stats[result]="Winner"),"")), "")</f>
        <v/>
      </c>
    </row>
    <row r="107" spans="1:19" ht="13" hidden="1">
      <c r="A107" s="1" t="s">
        <v>507</v>
      </c>
      <c r="B107" s="1" t="s">
        <v>254</v>
      </c>
      <c r="C107" s="1" t="s">
        <v>391</v>
      </c>
      <c r="D107" s="1" t="str">
        <f>UPPER(_xlfn.CONCAT(LEFT(Teams[[#This Row],[teamType]], 1), "-", LEFT(SUBSTITUTE(Teams[[#This Row],[nation]], "/", ""), 3), "-", SUBSTITUTE(SUBSTITUTE(SUBSTITUTE(Teams[[#This Row],[name]], ".", ""), " ", ""), "-", "")))</f>
        <v>C-ITA-BRESCIA</v>
      </c>
      <c r="E107" s="16"/>
      <c r="F107" s="16"/>
      <c r="G107" s="1" t="b">
        <f>COUNTBLANK(Teams[[#This Row],[startDate]:[endDate]]) &lt; 2</f>
        <v>0</v>
      </c>
      <c r="H107" s="1" t="str">
        <f>IF(Teams[[#This Row],[relevant]], COUNTIFS(Fixtures[userTeam], Teams[[#This Row],[name]], Fixtures[APP], TRUE), "")</f>
        <v/>
      </c>
      <c r="I107" s="1" t="str">
        <f>IF(Teams[[#This Row],[relevant]], COUNTIFS(Fixtures[userTeam], Teams[[#This Row],[name]], Fixtures[result], "W", Fixtures[APP], TRUE), "")</f>
        <v/>
      </c>
      <c r="J107" s="1" t="str">
        <f>IF(Teams[[#This Row],[relevant]], COUNTIFS(Fixtures[userTeam], Teams[[#This Row],[name]], Fixtures[result], "D", Fixtures[APP], TRUE), "")</f>
        <v/>
      </c>
      <c r="K107" s="1" t="str">
        <f>IF(Teams[[#This Row],[relevant]], COUNTIFS(Fixtures[userTeam], Teams[[#This Row],[name]], Fixtures[result], "L", Fixtures[APP], TRUE), "")</f>
        <v/>
      </c>
      <c r="L107" s="1" t="str">
        <f>IF(Teams[[#This Row],[relevant]], SUMIFS(Fixtures[G], Fixtures[userTeam], Teams[[#This Row],[name]]), "")</f>
        <v/>
      </c>
      <c r="M107" s="1" t="str">
        <f>IF(Teams[[#This Row],[relevant]], SUMIFS(Fixtures[A], Fixtures[userTeam], Teams[[#This Row],[name]]), "")</f>
        <v/>
      </c>
      <c r="N107" s="1" t="str">
        <f>IF(Teams[[#This Row],[relevant]], SUMIFS(Fixtures[INV], Fixtures[userTeam], Teams[[#This Row],[name]]), "")</f>
        <v/>
      </c>
      <c r="O107" s="1" t="str">
        <f>IF(Teams[[#This Row],[relevant]], SUMIFS(Fixtures[YC], Fixtures[userTeam], Teams[[#This Row],[name]]), "")</f>
        <v/>
      </c>
      <c r="P107" s="1" t="str">
        <f>IF(Teams[[#This Row],[relevant]], SUMIFS(Fixtures[RC], Fixtures[userTeam], Teams[[#This Row],[name]]), "")</f>
        <v/>
      </c>
      <c r="Q107" s="13" t="str">
        <f>IF(Teams[[#This Row],[relevant]], IF(ISERROR(AVERAGEIFS(Fixtures[MR], Fixtures[userTeam], Teams[[#This Row],[name]])), 0, AVERAGEIFS(Fixtures[MR], Fixtures[userTeam], Teams[[#This Row],[name]])), "")</f>
        <v/>
      </c>
      <c r="R107" s="1" t="str">
        <f>IF(Teams[[#This Row],[relevant]], COUNTIFS(Fixtures[userTeam], Teams[[#This Row],[name]], Fixtures[MOTM], TRUE), "")</f>
        <v/>
      </c>
      <c r="S107" s="1" t="str" cm="1">
        <f t="array" ref="S107">IF(Teams[[#This Row],[relevant]], _xlfn.TEXTJOIN(", ", TRUE, _xlfn._xlws.FILTER(Stats[competition]&amp;" ("&amp;Stats[season]&amp;")",(Stats[team]=Teams[[#This Row],[name]])*(Stats[result]="Winner"),"")), "")</f>
        <v/>
      </c>
    </row>
    <row r="108" spans="1:19" ht="13" hidden="1">
      <c r="A108" s="1" t="s">
        <v>508</v>
      </c>
      <c r="B108" s="1" t="s">
        <v>152</v>
      </c>
      <c r="C108" s="1" t="s">
        <v>391</v>
      </c>
      <c r="D108" s="1" t="str">
        <f>UPPER(_xlfn.CONCAT(LEFT(Teams[[#This Row],[teamType]], 1), "-", LEFT(SUBSTITUTE(Teams[[#This Row],[nation]], "/", ""), 3), "-", SUBSTITUTE(SUBSTITUTE(SUBSTITUTE(Teams[[#This Row],[name]], ".", ""), " ", ""), "-", "")))</f>
        <v>C-ENG-BRIGHTON</v>
      </c>
      <c r="E108" s="16"/>
      <c r="F108" s="16"/>
      <c r="G108" s="1" t="b">
        <f>COUNTBLANK(Teams[[#This Row],[startDate]:[endDate]]) &lt; 2</f>
        <v>0</v>
      </c>
      <c r="H108" s="1" t="str">
        <f>IF(Teams[[#This Row],[relevant]], COUNTIFS(Fixtures[userTeam], Teams[[#This Row],[name]], Fixtures[APP], TRUE), "")</f>
        <v/>
      </c>
      <c r="I108" s="1" t="str">
        <f>IF(Teams[[#This Row],[relevant]], COUNTIFS(Fixtures[userTeam], Teams[[#This Row],[name]], Fixtures[result], "W", Fixtures[APP], TRUE), "")</f>
        <v/>
      </c>
      <c r="J108" s="1" t="str">
        <f>IF(Teams[[#This Row],[relevant]], COUNTIFS(Fixtures[userTeam], Teams[[#This Row],[name]], Fixtures[result], "D", Fixtures[APP], TRUE), "")</f>
        <v/>
      </c>
      <c r="K108" s="1" t="str">
        <f>IF(Teams[[#This Row],[relevant]], COUNTIFS(Fixtures[userTeam], Teams[[#This Row],[name]], Fixtures[result], "L", Fixtures[APP], TRUE), "")</f>
        <v/>
      </c>
      <c r="L108" s="1" t="str">
        <f>IF(Teams[[#This Row],[relevant]], SUMIFS(Fixtures[G], Fixtures[userTeam], Teams[[#This Row],[name]]), "")</f>
        <v/>
      </c>
      <c r="M108" s="1" t="str">
        <f>IF(Teams[[#This Row],[relevant]], SUMIFS(Fixtures[A], Fixtures[userTeam], Teams[[#This Row],[name]]), "")</f>
        <v/>
      </c>
      <c r="N108" s="1" t="str">
        <f>IF(Teams[[#This Row],[relevant]], SUMIFS(Fixtures[INV], Fixtures[userTeam], Teams[[#This Row],[name]]), "")</f>
        <v/>
      </c>
      <c r="O108" s="1" t="str">
        <f>IF(Teams[[#This Row],[relevant]], SUMIFS(Fixtures[YC], Fixtures[userTeam], Teams[[#This Row],[name]]), "")</f>
        <v/>
      </c>
      <c r="P108" s="1" t="str">
        <f>IF(Teams[[#This Row],[relevant]], SUMIFS(Fixtures[RC], Fixtures[userTeam], Teams[[#This Row],[name]]), "")</f>
        <v/>
      </c>
      <c r="Q108" s="13" t="str">
        <f>IF(Teams[[#This Row],[relevant]], IF(ISERROR(AVERAGEIFS(Fixtures[MR], Fixtures[userTeam], Teams[[#This Row],[name]])), 0, AVERAGEIFS(Fixtures[MR], Fixtures[userTeam], Teams[[#This Row],[name]])), "")</f>
        <v/>
      </c>
      <c r="R108" s="1" t="str">
        <f>IF(Teams[[#This Row],[relevant]], COUNTIFS(Fixtures[userTeam], Teams[[#This Row],[name]], Fixtures[MOTM], TRUE), "")</f>
        <v/>
      </c>
      <c r="S108" s="1" t="str" cm="1">
        <f t="array" ref="S108">IF(Teams[[#This Row],[relevant]], _xlfn.TEXTJOIN(", ", TRUE, _xlfn._xlws.FILTER(Stats[competition]&amp;" ("&amp;Stats[season]&amp;")",(Stats[team]=Teams[[#This Row],[name]])*(Stats[result]="Winner"),"")), "")</f>
        <v/>
      </c>
    </row>
    <row r="109" spans="1:19" ht="13" hidden="1">
      <c r="A109" s="1" t="s">
        <v>509</v>
      </c>
      <c r="B109" s="1" t="s">
        <v>410</v>
      </c>
      <c r="C109" s="1" t="s">
        <v>391</v>
      </c>
      <c r="D109" s="1" t="str">
        <f>UPPER(_xlfn.CONCAT(LEFT(Teams[[#This Row],[teamType]], 1), "-", LEFT(SUBSTITUTE(Teams[[#This Row],[nation]], "/", ""), 3), "-", SUBSTITUTE(SUBSTITUTE(SUBSTITUTE(Teams[[#This Row],[name]], ".", ""), " ", ""), "-", "")))</f>
        <v>C-AUS-BRISBANEROAR</v>
      </c>
      <c r="E109" s="16"/>
      <c r="F109" s="16"/>
      <c r="G109" s="1" t="b">
        <f>COUNTBLANK(Teams[[#This Row],[startDate]:[endDate]]) &lt; 2</f>
        <v>0</v>
      </c>
      <c r="H109" s="1" t="str">
        <f>IF(Teams[[#This Row],[relevant]], COUNTIFS(Fixtures[userTeam], Teams[[#This Row],[name]], Fixtures[APP], TRUE), "")</f>
        <v/>
      </c>
      <c r="I109" s="1" t="str">
        <f>IF(Teams[[#This Row],[relevant]], COUNTIFS(Fixtures[userTeam], Teams[[#This Row],[name]], Fixtures[result], "W", Fixtures[APP], TRUE), "")</f>
        <v/>
      </c>
      <c r="J109" s="1" t="str">
        <f>IF(Teams[[#This Row],[relevant]], COUNTIFS(Fixtures[userTeam], Teams[[#This Row],[name]], Fixtures[result], "D", Fixtures[APP], TRUE), "")</f>
        <v/>
      </c>
      <c r="K109" s="1" t="str">
        <f>IF(Teams[[#This Row],[relevant]], COUNTIFS(Fixtures[userTeam], Teams[[#This Row],[name]], Fixtures[result], "L", Fixtures[APP], TRUE), "")</f>
        <v/>
      </c>
      <c r="L109" s="1" t="str">
        <f>IF(Teams[[#This Row],[relevant]], SUMIFS(Fixtures[G], Fixtures[userTeam], Teams[[#This Row],[name]]), "")</f>
        <v/>
      </c>
      <c r="M109" s="1" t="str">
        <f>IF(Teams[[#This Row],[relevant]], SUMIFS(Fixtures[A], Fixtures[userTeam], Teams[[#This Row],[name]]), "")</f>
        <v/>
      </c>
      <c r="N109" s="1" t="str">
        <f>IF(Teams[[#This Row],[relevant]], SUMIFS(Fixtures[INV], Fixtures[userTeam], Teams[[#This Row],[name]]), "")</f>
        <v/>
      </c>
      <c r="O109" s="1" t="str">
        <f>IF(Teams[[#This Row],[relevant]], SUMIFS(Fixtures[YC], Fixtures[userTeam], Teams[[#This Row],[name]]), "")</f>
        <v/>
      </c>
      <c r="P109" s="1" t="str">
        <f>IF(Teams[[#This Row],[relevant]], SUMIFS(Fixtures[RC], Fixtures[userTeam], Teams[[#This Row],[name]]), "")</f>
        <v/>
      </c>
      <c r="Q109" s="13" t="str">
        <f>IF(Teams[[#This Row],[relevant]], IF(ISERROR(AVERAGEIFS(Fixtures[MR], Fixtures[userTeam], Teams[[#This Row],[name]])), 0, AVERAGEIFS(Fixtures[MR], Fixtures[userTeam], Teams[[#This Row],[name]])), "")</f>
        <v/>
      </c>
      <c r="R109" s="1" t="str">
        <f>IF(Teams[[#This Row],[relevant]], COUNTIFS(Fixtures[userTeam], Teams[[#This Row],[name]], Fixtures[MOTM], TRUE), "")</f>
        <v/>
      </c>
      <c r="S109" s="1" t="str" cm="1">
        <f t="array" ref="S109">IF(Teams[[#This Row],[relevant]], _xlfn.TEXTJOIN(", ", TRUE, _xlfn._xlws.FILTER(Stats[competition]&amp;" ("&amp;Stats[season]&amp;")",(Stats[team]=Teams[[#This Row],[name]])*(Stats[result]="Winner"),"")), "")</f>
        <v/>
      </c>
    </row>
    <row r="110" spans="1:19" ht="13" hidden="1">
      <c r="A110" s="1" t="s">
        <v>220</v>
      </c>
      <c r="B110" s="1" t="s">
        <v>152</v>
      </c>
      <c r="C110" s="1" t="s">
        <v>391</v>
      </c>
      <c r="D110" s="1" t="str">
        <f>UPPER(_xlfn.CONCAT(LEFT(Teams[[#This Row],[teamType]], 1), "-", LEFT(SUBSTITUTE(Teams[[#This Row],[nation]], "/", ""), 3), "-", SUBSTITUTE(SUBSTITUTE(SUBSTITUTE(Teams[[#This Row],[name]], ".", ""), " ", ""), "-", "")))</f>
        <v>C-ENG-BRISTOLCITY</v>
      </c>
      <c r="E110" s="16"/>
      <c r="F110" s="16"/>
      <c r="G110" s="1" t="b">
        <f>COUNTBLANK(Teams[[#This Row],[startDate]:[endDate]]) &lt; 2</f>
        <v>0</v>
      </c>
      <c r="H110" s="1" t="str">
        <f>IF(Teams[[#This Row],[relevant]], COUNTIFS(Fixtures[userTeam], Teams[[#This Row],[name]], Fixtures[APP], TRUE), "")</f>
        <v/>
      </c>
      <c r="I110" s="1" t="str">
        <f>IF(Teams[[#This Row],[relevant]], COUNTIFS(Fixtures[userTeam], Teams[[#This Row],[name]], Fixtures[result], "W", Fixtures[APP], TRUE), "")</f>
        <v/>
      </c>
      <c r="J110" s="1" t="str">
        <f>IF(Teams[[#This Row],[relevant]], COUNTIFS(Fixtures[userTeam], Teams[[#This Row],[name]], Fixtures[result], "D", Fixtures[APP], TRUE), "")</f>
        <v/>
      </c>
      <c r="K110" s="1" t="str">
        <f>IF(Teams[[#This Row],[relevant]], COUNTIFS(Fixtures[userTeam], Teams[[#This Row],[name]], Fixtures[result], "L", Fixtures[APP], TRUE), "")</f>
        <v/>
      </c>
      <c r="L110" s="1" t="str">
        <f>IF(Teams[[#This Row],[relevant]], SUMIFS(Fixtures[G], Fixtures[userTeam], Teams[[#This Row],[name]]), "")</f>
        <v/>
      </c>
      <c r="M110" s="1" t="str">
        <f>IF(Teams[[#This Row],[relevant]], SUMIFS(Fixtures[A], Fixtures[userTeam], Teams[[#This Row],[name]]), "")</f>
        <v/>
      </c>
      <c r="N110" s="1" t="str">
        <f>IF(Teams[[#This Row],[relevant]], SUMIFS(Fixtures[INV], Fixtures[userTeam], Teams[[#This Row],[name]]), "")</f>
        <v/>
      </c>
      <c r="O110" s="1" t="str">
        <f>IF(Teams[[#This Row],[relevant]], SUMIFS(Fixtures[YC], Fixtures[userTeam], Teams[[#This Row],[name]]), "")</f>
        <v/>
      </c>
      <c r="P110" s="1" t="str">
        <f>IF(Teams[[#This Row],[relevant]], SUMIFS(Fixtures[RC], Fixtures[userTeam], Teams[[#This Row],[name]]), "")</f>
        <v/>
      </c>
      <c r="Q110" s="13" t="str">
        <f>IF(Teams[[#This Row],[relevant]], IF(ISERROR(AVERAGEIFS(Fixtures[MR], Fixtures[userTeam], Teams[[#This Row],[name]])), 0, AVERAGEIFS(Fixtures[MR], Fixtures[userTeam], Teams[[#This Row],[name]])), "")</f>
        <v/>
      </c>
      <c r="R110" s="1" t="str">
        <f>IF(Teams[[#This Row],[relevant]], COUNTIFS(Fixtures[userTeam], Teams[[#This Row],[name]], Fixtures[MOTM], TRUE), "")</f>
        <v/>
      </c>
      <c r="S110" s="1" t="str" cm="1">
        <f t="array" ref="S110">IF(Teams[[#This Row],[relevant]], _xlfn.TEXTJOIN(", ", TRUE, _xlfn._xlws.FILTER(Stats[competition]&amp;" ("&amp;Stats[season]&amp;")",(Stats[team]=Teams[[#This Row],[name]])*(Stats[result]="Winner"),"")), "")</f>
        <v/>
      </c>
    </row>
    <row r="111" spans="1:19" ht="13" hidden="1">
      <c r="A111" s="1" t="s">
        <v>510</v>
      </c>
      <c r="B111" s="1" t="s">
        <v>152</v>
      </c>
      <c r="C111" s="1" t="s">
        <v>391</v>
      </c>
      <c r="D111" s="1" t="str">
        <f>UPPER(_xlfn.CONCAT(LEFT(Teams[[#This Row],[teamType]], 1), "-", LEFT(SUBSTITUTE(Teams[[#This Row],[nation]], "/", ""), 3), "-", SUBSTITUTE(SUBSTITUTE(SUBSTITUTE(Teams[[#This Row],[name]], ".", ""), " ", ""), "-", "")))</f>
        <v>C-ENG-BRISTOLROVERS</v>
      </c>
      <c r="E111" s="16"/>
      <c r="F111" s="16"/>
      <c r="G111" s="1" t="b">
        <f>COUNTBLANK(Teams[[#This Row],[startDate]:[endDate]]) &lt; 2</f>
        <v>0</v>
      </c>
      <c r="H111" s="1" t="str">
        <f>IF(Teams[[#This Row],[relevant]], COUNTIFS(Fixtures[userTeam], Teams[[#This Row],[name]], Fixtures[APP], TRUE), "")</f>
        <v/>
      </c>
      <c r="I111" s="1" t="str">
        <f>IF(Teams[[#This Row],[relevant]], COUNTIFS(Fixtures[userTeam], Teams[[#This Row],[name]], Fixtures[result], "W", Fixtures[APP], TRUE), "")</f>
        <v/>
      </c>
      <c r="J111" s="1" t="str">
        <f>IF(Teams[[#This Row],[relevant]], COUNTIFS(Fixtures[userTeam], Teams[[#This Row],[name]], Fixtures[result], "D", Fixtures[APP], TRUE), "")</f>
        <v/>
      </c>
      <c r="K111" s="1" t="str">
        <f>IF(Teams[[#This Row],[relevant]], COUNTIFS(Fixtures[userTeam], Teams[[#This Row],[name]], Fixtures[result], "L", Fixtures[APP], TRUE), "")</f>
        <v/>
      </c>
      <c r="L111" s="1" t="str">
        <f>IF(Teams[[#This Row],[relevant]], SUMIFS(Fixtures[G], Fixtures[userTeam], Teams[[#This Row],[name]]), "")</f>
        <v/>
      </c>
      <c r="M111" s="1" t="str">
        <f>IF(Teams[[#This Row],[relevant]], SUMIFS(Fixtures[A], Fixtures[userTeam], Teams[[#This Row],[name]]), "")</f>
        <v/>
      </c>
      <c r="N111" s="1" t="str">
        <f>IF(Teams[[#This Row],[relevant]], SUMIFS(Fixtures[INV], Fixtures[userTeam], Teams[[#This Row],[name]]), "")</f>
        <v/>
      </c>
      <c r="O111" s="1" t="str">
        <f>IF(Teams[[#This Row],[relevant]], SUMIFS(Fixtures[YC], Fixtures[userTeam], Teams[[#This Row],[name]]), "")</f>
        <v/>
      </c>
      <c r="P111" s="1" t="str">
        <f>IF(Teams[[#This Row],[relevant]], SUMIFS(Fixtures[RC], Fixtures[userTeam], Teams[[#This Row],[name]]), "")</f>
        <v/>
      </c>
      <c r="Q111" s="13" t="str">
        <f>IF(Teams[[#This Row],[relevant]], IF(ISERROR(AVERAGEIFS(Fixtures[MR], Fixtures[userTeam], Teams[[#This Row],[name]])), 0, AVERAGEIFS(Fixtures[MR], Fixtures[userTeam], Teams[[#This Row],[name]])), "")</f>
        <v/>
      </c>
      <c r="R111" s="1" t="str">
        <f>IF(Teams[[#This Row],[relevant]], COUNTIFS(Fixtures[userTeam], Teams[[#This Row],[name]], Fixtures[MOTM], TRUE), "")</f>
        <v/>
      </c>
      <c r="S111" s="1" t="str" cm="1">
        <f t="array" ref="S111">IF(Teams[[#This Row],[relevant]], _xlfn.TEXTJOIN(", ", TRUE, _xlfn._xlws.FILTER(Stats[competition]&amp;" ("&amp;Stats[season]&amp;")",(Stats[team]=Teams[[#This Row],[name]])*(Stats[result]="Winner"),"")), "")</f>
        <v/>
      </c>
    </row>
    <row r="112" spans="1:19" ht="13" hidden="1">
      <c r="A112" s="1" t="s">
        <v>511</v>
      </c>
      <c r="B112" s="1" t="s">
        <v>398</v>
      </c>
      <c r="C112" s="1" t="s">
        <v>391</v>
      </c>
      <c r="D112" s="1" t="str">
        <f>UPPER(_xlfn.CONCAT(LEFT(Teams[[#This Row],[teamType]], 1), "-", LEFT(SUBSTITUTE(Teams[[#This Row],[nation]], "/", ""), 3), "-", SUBSTITUTE(SUBSTITUTE(SUBSTITUTE(Teams[[#This Row],[name]], ".", ""), " ", ""), "-", "")))</f>
        <v>C-DEN-BRØNDBYIF</v>
      </c>
      <c r="E112" s="16"/>
      <c r="F112" s="16"/>
      <c r="G112" s="1" t="b">
        <f>COUNTBLANK(Teams[[#This Row],[startDate]:[endDate]]) &lt; 2</f>
        <v>0</v>
      </c>
      <c r="H112" s="1" t="str">
        <f>IF(Teams[[#This Row],[relevant]], COUNTIFS(Fixtures[userTeam], Teams[[#This Row],[name]], Fixtures[APP], TRUE), "")</f>
        <v/>
      </c>
      <c r="I112" s="1" t="str">
        <f>IF(Teams[[#This Row],[relevant]], COUNTIFS(Fixtures[userTeam], Teams[[#This Row],[name]], Fixtures[result], "W", Fixtures[APP], TRUE), "")</f>
        <v/>
      </c>
      <c r="J112" s="1" t="str">
        <f>IF(Teams[[#This Row],[relevant]], COUNTIFS(Fixtures[userTeam], Teams[[#This Row],[name]], Fixtures[result], "D", Fixtures[APP], TRUE), "")</f>
        <v/>
      </c>
      <c r="K112" s="1" t="str">
        <f>IF(Teams[[#This Row],[relevant]], COUNTIFS(Fixtures[userTeam], Teams[[#This Row],[name]], Fixtures[result], "L", Fixtures[APP], TRUE), "")</f>
        <v/>
      </c>
      <c r="L112" s="1" t="str">
        <f>IF(Teams[[#This Row],[relevant]], SUMIFS(Fixtures[G], Fixtures[userTeam], Teams[[#This Row],[name]]), "")</f>
        <v/>
      </c>
      <c r="M112" s="1" t="str">
        <f>IF(Teams[[#This Row],[relevant]], SUMIFS(Fixtures[A], Fixtures[userTeam], Teams[[#This Row],[name]]), "")</f>
        <v/>
      </c>
      <c r="N112" s="1" t="str">
        <f>IF(Teams[[#This Row],[relevant]], SUMIFS(Fixtures[INV], Fixtures[userTeam], Teams[[#This Row],[name]]), "")</f>
        <v/>
      </c>
      <c r="O112" s="1" t="str">
        <f>IF(Teams[[#This Row],[relevant]], SUMIFS(Fixtures[YC], Fixtures[userTeam], Teams[[#This Row],[name]]), "")</f>
        <v/>
      </c>
      <c r="P112" s="1" t="str">
        <f>IF(Teams[[#This Row],[relevant]], SUMIFS(Fixtures[RC], Fixtures[userTeam], Teams[[#This Row],[name]]), "")</f>
        <v/>
      </c>
      <c r="Q112" s="13" t="str">
        <f>IF(Teams[[#This Row],[relevant]], IF(ISERROR(AVERAGEIFS(Fixtures[MR], Fixtures[userTeam], Teams[[#This Row],[name]])), 0, AVERAGEIFS(Fixtures[MR], Fixtures[userTeam], Teams[[#This Row],[name]])), "")</f>
        <v/>
      </c>
      <c r="R112" s="1" t="str">
        <f>IF(Teams[[#This Row],[relevant]], COUNTIFS(Fixtures[userTeam], Teams[[#This Row],[name]], Fixtures[MOTM], TRUE), "")</f>
        <v/>
      </c>
      <c r="S112" s="1" t="str" cm="1">
        <f t="array" ref="S112">IF(Teams[[#This Row],[relevant]], _xlfn.TEXTJOIN(", ", TRUE, _xlfn._xlws.FILTER(Stats[competition]&amp;" ("&amp;Stats[season]&amp;")",(Stats[team]=Teams[[#This Row],[name]])*(Stats[result]="Winner"),"")), "")</f>
        <v/>
      </c>
    </row>
    <row r="113" spans="1:19" ht="13" hidden="1">
      <c r="A113" s="1" t="s">
        <v>512</v>
      </c>
      <c r="B113" s="1" t="s">
        <v>513</v>
      </c>
      <c r="C113" s="1" t="s">
        <v>391</v>
      </c>
      <c r="D113" s="1" t="str">
        <f>UPPER(_xlfn.CONCAT(LEFT(Teams[[#This Row],[teamType]], 1), "-", LEFT(SUBSTITUTE(Teams[[#This Row],[nation]], "/", ""), 3), "-", SUBSTITUTE(SUBSTITUTE(SUBSTITUTE(Teams[[#This Row],[name]], ".", ""), " ", ""), "-", "")))</f>
        <v>C-SWI-BSCYOUNGBOYS</v>
      </c>
      <c r="E113" s="16"/>
      <c r="F113" s="16"/>
      <c r="G113" s="1" t="b">
        <f>COUNTBLANK(Teams[[#This Row],[startDate]:[endDate]]) &lt; 2</f>
        <v>0</v>
      </c>
      <c r="H113" s="1" t="str">
        <f>IF(Teams[[#This Row],[relevant]], COUNTIFS(Fixtures[userTeam], Teams[[#This Row],[name]], Fixtures[APP], TRUE), "")</f>
        <v/>
      </c>
      <c r="I113" s="1" t="str">
        <f>IF(Teams[[#This Row],[relevant]], COUNTIFS(Fixtures[userTeam], Teams[[#This Row],[name]], Fixtures[result], "W", Fixtures[APP], TRUE), "")</f>
        <v/>
      </c>
      <c r="J113" s="1" t="str">
        <f>IF(Teams[[#This Row],[relevant]], COUNTIFS(Fixtures[userTeam], Teams[[#This Row],[name]], Fixtures[result], "D", Fixtures[APP], TRUE), "")</f>
        <v/>
      </c>
      <c r="K113" s="1" t="str">
        <f>IF(Teams[[#This Row],[relevant]], COUNTIFS(Fixtures[userTeam], Teams[[#This Row],[name]], Fixtures[result], "L", Fixtures[APP], TRUE), "")</f>
        <v/>
      </c>
      <c r="L113" s="1" t="str">
        <f>IF(Teams[[#This Row],[relevant]], SUMIFS(Fixtures[G], Fixtures[userTeam], Teams[[#This Row],[name]]), "")</f>
        <v/>
      </c>
      <c r="M113" s="1" t="str">
        <f>IF(Teams[[#This Row],[relevant]], SUMIFS(Fixtures[A], Fixtures[userTeam], Teams[[#This Row],[name]]), "")</f>
        <v/>
      </c>
      <c r="N113" s="1" t="str">
        <f>IF(Teams[[#This Row],[relevant]], SUMIFS(Fixtures[INV], Fixtures[userTeam], Teams[[#This Row],[name]]), "")</f>
        <v/>
      </c>
      <c r="O113" s="1" t="str">
        <f>IF(Teams[[#This Row],[relevant]], SUMIFS(Fixtures[YC], Fixtures[userTeam], Teams[[#This Row],[name]]), "")</f>
        <v/>
      </c>
      <c r="P113" s="1" t="str">
        <f>IF(Teams[[#This Row],[relevant]], SUMIFS(Fixtures[RC], Fixtures[userTeam], Teams[[#This Row],[name]]), "")</f>
        <v/>
      </c>
      <c r="Q113" s="13" t="str">
        <f>IF(Teams[[#This Row],[relevant]], IF(ISERROR(AVERAGEIFS(Fixtures[MR], Fixtures[userTeam], Teams[[#This Row],[name]])), 0, AVERAGEIFS(Fixtures[MR], Fixtures[userTeam], Teams[[#This Row],[name]])), "")</f>
        <v/>
      </c>
      <c r="R113" s="1" t="str">
        <f>IF(Teams[[#This Row],[relevant]], COUNTIFS(Fixtures[userTeam], Teams[[#This Row],[name]], Fixtures[MOTM], TRUE), "")</f>
        <v/>
      </c>
      <c r="S113" s="1" t="str" cm="1">
        <f t="array" ref="S113">IF(Teams[[#This Row],[relevant]], _xlfn.TEXTJOIN(", ", TRUE, _xlfn._xlws.FILTER(Stats[competition]&amp;" ("&amp;Stats[season]&amp;")",(Stats[team]=Teams[[#This Row],[name]])*(Stats[result]="Winner"),"")), "")</f>
        <v/>
      </c>
    </row>
    <row r="114" spans="1:19" ht="13" hidden="1">
      <c r="A114" s="1" t="s">
        <v>514</v>
      </c>
      <c r="B114" s="1" t="s">
        <v>163</v>
      </c>
      <c r="C114" s="1" t="s">
        <v>391</v>
      </c>
      <c r="D114" s="1" t="str">
        <f>UPPER(_xlfn.CONCAT(LEFT(Teams[[#This Row],[teamType]], 1), "-", LEFT(SUBSTITUTE(Teams[[#This Row],[nation]], "/", ""), 3), "-", SUBSTITUTE(SUBSTITUTE(SUBSTITUTE(Teams[[#This Row],[name]], ".", ""), " ", ""), "-", "")))</f>
        <v>C-SPA-BURGOSCF</v>
      </c>
      <c r="E114" s="16"/>
      <c r="F114" s="16"/>
      <c r="G114" s="1" t="b">
        <f>COUNTBLANK(Teams[[#This Row],[startDate]:[endDate]]) &lt; 2</f>
        <v>0</v>
      </c>
      <c r="H114" s="1" t="str">
        <f>IF(Teams[[#This Row],[relevant]], COUNTIFS(Fixtures[userTeam], Teams[[#This Row],[name]], Fixtures[APP], TRUE), "")</f>
        <v/>
      </c>
      <c r="I114" s="1" t="str">
        <f>IF(Teams[[#This Row],[relevant]], COUNTIFS(Fixtures[userTeam], Teams[[#This Row],[name]], Fixtures[result], "W", Fixtures[APP], TRUE), "")</f>
        <v/>
      </c>
      <c r="J114" s="1" t="str">
        <f>IF(Teams[[#This Row],[relevant]], COUNTIFS(Fixtures[userTeam], Teams[[#This Row],[name]], Fixtures[result], "D", Fixtures[APP], TRUE), "")</f>
        <v/>
      </c>
      <c r="K114" s="1" t="str">
        <f>IF(Teams[[#This Row],[relevant]], COUNTIFS(Fixtures[userTeam], Teams[[#This Row],[name]], Fixtures[result], "L", Fixtures[APP], TRUE), "")</f>
        <v/>
      </c>
      <c r="L114" s="1" t="str">
        <f>IF(Teams[[#This Row],[relevant]], SUMIFS(Fixtures[G], Fixtures[userTeam], Teams[[#This Row],[name]]), "")</f>
        <v/>
      </c>
      <c r="M114" s="1" t="str">
        <f>IF(Teams[[#This Row],[relevant]], SUMIFS(Fixtures[A], Fixtures[userTeam], Teams[[#This Row],[name]]), "")</f>
        <v/>
      </c>
      <c r="N114" s="1" t="str">
        <f>IF(Teams[[#This Row],[relevant]], SUMIFS(Fixtures[INV], Fixtures[userTeam], Teams[[#This Row],[name]]), "")</f>
        <v/>
      </c>
      <c r="O114" s="1" t="str">
        <f>IF(Teams[[#This Row],[relevant]], SUMIFS(Fixtures[YC], Fixtures[userTeam], Teams[[#This Row],[name]]), "")</f>
        <v/>
      </c>
      <c r="P114" s="1" t="str">
        <f>IF(Teams[[#This Row],[relevant]], SUMIFS(Fixtures[RC], Fixtures[userTeam], Teams[[#This Row],[name]]), "")</f>
        <v/>
      </c>
      <c r="Q114" s="13" t="str">
        <f>IF(Teams[[#This Row],[relevant]], IF(ISERROR(AVERAGEIFS(Fixtures[MR], Fixtures[userTeam], Teams[[#This Row],[name]])), 0, AVERAGEIFS(Fixtures[MR], Fixtures[userTeam], Teams[[#This Row],[name]])), "")</f>
        <v/>
      </c>
      <c r="R114" s="1" t="str">
        <f>IF(Teams[[#This Row],[relevant]], COUNTIFS(Fixtures[userTeam], Teams[[#This Row],[name]], Fixtures[MOTM], TRUE), "")</f>
        <v/>
      </c>
      <c r="S114" s="1" t="str" cm="1">
        <f t="array" ref="S114">IF(Teams[[#This Row],[relevant]], _xlfn.TEXTJOIN(", ", TRUE, _xlfn._xlws.FILTER(Stats[competition]&amp;" ("&amp;Stats[season]&amp;")",(Stats[team]=Teams[[#This Row],[name]])*(Stats[result]="Winner"),"")), "")</f>
        <v/>
      </c>
    </row>
    <row r="115" spans="1:19" ht="13">
      <c r="A115" s="1" t="s">
        <v>169</v>
      </c>
      <c r="B115" s="1" t="s">
        <v>152</v>
      </c>
      <c r="C115" s="1" t="s">
        <v>391</v>
      </c>
      <c r="D115" s="1" t="str">
        <f>UPPER(_xlfn.CONCAT(LEFT(Teams[[#This Row],[teamType]], 1), "-", LEFT(SUBSTITUTE(Teams[[#This Row],[nation]], "/", ""), 3), "-", SUBSTITUTE(SUBSTITUTE(SUBSTITUTE(Teams[[#This Row],[name]], ".", ""), " ", ""), "-", "")))</f>
        <v>C-ENG-BURNLEY</v>
      </c>
      <c r="E115" s="16">
        <v>45474</v>
      </c>
      <c r="F115" s="16">
        <v>45838</v>
      </c>
      <c r="G115" s="1" t="b">
        <f>COUNTBLANK(Teams[[#This Row],[startDate]:[endDate]]) &lt; 2</f>
        <v>1</v>
      </c>
      <c r="H115" s="1">
        <f>IF(Teams[[#This Row],[relevant]], COUNTIFS(Fixtures[userTeam], Teams[[#This Row],[name]], Fixtures[APP], TRUE), "")</f>
        <v>50</v>
      </c>
      <c r="I115" s="1">
        <f>IF(Teams[[#This Row],[relevant]], COUNTIFS(Fixtures[userTeam], Teams[[#This Row],[name]], Fixtures[result], "W", Fixtures[APP], TRUE), "")</f>
        <v>31</v>
      </c>
      <c r="J115" s="1">
        <f>IF(Teams[[#This Row],[relevant]], COUNTIFS(Fixtures[userTeam], Teams[[#This Row],[name]], Fixtures[result], "D", Fixtures[APP], TRUE), "")</f>
        <v>13</v>
      </c>
      <c r="K115" s="1">
        <f>IF(Teams[[#This Row],[relevant]], COUNTIFS(Fixtures[userTeam], Teams[[#This Row],[name]], Fixtures[result], "L", Fixtures[APP], TRUE), "")</f>
        <v>6</v>
      </c>
      <c r="L115" s="1">
        <f>IF(Teams[[#This Row],[relevant]], SUMIFS(Fixtures[G], Fixtures[userTeam], Teams[[#This Row],[name]]), "")</f>
        <v>14</v>
      </c>
      <c r="M115" s="1">
        <f>IF(Teams[[#This Row],[relevant]], SUMIFS(Fixtures[A], Fixtures[userTeam], Teams[[#This Row],[name]]), "")</f>
        <v>24</v>
      </c>
      <c r="N115" s="1">
        <f>IF(Teams[[#This Row],[relevant]], SUMIFS(Fixtures[INV], Fixtures[userTeam], Teams[[#This Row],[name]]), "")</f>
        <v>38</v>
      </c>
      <c r="O115" s="1">
        <f>IF(Teams[[#This Row],[relevant]], SUMIFS(Fixtures[YC], Fixtures[userTeam], Teams[[#This Row],[name]]), "")</f>
        <v>0</v>
      </c>
      <c r="P115" s="1">
        <f>IF(Teams[[#This Row],[relevant]], SUMIFS(Fixtures[RC], Fixtures[userTeam], Teams[[#This Row],[name]]), "")</f>
        <v>0</v>
      </c>
      <c r="Q115" s="13">
        <f>IF(Teams[[#This Row],[relevant]], IF(ISERROR(AVERAGEIFS(Fixtures[MR], Fixtures[userTeam], Teams[[#This Row],[name]])), 0, AVERAGEIFS(Fixtures[MR], Fixtures[userTeam], Teams[[#This Row],[name]])), "")</f>
        <v>7.2939999999999987</v>
      </c>
      <c r="R115" s="1">
        <f>IF(Teams[[#This Row],[relevant]], COUNTIFS(Fixtures[userTeam], Teams[[#This Row],[name]], Fixtures[MOTM], TRUE), "")</f>
        <v>19</v>
      </c>
      <c r="S115" s="1" t="str" cm="1">
        <f t="array" aca="1" ref="S115" ca="1">IF(Teams[[#This Row],[relevant]], _xlfn.TEXTJOIN(", ", TRUE, _xlfn._xlws.FILTER(Stats[competition]&amp;" ("&amp;Stats[season]&amp;")",(Stats[team]=Teams[[#This Row],[name]])*(Stats[result]="Winner"),"")), "")</f>
        <v>Champions Trophy (2024/2025), EFL Championship (2024/2025)</v>
      </c>
    </row>
    <row r="116" spans="1:19" ht="13" hidden="1">
      <c r="A116" s="1" t="s">
        <v>515</v>
      </c>
      <c r="B116" s="1" t="s">
        <v>152</v>
      </c>
      <c r="C116" s="1" t="s">
        <v>391</v>
      </c>
      <c r="D116" s="1" t="str">
        <f>UPPER(_xlfn.CONCAT(LEFT(Teams[[#This Row],[teamType]], 1), "-", LEFT(SUBSTITUTE(Teams[[#This Row],[nation]], "/", ""), 3), "-", SUBSTITUTE(SUBSTITUTE(SUBSTITUTE(Teams[[#This Row],[name]], ".", ""), " ", ""), "-", "")))</f>
        <v>C-ENG-BURTONALBION</v>
      </c>
      <c r="E116" s="16"/>
      <c r="F116" s="16"/>
      <c r="G116" s="1" t="b">
        <f>COUNTBLANK(Teams[[#This Row],[startDate]:[endDate]]) &lt; 2</f>
        <v>0</v>
      </c>
      <c r="H116" s="1" t="str">
        <f>IF(Teams[[#This Row],[relevant]], COUNTIFS(Fixtures[userTeam], Teams[[#This Row],[name]], Fixtures[APP], TRUE), "")</f>
        <v/>
      </c>
      <c r="I116" s="1" t="str">
        <f>IF(Teams[[#This Row],[relevant]], COUNTIFS(Fixtures[userTeam], Teams[[#This Row],[name]], Fixtures[result], "W", Fixtures[APP], TRUE), "")</f>
        <v/>
      </c>
      <c r="J116" s="1" t="str">
        <f>IF(Teams[[#This Row],[relevant]], COUNTIFS(Fixtures[userTeam], Teams[[#This Row],[name]], Fixtures[result], "D", Fixtures[APP], TRUE), "")</f>
        <v/>
      </c>
      <c r="K116" s="1" t="str">
        <f>IF(Teams[[#This Row],[relevant]], COUNTIFS(Fixtures[userTeam], Teams[[#This Row],[name]], Fixtures[result], "L", Fixtures[APP], TRUE), "")</f>
        <v/>
      </c>
      <c r="L116" s="1" t="str">
        <f>IF(Teams[[#This Row],[relevant]], SUMIFS(Fixtures[G], Fixtures[userTeam], Teams[[#This Row],[name]]), "")</f>
        <v/>
      </c>
      <c r="M116" s="1" t="str">
        <f>IF(Teams[[#This Row],[relevant]], SUMIFS(Fixtures[A], Fixtures[userTeam], Teams[[#This Row],[name]]), "")</f>
        <v/>
      </c>
      <c r="N116" s="1" t="str">
        <f>IF(Teams[[#This Row],[relevant]], SUMIFS(Fixtures[INV], Fixtures[userTeam], Teams[[#This Row],[name]]), "")</f>
        <v/>
      </c>
      <c r="O116" s="1" t="str">
        <f>IF(Teams[[#This Row],[relevant]], SUMIFS(Fixtures[YC], Fixtures[userTeam], Teams[[#This Row],[name]]), "")</f>
        <v/>
      </c>
      <c r="P116" s="1" t="str">
        <f>IF(Teams[[#This Row],[relevant]], SUMIFS(Fixtures[RC], Fixtures[userTeam], Teams[[#This Row],[name]]), "")</f>
        <v/>
      </c>
      <c r="Q116" s="13" t="str">
        <f>IF(Teams[[#This Row],[relevant]], IF(ISERROR(AVERAGEIFS(Fixtures[MR], Fixtures[userTeam], Teams[[#This Row],[name]])), 0, AVERAGEIFS(Fixtures[MR], Fixtures[userTeam], Teams[[#This Row],[name]])), "")</f>
        <v/>
      </c>
      <c r="R116" s="1" t="str">
        <f>IF(Teams[[#This Row],[relevant]], COUNTIFS(Fixtures[userTeam], Teams[[#This Row],[name]], Fixtures[MOTM], TRUE), "")</f>
        <v/>
      </c>
      <c r="S116" s="1" t="str" cm="1">
        <f t="array" ref="S116">IF(Teams[[#This Row],[relevant]], _xlfn.TEXTJOIN(", ", TRUE, _xlfn._xlws.FILTER(Stats[competition]&amp;" ("&amp;Stats[season]&amp;")",(Stats[team]=Teams[[#This Row],[name]])*(Stats[result]="Winner"),"")), "")</f>
        <v/>
      </c>
    </row>
    <row r="117" spans="1:19" ht="13" hidden="1">
      <c r="A117" s="1" t="s">
        <v>170</v>
      </c>
      <c r="B117" s="1" t="s">
        <v>163</v>
      </c>
      <c r="C117" s="1" t="s">
        <v>391</v>
      </c>
      <c r="D117" s="1" t="str">
        <f>UPPER(_xlfn.CONCAT(LEFT(Teams[[#This Row],[teamType]], 1), "-", LEFT(SUBSTITUTE(Teams[[#This Row],[nation]], "/", ""), 3), "-", SUBSTITUTE(SUBSTITUTE(SUBSTITUTE(Teams[[#This Row],[name]], ".", ""), " ", ""), "-", "")))</f>
        <v>C-SPA-CAOSASUNA</v>
      </c>
      <c r="E117" s="16"/>
      <c r="F117" s="16"/>
      <c r="G117" s="1" t="b">
        <f>COUNTBLANK(Teams[[#This Row],[startDate]:[endDate]]) &lt; 2</f>
        <v>0</v>
      </c>
      <c r="H117" s="1" t="str">
        <f>IF(Teams[[#This Row],[relevant]], COUNTIFS(Fixtures[userTeam], Teams[[#This Row],[name]], Fixtures[APP], TRUE), "")</f>
        <v/>
      </c>
      <c r="I117" s="1" t="str">
        <f>IF(Teams[[#This Row],[relevant]], COUNTIFS(Fixtures[userTeam], Teams[[#This Row],[name]], Fixtures[result], "W", Fixtures[APP], TRUE), "")</f>
        <v/>
      </c>
      <c r="J117" s="1" t="str">
        <f>IF(Teams[[#This Row],[relevant]], COUNTIFS(Fixtures[userTeam], Teams[[#This Row],[name]], Fixtures[result], "D", Fixtures[APP], TRUE), "")</f>
        <v/>
      </c>
      <c r="K117" s="1" t="str">
        <f>IF(Teams[[#This Row],[relevant]], COUNTIFS(Fixtures[userTeam], Teams[[#This Row],[name]], Fixtures[result], "L", Fixtures[APP], TRUE), "")</f>
        <v/>
      </c>
      <c r="L117" s="1" t="str">
        <f>IF(Teams[[#This Row],[relevant]], SUMIFS(Fixtures[G], Fixtures[userTeam], Teams[[#This Row],[name]]), "")</f>
        <v/>
      </c>
      <c r="M117" s="1" t="str">
        <f>IF(Teams[[#This Row],[relevant]], SUMIFS(Fixtures[A], Fixtures[userTeam], Teams[[#This Row],[name]]), "")</f>
        <v/>
      </c>
      <c r="N117" s="1" t="str">
        <f>IF(Teams[[#This Row],[relevant]], SUMIFS(Fixtures[INV], Fixtures[userTeam], Teams[[#This Row],[name]]), "")</f>
        <v/>
      </c>
      <c r="O117" s="1" t="str">
        <f>IF(Teams[[#This Row],[relevant]], SUMIFS(Fixtures[YC], Fixtures[userTeam], Teams[[#This Row],[name]]), "")</f>
        <v/>
      </c>
      <c r="P117" s="1" t="str">
        <f>IF(Teams[[#This Row],[relevant]], SUMIFS(Fixtures[RC], Fixtures[userTeam], Teams[[#This Row],[name]]), "")</f>
        <v/>
      </c>
      <c r="Q117" s="13" t="str">
        <f>IF(Teams[[#This Row],[relevant]], IF(ISERROR(AVERAGEIFS(Fixtures[MR], Fixtures[userTeam], Teams[[#This Row],[name]])), 0, AVERAGEIFS(Fixtures[MR], Fixtures[userTeam], Teams[[#This Row],[name]])), "")</f>
        <v/>
      </c>
      <c r="R117" s="1" t="str">
        <f>IF(Teams[[#This Row],[relevant]], COUNTIFS(Fixtures[userTeam], Teams[[#This Row],[name]], Fixtures[MOTM], TRUE), "")</f>
        <v/>
      </c>
      <c r="S117" s="1" t="str" cm="1">
        <f t="array" ref="S117">IF(Teams[[#This Row],[relevant]], _xlfn.TEXTJOIN(", ", TRUE, _xlfn._xlws.FILTER(Stats[competition]&amp;" ("&amp;Stats[season]&amp;")",(Stats[team]=Teams[[#This Row],[name]])*(Stats[result]="Winner"),"")), "")</f>
        <v/>
      </c>
    </row>
    <row r="118" spans="1:19" ht="13" hidden="1">
      <c r="A118" s="1" t="s">
        <v>516</v>
      </c>
      <c r="B118" s="1" t="s">
        <v>163</v>
      </c>
      <c r="C118" s="1" t="s">
        <v>391</v>
      </c>
      <c r="D118" s="1" t="str">
        <f>UPPER(_xlfn.CONCAT(LEFT(Teams[[#This Row],[teamType]], 1), "-", LEFT(SUBSTITUTE(Teams[[#This Row],[nation]], "/", ""), 3), "-", SUBSTITUTE(SUBSTITUTE(SUBSTITUTE(Teams[[#This Row],[name]], ".", ""), " ", ""), "-", "")))</f>
        <v>C-SPA-CÁDIZCF</v>
      </c>
      <c r="E118" s="16"/>
      <c r="F118" s="16"/>
      <c r="G118" s="1" t="b">
        <f>COUNTBLANK(Teams[[#This Row],[startDate]:[endDate]]) &lt; 2</f>
        <v>0</v>
      </c>
      <c r="H118" s="1" t="str">
        <f>IF(Teams[[#This Row],[relevant]], COUNTIFS(Fixtures[userTeam], Teams[[#This Row],[name]], Fixtures[APP], TRUE), "")</f>
        <v/>
      </c>
      <c r="I118" s="1" t="str">
        <f>IF(Teams[[#This Row],[relevant]], COUNTIFS(Fixtures[userTeam], Teams[[#This Row],[name]], Fixtures[result], "W", Fixtures[APP], TRUE), "")</f>
        <v/>
      </c>
      <c r="J118" s="1" t="str">
        <f>IF(Teams[[#This Row],[relevant]], COUNTIFS(Fixtures[userTeam], Teams[[#This Row],[name]], Fixtures[result], "D", Fixtures[APP], TRUE), "")</f>
        <v/>
      </c>
      <c r="K118" s="1" t="str">
        <f>IF(Teams[[#This Row],[relevant]], COUNTIFS(Fixtures[userTeam], Teams[[#This Row],[name]], Fixtures[result], "L", Fixtures[APP], TRUE), "")</f>
        <v/>
      </c>
      <c r="L118" s="1" t="str">
        <f>IF(Teams[[#This Row],[relevant]], SUMIFS(Fixtures[G], Fixtures[userTeam], Teams[[#This Row],[name]]), "")</f>
        <v/>
      </c>
      <c r="M118" s="1" t="str">
        <f>IF(Teams[[#This Row],[relevant]], SUMIFS(Fixtures[A], Fixtures[userTeam], Teams[[#This Row],[name]]), "")</f>
        <v/>
      </c>
      <c r="N118" s="1" t="str">
        <f>IF(Teams[[#This Row],[relevant]], SUMIFS(Fixtures[INV], Fixtures[userTeam], Teams[[#This Row],[name]]), "")</f>
        <v/>
      </c>
      <c r="O118" s="1" t="str">
        <f>IF(Teams[[#This Row],[relevant]], SUMIFS(Fixtures[YC], Fixtures[userTeam], Teams[[#This Row],[name]]), "")</f>
        <v/>
      </c>
      <c r="P118" s="1" t="str">
        <f>IF(Teams[[#This Row],[relevant]], SUMIFS(Fixtures[RC], Fixtures[userTeam], Teams[[#This Row],[name]]), "")</f>
        <v/>
      </c>
      <c r="Q118" s="13" t="str">
        <f>IF(Teams[[#This Row],[relevant]], IF(ISERROR(AVERAGEIFS(Fixtures[MR], Fixtures[userTeam], Teams[[#This Row],[name]])), 0, AVERAGEIFS(Fixtures[MR], Fixtures[userTeam], Teams[[#This Row],[name]])), "")</f>
        <v/>
      </c>
      <c r="R118" s="1" t="str">
        <f>IF(Teams[[#This Row],[relevant]], COUNTIFS(Fixtures[userTeam], Teams[[#This Row],[name]], Fixtures[MOTM], TRUE), "")</f>
        <v/>
      </c>
      <c r="S118" s="1" t="str" cm="1">
        <f t="array" ref="S118">IF(Teams[[#This Row],[relevant]], _xlfn.TEXTJOIN(", ", TRUE, _xlfn._xlws.FILTER(Stats[competition]&amp;" ("&amp;Stats[season]&amp;")",(Stats[team]=Teams[[#This Row],[name]])*(Stats[result]="Winner"),"")), "")</f>
        <v/>
      </c>
    </row>
    <row r="119" spans="1:19" ht="13" hidden="1">
      <c r="A119" s="1" t="s">
        <v>517</v>
      </c>
      <c r="B119" s="1" t="s">
        <v>254</v>
      </c>
      <c r="C119" s="1" t="s">
        <v>391</v>
      </c>
      <c r="D119" s="1" t="str">
        <f>UPPER(_xlfn.CONCAT(LEFT(Teams[[#This Row],[teamType]], 1), "-", LEFT(SUBSTITUTE(Teams[[#This Row],[nation]], "/", ""), 3), "-", SUBSTITUTE(SUBSTITUTE(SUBSTITUTE(Teams[[#This Row],[name]], ".", ""), " ", ""), "-", "")))</f>
        <v>C-ITA-CAGLIARI</v>
      </c>
      <c r="E119" s="16"/>
      <c r="F119" s="16"/>
      <c r="G119" s="1" t="b">
        <f>COUNTBLANK(Teams[[#This Row],[startDate]:[endDate]]) &lt; 2</f>
        <v>0</v>
      </c>
      <c r="H119" s="1" t="str">
        <f>IF(Teams[[#This Row],[relevant]], COUNTIFS(Fixtures[userTeam], Teams[[#This Row],[name]], Fixtures[APP], TRUE), "")</f>
        <v/>
      </c>
      <c r="I119" s="1" t="str">
        <f>IF(Teams[[#This Row],[relevant]], COUNTIFS(Fixtures[userTeam], Teams[[#This Row],[name]], Fixtures[result], "W", Fixtures[APP], TRUE), "")</f>
        <v/>
      </c>
      <c r="J119" s="1" t="str">
        <f>IF(Teams[[#This Row],[relevant]], COUNTIFS(Fixtures[userTeam], Teams[[#This Row],[name]], Fixtures[result], "D", Fixtures[APP], TRUE), "")</f>
        <v/>
      </c>
      <c r="K119" s="1" t="str">
        <f>IF(Teams[[#This Row],[relevant]], COUNTIFS(Fixtures[userTeam], Teams[[#This Row],[name]], Fixtures[result], "L", Fixtures[APP], TRUE), "")</f>
        <v/>
      </c>
      <c r="L119" s="1" t="str">
        <f>IF(Teams[[#This Row],[relevant]], SUMIFS(Fixtures[G], Fixtures[userTeam], Teams[[#This Row],[name]]), "")</f>
        <v/>
      </c>
      <c r="M119" s="1" t="str">
        <f>IF(Teams[[#This Row],[relevant]], SUMIFS(Fixtures[A], Fixtures[userTeam], Teams[[#This Row],[name]]), "")</f>
        <v/>
      </c>
      <c r="N119" s="1" t="str">
        <f>IF(Teams[[#This Row],[relevant]], SUMIFS(Fixtures[INV], Fixtures[userTeam], Teams[[#This Row],[name]]), "")</f>
        <v/>
      </c>
      <c r="O119" s="1" t="str">
        <f>IF(Teams[[#This Row],[relevant]], SUMIFS(Fixtures[YC], Fixtures[userTeam], Teams[[#This Row],[name]]), "")</f>
        <v/>
      </c>
      <c r="P119" s="1" t="str">
        <f>IF(Teams[[#This Row],[relevant]], SUMIFS(Fixtures[RC], Fixtures[userTeam], Teams[[#This Row],[name]]), "")</f>
        <v/>
      </c>
      <c r="Q119" s="13" t="str">
        <f>IF(Teams[[#This Row],[relevant]], IF(ISERROR(AVERAGEIFS(Fixtures[MR], Fixtures[userTeam], Teams[[#This Row],[name]])), 0, AVERAGEIFS(Fixtures[MR], Fixtures[userTeam], Teams[[#This Row],[name]])), "")</f>
        <v/>
      </c>
      <c r="R119" s="1" t="str">
        <f>IF(Teams[[#This Row],[relevant]], COUNTIFS(Fixtures[userTeam], Teams[[#This Row],[name]], Fixtures[MOTM], TRUE), "")</f>
        <v/>
      </c>
      <c r="S119" s="1" t="str" cm="1">
        <f t="array" ref="S119">IF(Teams[[#This Row],[relevant]], _xlfn.TEXTJOIN(", ", TRUE, _xlfn._xlws.FILTER(Stats[competition]&amp;" ("&amp;Stats[season]&amp;")",(Stats[team]=Teams[[#This Row],[name]])*(Stats[result]="Winner"),"")), "")</f>
        <v/>
      </c>
    </row>
    <row r="120" spans="1:19" ht="13" hidden="1">
      <c r="A120" s="1" t="s">
        <v>518</v>
      </c>
      <c r="B120" s="1" t="s">
        <v>152</v>
      </c>
      <c r="C120" s="1" t="s">
        <v>391</v>
      </c>
      <c r="D120" s="1" t="str">
        <f>UPPER(_xlfn.CONCAT(LEFT(Teams[[#This Row],[teamType]], 1), "-", LEFT(SUBSTITUTE(Teams[[#This Row],[nation]], "/", ""), 3), "-", SUBSTITUTE(SUBSTITUTE(SUBSTITUTE(Teams[[#This Row],[name]], ".", ""), " ", ""), "-", "")))</f>
        <v>C-ENG-CAMBRIDGEUTD</v>
      </c>
      <c r="E120" s="16"/>
      <c r="F120" s="16"/>
      <c r="G120" s="1" t="b">
        <f>COUNTBLANK(Teams[[#This Row],[startDate]:[endDate]]) &lt; 2</f>
        <v>0</v>
      </c>
      <c r="H120" s="1" t="str">
        <f>IF(Teams[[#This Row],[relevant]], COUNTIFS(Fixtures[userTeam], Teams[[#This Row],[name]], Fixtures[APP], TRUE), "")</f>
        <v/>
      </c>
      <c r="I120" s="1" t="str">
        <f>IF(Teams[[#This Row],[relevant]], COUNTIFS(Fixtures[userTeam], Teams[[#This Row],[name]], Fixtures[result], "W", Fixtures[APP], TRUE), "")</f>
        <v/>
      </c>
      <c r="J120" s="1" t="str">
        <f>IF(Teams[[#This Row],[relevant]], COUNTIFS(Fixtures[userTeam], Teams[[#This Row],[name]], Fixtures[result], "D", Fixtures[APP], TRUE), "")</f>
        <v/>
      </c>
      <c r="K120" s="1" t="str">
        <f>IF(Teams[[#This Row],[relevant]], COUNTIFS(Fixtures[userTeam], Teams[[#This Row],[name]], Fixtures[result], "L", Fixtures[APP], TRUE), "")</f>
        <v/>
      </c>
      <c r="L120" s="1" t="str">
        <f>IF(Teams[[#This Row],[relevant]], SUMIFS(Fixtures[G], Fixtures[userTeam], Teams[[#This Row],[name]]), "")</f>
        <v/>
      </c>
      <c r="M120" s="1" t="str">
        <f>IF(Teams[[#This Row],[relevant]], SUMIFS(Fixtures[A], Fixtures[userTeam], Teams[[#This Row],[name]]), "")</f>
        <v/>
      </c>
      <c r="N120" s="1" t="str">
        <f>IF(Teams[[#This Row],[relevant]], SUMIFS(Fixtures[INV], Fixtures[userTeam], Teams[[#This Row],[name]]), "")</f>
        <v/>
      </c>
      <c r="O120" s="1" t="str">
        <f>IF(Teams[[#This Row],[relevant]], SUMIFS(Fixtures[YC], Fixtures[userTeam], Teams[[#This Row],[name]]), "")</f>
        <v/>
      </c>
      <c r="P120" s="1" t="str">
        <f>IF(Teams[[#This Row],[relevant]], SUMIFS(Fixtures[RC], Fixtures[userTeam], Teams[[#This Row],[name]]), "")</f>
        <v/>
      </c>
      <c r="Q120" s="13" t="str">
        <f>IF(Teams[[#This Row],[relevant]], IF(ISERROR(AVERAGEIFS(Fixtures[MR], Fixtures[userTeam], Teams[[#This Row],[name]])), 0, AVERAGEIFS(Fixtures[MR], Fixtures[userTeam], Teams[[#This Row],[name]])), "")</f>
        <v/>
      </c>
      <c r="R120" s="1" t="str">
        <f>IF(Teams[[#This Row],[relevant]], COUNTIFS(Fixtures[userTeam], Teams[[#This Row],[name]], Fixtures[MOTM], TRUE), "")</f>
        <v/>
      </c>
      <c r="S120" s="1" t="str" cm="1">
        <f t="array" ref="S120">IF(Teams[[#This Row],[relevant]], _xlfn.TEXTJOIN(", ", TRUE, _xlfn._xlws.FILTER(Stats[competition]&amp;" ("&amp;Stats[season]&amp;")",(Stats[team]=Teams[[#This Row],[name]])*(Stats[result]="Winner"),"")), "")</f>
        <v/>
      </c>
    </row>
    <row r="121" spans="1:19" ht="13" hidden="1">
      <c r="A121" s="1" t="s">
        <v>519</v>
      </c>
      <c r="B121" s="1" t="s">
        <v>519</v>
      </c>
      <c r="C121" s="1" t="s">
        <v>459</v>
      </c>
      <c r="D121" s="1" t="str">
        <f>UPPER(_xlfn.CONCAT(LEFT(Teams[[#This Row],[teamType]], 1), "-", LEFT(SUBSTITUTE(Teams[[#This Row],[nation]], "/", ""), 3), "-", SUBSTITUTE(SUBSTITUTE(SUBSTITUTE(Teams[[#This Row],[name]], ".", ""), " ", ""), "-", "")))</f>
        <v>N-CAN-CANADA</v>
      </c>
      <c r="E121" s="16"/>
      <c r="F121" s="16"/>
      <c r="G121" s="1" t="b">
        <f>COUNTBLANK(Teams[[#This Row],[startDate]:[endDate]]) &lt; 2</f>
        <v>0</v>
      </c>
      <c r="H121" s="1" t="str">
        <f>IF(Teams[[#This Row],[relevant]], COUNTIFS(Fixtures[userTeam], Teams[[#This Row],[name]], Fixtures[APP], TRUE), "")</f>
        <v/>
      </c>
      <c r="I121" s="1" t="str">
        <f>IF(Teams[[#This Row],[relevant]], COUNTIFS(Fixtures[userTeam], Teams[[#This Row],[name]], Fixtures[result], "W", Fixtures[APP], TRUE), "")</f>
        <v/>
      </c>
      <c r="J121" s="1" t="str">
        <f>IF(Teams[[#This Row],[relevant]], COUNTIFS(Fixtures[userTeam], Teams[[#This Row],[name]], Fixtures[result], "D", Fixtures[APP], TRUE), "")</f>
        <v/>
      </c>
      <c r="K121" s="1" t="str">
        <f>IF(Teams[[#This Row],[relevant]], COUNTIFS(Fixtures[userTeam], Teams[[#This Row],[name]], Fixtures[result], "L", Fixtures[APP], TRUE), "")</f>
        <v/>
      </c>
      <c r="L121" s="1" t="str">
        <f>IF(Teams[[#This Row],[relevant]], SUMIFS(Fixtures[G], Fixtures[userTeam], Teams[[#This Row],[name]]), "")</f>
        <v/>
      </c>
      <c r="M121" s="1" t="str">
        <f>IF(Teams[[#This Row],[relevant]], SUMIFS(Fixtures[A], Fixtures[userTeam], Teams[[#This Row],[name]]), "")</f>
        <v/>
      </c>
      <c r="N121" s="1" t="str">
        <f>IF(Teams[[#This Row],[relevant]], SUMIFS(Fixtures[INV], Fixtures[userTeam], Teams[[#This Row],[name]]), "")</f>
        <v/>
      </c>
      <c r="O121" s="1" t="str">
        <f>IF(Teams[[#This Row],[relevant]], SUMIFS(Fixtures[YC], Fixtures[userTeam], Teams[[#This Row],[name]]), "")</f>
        <v/>
      </c>
      <c r="P121" s="1" t="str">
        <f>IF(Teams[[#This Row],[relevant]], SUMIFS(Fixtures[RC], Fixtures[userTeam], Teams[[#This Row],[name]]), "")</f>
        <v/>
      </c>
      <c r="Q121" s="13" t="str">
        <f>IF(Teams[[#This Row],[relevant]], IF(ISERROR(AVERAGEIFS(Fixtures[MR], Fixtures[userTeam], Teams[[#This Row],[name]])), 0, AVERAGEIFS(Fixtures[MR], Fixtures[userTeam], Teams[[#This Row],[name]])), "")</f>
        <v/>
      </c>
      <c r="R121" s="1" t="str">
        <f>IF(Teams[[#This Row],[relevant]], COUNTIFS(Fixtures[userTeam], Teams[[#This Row],[name]], Fixtures[MOTM], TRUE), "")</f>
        <v/>
      </c>
      <c r="S121" s="1" t="str" cm="1">
        <f t="array" ref="S121">IF(Teams[[#This Row],[relevant]], _xlfn.TEXTJOIN(", ", TRUE, _xlfn._xlws.FILTER(Stats[competition]&amp;" ("&amp;Stats[season]&amp;")",(Stats[team]=Teams[[#This Row],[name]])*(Stats[result]="Winner"),"")), "")</f>
        <v/>
      </c>
    </row>
    <row r="122" spans="1:19" ht="13" hidden="1">
      <c r="A122" s="1" t="s">
        <v>520</v>
      </c>
      <c r="B122" s="1" t="s">
        <v>493</v>
      </c>
      <c r="C122" s="1" t="s">
        <v>391</v>
      </c>
      <c r="D122" s="1" t="str">
        <f>UPPER(_xlfn.CONCAT(LEFT(Teams[[#This Row],[teamType]], 1), "-", LEFT(SUBSTITUTE(Teams[[#This Row],[nation]], "/", ""), 3), "-", SUBSTITUTE(SUBSTITUTE(SUBSTITUTE(Teams[[#This Row],[name]], ".", ""), " ", ""), "-", "")))</f>
        <v>C-CHI-CANGZHOUFC</v>
      </c>
      <c r="E122" s="16"/>
      <c r="F122" s="16"/>
      <c r="G122" s="1" t="b">
        <f>COUNTBLANK(Teams[[#This Row],[startDate]:[endDate]]) &lt; 2</f>
        <v>0</v>
      </c>
      <c r="H122" s="1" t="str">
        <f>IF(Teams[[#This Row],[relevant]], COUNTIFS(Fixtures[userTeam], Teams[[#This Row],[name]], Fixtures[APP], TRUE), "")</f>
        <v/>
      </c>
      <c r="I122" s="1" t="str">
        <f>IF(Teams[[#This Row],[relevant]], COUNTIFS(Fixtures[userTeam], Teams[[#This Row],[name]], Fixtures[result], "W", Fixtures[APP], TRUE), "")</f>
        <v/>
      </c>
      <c r="J122" s="1" t="str">
        <f>IF(Teams[[#This Row],[relevant]], COUNTIFS(Fixtures[userTeam], Teams[[#This Row],[name]], Fixtures[result], "D", Fixtures[APP], TRUE), "")</f>
        <v/>
      </c>
      <c r="K122" s="1" t="str">
        <f>IF(Teams[[#This Row],[relevant]], COUNTIFS(Fixtures[userTeam], Teams[[#This Row],[name]], Fixtures[result], "L", Fixtures[APP], TRUE), "")</f>
        <v/>
      </c>
      <c r="L122" s="1" t="str">
        <f>IF(Teams[[#This Row],[relevant]], SUMIFS(Fixtures[G], Fixtures[userTeam], Teams[[#This Row],[name]]), "")</f>
        <v/>
      </c>
      <c r="M122" s="1" t="str">
        <f>IF(Teams[[#This Row],[relevant]], SUMIFS(Fixtures[A], Fixtures[userTeam], Teams[[#This Row],[name]]), "")</f>
        <v/>
      </c>
      <c r="N122" s="1" t="str">
        <f>IF(Teams[[#This Row],[relevant]], SUMIFS(Fixtures[INV], Fixtures[userTeam], Teams[[#This Row],[name]]), "")</f>
        <v/>
      </c>
      <c r="O122" s="1" t="str">
        <f>IF(Teams[[#This Row],[relevant]], SUMIFS(Fixtures[YC], Fixtures[userTeam], Teams[[#This Row],[name]]), "")</f>
        <v/>
      </c>
      <c r="P122" s="1" t="str">
        <f>IF(Teams[[#This Row],[relevant]], SUMIFS(Fixtures[RC], Fixtures[userTeam], Teams[[#This Row],[name]]), "")</f>
        <v/>
      </c>
      <c r="Q122" s="13" t="str">
        <f>IF(Teams[[#This Row],[relevant]], IF(ISERROR(AVERAGEIFS(Fixtures[MR], Fixtures[userTeam], Teams[[#This Row],[name]])), 0, AVERAGEIFS(Fixtures[MR], Fixtures[userTeam], Teams[[#This Row],[name]])), "")</f>
        <v/>
      </c>
      <c r="R122" s="1" t="str">
        <f>IF(Teams[[#This Row],[relevant]], COUNTIFS(Fixtures[userTeam], Teams[[#This Row],[name]], Fixtures[MOTM], TRUE), "")</f>
        <v/>
      </c>
      <c r="S122" s="1" t="str" cm="1">
        <f t="array" ref="S122">IF(Teams[[#This Row],[relevant]], _xlfn.TEXTJOIN(", ", TRUE, _xlfn._xlws.FILTER(Stats[competition]&amp;" ("&amp;Stats[season]&amp;")",(Stats[team]=Teams[[#This Row],[name]])*(Stats[result]="Winner"),"")), "")</f>
        <v/>
      </c>
    </row>
    <row r="123" spans="1:19" ht="13" hidden="1">
      <c r="A123" s="1" t="s">
        <v>521</v>
      </c>
      <c r="B123" s="1" t="s">
        <v>522</v>
      </c>
      <c r="C123" s="1" t="s">
        <v>391</v>
      </c>
      <c r="D123" s="1" t="str">
        <f>UPPER(_xlfn.CONCAT(LEFT(Teams[[#This Row],[teamType]], 1), "-", LEFT(SUBSTITUTE(Teams[[#This Row],[nation]], "/", ""), 3), "-", SUBSTITUTE(SUBSTITUTE(SUBSTITUTE(Teams[[#This Row],[name]], ".", ""), " ", ""), "-", "")))</f>
        <v>C-VEN-CARACASFC</v>
      </c>
      <c r="E123" s="16"/>
      <c r="F123" s="16"/>
      <c r="G123" s="1" t="b">
        <f>COUNTBLANK(Teams[[#This Row],[startDate]:[endDate]]) &lt; 2</f>
        <v>0</v>
      </c>
      <c r="H123" s="1" t="str">
        <f>IF(Teams[[#This Row],[relevant]], COUNTIFS(Fixtures[userTeam], Teams[[#This Row],[name]], Fixtures[APP], TRUE), "")</f>
        <v/>
      </c>
      <c r="I123" s="1" t="str">
        <f>IF(Teams[[#This Row],[relevant]], COUNTIFS(Fixtures[userTeam], Teams[[#This Row],[name]], Fixtures[result], "W", Fixtures[APP], TRUE), "")</f>
        <v/>
      </c>
      <c r="J123" s="1" t="str">
        <f>IF(Teams[[#This Row],[relevant]], COUNTIFS(Fixtures[userTeam], Teams[[#This Row],[name]], Fixtures[result], "D", Fixtures[APP], TRUE), "")</f>
        <v/>
      </c>
      <c r="K123" s="1" t="str">
        <f>IF(Teams[[#This Row],[relevant]], COUNTIFS(Fixtures[userTeam], Teams[[#This Row],[name]], Fixtures[result], "L", Fixtures[APP], TRUE), "")</f>
        <v/>
      </c>
      <c r="L123" s="1" t="str">
        <f>IF(Teams[[#This Row],[relevant]], SUMIFS(Fixtures[G], Fixtures[userTeam], Teams[[#This Row],[name]]), "")</f>
        <v/>
      </c>
      <c r="M123" s="1" t="str">
        <f>IF(Teams[[#This Row],[relevant]], SUMIFS(Fixtures[A], Fixtures[userTeam], Teams[[#This Row],[name]]), "")</f>
        <v/>
      </c>
      <c r="N123" s="1" t="str">
        <f>IF(Teams[[#This Row],[relevant]], SUMIFS(Fixtures[INV], Fixtures[userTeam], Teams[[#This Row],[name]]), "")</f>
        <v/>
      </c>
      <c r="O123" s="1" t="str">
        <f>IF(Teams[[#This Row],[relevant]], SUMIFS(Fixtures[YC], Fixtures[userTeam], Teams[[#This Row],[name]]), "")</f>
        <v/>
      </c>
      <c r="P123" s="1" t="str">
        <f>IF(Teams[[#This Row],[relevant]], SUMIFS(Fixtures[RC], Fixtures[userTeam], Teams[[#This Row],[name]]), "")</f>
        <v/>
      </c>
      <c r="Q123" s="13" t="str">
        <f>IF(Teams[[#This Row],[relevant]], IF(ISERROR(AVERAGEIFS(Fixtures[MR], Fixtures[userTeam], Teams[[#This Row],[name]])), 0, AVERAGEIFS(Fixtures[MR], Fixtures[userTeam], Teams[[#This Row],[name]])), "")</f>
        <v/>
      </c>
      <c r="R123" s="1" t="str">
        <f>IF(Teams[[#This Row],[relevant]], COUNTIFS(Fixtures[userTeam], Teams[[#This Row],[name]], Fixtures[MOTM], TRUE), "")</f>
        <v/>
      </c>
      <c r="S123" s="1" t="str" cm="1">
        <f t="array" ref="S123">IF(Teams[[#This Row],[relevant]], _xlfn.TEXTJOIN(", ", TRUE, _xlfn._xlws.FILTER(Stats[competition]&amp;" ("&amp;Stats[season]&amp;")",(Stats[team]=Teams[[#This Row],[name]])*(Stats[result]="Winner"),"")), "")</f>
        <v/>
      </c>
    </row>
    <row r="124" spans="1:19" ht="13" hidden="1">
      <c r="A124" s="1" t="s">
        <v>230</v>
      </c>
      <c r="B124" s="1" t="s">
        <v>152</v>
      </c>
      <c r="C124" s="1" t="s">
        <v>391</v>
      </c>
      <c r="D124" s="1" t="str">
        <f>UPPER(_xlfn.CONCAT(LEFT(Teams[[#This Row],[teamType]], 1), "-", LEFT(SUBSTITUTE(Teams[[#This Row],[nation]], "/", ""), 3), "-", SUBSTITUTE(SUBSTITUTE(SUBSTITUTE(Teams[[#This Row],[name]], ".", ""), " ", ""), "-", "")))</f>
        <v>C-ENG-CARDIFFCITY</v>
      </c>
      <c r="E124" s="16"/>
      <c r="F124" s="16"/>
      <c r="G124" s="1" t="b">
        <f>COUNTBLANK(Teams[[#This Row],[startDate]:[endDate]]) &lt; 2</f>
        <v>0</v>
      </c>
      <c r="H124" s="1" t="str">
        <f>IF(Teams[[#This Row],[relevant]], COUNTIFS(Fixtures[userTeam], Teams[[#This Row],[name]], Fixtures[APP], TRUE), "")</f>
        <v/>
      </c>
      <c r="I124" s="1" t="str">
        <f>IF(Teams[[#This Row],[relevant]], COUNTIFS(Fixtures[userTeam], Teams[[#This Row],[name]], Fixtures[result], "W", Fixtures[APP], TRUE), "")</f>
        <v/>
      </c>
      <c r="J124" s="1" t="str">
        <f>IF(Teams[[#This Row],[relevant]], COUNTIFS(Fixtures[userTeam], Teams[[#This Row],[name]], Fixtures[result], "D", Fixtures[APP], TRUE), "")</f>
        <v/>
      </c>
      <c r="K124" s="1" t="str">
        <f>IF(Teams[[#This Row],[relevant]], COUNTIFS(Fixtures[userTeam], Teams[[#This Row],[name]], Fixtures[result], "L", Fixtures[APP], TRUE), "")</f>
        <v/>
      </c>
      <c r="L124" s="1" t="str">
        <f>IF(Teams[[#This Row],[relevant]], SUMIFS(Fixtures[G], Fixtures[userTeam], Teams[[#This Row],[name]]), "")</f>
        <v/>
      </c>
      <c r="M124" s="1" t="str">
        <f>IF(Teams[[#This Row],[relevant]], SUMIFS(Fixtures[A], Fixtures[userTeam], Teams[[#This Row],[name]]), "")</f>
        <v/>
      </c>
      <c r="N124" s="1" t="str">
        <f>IF(Teams[[#This Row],[relevant]], SUMIFS(Fixtures[INV], Fixtures[userTeam], Teams[[#This Row],[name]]), "")</f>
        <v/>
      </c>
      <c r="O124" s="1" t="str">
        <f>IF(Teams[[#This Row],[relevant]], SUMIFS(Fixtures[YC], Fixtures[userTeam], Teams[[#This Row],[name]]), "")</f>
        <v/>
      </c>
      <c r="P124" s="1" t="str">
        <f>IF(Teams[[#This Row],[relevant]], SUMIFS(Fixtures[RC], Fixtures[userTeam], Teams[[#This Row],[name]]), "")</f>
        <v/>
      </c>
      <c r="Q124" s="13" t="str">
        <f>IF(Teams[[#This Row],[relevant]], IF(ISERROR(AVERAGEIFS(Fixtures[MR], Fixtures[userTeam], Teams[[#This Row],[name]])), 0, AVERAGEIFS(Fixtures[MR], Fixtures[userTeam], Teams[[#This Row],[name]])), "")</f>
        <v/>
      </c>
      <c r="R124" s="1" t="str">
        <f>IF(Teams[[#This Row],[relevant]], COUNTIFS(Fixtures[userTeam], Teams[[#This Row],[name]], Fixtures[MOTM], TRUE), "")</f>
        <v/>
      </c>
      <c r="S124" s="1" t="str" cm="1">
        <f t="array" ref="S124">IF(Teams[[#This Row],[relevant]], _xlfn.TEXTJOIN(", ", TRUE, _xlfn._xlws.FILTER(Stats[competition]&amp;" ("&amp;Stats[season]&amp;")",(Stats[team]=Teams[[#This Row],[name]])*(Stats[result]="Winner"),"")), "")</f>
        <v/>
      </c>
    </row>
    <row r="125" spans="1:19" ht="13" hidden="1">
      <c r="A125" s="1" t="s">
        <v>523</v>
      </c>
      <c r="B125" s="1" t="s">
        <v>152</v>
      </c>
      <c r="C125" s="1" t="s">
        <v>391</v>
      </c>
      <c r="D125" s="1" t="str">
        <f>UPPER(_xlfn.CONCAT(LEFT(Teams[[#This Row],[teamType]], 1), "-", LEFT(SUBSTITUTE(Teams[[#This Row],[nation]], "/", ""), 3), "-", SUBSTITUTE(SUBSTITUTE(SUBSTITUTE(Teams[[#This Row],[name]], ".", ""), " ", ""), "-", "")))</f>
        <v>C-ENG-CARLISLEUNITED</v>
      </c>
      <c r="E125" s="16"/>
      <c r="F125" s="16"/>
      <c r="G125" s="1" t="b">
        <f>COUNTBLANK(Teams[[#This Row],[startDate]:[endDate]]) &lt; 2</f>
        <v>0</v>
      </c>
      <c r="H125" s="1" t="str">
        <f>IF(Teams[[#This Row],[relevant]], COUNTIFS(Fixtures[userTeam], Teams[[#This Row],[name]], Fixtures[APP], TRUE), "")</f>
        <v/>
      </c>
      <c r="I125" s="1" t="str">
        <f>IF(Teams[[#This Row],[relevant]], COUNTIFS(Fixtures[userTeam], Teams[[#This Row],[name]], Fixtures[result], "W", Fixtures[APP], TRUE), "")</f>
        <v/>
      </c>
      <c r="J125" s="1" t="str">
        <f>IF(Teams[[#This Row],[relevant]], COUNTIFS(Fixtures[userTeam], Teams[[#This Row],[name]], Fixtures[result], "D", Fixtures[APP], TRUE), "")</f>
        <v/>
      </c>
      <c r="K125" s="1" t="str">
        <f>IF(Teams[[#This Row],[relevant]], COUNTIFS(Fixtures[userTeam], Teams[[#This Row],[name]], Fixtures[result], "L", Fixtures[APP], TRUE), "")</f>
        <v/>
      </c>
      <c r="L125" s="1" t="str">
        <f>IF(Teams[[#This Row],[relevant]], SUMIFS(Fixtures[G], Fixtures[userTeam], Teams[[#This Row],[name]]), "")</f>
        <v/>
      </c>
      <c r="M125" s="1" t="str">
        <f>IF(Teams[[#This Row],[relevant]], SUMIFS(Fixtures[A], Fixtures[userTeam], Teams[[#This Row],[name]]), "")</f>
        <v/>
      </c>
      <c r="N125" s="1" t="str">
        <f>IF(Teams[[#This Row],[relevant]], SUMIFS(Fixtures[INV], Fixtures[userTeam], Teams[[#This Row],[name]]), "")</f>
        <v/>
      </c>
      <c r="O125" s="1" t="str">
        <f>IF(Teams[[#This Row],[relevant]], SUMIFS(Fixtures[YC], Fixtures[userTeam], Teams[[#This Row],[name]]), "")</f>
        <v/>
      </c>
      <c r="P125" s="1" t="str">
        <f>IF(Teams[[#This Row],[relevant]], SUMIFS(Fixtures[RC], Fixtures[userTeam], Teams[[#This Row],[name]]), "")</f>
        <v/>
      </c>
      <c r="Q125" s="13" t="str">
        <f>IF(Teams[[#This Row],[relevant]], IF(ISERROR(AVERAGEIFS(Fixtures[MR], Fixtures[userTeam], Teams[[#This Row],[name]])), 0, AVERAGEIFS(Fixtures[MR], Fixtures[userTeam], Teams[[#This Row],[name]])), "")</f>
        <v/>
      </c>
      <c r="R125" s="1" t="str">
        <f>IF(Teams[[#This Row],[relevant]], COUNTIFS(Fixtures[userTeam], Teams[[#This Row],[name]], Fixtures[MOTM], TRUE), "")</f>
        <v/>
      </c>
      <c r="S125" s="1" t="str" cm="1">
        <f t="array" ref="S125">IF(Teams[[#This Row],[relevant]], _xlfn.TEXTJOIN(", ", TRUE, _xlfn._xlws.FILTER(Stats[competition]&amp;" ("&amp;Stats[season]&amp;")",(Stats[team]=Teams[[#This Row],[name]])*(Stats[result]="Winner"),"")), "")</f>
        <v/>
      </c>
    </row>
    <row r="126" spans="1:19" ht="13" hidden="1">
      <c r="A126" s="1" t="s">
        <v>524</v>
      </c>
      <c r="B126" s="1" t="s">
        <v>463</v>
      </c>
      <c r="C126" s="1" t="s">
        <v>391</v>
      </c>
      <c r="D126" s="1" t="str">
        <f>UPPER(_xlfn.CONCAT(LEFT(Teams[[#This Row],[teamType]], 1), "-", LEFT(SUBSTITUTE(Teams[[#This Row],[nation]], "/", ""), 3), "-", SUBSTITUTE(SUBSTITUTE(SUBSTITUTE(Teams[[#This Row],[name]], ".", ""), " ", ""), "-", "")))</f>
        <v>C-POR-CASAPIAAC</v>
      </c>
      <c r="E126" s="16"/>
      <c r="F126" s="16"/>
      <c r="G126" s="1" t="b">
        <f>COUNTBLANK(Teams[[#This Row],[startDate]:[endDate]]) &lt; 2</f>
        <v>0</v>
      </c>
      <c r="H126" s="1" t="str">
        <f>IF(Teams[[#This Row],[relevant]], COUNTIFS(Fixtures[userTeam], Teams[[#This Row],[name]], Fixtures[APP], TRUE), "")</f>
        <v/>
      </c>
      <c r="I126" s="1" t="str">
        <f>IF(Teams[[#This Row],[relevant]], COUNTIFS(Fixtures[userTeam], Teams[[#This Row],[name]], Fixtures[result], "W", Fixtures[APP], TRUE), "")</f>
        <v/>
      </c>
      <c r="J126" s="1" t="str">
        <f>IF(Teams[[#This Row],[relevant]], COUNTIFS(Fixtures[userTeam], Teams[[#This Row],[name]], Fixtures[result], "D", Fixtures[APP], TRUE), "")</f>
        <v/>
      </c>
      <c r="K126" s="1" t="str">
        <f>IF(Teams[[#This Row],[relevant]], COUNTIFS(Fixtures[userTeam], Teams[[#This Row],[name]], Fixtures[result], "L", Fixtures[APP], TRUE), "")</f>
        <v/>
      </c>
      <c r="L126" s="1" t="str">
        <f>IF(Teams[[#This Row],[relevant]], SUMIFS(Fixtures[G], Fixtures[userTeam], Teams[[#This Row],[name]]), "")</f>
        <v/>
      </c>
      <c r="M126" s="1" t="str">
        <f>IF(Teams[[#This Row],[relevant]], SUMIFS(Fixtures[A], Fixtures[userTeam], Teams[[#This Row],[name]]), "")</f>
        <v/>
      </c>
      <c r="N126" s="1" t="str">
        <f>IF(Teams[[#This Row],[relevant]], SUMIFS(Fixtures[INV], Fixtures[userTeam], Teams[[#This Row],[name]]), "")</f>
        <v/>
      </c>
      <c r="O126" s="1" t="str">
        <f>IF(Teams[[#This Row],[relevant]], SUMIFS(Fixtures[YC], Fixtures[userTeam], Teams[[#This Row],[name]]), "")</f>
        <v/>
      </c>
      <c r="P126" s="1" t="str">
        <f>IF(Teams[[#This Row],[relevant]], SUMIFS(Fixtures[RC], Fixtures[userTeam], Teams[[#This Row],[name]]), "")</f>
        <v/>
      </c>
      <c r="Q126" s="13" t="str">
        <f>IF(Teams[[#This Row],[relevant]], IF(ISERROR(AVERAGEIFS(Fixtures[MR], Fixtures[userTeam], Teams[[#This Row],[name]])), 0, AVERAGEIFS(Fixtures[MR], Fixtures[userTeam], Teams[[#This Row],[name]])), "")</f>
        <v/>
      </c>
      <c r="R126" s="1" t="str">
        <f>IF(Teams[[#This Row],[relevant]], COUNTIFS(Fixtures[userTeam], Teams[[#This Row],[name]], Fixtures[MOTM], TRUE), "")</f>
        <v/>
      </c>
      <c r="S126" s="1" t="str" cm="1">
        <f t="array" ref="S126">IF(Teams[[#This Row],[relevant]], _xlfn.TEXTJOIN(", ", TRUE, _xlfn._xlws.FILTER(Stats[competition]&amp;" ("&amp;Stats[season]&amp;")",(Stats[team]=Teams[[#This Row],[name]])*(Stats[result]="Winner"),"")), "")</f>
        <v/>
      </c>
    </row>
    <row r="127" spans="1:19" ht="13" hidden="1">
      <c r="A127" s="1" t="s">
        <v>525</v>
      </c>
      <c r="B127" s="1" t="s">
        <v>163</v>
      </c>
      <c r="C127" s="1" t="s">
        <v>391</v>
      </c>
      <c r="D127" s="1" t="str">
        <f>UPPER(_xlfn.CONCAT(LEFT(Teams[[#This Row],[teamType]], 1), "-", LEFT(SUBSTITUTE(Teams[[#This Row],[nation]], "/", ""), 3), "-", SUBSTITUTE(SUBSTITUTE(SUBSTITUTE(Teams[[#This Row],[name]], ".", ""), " ", ""), "-", "")))</f>
        <v>C-SPA-CDLEGANÉS</v>
      </c>
      <c r="E127" s="16"/>
      <c r="F127" s="16"/>
      <c r="G127" s="1" t="b">
        <f>COUNTBLANK(Teams[[#This Row],[startDate]:[endDate]]) &lt; 2</f>
        <v>0</v>
      </c>
      <c r="H127" s="1" t="str">
        <f>IF(Teams[[#This Row],[relevant]], COUNTIFS(Fixtures[userTeam], Teams[[#This Row],[name]], Fixtures[APP], TRUE), "")</f>
        <v/>
      </c>
      <c r="I127" s="1" t="str">
        <f>IF(Teams[[#This Row],[relevant]], COUNTIFS(Fixtures[userTeam], Teams[[#This Row],[name]], Fixtures[result], "W", Fixtures[APP], TRUE), "")</f>
        <v/>
      </c>
      <c r="J127" s="1" t="str">
        <f>IF(Teams[[#This Row],[relevant]], COUNTIFS(Fixtures[userTeam], Teams[[#This Row],[name]], Fixtures[result], "D", Fixtures[APP], TRUE), "")</f>
        <v/>
      </c>
      <c r="K127" s="1" t="str">
        <f>IF(Teams[[#This Row],[relevant]], COUNTIFS(Fixtures[userTeam], Teams[[#This Row],[name]], Fixtures[result], "L", Fixtures[APP], TRUE), "")</f>
        <v/>
      </c>
      <c r="L127" s="1" t="str">
        <f>IF(Teams[[#This Row],[relevant]], SUMIFS(Fixtures[G], Fixtures[userTeam], Teams[[#This Row],[name]]), "")</f>
        <v/>
      </c>
      <c r="M127" s="1" t="str">
        <f>IF(Teams[[#This Row],[relevant]], SUMIFS(Fixtures[A], Fixtures[userTeam], Teams[[#This Row],[name]]), "")</f>
        <v/>
      </c>
      <c r="N127" s="1" t="str">
        <f>IF(Teams[[#This Row],[relevant]], SUMIFS(Fixtures[INV], Fixtures[userTeam], Teams[[#This Row],[name]]), "")</f>
        <v/>
      </c>
      <c r="O127" s="1" t="str">
        <f>IF(Teams[[#This Row],[relevant]], SUMIFS(Fixtures[YC], Fixtures[userTeam], Teams[[#This Row],[name]]), "")</f>
        <v/>
      </c>
      <c r="P127" s="1" t="str">
        <f>IF(Teams[[#This Row],[relevant]], SUMIFS(Fixtures[RC], Fixtures[userTeam], Teams[[#This Row],[name]]), "")</f>
        <v/>
      </c>
      <c r="Q127" s="13" t="str">
        <f>IF(Teams[[#This Row],[relevant]], IF(ISERROR(AVERAGEIFS(Fixtures[MR], Fixtures[userTeam], Teams[[#This Row],[name]])), 0, AVERAGEIFS(Fixtures[MR], Fixtures[userTeam], Teams[[#This Row],[name]])), "")</f>
        <v/>
      </c>
      <c r="R127" s="1" t="str">
        <f>IF(Teams[[#This Row],[relevant]], COUNTIFS(Fixtures[userTeam], Teams[[#This Row],[name]], Fixtures[MOTM], TRUE), "")</f>
        <v/>
      </c>
      <c r="S127" s="1" t="str" cm="1">
        <f t="array" ref="S127">IF(Teams[[#This Row],[relevant]], _xlfn.TEXTJOIN(", ", TRUE, _xlfn._xlws.FILTER(Stats[competition]&amp;" ("&amp;Stats[season]&amp;")",(Stats[team]=Teams[[#This Row],[name]])*(Stats[result]="Winner"),"")), "")</f>
        <v/>
      </c>
    </row>
    <row r="128" spans="1:19" ht="13" hidden="1">
      <c r="A128" s="1" t="s">
        <v>526</v>
      </c>
      <c r="B128" s="1" t="s">
        <v>163</v>
      </c>
      <c r="C128" s="1" t="s">
        <v>391</v>
      </c>
      <c r="D128" s="1" t="str">
        <f>UPPER(_xlfn.CONCAT(LEFT(Teams[[#This Row],[teamType]], 1), "-", LEFT(SUBSTITUTE(Teams[[#This Row],[nation]], "/", ""), 3), "-", SUBSTITUTE(SUBSTITUTE(SUBSTITUTE(Teams[[#This Row],[name]], ".", ""), " ", ""), "-", "")))</f>
        <v>C-SPA-CDLUGO</v>
      </c>
      <c r="E128" s="16"/>
      <c r="F128" s="16"/>
      <c r="G128" s="1" t="b">
        <f>COUNTBLANK(Teams[[#This Row],[startDate]:[endDate]]) &lt; 2</f>
        <v>0</v>
      </c>
      <c r="H128" s="1" t="str">
        <f>IF(Teams[[#This Row],[relevant]], COUNTIFS(Fixtures[userTeam], Teams[[#This Row],[name]], Fixtures[APP], TRUE), "")</f>
        <v/>
      </c>
      <c r="I128" s="1" t="str">
        <f>IF(Teams[[#This Row],[relevant]], COUNTIFS(Fixtures[userTeam], Teams[[#This Row],[name]], Fixtures[result], "W", Fixtures[APP], TRUE), "")</f>
        <v/>
      </c>
      <c r="J128" s="1" t="str">
        <f>IF(Teams[[#This Row],[relevant]], COUNTIFS(Fixtures[userTeam], Teams[[#This Row],[name]], Fixtures[result], "D", Fixtures[APP], TRUE), "")</f>
        <v/>
      </c>
      <c r="K128" s="1" t="str">
        <f>IF(Teams[[#This Row],[relevant]], COUNTIFS(Fixtures[userTeam], Teams[[#This Row],[name]], Fixtures[result], "L", Fixtures[APP], TRUE), "")</f>
        <v/>
      </c>
      <c r="L128" s="1" t="str">
        <f>IF(Teams[[#This Row],[relevant]], SUMIFS(Fixtures[G], Fixtures[userTeam], Teams[[#This Row],[name]]), "")</f>
        <v/>
      </c>
      <c r="M128" s="1" t="str">
        <f>IF(Teams[[#This Row],[relevant]], SUMIFS(Fixtures[A], Fixtures[userTeam], Teams[[#This Row],[name]]), "")</f>
        <v/>
      </c>
      <c r="N128" s="1" t="str">
        <f>IF(Teams[[#This Row],[relevant]], SUMIFS(Fixtures[INV], Fixtures[userTeam], Teams[[#This Row],[name]]), "")</f>
        <v/>
      </c>
      <c r="O128" s="1" t="str">
        <f>IF(Teams[[#This Row],[relevant]], SUMIFS(Fixtures[YC], Fixtures[userTeam], Teams[[#This Row],[name]]), "")</f>
        <v/>
      </c>
      <c r="P128" s="1" t="str">
        <f>IF(Teams[[#This Row],[relevant]], SUMIFS(Fixtures[RC], Fixtures[userTeam], Teams[[#This Row],[name]]), "")</f>
        <v/>
      </c>
      <c r="Q128" s="13" t="str">
        <f>IF(Teams[[#This Row],[relevant]], IF(ISERROR(AVERAGEIFS(Fixtures[MR], Fixtures[userTeam], Teams[[#This Row],[name]])), 0, AVERAGEIFS(Fixtures[MR], Fixtures[userTeam], Teams[[#This Row],[name]])), "")</f>
        <v/>
      </c>
      <c r="R128" s="1" t="str">
        <f>IF(Teams[[#This Row],[relevant]], COUNTIFS(Fixtures[userTeam], Teams[[#This Row],[name]], Fixtures[MOTM], TRUE), "")</f>
        <v/>
      </c>
      <c r="S128" s="1" t="str" cm="1">
        <f t="array" ref="S128">IF(Teams[[#This Row],[relevant]], _xlfn.TEXTJOIN(", ", TRUE, _xlfn._xlws.FILTER(Stats[competition]&amp;" ("&amp;Stats[season]&amp;")",(Stats[team]=Teams[[#This Row],[name]])*(Stats[result]="Winner"),"")), "")</f>
        <v/>
      </c>
    </row>
    <row r="129" spans="1:19" ht="13" hidden="1">
      <c r="A129" s="1" t="s">
        <v>527</v>
      </c>
      <c r="B129" s="1" t="s">
        <v>163</v>
      </c>
      <c r="C129" s="1" t="s">
        <v>391</v>
      </c>
      <c r="D129" s="1" t="str">
        <f>UPPER(_xlfn.CONCAT(LEFT(Teams[[#This Row],[teamType]], 1), "-", LEFT(SUBSTITUTE(Teams[[#This Row],[nation]], "/", ""), 3), "-", SUBSTITUTE(SUBSTITUTE(SUBSTITUTE(Teams[[#This Row],[name]], ".", ""), " ", ""), "-", "")))</f>
        <v>C-SPA-CDMIRANDÉS</v>
      </c>
      <c r="E129" s="16"/>
      <c r="F129" s="16"/>
      <c r="G129" s="1" t="b">
        <f>COUNTBLANK(Teams[[#This Row],[startDate]:[endDate]]) &lt; 2</f>
        <v>0</v>
      </c>
      <c r="H129" s="1" t="str">
        <f>IF(Teams[[#This Row],[relevant]], COUNTIFS(Fixtures[userTeam], Teams[[#This Row],[name]], Fixtures[APP], TRUE), "")</f>
        <v/>
      </c>
      <c r="I129" s="1" t="str">
        <f>IF(Teams[[#This Row],[relevant]], COUNTIFS(Fixtures[userTeam], Teams[[#This Row],[name]], Fixtures[result], "W", Fixtures[APP], TRUE), "")</f>
        <v/>
      </c>
      <c r="J129" s="1" t="str">
        <f>IF(Teams[[#This Row],[relevant]], COUNTIFS(Fixtures[userTeam], Teams[[#This Row],[name]], Fixtures[result], "D", Fixtures[APP], TRUE), "")</f>
        <v/>
      </c>
      <c r="K129" s="1" t="str">
        <f>IF(Teams[[#This Row],[relevant]], COUNTIFS(Fixtures[userTeam], Teams[[#This Row],[name]], Fixtures[result], "L", Fixtures[APP], TRUE), "")</f>
        <v/>
      </c>
      <c r="L129" s="1" t="str">
        <f>IF(Teams[[#This Row],[relevant]], SUMIFS(Fixtures[G], Fixtures[userTeam], Teams[[#This Row],[name]]), "")</f>
        <v/>
      </c>
      <c r="M129" s="1" t="str">
        <f>IF(Teams[[#This Row],[relevant]], SUMIFS(Fixtures[A], Fixtures[userTeam], Teams[[#This Row],[name]]), "")</f>
        <v/>
      </c>
      <c r="N129" s="1" t="str">
        <f>IF(Teams[[#This Row],[relevant]], SUMIFS(Fixtures[INV], Fixtures[userTeam], Teams[[#This Row],[name]]), "")</f>
        <v/>
      </c>
      <c r="O129" s="1" t="str">
        <f>IF(Teams[[#This Row],[relevant]], SUMIFS(Fixtures[YC], Fixtures[userTeam], Teams[[#This Row],[name]]), "")</f>
        <v/>
      </c>
      <c r="P129" s="1" t="str">
        <f>IF(Teams[[#This Row],[relevant]], SUMIFS(Fixtures[RC], Fixtures[userTeam], Teams[[#This Row],[name]]), "")</f>
        <v/>
      </c>
      <c r="Q129" s="13" t="str">
        <f>IF(Teams[[#This Row],[relevant]], IF(ISERROR(AVERAGEIFS(Fixtures[MR], Fixtures[userTeam], Teams[[#This Row],[name]])), 0, AVERAGEIFS(Fixtures[MR], Fixtures[userTeam], Teams[[#This Row],[name]])), "")</f>
        <v/>
      </c>
      <c r="R129" s="1" t="str">
        <f>IF(Teams[[#This Row],[relevant]], COUNTIFS(Fixtures[userTeam], Teams[[#This Row],[name]], Fixtures[MOTM], TRUE), "")</f>
        <v/>
      </c>
      <c r="S129" s="1" t="str" cm="1">
        <f t="array" ref="S129">IF(Teams[[#This Row],[relevant]], _xlfn.TEXTJOIN(", ", TRUE, _xlfn._xlws.FILTER(Stats[competition]&amp;" ("&amp;Stats[season]&amp;")",(Stats[team]=Teams[[#This Row],[name]])*(Stats[result]="Winner"),"")), "")</f>
        <v/>
      </c>
    </row>
    <row r="130" spans="1:19" ht="13" hidden="1">
      <c r="A130" s="1" t="s">
        <v>528</v>
      </c>
      <c r="B130" s="1" t="s">
        <v>163</v>
      </c>
      <c r="C130" s="1" t="s">
        <v>391</v>
      </c>
      <c r="D130" s="1" t="str">
        <f>UPPER(_xlfn.CONCAT(LEFT(Teams[[#This Row],[teamType]], 1), "-", LEFT(SUBSTITUTE(Teams[[#This Row],[nation]], "/", ""), 3), "-", SUBSTITUTE(SUBSTITUTE(SUBSTITUTE(Teams[[#This Row],[name]], ".", ""), " ", ""), "-", "")))</f>
        <v>C-SPA-CDTENERIFE</v>
      </c>
      <c r="E130" s="16"/>
      <c r="F130" s="16"/>
      <c r="G130" s="1" t="b">
        <f>COUNTBLANK(Teams[[#This Row],[startDate]:[endDate]]) &lt; 2</f>
        <v>0</v>
      </c>
      <c r="H130" s="1" t="str">
        <f>IF(Teams[[#This Row],[relevant]], COUNTIFS(Fixtures[userTeam], Teams[[#This Row],[name]], Fixtures[APP], TRUE), "")</f>
        <v/>
      </c>
      <c r="I130" s="1" t="str">
        <f>IF(Teams[[#This Row],[relevant]], COUNTIFS(Fixtures[userTeam], Teams[[#This Row],[name]], Fixtures[result], "W", Fixtures[APP], TRUE), "")</f>
        <v/>
      </c>
      <c r="J130" s="1" t="str">
        <f>IF(Teams[[#This Row],[relevant]], COUNTIFS(Fixtures[userTeam], Teams[[#This Row],[name]], Fixtures[result], "D", Fixtures[APP], TRUE), "")</f>
        <v/>
      </c>
      <c r="K130" s="1" t="str">
        <f>IF(Teams[[#This Row],[relevant]], COUNTIFS(Fixtures[userTeam], Teams[[#This Row],[name]], Fixtures[result], "L", Fixtures[APP], TRUE), "")</f>
        <v/>
      </c>
      <c r="L130" s="1" t="str">
        <f>IF(Teams[[#This Row],[relevant]], SUMIFS(Fixtures[G], Fixtures[userTeam], Teams[[#This Row],[name]]), "")</f>
        <v/>
      </c>
      <c r="M130" s="1" t="str">
        <f>IF(Teams[[#This Row],[relevant]], SUMIFS(Fixtures[A], Fixtures[userTeam], Teams[[#This Row],[name]]), "")</f>
        <v/>
      </c>
      <c r="N130" s="1" t="str">
        <f>IF(Teams[[#This Row],[relevant]], SUMIFS(Fixtures[INV], Fixtures[userTeam], Teams[[#This Row],[name]]), "")</f>
        <v/>
      </c>
      <c r="O130" s="1" t="str">
        <f>IF(Teams[[#This Row],[relevant]], SUMIFS(Fixtures[YC], Fixtures[userTeam], Teams[[#This Row],[name]]), "")</f>
        <v/>
      </c>
      <c r="P130" s="1" t="str">
        <f>IF(Teams[[#This Row],[relevant]], SUMIFS(Fixtures[RC], Fixtures[userTeam], Teams[[#This Row],[name]]), "")</f>
        <v/>
      </c>
      <c r="Q130" s="13" t="str">
        <f>IF(Teams[[#This Row],[relevant]], IF(ISERROR(AVERAGEIFS(Fixtures[MR], Fixtures[userTeam], Teams[[#This Row],[name]])), 0, AVERAGEIFS(Fixtures[MR], Fixtures[userTeam], Teams[[#This Row],[name]])), "")</f>
        <v/>
      </c>
      <c r="R130" s="1" t="str">
        <f>IF(Teams[[#This Row],[relevant]], COUNTIFS(Fixtures[userTeam], Teams[[#This Row],[name]], Fixtures[MOTM], TRUE), "")</f>
        <v/>
      </c>
      <c r="S130" s="1" t="str" cm="1">
        <f t="array" ref="S130">IF(Teams[[#This Row],[relevant]], _xlfn.TEXTJOIN(", ", TRUE, _xlfn._xlws.FILTER(Stats[competition]&amp;" ("&amp;Stats[season]&amp;")",(Stats[team]=Teams[[#This Row],[name]])*(Stats[result]="Winner"),"")), "")</f>
        <v/>
      </c>
    </row>
    <row r="131" spans="1:19" ht="13" hidden="1">
      <c r="A131" s="1" t="s">
        <v>529</v>
      </c>
      <c r="B131" s="1" t="s">
        <v>451</v>
      </c>
      <c r="C131" s="1" t="s">
        <v>391</v>
      </c>
      <c r="D131" s="1" t="str">
        <f>UPPER(_xlfn.CONCAT(LEFT(Teams[[#This Row],[teamType]], 1), "-", LEFT(SUBSTITUTE(Teams[[#This Row],[nation]], "/", ""), 3), "-", SUBSTITUTE(SUBSTITUTE(SUBSTITUTE(Teams[[#This Row],[name]], ".", ""), " ", ""), "-", "")))</f>
        <v>C-BRA-CEARÁSC</v>
      </c>
      <c r="E131" s="16"/>
      <c r="F131" s="16"/>
      <c r="G131" s="1" t="b">
        <f>COUNTBLANK(Teams[[#This Row],[startDate]:[endDate]]) &lt; 2</f>
        <v>0</v>
      </c>
      <c r="H131" s="1" t="str">
        <f>IF(Teams[[#This Row],[relevant]], COUNTIFS(Fixtures[userTeam], Teams[[#This Row],[name]], Fixtures[APP], TRUE), "")</f>
        <v/>
      </c>
      <c r="I131" s="1" t="str">
        <f>IF(Teams[[#This Row],[relevant]], COUNTIFS(Fixtures[userTeam], Teams[[#This Row],[name]], Fixtures[result], "W", Fixtures[APP], TRUE), "")</f>
        <v/>
      </c>
      <c r="J131" s="1" t="str">
        <f>IF(Teams[[#This Row],[relevant]], COUNTIFS(Fixtures[userTeam], Teams[[#This Row],[name]], Fixtures[result], "D", Fixtures[APP], TRUE), "")</f>
        <v/>
      </c>
      <c r="K131" s="1" t="str">
        <f>IF(Teams[[#This Row],[relevant]], COUNTIFS(Fixtures[userTeam], Teams[[#This Row],[name]], Fixtures[result], "L", Fixtures[APP], TRUE), "")</f>
        <v/>
      </c>
      <c r="L131" s="1" t="str">
        <f>IF(Teams[[#This Row],[relevant]], SUMIFS(Fixtures[G], Fixtures[userTeam], Teams[[#This Row],[name]]), "")</f>
        <v/>
      </c>
      <c r="M131" s="1" t="str">
        <f>IF(Teams[[#This Row],[relevant]], SUMIFS(Fixtures[A], Fixtures[userTeam], Teams[[#This Row],[name]]), "")</f>
        <v/>
      </c>
      <c r="N131" s="1" t="str">
        <f>IF(Teams[[#This Row],[relevant]], SUMIFS(Fixtures[INV], Fixtures[userTeam], Teams[[#This Row],[name]]), "")</f>
        <v/>
      </c>
      <c r="O131" s="1" t="str">
        <f>IF(Teams[[#This Row],[relevant]], SUMIFS(Fixtures[YC], Fixtures[userTeam], Teams[[#This Row],[name]]), "")</f>
        <v/>
      </c>
      <c r="P131" s="1" t="str">
        <f>IF(Teams[[#This Row],[relevant]], SUMIFS(Fixtures[RC], Fixtures[userTeam], Teams[[#This Row],[name]]), "")</f>
        <v/>
      </c>
      <c r="Q131" s="13" t="str">
        <f>IF(Teams[[#This Row],[relevant]], IF(ISERROR(AVERAGEIFS(Fixtures[MR], Fixtures[userTeam], Teams[[#This Row],[name]])), 0, AVERAGEIFS(Fixtures[MR], Fixtures[userTeam], Teams[[#This Row],[name]])), "")</f>
        <v/>
      </c>
      <c r="R131" s="1" t="str">
        <f>IF(Teams[[#This Row],[relevant]], COUNTIFS(Fixtures[userTeam], Teams[[#This Row],[name]], Fixtures[MOTM], TRUE), "")</f>
        <v/>
      </c>
      <c r="S131" s="1" t="str" cm="1">
        <f t="array" ref="S131">IF(Teams[[#This Row],[relevant]], _xlfn.TEXTJOIN(", ", TRUE, _xlfn._xlws.FILTER(Stats[competition]&amp;" ("&amp;Stats[season]&amp;")",(Stats[team]=Teams[[#This Row],[name]])*(Stats[result]="Winner"),"")), "")</f>
        <v/>
      </c>
    </row>
    <row r="132" spans="1:19" ht="13" hidden="1">
      <c r="A132" s="1" t="s">
        <v>530</v>
      </c>
      <c r="B132" s="1" t="s">
        <v>401</v>
      </c>
      <c r="C132" s="1" t="s">
        <v>391</v>
      </c>
      <c r="D132" s="1" t="str">
        <f>UPPER(_xlfn.CONCAT(LEFT(Teams[[#This Row],[teamType]], 1), "-", LEFT(SUBSTITUTE(Teams[[#This Row],[nation]], "/", ""), 3), "-", SUBSTITUTE(SUBSTITUTE(SUBSTITUTE(Teams[[#This Row],[name]], ".", ""), " ", ""), "-", "")))</f>
        <v>C-SCO-CELTIC</v>
      </c>
      <c r="E132" s="16"/>
      <c r="F132" s="16"/>
      <c r="G132" s="1" t="b">
        <f>COUNTBLANK(Teams[[#This Row],[startDate]:[endDate]]) &lt; 2</f>
        <v>0</v>
      </c>
      <c r="H132" s="1" t="str">
        <f>IF(Teams[[#This Row],[relevant]], COUNTIFS(Fixtures[userTeam], Teams[[#This Row],[name]], Fixtures[APP], TRUE), "")</f>
        <v/>
      </c>
      <c r="I132" s="1" t="str">
        <f>IF(Teams[[#This Row],[relevant]], COUNTIFS(Fixtures[userTeam], Teams[[#This Row],[name]], Fixtures[result], "W", Fixtures[APP], TRUE), "")</f>
        <v/>
      </c>
      <c r="J132" s="1" t="str">
        <f>IF(Teams[[#This Row],[relevant]], COUNTIFS(Fixtures[userTeam], Teams[[#This Row],[name]], Fixtures[result], "D", Fixtures[APP], TRUE), "")</f>
        <v/>
      </c>
      <c r="K132" s="1" t="str">
        <f>IF(Teams[[#This Row],[relevant]], COUNTIFS(Fixtures[userTeam], Teams[[#This Row],[name]], Fixtures[result], "L", Fixtures[APP], TRUE), "")</f>
        <v/>
      </c>
      <c r="L132" s="1" t="str">
        <f>IF(Teams[[#This Row],[relevant]], SUMIFS(Fixtures[G], Fixtures[userTeam], Teams[[#This Row],[name]]), "")</f>
        <v/>
      </c>
      <c r="M132" s="1" t="str">
        <f>IF(Teams[[#This Row],[relevant]], SUMIFS(Fixtures[A], Fixtures[userTeam], Teams[[#This Row],[name]]), "")</f>
        <v/>
      </c>
      <c r="N132" s="1" t="str">
        <f>IF(Teams[[#This Row],[relevant]], SUMIFS(Fixtures[INV], Fixtures[userTeam], Teams[[#This Row],[name]]), "")</f>
        <v/>
      </c>
      <c r="O132" s="1" t="str">
        <f>IF(Teams[[#This Row],[relevant]], SUMIFS(Fixtures[YC], Fixtures[userTeam], Teams[[#This Row],[name]]), "")</f>
        <v/>
      </c>
      <c r="P132" s="1" t="str">
        <f>IF(Teams[[#This Row],[relevant]], SUMIFS(Fixtures[RC], Fixtures[userTeam], Teams[[#This Row],[name]]), "")</f>
        <v/>
      </c>
      <c r="Q132" s="13" t="str">
        <f>IF(Teams[[#This Row],[relevant]], IF(ISERROR(AVERAGEIFS(Fixtures[MR], Fixtures[userTeam], Teams[[#This Row],[name]])), 0, AVERAGEIFS(Fixtures[MR], Fixtures[userTeam], Teams[[#This Row],[name]])), "")</f>
        <v/>
      </c>
      <c r="R132" s="1" t="str">
        <f>IF(Teams[[#This Row],[relevant]], COUNTIFS(Fixtures[userTeam], Teams[[#This Row],[name]], Fixtures[MOTM], TRUE), "")</f>
        <v/>
      </c>
      <c r="S132" s="1" t="str" cm="1">
        <f t="array" ref="S132">IF(Teams[[#This Row],[relevant]], _xlfn.TEXTJOIN(", ", TRUE, _xlfn._xlws.FILTER(Stats[competition]&amp;" ("&amp;Stats[season]&amp;")",(Stats[team]=Teams[[#This Row],[name]])*(Stats[result]="Winner"),"")), "")</f>
        <v/>
      </c>
    </row>
    <row r="133" spans="1:19" ht="13" hidden="1">
      <c r="A133" s="1" t="s">
        <v>531</v>
      </c>
      <c r="B133" s="1" t="s">
        <v>410</v>
      </c>
      <c r="C133" s="1" t="s">
        <v>391</v>
      </c>
      <c r="D133" s="1" t="str">
        <f>UPPER(_xlfn.CONCAT(LEFT(Teams[[#This Row],[teamType]], 1), "-", LEFT(SUBSTITUTE(Teams[[#This Row],[nation]], "/", ""), 3), "-", SUBSTITUTE(SUBSTITUTE(SUBSTITUTE(Teams[[#This Row],[name]], ".", ""), " ", ""), "-", "")))</f>
        <v>C-AUS-CENTRALCOAST</v>
      </c>
      <c r="E133" s="16"/>
      <c r="F133" s="16"/>
      <c r="G133" s="1" t="b">
        <f>COUNTBLANK(Teams[[#This Row],[startDate]:[endDate]]) &lt; 2</f>
        <v>0</v>
      </c>
      <c r="H133" s="1" t="str">
        <f>IF(Teams[[#This Row],[relevant]], COUNTIFS(Fixtures[userTeam], Teams[[#This Row],[name]], Fixtures[APP], TRUE), "")</f>
        <v/>
      </c>
      <c r="I133" s="1" t="str">
        <f>IF(Teams[[#This Row],[relevant]], COUNTIFS(Fixtures[userTeam], Teams[[#This Row],[name]], Fixtures[result], "W", Fixtures[APP], TRUE), "")</f>
        <v/>
      </c>
      <c r="J133" s="1" t="str">
        <f>IF(Teams[[#This Row],[relevant]], COUNTIFS(Fixtures[userTeam], Teams[[#This Row],[name]], Fixtures[result], "D", Fixtures[APP], TRUE), "")</f>
        <v/>
      </c>
      <c r="K133" s="1" t="str">
        <f>IF(Teams[[#This Row],[relevant]], COUNTIFS(Fixtures[userTeam], Teams[[#This Row],[name]], Fixtures[result], "L", Fixtures[APP], TRUE), "")</f>
        <v/>
      </c>
      <c r="L133" s="1" t="str">
        <f>IF(Teams[[#This Row],[relevant]], SUMIFS(Fixtures[G], Fixtures[userTeam], Teams[[#This Row],[name]]), "")</f>
        <v/>
      </c>
      <c r="M133" s="1" t="str">
        <f>IF(Teams[[#This Row],[relevant]], SUMIFS(Fixtures[A], Fixtures[userTeam], Teams[[#This Row],[name]]), "")</f>
        <v/>
      </c>
      <c r="N133" s="1" t="str">
        <f>IF(Teams[[#This Row],[relevant]], SUMIFS(Fixtures[INV], Fixtures[userTeam], Teams[[#This Row],[name]]), "")</f>
        <v/>
      </c>
      <c r="O133" s="1" t="str">
        <f>IF(Teams[[#This Row],[relevant]], SUMIFS(Fixtures[YC], Fixtures[userTeam], Teams[[#This Row],[name]]), "")</f>
        <v/>
      </c>
      <c r="P133" s="1" t="str">
        <f>IF(Teams[[#This Row],[relevant]], SUMIFS(Fixtures[RC], Fixtures[userTeam], Teams[[#This Row],[name]]), "")</f>
        <v/>
      </c>
      <c r="Q133" s="13" t="str">
        <f>IF(Teams[[#This Row],[relevant]], IF(ISERROR(AVERAGEIFS(Fixtures[MR], Fixtures[userTeam], Teams[[#This Row],[name]])), 0, AVERAGEIFS(Fixtures[MR], Fixtures[userTeam], Teams[[#This Row],[name]])), "")</f>
        <v/>
      </c>
      <c r="R133" s="1" t="str">
        <f>IF(Teams[[#This Row],[relevant]], COUNTIFS(Fixtures[userTeam], Teams[[#This Row],[name]], Fixtures[MOTM], TRUE), "")</f>
        <v/>
      </c>
      <c r="S133" s="1" t="str" cm="1">
        <f t="array" ref="S133">IF(Teams[[#This Row],[relevant]], _xlfn.TEXTJOIN(", ", TRUE, _xlfn._xlws.FILTER(Stats[competition]&amp;" ("&amp;Stats[season]&amp;")",(Stats[team]=Teams[[#This Row],[name]])*(Stats[result]="Winner"),"")), "")</f>
        <v/>
      </c>
    </row>
    <row r="134" spans="1:19" ht="13" hidden="1">
      <c r="A134" s="1" t="s">
        <v>532</v>
      </c>
      <c r="B134" s="1" t="s">
        <v>131</v>
      </c>
      <c r="C134" s="1" t="s">
        <v>391</v>
      </c>
      <c r="D134" s="1" t="str">
        <f>UPPER(_xlfn.CONCAT(LEFT(Teams[[#This Row],[teamType]], 1), "-", LEFT(SUBSTITUTE(Teams[[#This Row],[nation]], "/", ""), 3), "-", SUBSTITUTE(SUBSTITUTE(SUBSTITUTE(Teams[[#This Row],[name]], ".", ""), " ", ""), "-", "")))</f>
        <v>C-ARG-CENTRALCÓRDOBA</v>
      </c>
      <c r="E134" s="16"/>
      <c r="F134" s="16"/>
      <c r="G134" s="1" t="b">
        <f>COUNTBLANK(Teams[[#This Row],[startDate]:[endDate]]) &lt; 2</f>
        <v>0</v>
      </c>
      <c r="H134" s="1" t="str">
        <f>IF(Teams[[#This Row],[relevant]], COUNTIFS(Fixtures[userTeam], Teams[[#This Row],[name]], Fixtures[APP], TRUE), "")</f>
        <v/>
      </c>
      <c r="I134" s="1" t="str">
        <f>IF(Teams[[#This Row],[relevant]], COUNTIFS(Fixtures[userTeam], Teams[[#This Row],[name]], Fixtures[result], "W", Fixtures[APP], TRUE), "")</f>
        <v/>
      </c>
      <c r="J134" s="1" t="str">
        <f>IF(Teams[[#This Row],[relevant]], COUNTIFS(Fixtures[userTeam], Teams[[#This Row],[name]], Fixtures[result], "D", Fixtures[APP], TRUE), "")</f>
        <v/>
      </c>
      <c r="K134" s="1" t="str">
        <f>IF(Teams[[#This Row],[relevant]], COUNTIFS(Fixtures[userTeam], Teams[[#This Row],[name]], Fixtures[result], "L", Fixtures[APP], TRUE), "")</f>
        <v/>
      </c>
      <c r="L134" s="1" t="str">
        <f>IF(Teams[[#This Row],[relevant]], SUMIFS(Fixtures[G], Fixtures[userTeam], Teams[[#This Row],[name]]), "")</f>
        <v/>
      </c>
      <c r="M134" s="1" t="str">
        <f>IF(Teams[[#This Row],[relevant]], SUMIFS(Fixtures[A], Fixtures[userTeam], Teams[[#This Row],[name]]), "")</f>
        <v/>
      </c>
      <c r="N134" s="1" t="str">
        <f>IF(Teams[[#This Row],[relevant]], SUMIFS(Fixtures[INV], Fixtures[userTeam], Teams[[#This Row],[name]]), "")</f>
        <v/>
      </c>
      <c r="O134" s="1" t="str">
        <f>IF(Teams[[#This Row],[relevant]], SUMIFS(Fixtures[YC], Fixtures[userTeam], Teams[[#This Row],[name]]), "")</f>
        <v/>
      </c>
      <c r="P134" s="1" t="str">
        <f>IF(Teams[[#This Row],[relevant]], SUMIFS(Fixtures[RC], Fixtures[userTeam], Teams[[#This Row],[name]]), "")</f>
        <v/>
      </c>
      <c r="Q134" s="13" t="str">
        <f>IF(Teams[[#This Row],[relevant]], IF(ISERROR(AVERAGEIFS(Fixtures[MR], Fixtures[userTeam], Teams[[#This Row],[name]])), 0, AVERAGEIFS(Fixtures[MR], Fixtures[userTeam], Teams[[#This Row],[name]])), "")</f>
        <v/>
      </c>
      <c r="R134" s="1" t="str">
        <f>IF(Teams[[#This Row],[relevant]], COUNTIFS(Fixtures[userTeam], Teams[[#This Row],[name]], Fixtures[MOTM], TRUE), "")</f>
        <v/>
      </c>
      <c r="S134" s="1" t="str" cm="1">
        <f t="array" ref="S134">IF(Teams[[#This Row],[relevant]], _xlfn.TEXTJOIN(", ", TRUE, _xlfn._xlws.FILTER(Stats[competition]&amp;" ("&amp;Stats[season]&amp;")",(Stats[team]=Teams[[#This Row],[name]])*(Stats[result]="Winner"),"")), "")</f>
        <v/>
      </c>
    </row>
    <row r="135" spans="1:19" ht="13" hidden="1">
      <c r="A135" s="1" t="s">
        <v>136</v>
      </c>
      <c r="B135" s="1" t="s">
        <v>144</v>
      </c>
      <c r="C135" s="1" t="s">
        <v>391</v>
      </c>
      <c r="D135" s="1" t="str">
        <f>UPPER(_xlfn.CONCAT(LEFT(Teams[[#This Row],[teamType]], 1), "-", LEFT(SUBSTITUTE(Teams[[#This Row],[nation]], "/", ""), 3), "-", SUBSTITUTE(SUBSTITUTE(SUBSTITUTE(Teams[[#This Row],[name]], ".", ""), " ", ""), "-", "")))</f>
        <v>C-BEL-CERCLEBRUGGE</v>
      </c>
      <c r="E135" s="16"/>
      <c r="F135" s="16"/>
      <c r="G135" s="1" t="b">
        <f>COUNTBLANK(Teams[[#This Row],[startDate]:[endDate]]) &lt; 2</f>
        <v>0</v>
      </c>
      <c r="H135" s="1" t="str">
        <f>IF(Teams[[#This Row],[relevant]], COUNTIFS(Fixtures[userTeam], Teams[[#This Row],[name]], Fixtures[APP], TRUE), "")</f>
        <v/>
      </c>
      <c r="I135" s="1" t="str">
        <f>IF(Teams[[#This Row],[relevant]], COUNTIFS(Fixtures[userTeam], Teams[[#This Row],[name]], Fixtures[result], "W", Fixtures[APP], TRUE), "")</f>
        <v/>
      </c>
      <c r="J135" s="1" t="str">
        <f>IF(Teams[[#This Row],[relevant]], COUNTIFS(Fixtures[userTeam], Teams[[#This Row],[name]], Fixtures[result], "D", Fixtures[APP], TRUE), "")</f>
        <v/>
      </c>
      <c r="K135" s="1" t="str">
        <f>IF(Teams[[#This Row],[relevant]], COUNTIFS(Fixtures[userTeam], Teams[[#This Row],[name]], Fixtures[result], "L", Fixtures[APP], TRUE), "")</f>
        <v/>
      </c>
      <c r="L135" s="1" t="str">
        <f>IF(Teams[[#This Row],[relevant]], SUMIFS(Fixtures[G], Fixtures[userTeam], Teams[[#This Row],[name]]), "")</f>
        <v/>
      </c>
      <c r="M135" s="1" t="str">
        <f>IF(Teams[[#This Row],[relevant]], SUMIFS(Fixtures[A], Fixtures[userTeam], Teams[[#This Row],[name]]), "")</f>
        <v/>
      </c>
      <c r="N135" s="1" t="str">
        <f>IF(Teams[[#This Row],[relevant]], SUMIFS(Fixtures[INV], Fixtures[userTeam], Teams[[#This Row],[name]]), "")</f>
        <v/>
      </c>
      <c r="O135" s="1" t="str">
        <f>IF(Teams[[#This Row],[relevant]], SUMIFS(Fixtures[YC], Fixtures[userTeam], Teams[[#This Row],[name]]), "")</f>
        <v/>
      </c>
      <c r="P135" s="1" t="str">
        <f>IF(Teams[[#This Row],[relevant]], SUMIFS(Fixtures[RC], Fixtures[userTeam], Teams[[#This Row],[name]]), "")</f>
        <v/>
      </c>
      <c r="Q135" s="13" t="str">
        <f>IF(Teams[[#This Row],[relevant]], IF(ISERROR(AVERAGEIFS(Fixtures[MR], Fixtures[userTeam], Teams[[#This Row],[name]])), 0, AVERAGEIFS(Fixtures[MR], Fixtures[userTeam], Teams[[#This Row],[name]])), "")</f>
        <v/>
      </c>
      <c r="R135" s="1" t="str">
        <f>IF(Teams[[#This Row],[relevant]], COUNTIFS(Fixtures[userTeam], Teams[[#This Row],[name]], Fixtures[MOTM], TRUE), "")</f>
        <v/>
      </c>
      <c r="S135" s="1" t="str" cm="1">
        <f t="array" ref="S135">IF(Teams[[#This Row],[relevant]], _xlfn.TEXTJOIN(", ", TRUE, _xlfn._xlws.FILTER(Stats[competition]&amp;" ("&amp;Stats[season]&amp;")",(Stats[team]=Teams[[#This Row],[name]])*(Stats[result]="Winner"),"")), "")</f>
        <v/>
      </c>
    </row>
    <row r="136" spans="1:19" ht="13" hidden="1">
      <c r="A136" s="1" t="s">
        <v>533</v>
      </c>
      <c r="B136" s="1" t="s">
        <v>534</v>
      </c>
      <c r="C136" s="1" t="s">
        <v>391</v>
      </c>
      <c r="D136" s="1" t="str">
        <f>UPPER(_xlfn.CONCAT(LEFT(Teams[[#This Row],[teamType]], 1), "-", LEFT(SUBSTITUTE(Teams[[#This Row],[nation]], "/", ""), 3), "-", SUBSTITUTE(SUBSTITUTE(SUBSTITUTE(Teams[[#This Row],[name]], ".", ""), " ", ""), "-", "")))</f>
        <v>C-URU-CERROLARGO</v>
      </c>
      <c r="E136" s="16"/>
      <c r="F136" s="16"/>
      <c r="G136" s="1" t="b">
        <f>COUNTBLANK(Teams[[#This Row],[startDate]:[endDate]]) &lt; 2</f>
        <v>0</v>
      </c>
      <c r="H136" s="1" t="str">
        <f>IF(Teams[[#This Row],[relevant]], COUNTIFS(Fixtures[userTeam], Teams[[#This Row],[name]], Fixtures[APP], TRUE), "")</f>
        <v/>
      </c>
      <c r="I136" s="1" t="str">
        <f>IF(Teams[[#This Row],[relevant]], COUNTIFS(Fixtures[userTeam], Teams[[#This Row],[name]], Fixtures[result], "W", Fixtures[APP], TRUE), "")</f>
        <v/>
      </c>
      <c r="J136" s="1" t="str">
        <f>IF(Teams[[#This Row],[relevant]], COUNTIFS(Fixtures[userTeam], Teams[[#This Row],[name]], Fixtures[result], "D", Fixtures[APP], TRUE), "")</f>
        <v/>
      </c>
      <c r="K136" s="1" t="str">
        <f>IF(Teams[[#This Row],[relevant]], COUNTIFS(Fixtures[userTeam], Teams[[#This Row],[name]], Fixtures[result], "L", Fixtures[APP], TRUE), "")</f>
        <v/>
      </c>
      <c r="L136" s="1" t="str">
        <f>IF(Teams[[#This Row],[relevant]], SUMIFS(Fixtures[G], Fixtures[userTeam], Teams[[#This Row],[name]]), "")</f>
        <v/>
      </c>
      <c r="M136" s="1" t="str">
        <f>IF(Teams[[#This Row],[relevant]], SUMIFS(Fixtures[A], Fixtures[userTeam], Teams[[#This Row],[name]]), "")</f>
        <v/>
      </c>
      <c r="N136" s="1" t="str">
        <f>IF(Teams[[#This Row],[relevant]], SUMIFS(Fixtures[INV], Fixtures[userTeam], Teams[[#This Row],[name]]), "")</f>
        <v/>
      </c>
      <c r="O136" s="1" t="str">
        <f>IF(Teams[[#This Row],[relevant]], SUMIFS(Fixtures[YC], Fixtures[userTeam], Teams[[#This Row],[name]]), "")</f>
        <v/>
      </c>
      <c r="P136" s="1" t="str">
        <f>IF(Teams[[#This Row],[relevant]], SUMIFS(Fixtures[RC], Fixtures[userTeam], Teams[[#This Row],[name]]), "")</f>
        <v/>
      </c>
      <c r="Q136" s="13" t="str">
        <f>IF(Teams[[#This Row],[relevant]], IF(ISERROR(AVERAGEIFS(Fixtures[MR], Fixtures[userTeam], Teams[[#This Row],[name]])), 0, AVERAGEIFS(Fixtures[MR], Fixtures[userTeam], Teams[[#This Row],[name]])), "")</f>
        <v/>
      </c>
      <c r="R136" s="1" t="str">
        <f>IF(Teams[[#This Row],[relevant]], COUNTIFS(Fixtures[userTeam], Teams[[#This Row],[name]], Fixtures[MOTM], TRUE), "")</f>
        <v/>
      </c>
      <c r="S136" s="1" t="str" cm="1">
        <f t="array" ref="S136">IF(Teams[[#This Row],[relevant]], _xlfn.TEXTJOIN(", ", TRUE, _xlfn._xlws.FILTER(Stats[competition]&amp;" ("&amp;Stats[season]&amp;")",(Stats[team]=Teams[[#This Row],[name]])*(Stats[result]="Winner"),"")), "")</f>
        <v/>
      </c>
    </row>
    <row r="137" spans="1:19" ht="13" hidden="1">
      <c r="A137" s="1" t="s">
        <v>535</v>
      </c>
      <c r="B137" s="1" t="s">
        <v>536</v>
      </c>
      <c r="C137" s="1" t="s">
        <v>391</v>
      </c>
      <c r="D137" s="1" t="str">
        <f>UPPER(_xlfn.CONCAT(LEFT(Teams[[#This Row],[teamType]], 1), "-", LEFT(SUBSTITUTE(Teams[[#This Row],[nation]], "/", ""), 3), "-", SUBSTITUTE(SUBSTITUTE(SUBSTITUTE(Teams[[#This Row],[name]], ".", ""), " ", ""), "-", "")))</f>
        <v>C-PAR-CERROPORTEÑO</v>
      </c>
      <c r="E137" s="16"/>
      <c r="F137" s="16"/>
      <c r="G137" s="1" t="b">
        <f>COUNTBLANK(Teams[[#This Row],[startDate]:[endDate]]) &lt; 2</f>
        <v>0</v>
      </c>
      <c r="H137" s="1" t="str">
        <f>IF(Teams[[#This Row],[relevant]], COUNTIFS(Fixtures[userTeam], Teams[[#This Row],[name]], Fixtures[APP], TRUE), "")</f>
        <v/>
      </c>
      <c r="I137" s="1" t="str">
        <f>IF(Teams[[#This Row],[relevant]], COUNTIFS(Fixtures[userTeam], Teams[[#This Row],[name]], Fixtures[result], "W", Fixtures[APP], TRUE), "")</f>
        <v/>
      </c>
      <c r="J137" s="1" t="str">
        <f>IF(Teams[[#This Row],[relevant]], COUNTIFS(Fixtures[userTeam], Teams[[#This Row],[name]], Fixtures[result], "D", Fixtures[APP], TRUE), "")</f>
        <v/>
      </c>
      <c r="K137" s="1" t="str">
        <f>IF(Teams[[#This Row],[relevant]], COUNTIFS(Fixtures[userTeam], Teams[[#This Row],[name]], Fixtures[result], "L", Fixtures[APP], TRUE), "")</f>
        <v/>
      </c>
      <c r="L137" s="1" t="str">
        <f>IF(Teams[[#This Row],[relevant]], SUMIFS(Fixtures[G], Fixtures[userTeam], Teams[[#This Row],[name]]), "")</f>
        <v/>
      </c>
      <c r="M137" s="1" t="str">
        <f>IF(Teams[[#This Row],[relevant]], SUMIFS(Fixtures[A], Fixtures[userTeam], Teams[[#This Row],[name]]), "")</f>
        <v/>
      </c>
      <c r="N137" s="1" t="str">
        <f>IF(Teams[[#This Row],[relevant]], SUMIFS(Fixtures[INV], Fixtures[userTeam], Teams[[#This Row],[name]]), "")</f>
        <v/>
      </c>
      <c r="O137" s="1" t="str">
        <f>IF(Teams[[#This Row],[relevant]], SUMIFS(Fixtures[YC], Fixtures[userTeam], Teams[[#This Row],[name]]), "")</f>
        <v/>
      </c>
      <c r="P137" s="1" t="str">
        <f>IF(Teams[[#This Row],[relevant]], SUMIFS(Fixtures[RC], Fixtures[userTeam], Teams[[#This Row],[name]]), "")</f>
        <v/>
      </c>
      <c r="Q137" s="13" t="str">
        <f>IF(Teams[[#This Row],[relevant]], IF(ISERROR(AVERAGEIFS(Fixtures[MR], Fixtures[userTeam], Teams[[#This Row],[name]])), 0, AVERAGEIFS(Fixtures[MR], Fixtures[userTeam], Teams[[#This Row],[name]])), "")</f>
        <v/>
      </c>
      <c r="R137" s="1" t="str">
        <f>IF(Teams[[#This Row],[relevant]], COUNTIFS(Fixtures[userTeam], Teams[[#This Row],[name]], Fixtures[MOTM], TRUE), "")</f>
        <v/>
      </c>
      <c r="S137" s="1" t="str" cm="1">
        <f t="array" ref="S137">IF(Teams[[#This Row],[relevant]], _xlfn.TEXTJOIN(", ", TRUE, _xlfn._xlws.FILTER(Stats[competition]&amp;" ("&amp;Stats[season]&amp;")",(Stats[team]=Teams[[#This Row],[name]])*(Stats[result]="Winner"),"")), "")</f>
        <v/>
      </c>
    </row>
    <row r="138" spans="1:19" ht="13" hidden="1">
      <c r="A138" s="1" t="s">
        <v>537</v>
      </c>
      <c r="B138" s="1" t="s">
        <v>519</v>
      </c>
      <c r="C138" s="1" t="s">
        <v>391</v>
      </c>
      <c r="D138" s="1" t="str">
        <f>UPPER(_xlfn.CONCAT(LEFT(Teams[[#This Row],[teamType]], 1), "-", LEFT(SUBSTITUTE(Teams[[#This Row],[nation]], "/", ""), 3), "-", SUBSTITUTE(SUBSTITUTE(SUBSTITUTE(Teams[[#This Row],[name]], ".", ""), " ", ""), "-", "")))</f>
        <v>C-CAN-CFMONTRÉAL</v>
      </c>
      <c r="E138" s="16"/>
      <c r="F138" s="16"/>
      <c r="G138" s="1" t="b">
        <f>COUNTBLANK(Teams[[#This Row],[startDate]:[endDate]]) &lt; 2</f>
        <v>0</v>
      </c>
      <c r="H138" s="1" t="str">
        <f>IF(Teams[[#This Row],[relevant]], COUNTIFS(Fixtures[userTeam], Teams[[#This Row],[name]], Fixtures[APP], TRUE), "")</f>
        <v/>
      </c>
      <c r="I138" s="1" t="str">
        <f>IF(Teams[[#This Row],[relevant]], COUNTIFS(Fixtures[userTeam], Teams[[#This Row],[name]], Fixtures[result], "W", Fixtures[APP], TRUE), "")</f>
        <v/>
      </c>
      <c r="J138" s="1" t="str">
        <f>IF(Teams[[#This Row],[relevant]], COUNTIFS(Fixtures[userTeam], Teams[[#This Row],[name]], Fixtures[result], "D", Fixtures[APP], TRUE), "")</f>
        <v/>
      </c>
      <c r="K138" s="1" t="str">
        <f>IF(Teams[[#This Row],[relevant]], COUNTIFS(Fixtures[userTeam], Teams[[#This Row],[name]], Fixtures[result], "L", Fixtures[APP], TRUE), "")</f>
        <v/>
      </c>
      <c r="L138" s="1" t="str">
        <f>IF(Teams[[#This Row],[relevant]], SUMIFS(Fixtures[G], Fixtures[userTeam], Teams[[#This Row],[name]]), "")</f>
        <v/>
      </c>
      <c r="M138" s="1" t="str">
        <f>IF(Teams[[#This Row],[relevant]], SUMIFS(Fixtures[A], Fixtures[userTeam], Teams[[#This Row],[name]]), "")</f>
        <v/>
      </c>
      <c r="N138" s="1" t="str">
        <f>IF(Teams[[#This Row],[relevant]], SUMIFS(Fixtures[INV], Fixtures[userTeam], Teams[[#This Row],[name]]), "")</f>
        <v/>
      </c>
      <c r="O138" s="1" t="str">
        <f>IF(Teams[[#This Row],[relevant]], SUMIFS(Fixtures[YC], Fixtures[userTeam], Teams[[#This Row],[name]]), "")</f>
        <v/>
      </c>
      <c r="P138" s="1" t="str">
        <f>IF(Teams[[#This Row],[relevant]], SUMIFS(Fixtures[RC], Fixtures[userTeam], Teams[[#This Row],[name]]), "")</f>
        <v/>
      </c>
      <c r="Q138" s="13" t="str">
        <f>IF(Teams[[#This Row],[relevant]], IF(ISERROR(AVERAGEIFS(Fixtures[MR], Fixtures[userTeam], Teams[[#This Row],[name]])), 0, AVERAGEIFS(Fixtures[MR], Fixtures[userTeam], Teams[[#This Row],[name]])), "")</f>
        <v/>
      </c>
      <c r="R138" s="1" t="str">
        <f>IF(Teams[[#This Row],[relevant]], COUNTIFS(Fixtures[userTeam], Teams[[#This Row],[name]], Fixtures[MOTM], TRUE), "")</f>
        <v/>
      </c>
      <c r="S138" s="1" t="str" cm="1">
        <f t="array" ref="S138">IF(Teams[[#This Row],[relevant]], _xlfn.TEXTJOIN(", ", TRUE, _xlfn._xlws.FILTER(Stats[competition]&amp;" ("&amp;Stats[season]&amp;")",(Stats[team]=Teams[[#This Row],[name]])*(Stats[result]="Winner"),"")), "")</f>
        <v/>
      </c>
    </row>
    <row r="139" spans="1:19" ht="13" hidden="1">
      <c r="A139" s="1" t="s">
        <v>538</v>
      </c>
      <c r="B139" s="1" t="s">
        <v>419</v>
      </c>
      <c r="C139" s="1" t="s">
        <v>391</v>
      </c>
      <c r="D139" s="1" t="str">
        <f>UPPER(_xlfn.CONCAT(LEFT(Teams[[#This Row],[teamType]], 1), "-", LEFT(SUBSTITUTE(Teams[[#This Row],[nation]], "/", ""), 3), "-", SUBSTITUTE(SUBSTITUTE(SUBSTITUTE(Teams[[#This Row],[name]], ".", ""), " ", ""), "-", "")))</f>
        <v>C-ROM-CFR1907CLUJ</v>
      </c>
      <c r="E139" s="16"/>
      <c r="F139" s="16"/>
      <c r="G139" s="1" t="b">
        <f>COUNTBLANK(Teams[[#This Row],[startDate]:[endDate]]) &lt; 2</f>
        <v>0</v>
      </c>
      <c r="H139" s="1" t="str">
        <f>IF(Teams[[#This Row],[relevant]], COUNTIFS(Fixtures[userTeam], Teams[[#This Row],[name]], Fixtures[APP], TRUE), "")</f>
        <v/>
      </c>
      <c r="I139" s="1" t="str">
        <f>IF(Teams[[#This Row],[relevant]], COUNTIFS(Fixtures[userTeam], Teams[[#This Row],[name]], Fixtures[result], "W", Fixtures[APP], TRUE), "")</f>
        <v/>
      </c>
      <c r="J139" s="1" t="str">
        <f>IF(Teams[[#This Row],[relevant]], COUNTIFS(Fixtures[userTeam], Teams[[#This Row],[name]], Fixtures[result], "D", Fixtures[APP], TRUE), "")</f>
        <v/>
      </c>
      <c r="K139" s="1" t="str">
        <f>IF(Teams[[#This Row],[relevant]], COUNTIFS(Fixtures[userTeam], Teams[[#This Row],[name]], Fixtures[result], "L", Fixtures[APP], TRUE), "")</f>
        <v/>
      </c>
      <c r="L139" s="1" t="str">
        <f>IF(Teams[[#This Row],[relevant]], SUMIFS(Fixtures[G], Fixtures[userTeam], Teams[[#This Row],[name]]), "")</f>
        <v/>
      </c>
      <c r="M139" s="1" t="str">
        <f>IF(Teams[[#This Row],[relevant]], SUMIFS(Fixtures[A], Fixtures[userTeam], Teams[[#This Row],[name]]), "")</f>
        <v/>
      </c>
      <c r="N139" s="1" t="str">
        <f>IF(Teams[[#This Row],[relevant]], SUMIFS(Fixtures[INV], Fixtures[userTeam], Teams[[#This Row],[name]]), "")</f>
        <v/>
      </c>
      <c r="O139" s="1" t="str">
        <f>IF(Teams[[#This Row],[relevant]], SUMIFS(Fixtures[YC], Fixtures[userTeam], Teams[[#This Row],[name]]), "")</f>
        <v/>
      </c>
      <c r="P139" s="1" t="str">
        <f>IF(Teams[[#This Row],[relevant]], SUMIFS(Fixtures[RC], Fixtures[userTeam], Teams[[#This Row],[name]]), "")</f>
        <v/>
      </c>
      <c r="Q139" s="13" t="str">
        <f>IF(Teams[[#This Row],[relevant]], IF(ISERROR(AVERAGEIFS(Fixtures[MR], Fixtures[userTeam], Teams[[#This Row],[name]])), 0, AVERAGEIFS(Fixtures[MR], Fixtures[userTeam], Teams[[#This Row],[name]])), "")</f>
        <v/>
      </c>
      <c r="R139" s="1" t="str">
        <f>IF(Teams[[#This Row],[relevant]], COUNTIFS(Fixtures[userTeam], Teams[[#This Row],[name]], Fixtures[MOTM], TRUE), "")</f>
        <v/>
      </c>
      <c r="S139" s="1" t="str" cm="1">
        <f t="array" ref="S139">IF(Teams[[#This Row],[relevant]], _xlfn.TEXTJOIN(", ", TRUE, _xlfn._xlws.FILTER(Stats[competition]&amp;" ("&amp;Stats[season]&amp;")",(Stats[team]=Teams[[#This Row],[name]])*(Stats[result]="Winner"),"")), "")</f>
        <v/>
      </c>
    </row>
    <row r="140" spans="1:19" ht="13" hidden="1">
      <c r="A140" s="1" t="s">
        <v>539</v>
      </c>
      <c r="B140" s="1" t="s">
        <v>493</v>
      </c>
      <c r="C140" s="1" t="s">
        <v>391</v>
      </c>
      <c r="D140" s="1" t="str">
        <f>UPPER(_xlfn.CONCAT(LEFT(Teams[[#This Row],[teamType]], 1), "-", LEFT(SUBSTITUTE(Teams[[#This Row],[nation]], "/", ""), 3), "-", SUBSTITUTE(SUBSTITUTE(SUBSTITUTE(Teams[[#This Row],[name]], ".", ""), " ", ""), "-", "")))</f>
        <v>C-CHI-CHANGCHUNYATAI</v>
      </c>
      <c r="E140" s="16"/>
      <c r="F140" s="16"/>
      <c r="G140" s="1" t="b">
        <f>COUNTBLANK(Teams[[#This Row],[startDate]:[endDate]]) &lt; 2</f>
        <v>0</v>
      </c>
      <c r="H140" s="1" t="str">
        <f>IF(Teams[[#This Row],[relevant]], COUNTIFS(Fixtures[userTeam], Teams[[#This Row],[name]], Fixtures[APP], TRUE), "")</f>
        <v/>
      </c>
      <c r="I140" s="1" t="str">
        <f>IF(Teams[[#This Row],[relevant]], COUNTIFS(Fixtures[userTeam], Teams[[#This Row],[name]], Fixtures[result], "W", Fixtures[APP], TRUE), "")</f>
        <v/>
      </c>
      <c r="J140" s="1" t="str">
        <f>IF(Teams[[#This Row],[relevant]], COUNTIFS(Fixtures[userTeam], Teams[[#This Row],[name]], Fixtures[result], "D", Fixtures[APP], TRUE), "")</f>
        <v/>
      </c>
      <c r="K140" s="1" t="str">
        <f>IF(Teams[[#This Row],[relevant]], COUNTIFS(Fixtures[userTeam], Teams[[#This Row],[name]], Fixtures[result], "L", Fixtures[APP], TRUE), "")</f>
        <v/>
      </c>
      <c r="L140" s="1" t="str">
        <f>IF(Teams[[#This Row],[relevant]], SUMIFS(Fixtures[G], Fixtures[userTeam], Teams[[#This Row],[name]]), "")</f>
        <v/>
      </c>
      <c r="M140" s="1" t="str">
        <f>IF(Teams[[#This Row],[relevant]], SUMIFS(Fixtures[A], Fixtures[userTeam], Teams[[#This Row],[name]]), "")</f>
        <v/>
      </c>
      <c r="N140" s="1" t="str">
        <f>IF(Teams[[#This Row],[relevant]], SUMIFS(Fixtures[INV], Fixtures[userTeam], Teams[[#This Row],[name]]), "")</f>
        <v/>
      </c>
      <c r="O140" s="1" t="str">
        <f>IF(Teams[[#This Row],[relevant]], SUMIFS(Fixtures[YC], Fixtures[userTeam], Teams[[#This Row],[name]]), "")</f>
        <v/>
      </c>
      <c r="P140" s="1" t="str">
        <f>IF(Teams[[#This Row],[relevant]], SUMIFS(Fixtures[RC], Fixtures[userTeam], Teams[[#This Row],[name]]), "")</f>
        <v/>
      </c>
      <c r="Q140" s="13" t="str">
        <f>IF(Teams[[#This Row],[relevant]], IF(ISERROR(AVERAGEIFS(Fixtures[MR], Fixtures[userTeam], Teams[[#This Row],[name]])), 0, AVERAGEIFS(Fixtures[MR], Fixtures[userTeam], Teams[[#This Row],[name]])), "")</f>
        <v/>
      </c>
      <c r="R140" s="1" t="str">
        <f>IF(Teams[[#This Row],[relevant]], COUNTIFS(Fixtures[userTeam], Teams[[#This Row],[name]], Fixtures[MOTM], TRUE), "")</f>
        <v/>
      </c>
      <c r="S140" s="1" t="str" cm="1">
        <f t="array" ref="S140">IF(Teams[[#This Row],[relevant]], _xlfn.TEXTJOIN(", ", TRUE, _xlfn._xlws.FILTER(Stats[competition]&amp;" ("&amp;Stats[season]&amp;")",(Stats[team]=Teams[[#This Row],[name]])*(Stats[result]="Winner"),"")), "")</f>
        <v/>
      </c>
    </row>
    <row r="141" spans="1:19" ht="13" hidden="1">
      <c r="A141" s="1" t="s">
        <v>540</v>
      </c>
      <c r="B141" s="1" t="s">
        <v>16</v>
      </c>
      <c r="C141" s="1" t="s">
        <v>391</v>
      </c>
      <c r="D141" s="1" t="str">
        <f>UPPER(_xlfn.CONCAT(LEFT(Teams[[#This Row],[teamType]], 1), "-", LEFT(SUBSTITUTE(Teams[[#This Row],[nation]], "/", ""), 3), "-", SUBSTITUTE(SUBSTITUTE(SUBSTITUTE(Teams[[#This Row],[name]], ".", ""), " ", ""), "-", "")))</f>
        <v>C-UNI-CHARLOTTEFC</v>
      </c>
      <c r="E141" s="16"/>
      <c r="F141" s="16"/>
      <c r="G141" s="1" t="b">
        <f>COUNTBLANK(Teams[[#This Row],[startDate]:[endDate]]) &lt; 2</f>
        <v>0</v>
      </c>
      <c r="H141" s="1" t="str">
        <f>IF(Teams[[#This Row],[relevant]], COUNTIFS(Fixtures[userTeam], Teams[[#This Row],[name]], Fixtures[APP], TRUE), "")</f>
        <v/>
      </c>
      <c r="I141" s="1" t="str">
        <f>IF(Teams[[#This Row],[relevant]], COUNTIFS(Fixtures[userTeam], Teams[[#This Row],[name]], Fixtures[result], "W", Fixtures[APP], TRUE), "")</f>
        <v/>
      </c>
      <c r="J141" s="1" t="str">
        <f>IF(Teams[[#This Row],[relevant]], COUNTIFS(Fixtures[userTeam], Teams[[#This Row],[name]], Fixtures[result], "D", Fixtures[APP], TRUE), "")</f>
        <v/>
      </c>
      <c r="K141" s="1" t="str">
        <f>IF(Teams[[#This Row],[relevant]], COUNTIFS(Fixtures[userTeam], Teams[[#This Row],[name]], Fixtures[result], "L", Fixtures[APP], TRUE), "")</f>
        <v/>
      </c>
      <c r="L141" s="1" t="str">
        <f>IF(Teams[[#This Row],[relevant]], SUMIFS(Fixtures[G], Fixtures[userTeam], Teams[[#This Row],[name]]), "")</f>
        <v/>
      </c>
      <c r="M141" s="1" t="str">
        <f>IF(Teams[[#This Row],[relevant]], SUMIFS(Fixtures[A], Fixtures[userTeam], Teams[[#This Row],[name]]), "")</f>
        <v/>
      </c>
      <c r="N141" s="1" t="str">
        <f>IF(Teams[[#This Row],[relevant]], SUMIFS(Fixtures[INV], Fixtures[userTeam], Teams[[#This Row],[name]]), "")</f>
        <v/>
      </c>
      <c r="O141" s="1" t="str">
        <f>IF(Teams[[#This Row],[relevant]], SUMIFS(Fixtures[YC], Fixtures[userTeam], Teams[[#This Row],[name]]), "")</f>
        <v/>
      </c>
      <c r="P141" s="1" t="str">
        <f>IF(Teams[[#This Row],[relevant]], SUMIFS(Fixtures[RC], Fixtures[userTeam], Teams[[#This Row],[name]]), "")</f>
        <v/>
      </c>
      <c r="Q141" s="13" t="str">
        <f>IF(Teams[[#This Row],[relevant]], IF(ISERROR(AVERAGEIFS(Fixtures[MR], Fixtures[userTeam], Teams[[#This Row],[name]])), 0, AVERAGEIFS(Fixtures[MR], Fixtures[userTeam], Teams[[#This Row],[name]])), "")</f>
        <v/>
      </c>
      <c r="R141" s="1" t="str">
        <f>IF(Teams[[#This Row],[relevant]], COUNTIFS(Fixtures[userTeam], Teams[[#This Row],[name]], Fixtures[MOTM], TRUE), "")</f>
        <v/>
      </c>
      <c r="S141" s="1" t="str" cm="1">
        <f t="array" ref="S141">IF(Teams[[#This Row],[relevant]], _xlfn.TEXTJOIN(", ", TRUE, _xlfn._xlws.FILTER(Stats[competition]&amp;" ("&amp;Stats[season]&amp;")",(Stats[team]=Teams[[#This Row],[name]])*(Stats[result]="Winner"),"")), "")</f>
        <v/>
      </c>
    </row>
    <row r="142" spans="1:19" ht="13" hidden="1">
      <c r="A142" s="1" t="s">
        <v>194</v>
      </c>
      <c r="B142" s="1" t="s">
        <v>152</v>
      </c>
      <c r="C142" s="1" t="s">
        <v>391</v>
      </c>
      <c r="D142" s="1" t="str">
        <f>UPPER(_xlfn.CONCAT(LEFT(Teams[[#This Row],[teamType]], 1), "-", LEFT(SUBSTITUTE(Teams[[#This Row],[nation]], "/", ""), 3), "-", SUBSTITUTE(SUBSTITUTE(SUBSTITUTE(Teams[[#This Row],[name]], ".", ""), " ", ""), "-", "")))</f>
        <v>C-ENG-CHARLTONATH</v>
      </c>
      <c r="E142" s="16"/>
      <c r="F142" s="16"/>
      <c r="G142" s="1" t="b">
        <f>COUNTBLANK(Teams[[#This Row],[startDate]:[endDate]]) &lt; 2</f>
        <v>0</v>
      </c>
      <c r="H142" s="1" t="str">
        <f>IF(Teams[[#This Row],[relevant]], COUNTIFS(Fixtures[userTeam], Teams[[#This Row],[name]], Fixtures[APP], TRUE), "")</f>
        <v/>
      </c>
      <c r="I142" s="1" t="str">
        <f>IF(Teams[[#This Row],[relevant]], COUNTIFS(Fixtures[userTeam], Teams[[#This Row],[name]], Fixtures[result], "W", Fixtures[APP], TRUE), "")</f>
        <v/>
      </c>
      <c r="J142" s="1" t="str">
        <f>IF(Teams[[#This Row],[relevant]], COUNTIFS(Fixtures[userTeam], Teams[[#This Row],[name]], Fixtures[result], "D", Fixtures[APP], TRUE), "")</f>
        <v/>
      </c>
      <c r="K142" s="1" t="str">
        <f>IF(Teams[[#This Row],[relevant]], COUNTIFS(Fixtures[userTeam], Teams[[#This Row],[name]], Fixtures[result], "L", Fixtures[APP], TRUE), "")</f>
        <v/>
      </c>
      <c r="L142" s="1" t="str">
        <f>IF(Teams[[#This Row],[relevant]], SUMIFS(Fixtures[G], Fixtures[userTeam], Teams[[#This Row],[name]]), "")</f>
        <v/>
      </c>
      <c r="M142" s="1" t="str">
        <f>IF(Teams[[#This Row],[relevant]], SUMIFS(Fixtures[A], Fixtures[userTeam], Teams[[#This Row],[name]]), "")</f>
        <v/>
      </c>
      <c r="N142" s="1" t="str">
        <f>IF(Teams[[#This Row],[relevant]], SUMIFS(Fixtures[INV], Fixtures[userTeam], Teams[[#This Row],[name]]), "")</f>
        <v/>
      </c>
      <c r="O142" s="1" t="str">
        <f>IF(Teams[[#This Row],[relevant]], SUMIFS(Fixtures[YC], Fixtures[userTeam], Teams[[#This Row],[name]]), "")</f>
        <v/>
      </c>
      <c r="P142" s="1" t="str">
        <f>IF(Teams[[#This Row],[relevant]], SUMIFS(Fixtures[RC], Fixtures[userTeam], Teams[[#This Row],[name]]), "")</f>
        <v/>
      </c>
      <c r="Q142" s="13" t="str">
        <f>IF(Teams[[#This Row],[relevant]], IF(ISERROR(AVERAGEIFS(Fixtures[MR], Fixtures[userTeam], Teams[[#This Row],[name]])), 0, AVERAGEIFS(Fixtures[MR], Fixtures[userTeam], Teams[[#This Row],[name]])), "")</f>
        <v/>
      </c>
      <c r="R142" s="1" t="str">
        <f>IF(Teams[[#This Row],[relevant]], COUNTIFS(Fixtures[userTeam], Teams[[#This Row],[name]], Fixtures[MOTM], TRUE), "")</f>
        <v/>
      </c>
      <c r="S142" s="1" t="str" cm="1">
        <f t="array" ref="S142">IF(Teams[[#This Row],[relevant]], _xlfn.TEXTJOIN(", ", TRUE, _xlfn._xlws.FILTER(Stats[competition]&amp;" ("&amp;Stats[season]&amp;")",(Stats[team]=Teams[[#This Row],[name]])*(Stats[result]="Winner"),"")), "")</f>
        <v/>
      </c>
    </row>
    <row r="143" spans="1:19" ht="13" hidden="1">
      <c r="A143" s="1" t="s">
        <v>541</v>
      </c>
      <c r="B143" s="1" t="s">
        <v>152</v>
      </c>
      <c r="C143" s="1" t="s">
        <v>391</v>
      </c>
      <c r="D143" s="1" t="str">
        <f>UPPER(_xlfn.CONCAT(LEFT(Teams[[#This Row],[teamType]], 1), "-", LEFT(SUBSTITUTE(Teams[[#This Row],[nation]], "/", ""), 3), "-", SUBSTITUTE(SUBSTITUTE(SUBSTITUTE(Teams[[#This Row],[name]], ".", ""), " ", ""), "-", "")))</f>
        <v>C-ENG-CHELSEA</v>
      </c>
      <c r="E143" s="16"/>
      <c r="F143" s="16"/>
      <c r="G143" s="1" t="b">
        <f>COUNTBLANK(Teams[[#This Row],[startDate]:[endDate]]) &lt; 2</f>
        <v>0</v>
      </c>
      <c r="H143" s="1" t="str">
        <f>IF(Teams[[#This Row],[relevant]], COUNTIFS(Fixtures[userTeam], Teams[[#This Row],[name]], Fixtures[APP], TRUE), "")</f>
        <v/>
      </c>
      <c r="I143" s="1" t="str">
        <f>IF(Teams[[#This Row],[relevant]], COUNTIFS(Fixtures[userTeam], Teams[[#This Row],[name]], Fixtures[result], "W", Fixtures[APP], TRUE), "")</f>
        <v/>
      </c>
      <c r="J143" s="1" t="str">
        <f>IF(Teams[[#This Row],[relevant]], COUNTIFS(Fixtures[userTeam], Teams[[#This Row],[name]], Fixtures[result], "D", Fixtures[APP], TRUE), "")</f>
        <v/>
      </c>
      <c r="K143" s="1" t="str">
        <f>IF(Teams[[#This Row],[relevant]], COUNTIFS(Fixtures[userTeam], Teams[[#This Row],[name]], Fixtures[result], "L", Fixtures[APP], TRUE), "")</f>
        <v/>
      </c>
      <c r="L143" s="1" t="str">
        <f>IF(Teams[[#This Row],[relevant]], SUMIFS(Fixtures[G], Fixtures[userTeam], Teams[[#This Row],[name]]), "")</f>
        <v/>
      </c>
      <c r="M143" s="1" t="str">
        <f>IF(Teams[[#This Row],[relevant]], SUMIFS(Fixtures[A], Fixtures[userTeam], Teams[[#This Row],[name]]), "")</f>
        <v/>
      </c>
      <c r="N143" s="1" t="str">
        <f>IF(Teams[[#This Row],[relevant]], SUMIFS(Fixtures[INV], Fixtures[userTeam], Teams[[#This Row],[name]]), "")</f>
        <v/>
      </c>
      <c r="O143" s="1" t="str">
        <f>IF(Teams[[#This Row],[relevant]], SUMIFS(Fixtures[YC], Fixtures[userTeam], Teams[[#This Row],[name]]), "")</f>
        <v/>
      </c>
      <c r="P143" s="1" t="str">
        <f>IF(Teams[[#This Row],[relevant]], SUMIFS(Fixtures[RC], Fixtures[userTeam], Teams[[#This Row],[name]]), "")</f>
        <v/>
      </c>
      <c r="Q143" s="13" t="str">
        <f>IF(Teams[[#This Row],[relevant]], IF(ISERROR(AVERAGEIFS(Fixtures[MR], Fixtures[userTeam], Teams[[#This Row],[name]])), 0, AVERAGEIFS(Fixtures[MR], Fixtures[userTeam], Teams[[#This Row],[name]])), "")</f>
        <v/>
      </c>
      <c r="R143" s="1" t="str">
        <f>IF(Teams[[#This Row],[relevant]], COUNTIFS(Fixtures[userTeam], Teams[[#This Row],[name]], Fixtures[MOTM], TRUE), "")</f>
        <v/>
      </c>
      <c r="S143" s="1" t="str" cm="1">
        <f t="array" ref="S143">IF(Teams[[#This Row],[relevant]], _xlfn.TEXTJOIN(", ", TRUE, _xlfn._xlws.FILTER(Stats[competition]&amp;" ("&amp;Stats[season]&amp;")",(Stats[team]=Teams[[#This Row],[name]])*(Stats[result]="Winner"),"")), "")</f>
        <v/>
      </c>
    </row>
    <row r="144" spans="1:19" ht="13" hidden="1">
      <c r="A144" s="1" t="s">
        <v>542</v>
      </c>
      <c r="B144" s="1" t="s">
        <v>152</v>
      </c>
      <c r="C144" s="1" t="s">
        <v>391</v>
      </c>
      <c r="D144" s="1" t="str">
        <f>UPPER(_xlfn.CONCAT(LEFT(Teams[[#This Row],[teamType]], 1), "-", LEFT(SUBSTITUTE(Teams[[#This Row],[nation]], "/", ""), 3), "-", SUBSTITUTE(SUBSTITUTE(SUBSTITUTE(Teams[[#This Row],[name]], ".", ""), " ", ""), "-", "")))</f>
        <v>C-ENG-CHELTENHAMTOWN</v>
      </c>
      <c r="E144" s="16"/>
      <c r="F144" s="16"/>
      <c r="G144" s="1" t="b">
        <f>COUNTBLANK(Teams[[#This Row],[startDate]:[endDate]]) &lt; 2</f>
        <v>0</v>
      </c>
      <c r="H144" s="1" t="str">
        <f>IF(Teams[[#This Row],[relevant]], COUNTIFS(Fixtures[userTeam], Teams[[#This Row],[name]], Fixtures[APP], TRUE), "")</f>
        <v/>
      </c>
      <c r="I144" s="1" t="str">
        <f>IF(Teams[[#This Row],[relevant]], COUNTIFS(Fixtures[userTeam], Teams[[#This Row],[name]], Fixtures[result], "W", Fixtures[APP], TRUE), "")</f>
        <v/>
      </c>
      <c r="J144" s="1" t="str">
        <f>IF(Teams[[#This Row],[relevant]], COUNTIFS(Fixtures[userTeam], Teams[[#This Row],[name]], Fixtures[result], "D", Fixtures[APP], TRUE), "")</f>
        <v/>
      </c>
      <c r="K144" s="1" t="str">
        <f>IF(Teams[[#This Row],[relevant]], COUNTIFS(Fixtures[userTeam], Teams[[#This Row],[name]], Fixtures[result], "L", Fixtures[APP], TRUE), "")</f>
        <v/>
      </c>
      <c r="L144" s="1" t="str">
        <f>IF(Teams[[#This Row],[relevant]], SUMIFS(Fixtures[G], Fixtures[userTeam], Teams[[#This Row],[name]]), "")</f>
        <v/>
      </c>
      <c r="M144" s="1" t="str">
        <f>IF(Teams[[#This Row],[relevant]], SUMIFS(Fixtures[A], Fixtures[userTeam], Teams[[#This Row],[name]]), "")</f>
        <v/>
      </c>
      <c r="N144" s="1" t="str">
        <f>IF(Teams[[#This Row],[relevant]], SUMIFS(Fixtures[INV], Fixtures[userTeam], Teams[[#This Row],[name]]), "")</f>
        <v/>
      </c>
      <c r="O144" s="1" t="str">
        <f>IF(Teams[[#This Row],[relevant]], SUMIFS(Fixtures[YC], Fixtures[userTeam], Teams[[#This Row],[name]]), "")</f>
        <v/>
      </c>
      <c r="P144" s="1" t="str">
        <f>IF(Teams[[#This Row],[relevant]], SUMIFS(Fixtures[RC], Fixtures[userTeam], Teams[[#This Row],[name]]), "")</f>
        <v/>
      </c>
      <c r="Q144" s="13" t="str">
        <f>IF(Teams[[#This Row],[relevant]], IF(ISERROR(AVERAGEIFS(Fixtures[MR], Fixtures[userTeam], Teams[[#This Row],[name]])), 0, AVERAGEIFS(Fixtures[MR], Fixtures[userTeam], Teams[[#This Row],[name]])), "")</f>
        <v/>
      </c>
      <c r="R144" s="1" t="str">
        <f>IF(Teams[[#This Row],[relevant]], COUNTIFS(Fixtures[userTeam], Teams[[#This Row],[name]], Fixtures[MOTM], TRUE), "")</f>
        <v/>
      </c>
      <c r="S144" s="1" t="str" cm="1">
        <f t="array" ref="S144">IF(Teams[[#This Row],[relevant]], _xlfn.TEXTJOIN(", ", TRUE, _xlfn._xlws.FILTER(Stats[competition]&amp;" ("&amp;Stats[season]&amp;")",(Stats[team]=Teams[[#This Row],[name]])*(Stats[result]="Winner"),"")), "")</f>
        <v/>
      </c>
    </row>
    <row r="145" spans="1:19" ht="13" hidden="1">
      <c r="A145" s="1" t="s">
        <v>543</v>
      </c>
      <c r="B145" s="1" t="s">
        <v>473</v>
      </c>
      <c r="C145" s="1" t="s">
        <v>391</v>
      </c>
      <c r="D145" s="1" t="str">
        <f>UPPER(_xlfn.CONCAT(LEFT(Teams[[#This Row],[teamType]], 1), "-", LEFT(SUBSTITUTE(Teams[[#This Row],[nation]], "/", ""), 3), "-", SUBSTITUTE(SUBSTITUTE(SUBSTITUTE(Teams[[#This Row],[name]], ".", ""), " ", ""), "-", "")))</f>
        <v>C-IND-CHENNAIYINFC</v>
      </c>
      <c r="E145" s="16"/>
      <c r="F145" s="16"/>
      <c r="G145" s="1" t="b">
        <f>COUNTBLANK(Teams[[#This Row],[startDate]:[endDate]]) &lt; 2</f>
        <v>0</v>
      </c>
      <c r="H145" s="1" t="str">
        <f>IF(Teams[[#This Row],[relevant]], COUNTIFS(Fixtures[userTeam], Teams[[#This Row],[name]], Fixtures[APP], TRUE), "")</f>
        <v/>
      </c>
      <c r="I145" s="1" t="str">
        <f>IF(Teams[[#This Row],[relevant]], COUNTIFS(Fixtures[userTeam], Teams[[#This Row],[name]], Fixtures[result], "W", Fixtures[APP], TRUE), "")</f>
        <v/>
      </c>
      <c r="J145" s="1" t="str">
        <f>IF(Teams[[#This Row],[relevant]], COUNTIFS(Fixtures[userTeam], Teams[[#This Row],[name]], Fixtures[result], "D", Fixtures[APP], TRUE), "")</f>
        <v/>
      </c>
      <c r="K145" s="1" t="str">
        <f>IF(Teams[[#This Row],[relevant]], COUNTIFS(Fixtures[userTeam], Teams[[#This Row],[name]], Fixtures[result], "L", Fixtures[APP], TRUE), "")</f>
        <v/>
      </c>
      <c r="L145" s="1" t="str">
        <f>IF(Teams[[#This Row],[relevant]], SUMIFS(Fixtures[G], Fixtures[userTeam], Teams[[#This Row],[name]]), "")</f>
        <v/>
      </c>
      <c r="M145" s="1" t="str">
        <f>IF(Teams[[#This Row],[relevant]], SUMIFS(Fixtures[A], Fixtures[userTeam], Teams[[#This Row],[name]]), "")</f>
        <v/>
      </c>
      <c r="N145" s="1" t="str">
        <f>IF(Teams[[#This Row],[relevant]], SUMIFS(Fixtures[INV], Fixtures[userTeam], Teams[[#This Row],[name]]), "")</f>
        <v/>
      </c>
      <c r="O145" s="1" t="str">
        <f>IF(Teams[[#This Row],[relevant]], SUMIFS(Fixtures[YC], Fixtures[userTeam], Teams[[#This Row],[name]]), "")</f>
        <v/>
      </c>
      <c r="P145" s="1" t="str">
        <f>IF(Teams[[#This Row],[relevant]], SUMIFS(Fixtures[RC], Fixtures[userTeam], Teams[[#This Row],[name]]), "")</f>
        <v/>
      </c>
      <c r="Q145" s="13" t="str">
        <f>IF(Teams[[#This Row],[relevant]], IF(ISERROR(AVERAGEIFS(Fixtures[MR], Fixtures[userTeam], Teams[[#This Row],[name]])), 0, AVERAGEIFS(Fixtures[MR], Fixtures[userTeam], Teams[[#This Row],[name]])), "")</f>
        <v/>
      </c>
      <c r="R145" s="1" t="str">
        <f>IF(Teams[[#This Row],[relevant]], COUNTIFS(Fixtures[userTeam], Teams[[#This Row],[name]], Fixtures[MOTM], TRUE), "")</f>
        <v/>
      </c>
      <c r="S145" s="1" t="str" cm="1">
        <f t="array" ref="S145">IF(Teams[[#This Row],[relevant]], _xlfn.TEXTJOIN(", ", TRUE, _xlfn._xlws.FILTER(Stats[competition]&amp;" ("&amp;Stats[season]&amp;")",(Stats[team]=Teams[[#This Row],[name]])*(Stats[result]="Winner"),"")), "")</f>
        <v/>
      </c>
    </row>
    <row r="146" spans="1:19" ht="13" hidden="1">
      <c r="A146" s="1" t="s">
        <v>544</v>
      </c>
      <c r="B146" s="1" t="s">
        <v>16</v>
      </c>
      <c r="C146" s="1" t="s">
        <v>391</v>
      </c>
      <c r="D146" s="1" t="str">
        <f>UPPER(_xlfn.CONCAT(LEFT(Teams[[#This Row],[teamType]], 1), "-", LEFT(SUBSTITUTE(Teams[[#This Row],[nation]], "/", ""), 3), "-", SUBSTITUTE(SUBSTITUTE(SUBSTITUTE(Teams[[#This Row],[name]], ".", ""), " ", ""), "-", "")))</f>
        <v>C-UNI-CHICAGOFIREFC</v>
      </c>
      <c r="E146" s="16"/>
      <c r="F146" s="16"/>
      <c r="G146" s="1" t="b">
        <f>COUNTBLANK(Teams[[#This Row],[startDate]:[endDate]]) &lt; 2</f>
        <v>0</v>
      </c>
      <c r="H146" s="1" t="str">
        <f>IF(Teams[[#This Row],[relevant]], COUNTIFS(Fixtures[userTeam], Teams[[#This Row],[name]], Fixtures[APP], TRUE), "")</f>
        <v/>
      </c>
      <c r="I146" s="1" t="str">
        <f>IF(Teams[[#This Row],[relevant]], COUNTIFS(Fixtures[userTeam], Teams[[#This Row],[name]], Fixtures[result], "W", Fixtures[APP], TRUE), "")</f>
        <v/>
      </c>
      <c r="J146" s="1" t="str">
        <f>IF(Teams[[#This Row],[relevant]], COUNTIFS(Fixtures[userTeam], Teams[[#This Row],[name]], Fixtures[result], "D", Fixtures[APP], TRUE), "")</f>
        <v/>
      </c>
      <c r="K146" s="1" t="str">
        <f>IF(Teams[[#This Row],[relevant]], COUNTIFS(Fixtures[userTeam], Teams[[#This Row],[name]], Fixtures[result], "L", Fixtures[APP], TRUE), "")</f>
        <v/>
      </c>
      <c r="L146" s="1" t="str">
        <f>IF(Teams[[#This Row],[relevant]], SUMIFS(Fixtures[G], Fixtures[userTeam], Teams[[#This Row],[name]]), "")</f>
        <v/>
      </c>
      <c r="M146" s="1" t="str">
        <f>IF(Teams[[#This Row],[relevant]], SUMIFS(Fixtures[A], Fixtures[userTeam], Teams[[#This Row],[name]]), "")</f>
        <v/>
      </c>
      <c r="N146" s="1" t="str">
        <f>IF(Teams[[#This Row],[relevant]], SUMIFS(Fixtures[INV], Fixtures[userTeam], Teams[[#This Row],[name]]), "")</f>
        <v/>
      </c>
      <c r="O146" s="1" t="str">
        <f>IF(Teams[[#This Row],[relevant]], SUMIFS(Fixtures[YC], Fixtures[userTeam], Teams[[#This Row],[name]]), "")</f>
        <v/>
      </c>
      <c r="P146" s="1" t="str">
        <f>IF(Teams[[#This Row],[relevant]], SUMIFS(Fixtures[RC], Fixtures[userTeam], Teams[[#This Row],[name]]), "")</f>
        <v/>
      </c>
      <c r="Q146" s="13" t="str">
        <f>IF(Teams[[#This Row],[relevant]], IF(ISERROR(AVERAGEIFS(Fixtures[MR], Fixtures[userTeam], Teams[[#This Row],[name]])), 0, AVERAGEIFS(Fixtures[MR], Fixtures[userTeam], Teams[[#This Row],[name]])), "")</f>
        <v/>
      </c>
      <c r="R146" s="1" t="str">
        <f>IF(Teams[[#This Row],[relevant]], COUNTIFS(Fixtures[userTeam], Teams[[#This Row],[name]], Fixtures[MOTM], TRUE), "")</f>
        <v/>
      </c>
      <c r="S146" s="1" t="str" cm="1">
        <f t="array" ref="S146">IF(Teams[[#This Row],[relevant]], _xlfn.TEXTJOIN(", ", TRUE, _xlfn._xlws.FILTER(Stats[competition]&amp;" ("&amp;Stats[season]&amp;")",(Stats[team]=Teams[[#This Row],[name]])*(Stats[result]="Winner"),"")), "")</f>
        <v/>
      </c>
    </row>
    <row r="147" spans="1:19" ht="13" hidden="1">
      <c r="A147" s="1" t="s">
        <v>545</v>
      </c>
      <c r="B147" s="1" t="s">
        <v>493</v>
      </c>
      <c r="C147" s="1" t="s">
        <v>459</v>
      </c>
      <c r="D147" s="1" t="str">
        <f>UPPER(_xlfn.CONCAT(LEFT(Teams[[#This Row],[teamType]], 1), "-", LEFT(SUBSTITUTE(Teams[[#This Row],[nation]], "/", ""), 3), "-", SUBSTITUTE(SUBSTITUTE(SUBSTITUTE(Teams[[#This Row],[name]], ".", ""), " ", ""), "-", "")))</f>
        <v>N-CHI-CHINAPR</v>
      </c>
      <c r="E147" s="16"/>
      <c r="F147" s="16"/>
      <c r="G147" s="1" t="b">
        <f>COUNTBLANK(Teams[[#This Row],[startDate]:[endDate]]) &lt; 2</f>
        <v>0</v>
      </c>
      <c r="H147" s="1" t="str">
        <f>IF(Teams[[#This Row],[relevant]], COUNTIFS(Fixtures[userTeam], Teams[[#This Row],[name]], Fixtures[APP], TRUE), "")</f>
        <v/>
      </c>
      <c r="I147" s="1" t="str">
        <f>IF(Teams[[#This Row],[relevant]], COUNTIFS(Fixtures[userTeam], Teams[[#This Row],[name]], Fixtures[result], "W", Fixtures[APP], TRUE), "")</f>
        <v/>
      </c>
      <c r="J147" s="1" t="str">
        <f>IF(Teams[[#This Row],[relevant]], COUNTIFS(Fixtures[userTeam], Teams[[#This Row],[name]], Fixtures[result], "D", Fixtures[APP], TRUE), "")</f>
        <v/>
      </c>
      <c r="K147" s="1" t="str">
        <f>IF(Teams[[#This Row],[relevant]], COUNTIFS(Fixtures[userTeam], Teams[[#This Row],[name]], Fixtures[result], "L", Fixtures[APP], TRUE), "")</f>
        <v/>
      </c>
      <c r="L147" s="1" t="str">
        <f>IF(Teams[[#This Row],[relevant]], SUMIFS(Fixtures[G], Fixtures[userTeam], Teams[[#This Row],[name]]), "")</f>
        <v/>
      </c>
      <c r="M147" s="1" t="str">
        <f>IF(Teams[[#This Row],[relevant]], SUMIFS(Fixtures[A], Fixtures[userTeam], Teams[[#This Row],[name]]), "")</f>
        <v/>
      </c>
      <c r="N147" s="1" t="str">
        <f>IF(Teams[[#This Row],[relevant]], SUMIFS(Fixtures[INV], Fixtures[userTeam], Teams[[#This Row],[name]]), "")</f>
        <v/>
      </c>
      <c r="O147" s="1" t="str">
        <f>IF(Teams[[#This Row],[relevant]], SUMIFS(Fixtures[YC], Fixtures[userTeam], Teams[[#This Row],[name]]), "")</f>
        <v/>
      </c>
      <c r="P147" s="1" t="str">
        <f>IF(Teams[[#This Row],[relevant]], SUMIFS(Fixtures[RC], Fixtures[userTeam], Teams[[#This Row],[name]]), "")</f>
        <v/>
      </c>
      <c r="Q147" s="13" t="str">
        <f>IF(Teams[[#This Row],[relevant]], IF(ISERROR(AVERAGEIFS(Fixtures[MR], Fixtures[userTeam], Teams[[#This Row],[name]])), 0, AVERAGEIFS(Fixtures[MR], Fixtures[userTeam], Teams[[#This Row],[name]])), "")</f>
        <v/>
      </c>
      <c r="R147" s="1" t="str">
        <f>IF(Teams[[#This Row],[relevant]], COUNTIFS(Fixtures[userTeam], Teams[[#This Row],[name]], Fixtures[MOTM], TRUE), "")</f>
        <v/>
      </c>
      <c r="S147" s="1" t="str" cm="1">
        <f t="array" ref="S147">IF(Teams[[#This Row],[relevant]], _xlfn.TEXTJOIN(", ", TRUE, _xlfn._xlws.FILTER(Stats[competition]&amp;" ("&amp;Stats[season]&amp;")",(Stats[team]=Teams[[#This Row],[name]])*(Stats[result]="Winner"),"")), "")</f>
        <v/>
      </c>
    </row>
    <row r="148" spans="1:19" ht="13" hidden="1">
      <c r="A148" s="1" t="s">
        <v>546</v>
      </c>
      <c r="B148" s="1" t="s">
        <v>445</v>
      </c>
      <c r="C148" s="1" t="s">
        <v>391</v>
      </c>
      <c r="D148" s="1" t="str">
        <f>UPPER(_xlfn.CONCAT(LEFT(Teams[[#This Row],[teamType]], 1), "-", LEFT(SUBSTITUTE(Teams[[#This Row],[nation]], "/", ""), 3), "-", SUBSTITUTE(SUBSTITUTE(SUBSTITUTE(Teams[[#This Row],[name]], ".", ""), " ", ""), "-", "")))</f>
        <v>C-PER-CIENCIANO</v>
      </c>
      <c r="E148" s="16"/>
      <c r="F148" s="16"/>
      <c r="G148" s="1" t="b">
        <f>COUNTBLANK(Teams[[#This Row],[startDate]:[endDate]]) &lt; 2</f>
        <v>0</v>
      </c>
      <c r="H148" s="1" t="str">
        <f>IF(Teams[[#This Row],[relevant]], COUNTIFS(Fixtures[userTeam], Teams[[#This Row],[name]], Fixtures[APP], TRUE), "")</f>
        <v/>
      </c>
      <c r="I148" s="1" t="str">
        <f>IF(Teams[[#This Row],[relevant]], COUNTIFS(Fixtures[userTeam], Teams[[#This Row],[name]], Fixtures[result], "W", Fixtures[APP], TRUE), "")</f>
        <v/>
      </c>
      <c r="J148" s="1" t="str">
        <f>IF(Teams[[#This Row],[relevant]], COUNTIFS(Fixtures[userTeam], Teams[[#This Row],[name]], Fixtures[result], "D", Fixtures[APP], TRUE), "")</f>
        <v/>
      </c>
      <c r="K148" s="1" t="str">
        <f>IF(Teams[[#This Row],[relevant]], COUNTIFS(Fixtures[userTeam], Teams[[#This Row],[name]], Fixtures[result], "L", Fixtures[APP], TRUE), "")</f>
        <v/>
      </c>
      <c r="L148" s="1" t="str">
        <f>IF(Teams[[#This Row],[relevant]], SUMIFS(Fixtures[G], Fixtures[userTeam], Teams[[#This Row],[name]]), "")</f>
        <v/>
      </c>
      <c r="M148" s="1" t="str">
        <f>IF(Teams[[#This Row],[relevant]], SUMIFS(Fixtures[A], Fixtures[userTeam], Teams[[#This Row],[name]]), "")</f>
        <v/>
      </c>
      <c r="N148" s="1" t="str">
        <f>IF(Teams[[#This Row],[relevant]], SUMIFS(Fixtures[INV], Fixtures[userTeam], Teams[[#This Row],[name]]), "")</f>
        <v/>
      </c>
      <c r="O148" s="1" t="str">
        <f>IF(Teams[[#This Row],[relevant]], SUMIFS(Fixtures[YC], Fixtures[userTeam], Teams[[#This Row],[name]]), "")</f>
        <v/>
      </c>
      <c r="P148" s="1" t="str">
        <f>IF(Teams[[#This Row],[relevant]], SUMIFS(Fixtures[RC], Fixtures[userTeam], Teams[[#This Row],[name]]), "")</f>
        <v/>
      </c>
      <c r="Q148" s="13" t="str">
        <f>IF(Teams[[#This Row],[relevant]], IF(ISERROR(AVERAGEIFS(Fixtures[MR], Fixtures[userTeam], Teams[[#This Row],[name]])), 0, AVERAGEIFS(Fixtures[MR], Fixtures[userTeam], Teams[[#This Row],[name]])), "")</f>
        <v/>
      </c>
      <c r="R148" s="1" t="str">
        <f>IF(Teams[[#This Row],[relevant]], COUNTIFS(Fixtures[userTeam], Teams[[#This Row],[name]], Fixtures[MOTM], TRUE), "")</f>
        <v/>
      </c>
      <c r="S148" s="1" t="str" cm="1">
        <f t="array" ref="S148">IF(Teams[[#This Row],[relevant]], _xlfn.TEXTJOIN(", ", TRUE, _xlfn._xlws.FILTER(Stats[competition]&amp;" ("&amp;Stats[season]&amp;")",(Stats[team]=Teams[[#This Row],[name]])*(Stats[result]="Winner"),"")), "")</f>
        <v/>
      </c>
    </row>
    <row r="149" spans="1:19" ht="13" hidden="1">
      <c r="A149" s="1" t="s">
        <v>547</v>
      </c>
      <c r="B149" s="1" t="s">
        <v>254</v>
      </c>
      <c r="C149" s="1" t="s">
        <v>391</v>
      </c>
      <c r="D149" s="1" t="str">
        <f>UPPER(_xlfn.CONCAT(LEFT(Teams[[#This Row],[teamType]], 1), "-", LEFT(SUBSTITUTE(Teams[[#This Row],[nation]], "/", ""), 3), "-", SUBSTITUTE(SUBSTITUTE(SUBSTITUTE(Teams[[#This Row],[name]], ".", ""), " ", ""), "-", "")))</f>
        <v>C-ITA-CITTADELLA</v>
      </c>
      <c r="E149" s="16"/>
      <c r="F149" s="16"/>
      <c r="G149" s="1" t="b">
        <f>COUNTBLANK(Teams[[#This Row],[startDate]:[endDate]]) &lt; 2</f>
        <v>0</v>
      </c>
      <c r="H149" s="1" t="str">
        <f>IF(Teams[[#This Row],[relevant]], COUNTIFS(Fixtures[userTeam], Teams[[#This Row],[name]], Fixtures[APP], TRUE), "")</f>
        <v/>
      </c>
      <c r="I149" s="1" t="str">
        <f>IF(Teams[[#This Row],[relevant]], COUNTIFS(Fixtures[userTeam], Teams[[#This Row],[name]], Fixtures[result], "W", Fixtures[APP], TRUE), "")</f>
        <v/>
      </c>
      <c r="J149" s="1" t="str">
        <f>IF(Teams[[#This Row],[relevant]], COUNTIFS(Fixtures[userTeam], Teams[[#This Row],[name]], Fixtures[result], "D", Fixtures[APP], TRUE), "")</f>
        <v/>
      </c>
      <c r="K149" s="1" t="str">
        <f>IF(Teams[[#This Row],[relevant]], COUNTIFS(Fixtures[userTeam], Teams[[#This Row],[name]], Fixtures[result], "L", Fixtures[APP], TRUE), "")</f>
        <v/>
      </c>
      <c r="L149" s="1" t="str">
        <f>IF(Teams[[#This Row],[relevant]], SUMIFS(Fixtures[G], Fixtures[userTeam], Teams[[#This Row],[name]]), "")</f>
        <v/>
      </c>
      <c r="M149" s="1" t="str">
        <f>IF(Teams[[#This Row],[relevant]], SUMIFS(Fixtures[A], Fixtures[userTeam], Teams[[#This Row],[name]]), "")</f>
        <v/>
      </c>
      <c r="N149" s="1" t="str">
        <f>IF(Teams[[#This Row],[relevant]], SUMIFS(Fixtures[INV], Fixtures[userTeam], Teams[[#This Row],[name]]), "")</f>
        <v/>
      </c>
      <c r="O149" s="1" t="str">
        <f>IF(Teams[[#This Row],[relevant]], SUMIFS(Fixtures[YC], Fixtures[userTeam], Teams[[#This Row],[name]]), "")</f>
        <v/>
      </c>
      <c r="P149" s="1" t="str">
        <f>IF(Teams[[#This Row],[relevant]], SUMIFS(Fixtures[RC], Fixtures[userTeam], Teams[[#This Row],[name]]), "")</f>
        <v/>
      </c>
      <c r="Q149" s="13" t="str">
        <f>IF(Teams[[#This Row],[relevant]], IF(ISERROR(AVERAGEIFS(Fixtures[MR], Fixtures[userTeam], Teams[[#This Row],[name]])), 0, AVERAGEIFS(Fixtures[MR], Fixtures[userTeam], Teams[[#This Row],[name]])), "")</f>
        <v/>
      </c>
      <c r="R149" s="1" t="str">
        <f>IF(Teams[[#This Row],[relevant]], COUNTIFS(Fixtures[userTeam], Teams[[#This Row],[name]], Fixtures[MOTM], TRUE), "")</f>
        <v/>
      </c>
      <c r="S149" s="1" t="str" cm="1">
        <f t="array" ref="S149">IF(Teams[[#This Row],[relevant]], _xlfn.TEXTJOIN(", ", TRUE, _xlfn._xlws.FILTER(Stats[competition]&amp;" ("&amp;Stats[season]&amp;")",(Stats[team]=Teams[[#This Row],[name]])*(Stats[result]="Winner"),"")), "")</f>
        <v/>
      </c>
    </row>
    <row r="150" spans="1:19" ht="13" hidden="1">
      <c r="A150" s="1" t="s">
        <v>548</v>
      </c>
      <c r="B150" s="1" t="s">
        <v>339</v>
      </c>
      <c r="C150" s="1" t="s">
        <v>391</v>
      </c>
      <c r="D150" s="1" t="str">
        <f>UPPER(_xlfn.CONCAT(LEFT(Teams[[#This Row],[teamType]], 1), "-", LEFT(SUBSTITUTE(Teams[[#This Row],[nation]], "/", ""), 3), "-", SUBSTITUTE(SUBSTITUTE(SUBSTITUTE(Teams[[#This Row],[name]], ".", ""), " ", ""), "-", "")))</f>
        <v>C-FRA-CLERMONTFOOT63</v>
      </c>
      <c r="E150" s="16"/>
      <c r="F150" s="16"/>
      <c r="G150" s="1" t="b">
        <f>COUNTBLANK(Teams[[#This Row],[startDate]:[endDate]]) &lt; 2</f>
        <v>0</v>
      </c>
      <c r="H150" s="1" t="str">
        <f>IF(Teams[[#This Row],[relevant]], COUNTIFS(Fixtures[userTeam], Teams[[#This Row],[name]], Fixtures[APP], TRUE), "")</f>
        <v/>
      </c>
      <c r="I150" s="1" t="str">
        <f>IF(Teams[[#This Row],[relevant]], COUNTIFS(Fixtures[userTeam], Teams[[#This Row],[name]], Fixtures[result], "W", Fixtures[APP], TRUE), "")</f>
        <v/>
      </c>
      <c r="J150" s="1" t="str">
        <f>IF(Teams[[#This Row],[relevant]], COUNTIFS(Fixtures[userTeam], Teams[[#This Row],[name]], Fixtures[result], "D", Fixtures[APP], TRUE), "")</f>
        <v/>
      </c>
      <c r="K150" s="1" t="str">
        <f>IF(Teams[[#This Row],[relevant]], COUNTIFS(Fixtures[userTeam], Teams[[#This Row],[name]], Fixtures[result], "L", Fixtures[APP], TRUE), "")</f>
        <v/>
      </c>
      <c r="L150" s="1" t="str">
        <f>IF(Teams[[#This Row],[relevant]], SUMIFS(Fixtures[G], Fixtures[userTeam], Teams[[#This Row],[name]]), "")</f>
        <v/>
      </c>
      <c r="M150" s="1" t="str">
        <f>IF(Teams[[#This Row],[relevant]], SUMIFS(Fixtures[A], Fixtures[userTeam], Teams[[#This Row],[name]]), "")</f>
        <v/>
      </c>
      <c r="N150" s="1" t="str">
        <f>IF(Teams[[#This Row],[relevant]], SUMIFS(Fixtures[INV], Fixtures[userTeam], Teams[[#This Row],[name]]), "")</f>
        <v/>
      </c>
      <c r="O150" s="1" t="str">
        <f>IF(Teams[[#This Row],[relevant]], SUMIFS(Fixtures[YC], Fixtures[userTeam], Teams[[#This Row],[name]]), "")</f>
        <v/>
      </c>
      <c r="P150" s="1" t="str">
        <f>IF(Teams[[#This Row],[relevant]], SUMIFS(Fixtures[RC], Fixtures[userTeam], Teams[[#This Row],[name]]), "")</f>
        <v/>
      </c>
      <c r="Q150" s="13" t="str">
        <f>IF(Teams[[#This Row],[relevant]], IF(ISERROR(AVERAGEIFS(Fixtures[MR], Fixtures[userTeam], Teams[[#This Row],[name]])), 0, AVERAGEIFS(Fixtures[MR], Fixtures[userTeam], Teams[[#This Row],[name]])), "")</f>
        <v/>
      </c>
      <c r="R150" s="1" t="str">
        <f>IF(Teams[[#This Row],[relevant]], COUNTIFS(Fixtures[userTeam], Teams[[#This Row],[name]], Fixtures[MOTM], TRUE), "")</f>
        <v/>
      </c>
      <c r="S150" s="1" t="str" cm="1">
        <f t="array" ref="S150">IF(Teams[[#This Row],[relevant]], _xlfn.TEXTJOIN(", ", TRUE, _xlfn._xlws.FILTER(Stats[competition]&amp;" ("&amp;Stats[season]&amp;")",(Stats[team]=Teams[[#This Row],[name]])*(Stats[result]="Winner"),"")), "")</f>
        <v/>
      </c>
    </row>
    <row r="151" spans="1:19" ht="13" hidden="1">
      <c r="A151" s="1" t="s">
        <v>150</v>
      </c>
      <c r="B151" s="1" t="s">
        <v>144</v>
      </c>
      <c r="C151" s="1" t="s">
        <v>391</v>
      </c>
      <c r="D151" s="1" t="str">
        <f>UPPER(_xlfn.CONCAT(LEFT(Teams[[#This Row],[teamType]], 1), "-", LEFT(SUBSTITUTE(Teams[[#This Row],[nation]], "/", ""), 3), "-", SUBSTITUTE(SUBSTITUTE(SUBSTITUTE(Teams[[#This Row],[name]], ".", ""), " ", ""), "-", "")))</f>
        <v>C-BEL-CLUBBRUGGE</v>
      </c>
      <c r="E151" s="16"/>
      <c r="F151" s="16"/>
      <c r="G151" s="1" t="b">
        <f>COUNTBLANK(Teams[[#This Row],[startDate]:[endDate]]) &lt; 2</f>
        <v>0</v>
      </c>
      <c r="H151" s="1" t="str">
        <f>IF(Teams[[#This Row],[relevant]], COUNTIFS(Fixtures[userTeam], Teams[[#This Row],[name]], Fixtures[APP], TRUE), "")</f>
        <v/>
      </c>
      <c r="I151" s="1" t="str">
        <f>IF(Teams[[#This Row],[relevant]], COUNTIFS(Fixtures[userTeam], Teams[[#This Row],[name]], Fixtures[result], "W", Fixtures[APP], TRUE), "")</f>
        <v/>
      </c>
      <c r="J151" s="1" t="str">
        <f>IF(Teams[[#This Row],[relevant]], COUNTIFS(Fixtures[userTeam], Teams[[#This Row],[name]], Fixtures[result], "D", Fixtures[APP], TRUE), "")</f>
        <v/>
      </c>
      <c r="K151" s="1" t="str">
        <f>IF(Teams[[#This Row],[relevant]], COUNTIFS(Fixtures[userTeam], Teams[[#This Row],[name]], Fixtures[result], "L", Fixtures[APP], TRUE), "")</f>
        <v/>
      </c>
      <c r="L151" s="1" t="str">
        <f>IF(Teams[[#This Row],[relevant]], SUMIFS(Fixtures[G], Fixtures[userTeam], Teams[[#This Row],[name]]), "")</f>
        <v/>
      </c>
      <c r="M151" s="1" t="str">
        <f>IF(Teams[[#This Row],[relevant]], SUMIFS(Fixtures[A], Fixtures[userTeam], Teams[[#This Row],[name]]), "")</f>
        <v/>
      </c>
      <c r="N151" s="1" t="str">
        <f>IF(Teams[[#This Row],[relevant]], SUMIFS(Fixtures[INV], Fixtures[userTeam], Teams[[#This Row],[name]]), "")</f>
        <v/>
      </c>
      <c r="O151" s="1" t="str">
        <f>IF(Teams[[#This Row],[relevant]], SUMIFS(Fixtures[YC], Fixtures[userTeam], Teams[[#This Row],[name]]), "")</f>
        <v/>
      </c>
      <c r="P151" s="1" t="str">
        <f>IF(Teams[[#This Row],[relevant]], SUMIFS(Fixtures[RC], Fixtures[userTeam], Teams[[#This Row],[name]]), "")</f>
        <v/>
      </c>
      <c r="Q151" s="13" t="str">
        <f>IF(Teams[[#This Row],[relevant]], IF(ISERROR(AVERAGEIFS(Fixtures[MR], Fixtures[userTeam], Teams[[#This Row],[name]])), 0, AVERAGEIFS(Fixtures[MR], Fixtures[userTeam], Teams[[#This Row],[name]])), "")</f>
        <v/>
      </c>
      <c r="R151" s="1" t="str">
        <f>IF(Teams[[#This Row],[relevant]], COUNTIFS(Fixtures[userTeam], Teams[[#This Row],[name]], Fixtures[MOTM], TRUE), "")</f>
        <v/>
      </c>
      <c r="S151" s="1" t="str" cm="1">
        <f t="array" ref="S151">IF(Teams[[#This Row],[relevant]], _xlfn.TEXTJOIN(", ", TRUE, _xlfn._xlws.FILTER(Stats[competition]&amp;" ("&amp;Stats[season]&amp;")",(Stats[team]=Teams[[#This Row],[name]])*(Stats[result]="Winner"),"")), "")</f>
        <v/>
      </c>
    </row>
    <row r="152" spans="1:19" ht="13" hidden="1">
      <c r="A152" s="1" t="s">
        <v>549</v>
      </c>
      <c r="B152" s="1" t="s">
        <v>536</v>
      </c>
      <c r="C152" s="1" t="s">
        <v>391</v>
      </c>
      <c r="D152" s="1" t="str">
        <f>UPPER(_xlfn.CONCAT(LEFT(Teams[[#This Row],[teamType]], 1), "-", LEFT(SUBSTITUTE(Teams[[#This Row],[nation]], "/", ""), 3), "-", SUBSTITUTE(SUBSTITUTE(SUBSTITUTE(Teams[[#This Row],[name]], ".", ""), " ", ""), "-", "")))</f>
        <v>C-PAR-CLUBNACIONAL</v>
      </c>
      <c r="E152" s="16"/>
      <c r="F152" s="16"/>
      <c r="G152" s="1" t="b">
        <f>COUNTBLANK(Teams[[#This Row],[startDate]:[endDate]]) &lt; 2</f>
        <v>0</v>
      </c>
      <c r="H152" s="1" t="str">
        <f>IF(Teams[[#This Row],[relevant]], COUNTIFS(Fixtures[userTeam], Teams[[#This Row],[name]], Fixtures[APP], TRUE), "")</f>
        <v/>
      </c>
      <c r="I152" s="1" t="str">
        <f>IF(Teams[[#This Row],[relevant]], COUNTIFS(Fixtures[userTeam], Teams[[#This Row],[name]], Fixtures[result], "W", Fixtures[APP], TRUE), "")</f>
        <v/>
      </c>
      <c r="J152" s="1" t="str">
        <f>IF(Teams[[#This Row],[relevant]], COUNTIFS(Fixtures[userTeam], Teams[[#This Row],[name]], Fixtures[result], "D", Fixtures[APP], TRUE), "")</f>
        <v/>
      </c>
      <c r="K152" s="1" t="str">
        <f>IF(Teams[[#This Row],[relevant]], COUNTIFS(Fixtures[userTeam], Teams[[#This Row],[name]], Fixtures[result], "L", Fixtures[APP], TRUE), "")</f>
        <v/>
      </c>
      <c r="L152" s="1" t="str">
        <f>IF(Teams[[#This Row],[relevant]], SUMIFS(Fixtures[G], Fixtures[userTeam], Teams[[#This Row],[name]]), "")</f>
        <v/>
      </c>
      <c r="M152" s="1" t="str">
        <f>IF(Teams[[#This Row],[relevant]], SUMIFS(Fixtures[A], Fixtures[userTeam], Teams[[#This Row],[name]]), "")</f>
        <v/>
      </c>
      <c r="N152" s="1" t="str">
        <f>IF(Teams[[#This Row],[relevant]], SUMIFS(Fixtures[INV], Fixtures[userTeam], Teams[[#This Row],[name]]), "")</f>
        <v/>
      </c>
      <c r="O152" s="1" t="str">
        <f>IF(Teams[[#This Row],[relevant]], SUMIFS(Fixtures[YC], Fixtures[userTeam], Teams[[#This Row],[name]]), "")</f>
        <v/>
      </c>
      <c r="P152" s="1" t="str">
        <f>IF(Teams[[#This Row],[relevant]], SUMIFS(Fixtures[RC], Fixtures[userTeam], Teams[[#This Row],[name]]), "")</f>
        <v/>
      </c>
      <c r="Q152" s="13" t="str">
        <f>IF(Teams[[#This Row],[relevant]], IF(ISERROR(AVERAGEIFS(Fixtures[MR], Fixtures[userTeam], Teams[[#This Row],[name]])), 0, AVERAGEIFS(Fixtures[MR], Fixtures[userTeam], Teams[[#This Row],[name]])), "")</f>
        <v/>
      </c>
      <c r="R152" s="1" t="str">
        <f>IF(Teams[[#This Row],[relevant]], COUNTIFS(Fixtures[userTeam], Teams[[#This Row],[name]], Fixtures[MOTM], TRUE), "")</f>
        <v/>
      </c>
      <c r="S152" s="1" t="str" cm="1">
        <f t="array" ref="S152">IF(Teams[[#This Row],[relevant]], _xlfn.TEXTJOIN(", ", TRUE, _xlfn._xlws.FILTER(Stats[competition]&amp;" ("&amp;Stats[season]&amp;")",(Stats[team]=Teams[[#This Row],[name]])*(Stats[result]="Winner"),"")), "")</f>
        <v/>
      </c>
    </row>
    <row r="153" spans="1:19" ht="13" hidden="1">
      <c r="A153" s="1" t="s">
        <v>550</v>
      </c>
      <c r="B153" s="1" t="s">
        <v>152</v>
      </c>
      <c r="C153" s="1" t="s">
        <v>391</v>
      </c>
      <c r="D153" s="1" t="str">
        <f>UPPER(_xlfn.CONCAT(LEFT(Teams[[#This Row],[teamType]], 1), "-", LEFT(SUBSTITUTE(Teams[[#This Row],[nation]], "/", ""), 3), "-", SUBSTITUTE(SUBSTITUTE(SUBSTITUTE(Teams[[#This Row],[name]], ".", ""), " ", ""), "-", "")))</f>
        <v>C-ENG-COLCHESTER</v>
      </c>
      <c r="E153" s="16"/>
      <c r="F153" s="16"/>
      <c r="G153" s="1" t="b">
        <f>COUNTBLANK(Teams[[#This Row],[startDate]:[endDate]]) &lt; 2</f>
        <v>0</v>
      </c>
      <c r="H153" s="1" t="str">
        <f>IF(Teams[[#This Row],[relevant]], COUNTIFS(Fixtures[userTeam], Teams[[#This Row],[name]], Fixtures[APP], TRUE), "")</f>
        <v/>
      </c>
      <c r="I153" s="1" t="str">
        <f>IF(Teams[[#This Row],[relevant]], COUNTIFS(Fixtures[userTeam], Teams[[#This Row],[name]], Fixtures[result], "W", Fixtures[APP], TRUE), "")</f>
        <v/>
      </c>
      <c r="J153" s="1" t="str">
        <f>IF(Teams[[#This Row],[relevant]], COUNTIFS(Fixtures[userTeam], Teams[[#This Row],[name]], Fixtures[result], "D", Fixtures[APP], TRUE), "")</f>
        <v/>
      </c>
      <c r="K153" s="1" t="str">
        <f>IF(Teams[[#This Row],[relevant]], COUNTIFS(Fixtures[userTeam], Teams[[#This Row],[name]], Fixtures[result], "L", Fixtures[APP], TRUE), "")</f>
        <v/>
      </c>
      <c r="L153" s="1" t="str">
        <f>IF(Teams[[#This Row],[relevant]], SUMIFS(Fixtures[G], Fixtures[userTeam], Teams[[#This Row],[name]]), "")</f>
        <v/>
      </c>
      <c r="M153" s="1" t="str">
        <f>IF(Teams[[#This Row],[relevant]], SUMIFS(Fixtures[A], Fixtures[userTeam], Teams[[#This Row],[name]]), "")</f>
        <v/>
      </c>
      <c r="N153" s="1" t="str">
        <f>IF(Teams[[#This Row],[relevant]], SUMIFS(Fixtures[INV], Fixtures[userTeam], Teams[[#This Row],[name]]), "")</f>
        <v/>
      </c>
      <c r="O153" s="1" t="str">
        <f>IF(Teams[[#This Row],[relevant]], SUMIFS(Fixtures[YC], Fixtures[userTeam], Teams[[#This Row],[name]]), "")</f>
        <v/>
      </c>
      <c r="P153" s="1" t="str">
        <f>IF(Teams[[#This Row],[relevant]], SUMIFS(Fixtures[RC], Fixtures[userTeam], Teams[[#This Row],[name]]), "")</f>
        <v/>
      </c>
      <c r="Q153" s="13" t="str">
        <f>IF(Teams[[#This Row],[relevant]], IF(ISERROR(AVERAGEIFS(Fixtures[MR], Fixtures[userTeam], Teams[[#This Row],[name]])), 0, AVERAGEIFS(Fixtures[MR], Fixtures[userTeam], Teams[[#This Row],[name]])), "")</f>
        <v/>
      </c>
      <c r="R153" s="1" t="str">
        <f>IF(Teams[[#This Row],[relevant]], COUNTIFS(Fixtures[userTeam], Teams[[#This Row],[name]], Fixtures[MOTM], TRUE), "")</f>
        <v/>
      </c>
      <c r="S153" s="1" t="str" cm="1">
        <f t="array" ref="S153">IF(Teams[[#This Row],[relevant]], _xlfn.TEXTJOIN(", ", TRUE, _xlfn._xlws.FILTER(Stats[competition]&amp;" ("&amp;Stats[season]&amp;")",(Stats[team]=Teams[[#This Row],[name]])*(Stats[result]="Winner"),"")), "")</f>
        <v/>
      </c>
    </row>
    <row r="154" spans="1:19" ht="13" hidden="1">
      <c r="A154" s="1" t="s">
        <v>551</v>
      </c>
      <c r="B154" s="1" t="s">
        <v>456</v>
      </c>
      <c r="C154" s="1" t="s">
        <v>391</v>
      </c>
      <c r="D154" s="1" t="str">
        <f>UPPER(_xlfn.CONCAT(LEFT(Teams[[#This Row],[teamType]], 1), "-", LEFT(SUBSTITUTE(Teams[[#This Row],[nation]], "/", ""), 3), "-", SUBSTITUTE(SUBSTITUTE(SUBSTITUTE(Teams[[#This Row],[name]], ".", ""), " ", ""), "-", "")))</f>
        <v>C-CHI-COLOCOLO</v>
      </c>
      <c r="E154" s="16"/>
      <c r="F154" s="16"/>
      <c r="G154" s="1" t="b">
        <f>COUNTBLANK(Teams[[#This Row],[startDate]:[endDate]]) &lt; 2</f>
        <v>0</v>
      </c>
      <c r="H154" s="1" t="str">
        <f>IF(Teams[[#This Row],[relevant]], COUNTIFS(Fixtures[userTeam], Teams[[#This Row],[name]], Fixtures[APP], TRUE), "")</f>
        <v/>
      </c>
      <c r="I154" s="1" t="str">
        <f>IF(Teams[[#This Row],[relevant]], COUNTIFS(Fixtures[userTeam], Teams[[#This Row],[name]], Fixtures[result], "W", Fixtures[APP], TRUE), "")</f>
        <v/>
      </c>
      <c r="J154" s="1" t="str">
        <f>IF(Teams[[#This Row],[relevant]], COUNTIFS(Fixtures[userTeam], Teams[[#This Row],[name]], Fixtures[result], "D", Fixtures[APP], TRUE), "")</f>
        <v/>
      </c>
      <c r="K154" s="1" t="str">
        <f>IF(Teams[[#This Row],[relevant]], COUNTIFS(Fixtures[userTeam], Teams[[#This Row],[name]], Fixtures[result], "L", Fixtures[APP], TRUE), "")</f>
        <v/>
      </c>
      <c r="L154" s="1" t="str">
        <f>IF(Teams[[#This Row],[relevant]], SUMIFS(Fixtures[G], Fixtures[userTeam], Teams[[#This Row],[name]]), "")</f>
        <v/>
      </c>
      <c r="M154" s="1" t="str">
        <f>IF(Teams[[#This Row],[relevant]], SUMIFS(Fixtures[A], Fixtures[userTeam], Teams[[#This Row],[name]]), "")</f>
        <v/>
      </c>
      <c r="N154" s="1" t="str">
        <f>IF(Teams[[#This Row],[relevant]], SUMIFS(Fixtures[INV], Fixtures[userTeam], Teams[[#This Row],[name]]), "")</f>
        <v/>
      </c>
      <c r="O154" s="1" t="str">
        <f>IF(Teams[[#This Row],[relevant]], SUMIFS(Fixtures[YC], Fixtures[userTeam], Teams[[#This Row],[name]]), "")</f>
        <v/>
      </c>
      <c r="P154" s="1" t="str">
        <f>IF(Teams[[#This Row],[relevant]], SUMIFS(Fixtures[RC], Fixtures[userTeam], Teams[[#This Row],[name]]), "")</f>
        <v/>
      </c>
      <c r="Q154" s="13" t="str">
        <f>IF(Teams[[#This Row],[relevant]], IF(ISERROR(AVERAGEIFS(Fixtures[MR], Fixtures[userTeam], Teams[[#This Row],[name]])), 0, AVERAGEIFS(Fixtures[MR], Fixtures[userTeam], Teams[[#This Row],[name]])), "")</f>
        <v/>
      </c>
      <c r="R154" s="1" t="str">
        <f>IF(Teams[[#This Row],[relevant]], COUNTIFS(Fixtures[userTeam], Teams[[#This Row],[name]], Fixtures[MOTM], TRUE), "")</f>
        <v/>
      </c>
      <c r="S154" s="1" t="str" cm="1">
        <f t="array" ref="S154">IF(Teams[[#This Row],[relevant]], _xlfn.TEXTJOIN(", ", TRUE, _xlfn._xlws.FILTER(Stats[competition]&amp;" ("&amp;Stats[season]&amp;")",(Stats[team]=Teams[[#This Row],[name]])*(Stats[result]="Winner"),"")), "")</f>
        <v/>
      </c>
    </row>
    <row r="155" spans="1:19" ht="13" hidden="1">
      <c r="A155" s="1" t="s">
        <v>552</v>
      </c>
      <c r="B155" s="1" t="s">
        <v>131</v>
      </c>
      <c r="C155" s="1" t="s">
        <v>391</v>
      </c>
      <c r="D155" s="1" t="str">
        <f>UPPER(_xlfn.CONCAT(LEFT(Teams[[#This Row],[teamType]], 1), "-", LEFT(SUBSTITUTE(Teams[[#This Row],[nation]], "/", ""), 3), "-", SUBSTITUTE(SUBSTITUTE(SUBSTITUTE(Teams[[#This Row],[name]], ".", ""), " ", ""), "-", "")))</f>
        <v>C-ARG-COLÓN</v>
      </c>
      <c r="E155" s="16"/>
      <c r="F155" s="16"/>
      <c r="G155" s="1" t="b">
        <f>COUNTBLANK(Teams[[#This Row],[startDate]:[endDate]]) &lt; 2</f>
        <v>0</v>
      </c>
      <c r="H155" s="1" t="str">
        <f>IF(Teams[[#This Row],[relevant]], COUNTIFS(Fixtures[userTeam], Teams[[#This Row],[name]], Fixtures[APP], TRUE), "")</f>
        <v/>
      </c>
      <c r="I155" s="1" t="str">
        <f>IF(Teams[[#This Row],[relevant]], COUNTIFS(Fixtures[userTeam], Teams[[#This Row],[name]], Fixtures[result], "W", Fixtures[APP], TRUE), "")</f>
        <v/>
      </c>
      <c r="J155" s="1" t="str">
        <f>IF(Teams[[#This Row],[relevant]], COUNTIFS(Fixtures[userTeam], Teams[[#This Row],[name]], Fixtures[result], "D", Fixtures[APP], TRUE), "")</f>
        <v/>
      </c>
      <c r="K155" s="1" t="str">
        <f>IF(Teams[[#This Row],[relevant]], COUNTIFS(Fixtures[userTeam], Teams[[#This Row],[name]], Fixtures[result], "L", Fixtures[APP], TRUE), "")</f>
        <v/>
      </c>
      <c r="L155" s="1" t="str">
        <f>IF(Teams[[#This Row],[relevant]], SUMIFS(Fixtures[G], Fixtures[userTeam], Teams[[#This Row],[name]]), "")</f>
        <v/>
      </c>
      <c r="M155" s="1" t="str">
        <f>IF(Teams[[#This Row],[relevant]], SUMIFS(Fixtures[A], Fixtures[userTeam], Teams[[#This Row],[name]]), "")</f>
        <v/>
      </c>
      <c r="N155" s="1" t="str">
        <f>IF(Teams[[#This Row],[relevant]], SUMIFS(Fixtures[INV], Fixtures[userTeam], Teams[[#This Row],[name]]), "")</f>
        <v/>
      </c>
      <c r="O155" s="1" t="str">
        <f>IF(Teams[[#This Row],[relevant]], SUMIFS(Fixtures[YC], Fixtures[userTeam], Teams[[#This Row],[name]]), "")</f>
        <v/>
      </c>
      <c r="P155" s="1" t="str">
        <f>IF(Teams[[#This Row],[relevant]], SUMIFS(Fixtures[RC], Fixtures[userTeam], Teams[[#This Row],[name]]), "")</f>
        <v/>
      </c>
      <c r="Q155" s="13" t="str">
        <f>IF(Teams[[#This Row],[relevant]], IF(ISERROR(AVERAGEIFS(Fixtures[MR], Fixtures[userTeam], Teams[[#This Row],[name]])), 0, AVERAGEIFS(Fixtures[MR], Fixtures[userTeam], Teams[[#This Row],[name]])), "")</f>
        <v/>
      </c>
      <c r="R155" s="1" t="str">
        <f>IF(Teams[[#This Row],[relevant]], COUNTIFS(Fixtures[userTeam], Teams[[#This Row],[name]], Fixtures[MOTM], TRUE), "")</f>
        <v/>
      </c>
      <c r="S155" s="1" t="str" cm="1">
        <f t="array" ref="S155">IF(Teams[[#This Row],[relevant]], _xlfn.TEXTJOIN(", ", TRUE, _xlfn._xlws.FILTER(Stats[competition]&amp;" ("&amp;Stats[season]&amp;")",(Stats[team]=Teams[[#This Row],[name]])*(Stats[result]="Winner"),"")), "")</f>
        <v/>
      </c>
    </row>
    <row r="156" spans="1:19" ht="13" hidden="1">
      <c r="A156" s="1" t="s">
        <v>553</v>
      </c>
      <c r="B156" s="1" t="s">
        <v>16</v>
      </c>
      <c r="C156" s="1" t="s">
        <v>391</v>
      </c>
      <c r="D156" s="1" t="str">
        <f>UPPER(_xlfn.CONCAT(LEFT(Teams[[#This Row],[teamType]], 1), "-", LEFT(SUBSTITUTE(Teams[[#This Row],[nation]], "/", ""), 3), "-", SUBSTITUTE(SUBSTITUTE(SUBSTITUTE(Teams[[#This Row],[name]], ".", ""), " ", ""), "-", "")))</f>
        <v>C-UNI-COLORADORAPIDS</v>
      </c>
      <c r="E156" s="16"/>
      <c r="F156" s="16"/>
      <c r="G156" s="1" t="b">
        <f>COUNTBLANK(Teams[[#This Row],[startDate]:[endDate]]) &lt; 2</f>
        <v>0</v>
      </c>
      <c r="H156" s="1" t="str">
        <f>IF(Teams[[#This Row],[relevant]], COUNTIFS(Fixtures[userTeam], Teams[[#This Row],[name]], Fixtures[APP], TRUE), "")</f>
        <v/>
      </c>
      <c r="I156" s="1" t="str">
        <f>IF(Teams[[#This Row],[relevant]], COUNTIFS(Fixtures[userTeam], Teams[[#This Row],[name]], Fixtures[result], "W", Fixtures[APP], TRUE), "")</f>
        <v/>
      </c>
      <c r="J156" s="1" t="str">
        <f>IF(Teams[[#This Row],[relevant]], COUNTIFS(Fixtures[userTeam], Teams[[#This Row],[name]], Fixtures[result], "D", Fixtures[APP], TRUE), "")</f>
        <v/>
      </c>
      <c r="K156" s="1" t="str">
        <f>IF(Teams[[#This Row],[relevant]], COUNTIFS(Fixtures[userTeam], Teams[[#This Row],[name]], Fixtures[result], "L", Fixtures[APP], TRUE), "")</f>
        <v/>
      </c>
      <c r="L156" s="1" t="str">
        <f>IF(Teams[[#This Row],[relevant]], SUMIFS(Fixtures[G], Fixtures[userTeam], Teams[[#This Row],[name]]), "")</f>
        <v/>
      </c>
      <c r="M156" s="1" t="str">
        <f>IF(Teams[[#This Row],[relevant]], SUMIFS(Fixtures[A], Fixtures[userTeam], Teams[[#This Row],[name]]), "")</f>
        <v/>
      </c>
      <c r="N156" s="1" t="str">
        <f>IF(Teams[[#This Row],[relevant]], SUMIFS(Fixtures[INV], Fixtures[userTeam], Teams[[#This Row],[name]]), "")</f>
        <v/>
      </c>
      <c r="O156" s="1" t="str">
        <f>IF(Teams[[#This Row],[relevant]], SUMIFS(Fixtures[YC], Fixtures[userTeam], Teams[[#This Row],[name]]), "")</f>
        <v/>
      </c>
      <c r="P156" s="1" t="str">
        <f>IF(Teams[[#This Row],[relevant]], SUMIFS(Fixtures[RC], Fixtures[userTeam], Teams[[#This Row],[name]]), "")</f>
        <v/>
      </c>
      <c r="Q156" s="13" t="str">
        <f>IF(Teams[[#This Row],[relevant]], IF(ISERROR(AVERAGEIFS(Fixtures[MR], Fixtures[userTeam], Teams[[#This Row],[name]])), 0, AVERAGEIFS(Fixtures[MR], Fixtures[userTeam], Teams[[#This Row],[name]])), "")</f>
        <v/>
      </c>
      <c r="R156" s="1" t="str">
        <f>IF(Teams[[#This Row],[relevant]], COUNTIFS(Fixtures[userTeam], Teams[[#This Row],[name]], Fixtures[MOTM], TRUE), "")</f>
        <v/>
      </c>
      <c r="S156" s="1" t="str" cm="1">
        <f t="array" ref="S156">IF(Teams[[#This Row],[relevant]], _xlfn.TEXTJOIN(", ", TRUE, _xlfn._xlws.FILTER(Stats[competition]&amp;" ("&amp;Stats[season]&amp;")",(Stats[team]=Teams[[#This Row],[name]])*(Stats[result]="Winner"),"")), "")</f>
        <v/>
      </c>
    </row>
    <row r="157" spans="1:19" ht="13" hidden="1">
      <c r="A157" s="1" t="s">
        <v>554</v>
      </c>
      <c r="B157" s="1" t="s">
        <v>16</v>
      </c>
      <c r="C157" s="1" t="s">
        <v>391</v>
      </c>
      <c r="D157" s="1" t="str">
        <f>UPPER(_xlfn.CONCAT(LEFT(Teams[[#This Row],[teamType]], 1), "-", LEFT(SUBSTITUTE(Teams[[#This Row],[nation]], "/", ""), 3), "-", SUBSTITUTE(SUBSTITUTE(SUBSTITUTE(Teams[[#This Row],[name]], ".", ""), " ", ""), "-", "")))</f>
        <v>C-UNI-COLUMBUSCREW</v>
      </c>
      <c r="E157" s="16"/>
      <c r="F157" s="16"/>
      <c r="G157" s="1" t="b">
        <f>COUNTBLANK(Teams[[#This Row],[startDate]:[endDate]]) &lt; 2</f>
        <v>0</v>
      </c>
      <c r="H157" s="1" t="str">
        <f>IF(Teams[[#This Row],[relevant]], COUNTIFS(Fixtures[userTeam], Teams[[#This Row],[name]], Fixtures[APP], TRUE), "")</f>
        <v/>
      </c>
      <c r="I157" s="1" t="str">
        <f>IF(Teams[[#This Row],[relevant]], COUNTIFS(Fixtures[userTeam], Teams[[#This Row],[name]], Fixtures[result], "W", Fixtures[APP], TRUE), "")</f>
        <v/>
      </c>
      <c r="J157" s="1" t="str">
        <f>IF(Teams[[#This Row],[relevant]], COUNTIFS(Fixtures[userTeam], Teams[[#This Row],[name]], Fixtures[result], "D", Fixtures[APP], TRUE), "")</f>
        <v/>
      </c>
      <c r="K157" s="1" t="str">
        <f>IF(Teams[[#This Row],[relevant]], COUNTIFS(Fixtures[userTeam], Teams[[#This Row],[name]], Fixtures[result], "L", Fixtures[APP], TRUE), "")</f>
        <v/>
      </c>
      <c r="L157" s="1" t="str">
        <f>IF(Teams[[#This Row],[relevant]], SUMIFS(Fixtures[G], Fixtures[userTeam], Teams[[#This Row],[name]]), "")</f>
        <v/>
      </c>
      <c r="M157" s="1" t="str">
        <f>IF(Teams[[#This Row],[relevant]], SUMIFS(Fixtures[A], Fixtures[userTeam], Teams[[#This Row],[name]]), "")</f>
        <v/>
      </c>
      <c r="N157" s="1" t="str">
        <f>IF(Teams[[#This Row],[relevant]], SUMIFS(Fixtures[INV], Fixtures[userTeam], Teams[[#This Row],[name]]), "")</f>
        <v/>
      </c>
      <c r="O157" s="1" t="str">
        <f>IF(Teams[[#This Row],[relevant]], SUMIFS(Fixtures[YC], Fixtures[userTeam], Teams[[#This Row],[name]]), "")</f>
        <v/>
      </c>
      <c r="P157" s="1" t="str">
        <f>IF(Teams[[#This Row],[relevant]], SUMIFS(Fixtures[RC], Fixtures[userTeam], Teams[[#This Row],[name]]), "")</f>
        <v/>
      </c>
      <c r="Q157" s="13" t="str">
        <f>IF(Teams[[#This Row],[relevant]], IF(ISERROR(AVERAGEIFS(Fixtures[MR], Fixtures[userTeam], Teams[[#This Row],[name]])), 0, AVERAGEIFS(Fixtures[MR], Fixtures[userTeam], Teams[[#This Row],[name]])), "")</f>
        <v/>
      </c>
      <c r="R157" s="1" t="str">
        <f>IF(Teams[[#This Row],[relevant]], COUNTIFS(Fixtures[userTeam], Teams[[#This Row],[name]], Fixtures[MOTM], TRUE), "")</f>
        <v/>
      </c>
      <c r="S157" s="1" t="str" cm="1">
        <f t="array" ref="S157">IF(Teams[[#This Row],[relevant]], _xlfn.TEXTJOIN(", ", TRUE, _xlfn._xlws.FILTER(Stats[competition]&amp;" ("&amp;Stats[season]&amp;")",(Stats[team]=Teams[[#This Row],[name]])*(Stats[result]="Winner"),"")), "")</f>
        <v/>
      </c>
    </row>
    <row r="158" spans="1:19" ht="13" hidden="1">
      <c r="A158" s="1" t="s">
        <v>555</v>
      </c>
      <c r="B158" s="1" t="s">
        <v>254</v>
      </c>
      <c r="C158" s="1" t="s">
        <v>391</v>
      </c>
      <c r="D158" s="1" t="str">
        <f>UPPER(_xlfn.CONCAT(LEFT(Teams[[#This Row],[teamType]], 1), "-", LEFT(SUBSTITUTE(Teams[[#This Row],[nation]], "/", ""), 3), "-", SUBSTITUTE(SUBSTITUTE(SUBSTITUTE(Teams[[#This Row],[name]], ".", ""), " ", ""), "-", "")))</f>
        <v>C-ITA-COMO</v>
      </c>
      <c r="E158" s="16"/>
      <c r="F158" s="16"/>
      <c r="G158" s="1" t="b">
        <f>COUNTBLANK(Teams[[#This Row],[startDate]:[endDate]]) &lt; 2</f>
        <v>0</v>
      </c>
      <c r="H158" s="1" t="str">
        <f>IF(Teams[[#This Row],[relevant]], COUNTIFS(Fixtures[userTeam], Teams[[#This Row],[name]], Fixtures[APP], TRUE), "")</f>
        <v/>
      </c>
      <c r="I158" s="1" t="str">
        <f>IF(Teams[[#This Row],[relevant]], COUNTIFS(Fixtures[userTeam], Teams[[#This Row],[name]], Fixtures[result], "W", Fixtures[APP], TRUE), "")</f>
        <v/>
      </c>
      <c r="J158" s="1" t="str">
        <f>IF(Teams[[#This Row],[relevant]], COUNTIFS(Fixtures[userTeam], Teams[[#This Row],[name]], Fixtures[result], "D", Fixtures[APP], TRUE), "")</f>
        <v/>
      </c>
      <c r="K158" s="1" t="str">
        <f>IF(Teams[[#This Row],[relevant]], COUNTIFS(Fixtures[userTeam], Teams[[#This Row],[name]], Fixtures[result], "L", Fixtures[APP], TRUE), "")</f>
        <v/>
      </c>
      <c r="L158" s="1" t="str">
        <f>IF(Teams[[#This Row],[relevant]], SUMIFS(Fixtures[G], Fixtures[userTeam], Teams[[#This Row],[name]]), "")</f>
        <v/>
      </c>
      <c r="M158" s="1" t="str">
        <f>IF(Teams[[#This Row],[relevant]], SUMIFS(Fixtures[A], Fixtures[userTeam], Teams[[#This Row],[name]]), "")</f>
        <v/>
      </c>
      <c r="N158" s="1" t="str">
        <f>IF(Teams[[#This Row],[relevant]], SUMIFS(Fixtures[INV], Fixtures[userTeam], Teams[[#This Row],[name]]), "")</f>
        <v/>
      </c>
      <c r="O158" s="1" t="str">
        <f>IF(Teams[[#This Row],[relevant]], SUMIFS(Fixtures[YC], Fixtures[userTeam], Teams[[#This Row],[name]]), "")</f>
        <v/>
      </c>
      <c r="P158" s="1" t="str">
        <f>IF(Teams[[#This Row],[relevant]], SUMIFS(Fixtures[RC], Fixtures[userTeam], Teams[[#This Row],[name]]), "")</f>
        <v/>
      </c>
      <c r="Q158" s="13" t="str">
        <f>IF(Teams[[#This Row],[relevant]], IF(ISERROR(AVERAGEIFS(Fixtures[MR], Fixtures[userTeam], Teams[[#This Row],[name]])), 0, AVERAGEIFS(Fixtures[MR], Fixtures[userTeam], Teams[[#This Row],[name]])), "")</f>
        <v/>
      </c>
      <c r="R158" s="1" t="str">
        <f>IF(Teams[[#This Row],[relevant]], COUNTIFS(Fixtures[userTeam], Teams[[#This Row],[name]], Fixtures[MOTM], TRUE), "")</f>
        <v/>
      </c>
      <c r="S158" s="1" t="str" cm="1">
        <f t="array" ref="S158">IF(Teams[[#This Row],[relevant]], _xlfn.TEXTJOIN(", ", TRUE, _xlfn._xlws.FILTER(Stats[competition]&amp;" ("&amp;Stats[season]&amp;")",(Stats[team]=Teams[[#This Row],[name]])*(Stats[result]="Winner"),"")), "")</f>
        <v/>
      </c>
    </row>
    <row r="159" spans="1:19" ht="13" hidden="1">
      <c r="A159" s="1" t="s">
        <v>556</v>
      </c>
      <c r="B159" s="1" t="s">
        <v>451</v>
      </c>
      <c r="C159" s="1" t="s">
        <v>391</v>
      </c>
      <c r="D159" s="1" t="str">
        <f>UPPER(_xlfn.CONCAT(LEFT(Teams[[#This Row],[teamType]], 1), "-", LEFT(SUBSTITUTE(Teams[[#This Row],[nation]], "/", ""), 3), "-", SUBSTITUTE(SUBSTITUTE(SUBSTITUTE(Teams[[#This Row],[name]], ".", ""), " ", ""), "-", "")))</f>
        <v>C-BRA-CORINTHIANS</v>
      </c>
      <c r="E159" s="16"/>
      <c r="F159" s="16"/>
      <c r="G159" s="1" t="b">
        <f>COUNTBLANK(Teams[[#This Row],[startDate]:[endDate]]) &lt; 2</f>
        <v>0</v>
      </c>
      <c r="H159" s="1" t="str">
        <f>IF(Teams[[#This Row],[relevant]], COUNTIFS(Fixtures[userTeam], Teams[[#This Row],[name]], Fixtures[APP], TRUE), "")</f>
        <v/>
      </c>
      <c r="I159" s="1" t="str">
        <f>IF(Teams[[#This Row],[relevant]], COUNTIFS(Fixtures[userTeam], Teams[[#This Row],[name]], Fixtures[result], "W", Fixtures[APP], TRUE), "")</f>
        <v/>
      </c>
      <c r="J159" s="1" t="str">
        <f>IF(Teams[[#This Row],[relevant]], COUNTIFS(Fixtures[userTeam], Teams[[#This Row],[name]], Fixtures[result], "D", Fixtures[APP], TRUE), "")</f>
        <v/>
      </c>
      <c r="K159" s="1" t="str">
        <f>IF(Teams[[#This Row],[relevant]], COUNTIFS(Fixtures[userTeam], Teams[[#This Row],[name]], Fixtures[result], "L", Fixtures[APP], TRUE), "")</f>
        <v/>
      </c>
      <c r="L159" s="1" t="str">
        <f>IF(Teams[[#This Row],[relevant]], SUMIFS(Fixtures[G], Fixtures[userTeam], Teams[[#This Row],[name]]), "")</f>
        <v/>
      </c>
      <c r="M159" s="1" t="str">
        <f>IF(Teams[[#This Row],[relevant]], SUMIFS(Fixtures[A], Fixtures[userTeam], Teams[[#This Row],[name]]), "")</f>
        <v/>
      </c>
      <c r="N159" s="1" t="str">
        <f>IF(Teams[[#This Row],[relevant]], SUMIFS(Fixtures[INV], Fixtures[userTeam], Teams[[#This Row],[name]]), "")</f>
        <v/>
      </c>
      <c r="O159" s="1" t="str">
        <f>IF(Teams[[#This Row],[relevant]], SUMIFS(Fixtures[YC], Fixtures[userTeam], Teams[[#This Row],[name]]), "")</f>
        <v/>
      </c>
      <c r="P159" s="1" t="str">
        <f>IF(Teams[[#This Row],[relevant]], SUMIFS(Fixtures[RC], Fixtures[userTeam], Teams[[#This Row],[name]]), "")</f>
        <v/>
      </c>
      <c r="Q159" s="13" t="str">
        <f>IF(Teams[[#This Row],[relevant]], IF(ISERROR(AVERAGEIFS(Fixtures[MR], Fixtures[userTeam], Teams[[#This Row],[name]])), 0, AVERAGEIFS(Fixtures[MR], Fixtures[userTeam], Teams[[#This Row],[name]])), "")</f>
        <v/>
      </c>
      <c r="R159" s="1" t="str">
        <f>IF(Teams[[#This Row],[relevant]], COUNTIFS(Fixtures[userTeam], Teams[[#This Row],[name]], Fixtures[MOTM], TRUE), "")</f>
        <v/>
      </c>
      <c r="S159" s="1" t="str" cm="1">
        <f t="array" ref="S159">IF(Teams[[#This Row],[relevant]], _xlfn.TEXTJOIN(", ", TRUE, _xlfn._xlws.FILTER(Stats[competition]&amp;" ("&amp;Stats[season]&amp;")",(Stats[team]=Teams[[#This Row],[name]])*(Stats[result]="Winner"),"")), "")</f>
        <v/>
      </c>
    </row>
    <row r="160" spans="1:19" ht="13" hidden="1">
      <c r="A160" s="1" t="s">
        <v>557</v>
      </c>
      <c r="B160" s="1" t="s">
        <v>254</v>
      </c>
      <c r="C160" s="1" t="s">
        <v>391</v>
      </c>
      <c r="D160" s="1" t="str">
        <f>UPPER(_xlfn.CONCAT(LEFT(Teams[[#This Row],[teamType]], 1), "-", LEFT(SUBSTITUTE(Teams[[#This Row],[nation]], "/", ""), 3), "-", SUBSTITUTE(SUBSTITUTE(SUBSTITUTE(Teams[[#This Row],[name]], ".", ""), " ", ""), "-", "")))</f>
        <v>C-ITA-COSENZA</v>
      </c>
      <c r="E160" s="16"/>
      <c r="F160" s="16"/>
      <c r="G160" s="1" t="b">
        <f>COUNTBLANK(Teams[[#This Row],[startDate]:[endDate]]) &lt; 2</f>
        <v>0</v>
      </c>
      <c r="H160" s="1" t="str">
        <f>IF(Teams[[#This Row],[relevant]], COUNTIFS(Fixtures[userTeam], Teams[[#This Row],[name]], Fixtures[APP], TRUE), "")</f>
        <v/>
      </c>
      <c r="I160" s="1" t="str">
        <f>IF(Teams[[#This Row],[relevant]], COUNTIFS(Fixtures[userTeam], Teams[[#This Row],[name]], Fixtures[result], "W", Fixtures[APP], TRUE), "")</f>
        <v/>
      </c>
      <c r="J160" s="1" t="str">
        <f>IF(Teams[[#This Row],[relevant]], COUNTIFS(Fixtures[userTeam], Teams[[#This Row],[name]], Fixtures[result], "D", Fixtures[APP], TRUE), "")</f>
        <v/>
      </c>
      <c r="K160" s="1" t="str">
        <f>IF(Teams[[#This Row],[relevant]], COUNTIFS(Fixtures[userTeam], Teams[[#This Row],[name]], Fixtures[result], "L", Fixtures[APP], TRUE), "")</f>
        <v/>
      </c>
      <c r="L160" s="1" t="str">
        <f>IF(Teams[[#This Row],[relevant]], SUMIFS(Fixtures[G], Fixtures[userTeam], Teams[[#This Row],[name]]), "")</f>
        <v/>
      </c>
      <c r="M160" s="1" t="str">
        <f>IF(Teams[[#This Row],[relevant]], SUMIFS(Fixtures[A], Fixtures[userTeam], Teams[[#This Row],[name]]), "")</f>
        <v/>
      </c>
      <c r="N160" s="1" t="str">
        <f>IF(Teams[[#This Row],[relevant]], SUMIFS(Fixtures[INV], Fixtures[userTeam], Teams[[#This Row],[name]]), "")</f>
        <v/>
      </c>
      <c r="O160" s="1" t="str">
        <f>IF(Teams[[#This Row],[relevant]], SUMIFS(Fixtures[YC], Fixtures[userTeam], Teams[[#This Row],[name]]), "")</f>
        <v/>
      </c>
      <c r="P160" s="1" t="str">
        <f>IF(Teams[[#This Row],[relevant]], SUMIFS(Fixtures[RC], Fixtures[userTeam], Teams[[#This Row],[name]]), "")</f>
        <v/>
      </c>
      <c r="Q160" s="13" t="str">
        <f>IF(Teams[[#This Row],[relevant]], IF(ISERROR(AVERAGEIFS(Fixtures[MR], Fixtures[userTeam], Teams[[#This Row],[name]])), 0, AVERAGEIFS(Fixtures[MR], Fixtures[userTeam], Teams[[#This Row],[name]])), "")</f>
        <v/>
      </c>
      <c r="R160" s="1" t="str">
        <f>IF(Teams[[#This Row],[relevant]], COUNTIFS(Fixtures[userTeam], Teams[[#This Row],[name]], Fixtures[MOTM], TRUE), "")</f>
        <v/>
      </c>
      <c r="S160" s="1" t="str" cm="1">
        <f t="array" ref="S160">IF(Teams[[#This Row],[relevant]], _xlfn.TEXTJOIN(", ", TRUE, _xlfn._xlws.FILTER(Stats[competition]&amp;" ("&amp;Stats[season]&amp;")",(Stats[team]=Teams[[#This Row],[name]])*(Stats[result]="Winner"),"")), "")</f>
        <v/>
      </c>
    </row>
    <row r="161" spans="1:19" ht="13" hidden="1">
      <c r="A161" s="1" t="s">
        <v>209</v>
      </c>
      <c r="B161" s="1" t="s">
        <v>152</v>
      </c>
      <c r="C161" s="1" t="s">
        <v>391</v>
      </c>
      <c r="D161" s="1" t="str">
        <f>UPPER(_xlfn.CONCAT(LEFT(Teams[[#This Row],[teamType]], 1), "-", LEFT(SUBSTITUTE(Teams[[#This Row],[nation]], "/", ""), 3), "-", SUBSTITUTE(SUBSTITUTE(SUBSTITUTE(Teams[[#This Row],[name]], ".", ""), " ", ""), "-", "")))</f>
        <v>C-ENG-COVENTRYCITY</v>
      </c>
      <c r="E161" s="16"/>
      <c r="F161" s="16"/>
      <c r="G161" s="1" t="b">
        <f>COUNTBLANK(Teams[[#This Row],[startDate]:[endDate]]) &lt; 2</f>
        <v>0</v>
      </c>
      <c r="H161" s="1" t="str">
        <f>IF(Teams[[#This Row],[relevant]], COUNTIFS(Fixtures[userTeam], Teams[[#This Row],[name]], Fixtures[APP], TRUE), "")</f>
        <v/>
      </c>
      <c r="I161" s="1" t="str">
        <f>IF(Teams[[#This Row],[relevant]], COUNTIFS(Fixtures[userTeam], Teams[[#This Row],[name]], Fixtures[result], "W", Fixtures[APP], TRUE), "")</f>
        <v/>
      </c>
      <c r="J161" s="1" t="str">
        <f>IF(Teams[[#This Row],[relevant]], COUNTIFS(Fixtures[userTeam], Teams[[#This Row],[name]], Fixtures[result], "D", Fixtures[APP], TRUE), "")</f>
        <v/>
      </c>
      <c r="K161" s="1" t="str">
        <f>IF(Teams[[#This Row],[relevant]], COUNTIFS(Fixtures[userTeam], Teams[[#This Row],[name]], Fixtures[result], "L", Fixtures[APP], TRUE), "")</f>
        <v/>
      </c>
      <c r="L161" s="1" t="str">
        <f>IF(Teams[[#This Row],[relevant]], SUMIFS(Fixtures[G], Fixtures[userTeam], Teams[[#This Row],[name]]), "")</f>
        <v/>
      </c>
      <c r="M161" s="1" t="str">
        <f>IF(Teams[[#This Row],[relevant]], SUMIFS(Fixtures[A], Fixtures[userTeam], Teams[[#This Row],[name]]), "")</f>
        <v/>
      </c>
      <c r="N161" s="1" t="str">
        <f>IF(Teams[[#This Row],[relevant]], SUMIFS(Fixtures[INV], Fixtures[userTeam], Teams[[#This Row],[name]]), "")</f>
        <v/>
      </c>
      <c r="O161" s="1" t="str">
        <f>IF(Teams[[#This Row],[relevant]], SUMIFS(Fixtures[YC], Fixtures[userTeam], Teams[[#This Row],[name]]), "")</f>
        <v/>
      </c>
      <c r="P161" s="1" t="str">
        <f>IF(Teams[[#This Row],[relevant]], SUMIFS(Fixtures[RC], Fixtures[userTeam], Teams[[#This Row],[name]]), "")</f>
        <v/>
      </c>
      <c r="Q161" s="13" t="str">
        <f>IF(Teams[[#This Row],[relevant]], IF(ISERROR(AVERAGEIFS(Fixtures[MR], Fixtures[userTeam], Teams[[#This Row],[name]])), 0, AVERAGEIFS(Fixtures[MR], Fixtures[userTeam], Teams[[#This Row],[name]])), "")</f>
        <v/>
      </c>
      <c r="R161" s="1" t="str">
        <f>IF(Teams[[#This Row],[relevant]], COUNTIFS(Fixtures[userTeam], Teams[[#This Row],[name]], Fixtures[MOTM], TRUE), "")</f>
        <v/>
      </c>
      <c r="S161" s="1" t="str" cm="1">
        <f t="array" ref="S161">IF(Teams[[#This Row],[relevant]], _xlfn.TEXTJOIN(", ", TRUE, _xlfn._xlws.FILTER(Stats[competition]&amp;" ("&amp;Stats[season]&amp;")",(Stats[team]=Teams[[#This Row],[name]])*(Stats[result]="Winner"),"")), "")</f>
        <v/>
      </c>
    </row>
    <row r="162" spans="1:19" ht="13" hidden="1">
      <c r="A162" s="1" t="s">
        <v>558</v>
      </c>
      <c r="B162" s="1" t="s">
        <v>213</v>
      </c>
      <c r="C162" s="1" t="s">
        <v>391</v>
      </c>
      <c r="D162" s="1" t="str">
        <f>UPPER(_xlfn.CONCAT(LEFT(Teams[[#This Row],[teamType]], 1), "-", LEFT(SUBSTITUTE(Teams[[#This Row],[nation]], "/", ""), 3), "-", SUBSTITUTE(SUBSTITUTE(SUBSTITUTE(Teams[[#This Row],[name]], ".", ""), " ", ""), "-", "")))</f>
        <v>C-POL-CRACOVIA</v>
      </c>
      <c r="E162" s="16"/>
      <c r="F162" s="16"/>
      <c r="G162" s="1" t="b">
        <f>COUNTBLANK(Teams[[#This Row],[startDate]:[endDate]]) &lt; 2</f>
        <v>0</v>
      </c>
      <c r="H162" s="1" t="str">
        <f>IF(Teams[[#This Row],[relevant]], COUNTIFS(Fixtures[userTeam], Teams[[#This Row],[name]], Fixtures[APP], TRUE), "")</f>
        <v/>
      </c>
      <c r="I162" s="1" t="str">
        <f>IF(Teams[[#This Row],[relevant]], COUNTIFS(Fixtures[userTeam], Teams[[#This Row],[name]], Fixtures[result], "W", Fixtures[APP], TRUE), "")</f>
        <v/>
      </c>
      <c r="J162" s="1" t="str">
        <f>IF(Teams[[#This Row],[relevant]], COUNTIFS(Fixtures[userTeam], Teams[[#This Row],[name]], Fixtures[result], "D", Fixtures[APP], TRUE), "")</f>
        <v/>
      </c>
      <c r="K162" s="1" t="str">
        <f>IF(Teams[[#This Row],[relevant]], COUNTIFS(Fixtures[userTeam], Teams[[#This Row],[name]], Fixtures[result], "L", Fixtures[APP], TRUE), "")</f>
        <v/>
      </c>
      <c r="L162" s="1" t="str">
        <f>IF(Teams[[#This Row],[relevant]], SUMIFS(Fixtures[G], Fixtures[userTeam], Teams[[#This Row],[name]]), "")</f>
        <v/>
      </c>
      <c r="M162" s="1" t="str">
        <f>IF(Teams[[#This Row],[relevant]], SUMIFS(Fixtures[A], Fixtures[userTeam], Teams[[#This Row],[name]]), "")</f>
        <v/>
      </c>
      <c r="N162" s="1" t="str">
        <f>IF(Teams[[#This Row],[relevant]], SUMIFS(Fixtures[INV], Fixtures[userTeam], Teams[[#This Row],[name]]), "")</f>
        <v/>
      </c>
      <c r="O162" s="1" t="str">
        <f>IF(Teams[[#This Row],[relevant]], SUMIFS(Fixtures[YC], Fixtures[userTeam], Teams[[#This Row],[name]]), "")</f>
        <v/>
      </c>
      <c r="P162" s="1" t="str">
        <f>IF(Teams[[#This Row],[relevant]], SUMIFS(Fixtures[RC], Fixtures[userTeam], Teams[[#This Row],[name]]), "")</f>
        <v/>
      </c>
      <c r="Q162" s="13" t="str">
        <f>IF(Teams[[#This Row],[relevant]], IF(ISERROR(AVERAGEIFS(Fixtures[MR], Fixtures[userTeam], Teams[[#This Row],[name]])), 0, AVERAGEIFS(Fixtures[MR], Fixtures[userTeam], Teams[[#This Row],[name]])), "")</f>
        <v/>
      </c>
      <c r="R162" s="1" t="str">
        <f>IF(Teams[[#This Row],[relevant]], COUNTIFS(Fixtures[userTeam], Teams[[#This Row],[name]], Fixtures[MOTM], TRUE), "")</f>
        <v/>
      </c>
      <c r="S162" s="1" t="str" cm="1">
        <f t="array" ref="S162">IF(Teams[[#This Row],[relevant]], _xlfn.TEXTJOIN(", ", TRUE, _xlfn._xlws.FILTER(Stats[competition]&amp;" ("&amp;Stats[season]&amp;")",(Stats[team]=Teams[[#This Row],[name]])*(Stats[result]="Winner"),"")), "")</f>
        <v/>
      </c>
    </row>
    <row r="163" spans="1:19" ht="13" hidden="1">
      <c r="A163" s="1" t="s">
        <v>559</v>
      </c>
      <c r="B163" s="1" t="s">
        <v>152</v>
      </c>
      <c r="C163" s="1" t="s">
        <v>391</v>
      </c>
      <c r="D163" s="1" t="str">
        <f>UPPER(_xlfn.CONCAT(LEFT(Teams[[#This Row],[teamType]], 1), "-", LEFT(SUBSTITUTE(Teams[[#This Row],[nation]], "/", ""), 3), "-", SUBSTITUTE(SUBSTITUTE(SUBSTITUTE(Teams[[#This Row],[name]], ".", ""), " ", ""), "-", "")))</f>
        <v>C-ENG-CRAWLEYTOWN</v>
      </c>
      <c r="E163" s="16"/>
      <c r="F163" s="16"/>
      <c r="G163" s="1" t="b">
        <f>COUNTBLANK(Teams[[#This Row],[startDate]:[endDate]]) &lt; 2</f>
        <v>0</v>
      </c>
      <c r="H163" s="1" t="str">
        <f>IF(Teams[[#This Row],[relevant]], COUNTIFS(Fixtures[userTeam], Teams[[#This Row],[name]], Fixtures[APP], TRUE), "")</f>
        <v/>
      </c>
      <c r="I163" s="1" t="str">
        <f>IF(Teams[[#This Row],[relevant]], COUNTIFS(Fixtures[userTeam], Teams[[#This Row],[name]], Fixtures[result], "W", Fixtures[APP], TRUE), "")</f>
        <v/>
      </c>
      <c r="J163" s="1" t="str">
        <f>IF(Teams[[#This Row],[relevant]], COUNTIFS(Fixtures[userTeam], Teams[[#This Row],[name]], Fixtures[result], "D", Fixtures[APP], TRUE), "")</f>
        <v/>
      </c>
      <c r="K163" s="1" t="str">
        <f>IF(Teams[[#This Row],[relevant]], COUNTIFS(Fixtures[userTeam], Teams[[#This Row],[name]], Fixtures[result], "L", Fixtures[APP], TRUE), "")</f>
        <v/>
      </c>
      <c r="L163" s="1" t="str">
        <f>IF(Teams[[#This Row],[relevant]], SUMIFS(Fixtures[G], Fixtures[userTeam], Teams[[#This Row],[name]]), "")</f>
        <v/>
      </c>
      <c r="M163" s="1" t="str">
        <f>IF(Teams[[#This Row],[relevant]], SUMIFS(Fixtures[A], Fixtures[userTeam], Teams[[#This Row],[name]]), "")</f>
        <v/>
      </c>
      <c r="N163" s="1" t="str">
        <f>IF(Teams[[#This Row],[relevant]], SUMIFS(Fixtures[INV], Fixtures[userTeam], Teams[[#This Row],[name]]), "")</f>
        <v/>
      </c>
      <c r="O163" s="1" t="str">
        <f>IF(Teams[[#This Row],[relevant]], SUMIFS(Fixtures[YC], Fixtures[userTeam], Teams[[#This Row],[name]]), "")</f>
        <v/>
      </c>
      <c r="P163" s="1" t="str">
        <f>IF(Teams[[#This Row],[relevant]], SUMIFS(Fixtures[RC], Fixtures[userTeam], Teams[[#This Row],[name]]), "")</f>
        <v/>
      </c>
      <c r="Q163" s="13" t="str">
        <f>IF(Teams[[#This Row],[relevant]], IF(ISERROR(AVERAGEIFS(Fixtures[MR], Fixtures[userTeam], Teams[[#This Row],[name]])), 0, AVERAGEIFS(Fixtures[MR], Fixtures[userTeam], Teams[[#This Row],[name]])), "")</f>
        <v/>
      </c>
      <c r="R163" s="1" t="str">
        <f>IF(Teams[[#This Row],[relevant]], COUNTIFS(Fixtures[userTeam], Teams[[#This Row],[name]], Fixtures[MOTM], TRUE), "")</f>
        <v/>
      </c>
      <c r="S163" s="1" t="str" cm="1">
        <f t="array" ref="S163">IF(Teams[[#This Row],[relevant]], _xlfn.TEXTJOIN(", ", TRUE, _xlfn._xlws.FILTER(Stats[competition]&amp;" ("&amp;Stats[season]&amp;")",(Stats[team]=Teams[[#This Row],[name]])*(Stats[result]="Winner"),"")), "")</f>
        <v/>
      </c>
    </row>
    <row r="164" spans="1:19" ht="13" hidden="1">
      <c r="A164" s="1" t="s">
        <v>560</v>
      </c>
      <c r="B164" s="1" t="s">
        <v>254</v>
      </c>
      <c r="C164" s="1" t="s">
        <v>391</v>
      </c>
      <c r="D164" s="1" t="str">
        <f>UPPER(_xlfn.CONCAT(LEFT(Teams[[#This Row],[teamType]], 1), "-", LEFT(SUBSTITUTE(Teams[[#This Row],[nation]], "/", ""), 3), "-", SUBSTITUTE(SUBSTITUTE(SUBSTITUTE(Teams[[#This Row],[name]], ".", ""), " ", ""), "-", "")))</f>
        <v>C-ITA-CREMONESE</v>
      </c>
      <c r="E164" s="16"/>
      <c r="F164" s="16"/>
      <c r="G164" s="1" t="b">
        <f>COUNTBLANK(Teams[[#This Row],[startDate]:[endDate]]) &lt; 2</f>
        <v>0</v>
      </c>
      <c r="H164" s="1" t="str">
        <f>IF(Teams[[#This Row],[relevant]], COUNTIFS(Fixtures[userTeam], Teams[[#This Row],[name]], Fixtures[APP], TRUE), "")</f>
        <v/>
      </c>
      <c r="I164" s="1" t="str">
        <f>IF(Teams[[#This Row],[relevant]], COUNTIFS(Fixtures[userTeam], Teams[[#This Row],[name]], Fixtures[result], "W", Fixtures[APP], TRUE), "")</f>
        <v/>
      </c>
      <c r="J164" s="1" t="str">
        <f>IF(Teams[[#This Row],[relevant]], COUNTIFS(Fixtures[userTeam], Teams[[#This Row],[name]], Fixtures[result], "D", Fixtures[APP], TRUE), "")</f>
        <v/>
      </c>
      <c r="K164" s="1" t="str">
        <f>IF(Teams[[#This Row],[relevant]], COUNTIFS(Fixtures[userTeam], Teams[[#This Row],[name]], Fixtures[result], "L", Fixtures[APP], TRUE), "")</f>
        <v/>
      </c>
      <c r="L164" s="1" t="str">
        <f>IF(Teams[[#This Row],[relevant]], SUMIFS(Fixtures[G], Fixtures[userTeam], Teams[[#This Row],[name]]), "")</f>
        <v/>
      </c>
      <c r="M164" s="1" t="str">
        <f>IF(Teams[[#This Row],[relevant]], SUMIFS(Fixtures[A], Fixtures[userTeam], Teams[[#This Row],[name]]), "")</f>
        <v/>
      </c>
      <c r="N164" s="1" t="str">
        <f>IF(Teams[[#This Row],[relevant]], SUMIFS(Fixtures[INV], Fixtures[userTeam], Teams[[#This Row],[name]]), "")</f>
        <v/>
      </c>
      <c r="O164" s="1" t="str">
        <f>IF(Teams[[#This Row],[relevant]], SUMIFS(Fixtures[YC], Fixtures[userTeam], Teams[[#This Row],[name]]), "")</f>
        <v/>
      </c>
      <c r="P164" s="1" t="str">
        <f>IF(Teams[[#This Row],[relevant]], SUMIFS(Fixtures[RC], Fixtures[userTeam], Teams[[#This Row],[name]]), "")</f>
        <v/>
      </c>
      <c r="Q164" s="13" t="str">
        <f>IF(Teams[[#This Row],[relevant]], IF(ISERROR(AVERAGEIFS(Fixtures[MR], Fixtures[userTeam], Teams[[#This Row],[name]])), 0, AVERAGEIFS(Fixtures[MR], Fixtures[userTeam], Teams[[#This Row],[name]])), "")</f>
        <v/>
      </c>
      <c r="R164" s="1" t="str">
        <f>IF(Teams[[#This Row],[relevant]], COUNTIFS(Fixtures[userTeam], Teams[[#This Row],[name]], Fixtures[MOTM], TRUE), "")</f>
        <v/>
      </c>
      <c r="S164" s="1" t="str" cm="1">
        <f t="array" ref="S164">IF(Teams[[#This Row],[relevant]], _xlfn.TEXTJOIN(", ", TRUE, _xlfn._xlws.FILTER(Stats[competition]&amp;" ("&amp;Stats[season]&amp;")",(Stats[team]=Teams[[#This Row],[name]])*(Stats[result]="Winner"),"")), "")</f>
        <v/>
      </c>
    </row>
    <row r="165" spans="1:19" ht="13" hidden="1">
      <c r="A165" s="1" t="s">
        <v>561</v>
      </c>
      <c r="B165" s="1" t="s">
        <v>152</v>
      </c>
      <c r="C165" s="1" t="s">
        <v>391</v>
      </c>
      <c r="D165" s="1" t="str">
        <f>UPPER(_xlfn.CONCAT(LEFT(Teams[[#This Row],[teamType]], 1), "-", LEFT(SUBSTITUTE(Teams[[#This Row],[nation]], "/", ""), 3), "-", SUBSTITUTE(SUBSTITUTE(SUBSTITUTE(Teams[[#This Row],[name]], ".", ""), " ", ""), "-", "")))</f>
        <v>C-ENG-CREWEALEXANDRA</v>
      </c>
      <c r="E165" s="16"/>
      <c r="F165" s="16"/>
      <c r="G165" s="1" t="b">
        <f>COUNTBLANK(Teams[[#This Row],[startDate]:[endDate]]) &lt; 2</f>
        <v>0</v>
      </c>
      <c r="H165" s="1" t="str">
        <f>IF(Teams[[#This Row],[relevant]], COUNTIFS(Fixtures[userTeam], Teams[[#This Row],[name]], Fixtures[APP], TRUE), "")</f>
        <v/>
      </c>
      <c r="I165" s="1" t="str">
        <f>IF(Teams[[#This Row],[relevant]], COUNTIFS(Fixtures[userTeam], Teams[[#This Row],[name]], Fixtures[result], "W", Fixtures[APP], TRUE), "")</f>
        <v/>
      </c>
      <c r="J165" s="1" t="str">
        <f>IF(Teams[[#This Row],[relevant]], COUNTIFS(Fixtures[userTeam], Teams[[#This Row],[name]], Fixtures[result], "D", Fixtures[APP], TRUE), "")</f>
        <v/>
      </c>
      <c r="K165" s="1" t="str">
        <f>IF(Teams[[#This Row],[relevant]], COUNTIFS(Fixtures[userTeam], Teams[[#This Row],[name]], Fixtures[result], "L", Fixtures[APP], TRUE), "")</f>
        <v/>
      </c>
      <c r="L165" s="1" t="str">
        <f>IF(Teams[[#This Row],[relevant]], SUMIFS(Fixtures[G], Fixtures[userTeam], Teams[[#This Row],[name]]), "")</f>
        <v/>
      </c>
      <c r="M165" s="1" t="str">
        <f>IF(Teams[[#This Row],[relevant]], SUMIFS(Fixtures[A], Fixtures[userTeam], Teams[[#This Row],[name]]), "")</f>
        <v/>
      </c>
      <c r="N165" s="1" t="str">
        <f>IF(Teams[[#This Row],[relevant]], SUMIFS(Fixtures[INV], Fixtures[userTeam], Teams[[#This Row],[name]]), "")</f>
        <v/>
      </c>
      <c r="O165" s="1" t="str">
        <f>IF(Teams[[#This Row],[relevant]], SUMIFS(Fixtures[YC], Fixtures[userTeam], Teams[[#This Row],[name]]), "")</f>
        <v/>
      </c>
      <c r="P165" s="1" t="str">
        <f>IF(Teams[[#This Row],[relevant]], SUMIFS(Fixtures[RC], Fixtures[userTeam], Teams[[#This Row],[name]]), "")</f>
        <v/>
      </c>
      <c r="Q165" s="13" t="str">
        <f>IF(Teams[[#This Row],[relevant]], IF(ISERROR(AVERAGEIFS(Fixtures[MR], Fixtures[userTeam], Teams[[#This Row],[name]])), 0, AVERAGEIFS(Fixtures[MR], Fixtures[userTeam], Teams[[#This Row],[name]])), "")</f>
        <v/>
      </c>
      <c r="R165" s="1" t="str">
        <f>IF(Teams[[#This Row],[relevant]], COUNTIFS(Fixtures[userTeam], Teams[[#This Row],[name]], Fixtures[MOTM], TRUE), "")</f>
        <v/>
      </c>
      <c r="S165" s="1" t="str" cm="1">
        <f t="array" ref="S165">IF(Teams[[#This Row],[relevant]], _xlfn.TEXTJOIN(", ", TRUE, _xlfn._xlws.FILTER(Stats[competition]&amp;" ("&amp;Stats[season]&amp;")",(Stats[team]=Teams[[#This Row],[name]])*(Stats[result]="Winner"),"")), "")</f>
        <v/>
      </c>
    </row>
    <row r="166" spans="1:19" ht="13" hidden="1">
      <c r="A166" s="1" t="s">
        <v>224</v>
      </c>
      <c r="B166" s="1" t="s">
        <v>224</v>
      </c>
      <c r="C166" s="1" t="s">
        <v>459</v>
      </c>
      <c r="D166" s="1" t="str">
        <f>UPPER(_xlfn.CONCAT(LEFT(Teams[[#This Row],[teamType]], 1), "-", LEFT(SUBSTITUTE(Teams[[#This Row],[nation]], "/", ""), 3), "-", SUBSTITUTE(SUBSTITUTE(SUBSTITUTE(Teams[[#This Row],[name]], ".", ""), " ", ""), "-", "")))</f>
        <v>N-CRO-CROATIA</v>
      </c>
      <c r="E166" s="16"/>
      <c r="F166" s="16"/>
      <c r="G166" s="1" t="b">
        <f>COUNTBLANK(Teams[[#This Row],[startDate]:[endDate]]) &lt; 2</f>
        <v>0</v>
      </c>
      <c r="H166" s="1" t="str">
        <f>IF(Teams[[#This Row],[relevant]], COUNTIFS(Fixtures[userTeam], Teams[[#This Row],[name]], Fixtures[APP], TRUE), "")</f>
        <v/>
      </c>
      <c r="I166" s="1" t="str">
        <f>IF(Teams[[#This Row],[relevant]], COUNTIFS(Fixtures[userTeam], Teams[[#This Row],[name]], Fixtures[result], "W", Fixtures[APP], TRUE), "")</f>
        <v/>
      </c>
      <c r="J166" s="1" t="str">
        <f>IF(Teams[[#This Row],[relevant]], COUNTIFS(Fixtures[userTeam], Teams[[#This Row],[name]], Fixtures[result], "D", Fixtures[APP], TRUE), "")</f>
        <v/>
      </c>
      <c r="K166" s="1" t="str">
        <f>IF(Teams[[#This Row],[relevant]], COUNTIFS(Fixtures[userTeam], Teams[[#This Row],[name]], Fixtures[result], "L", Fixtures[APP], TRUE), "")</f>
        <v/>
      </c>
      <c r="L166" s="1" t="str">
        <f>IF(Teams[[#This Row],[relevant]], SUMIFS(Fixtures[G], Fixtures[userTeam], Teams[[#This Row],[name]]), "")</f>
        <v/>
      </c>
      <c r="M166" s="1" t="str">
        <f>IF(Teams[[#This Row],[relevant]], SUMIFS(Fixtures[A], Fixtures[userTeam], Teams[[#This Row],[name]]), "")</f>
        <v/>
      </c>
      <c r="N166" s="1" t="str">
        <f>IF(Teams[[#This Row],[relevant]], SUMIFS(Fixtures[INV], Fixtures[userTeam], Teams[[#This Row],[name]]), "")</f>
        <v/>
      </c>
      <c r="O166" s="1" t="str">
        <f>IF(Teams[[#This Row],[relevant]], SUMIFS(Fixtures[YC], Fixtures[userTeam], Teams[[#This Row],[name]]), "")</f>
        <v/>
      </c>
      <c r="P166" s="1" t="str">
        <f>IF(Teams[[#This Row],[relevant]], SUMIFS(Fixtures[RC], Fixtures[userTeam], Teams[[#This Row],[name]]), "")</f>
        <v/>
      </c>
      <c r="Q166" s="13" t="str">
        <f>IF(Teams[[#This Row],[relevant]], IF(ISERROR(AVERAGEIFS(Fixtures[MR], Fixtures[userTeam], Teams[[#This Row],[name]])), 0, AVERAGEIFS(Fixtures[MR], Fixtures[userTeam], Teams[[#This Row],[name]])), "")</f>
        <v/>
      </c>
      <c r="R166" s="1" t="str">
        <f>IF(Teams[[#This Row],[relevant]], COUNTIFS(Fixtures[userTeam], Teams[[#This Row],[name]], Fixtures[MOTM], TRUE), "")</f>
        <v/>
      </c>
      <c r="S166" s="1" t="str" cm="1">
        <f t="array" ref="S166">IF(Teams[[#This Row],[relevant]], _xlfn.TEXTJOIN(", ", TRUE, _xlfn._xlws.FILTER(Stats[competition]&amp;" ("&amp;Stats[season]&amp;")",(Stats[team]=Teams[[#This Row],[name]])*(Stats[result]="Winner"),"")), "")</f>
        <v/>
      </c>
    </row>
    <row r="167" spans="1:19" ht="13" hidden="1">
      <c r="A167" s="1" t="s">
        <v>174</v>
      </c>
      <c r="B167" s="1" t="s">
        <v>152</v>
      </c>
      <c r="C167" s="1" t="s">
        <v>391</v>
      </c>
      <c r="D167" s="1" t="str">
        <f>UPPER(_xlfn.CONCAT(LEFT(Teams[[#This Row],[teamType]], 1), "-", LEFT(SUBSTITUTE(Teams[[#This Row],[nation]], "/", ""), 3), "-", SUBSTITUTE(SUBSTITUTE(SUBSTITUTE(Teams[[#This Row],[name]], ".", ""), " ", ""), "-", "")))</f>
        <v>C-ENG-CRYSTALPALACE</v>
      </c>
      <c r="E167" s="16"/>
      <c r="F167" s="16"/>
      <c r="G167" s="1" t="b">
        <f>COUNTBLANK(Teams[[#This Row],[startDate]:[endDate]]) &lt; 2</f>
        <v>0</v>
      </c>
      <c r="H167" s="1" t="str">
        <f>IF(Teams[[#This Row],[relevant]], COUNTIFS(Fixtures[userTeam], Teams[[#This Row],[name]], Fixtures[APP], TRUE), "")</f>
        <v/>
      </c>
      <c r="I167" s="1" t="str">
        <f>IF(Teams[[#This Row],[relevant]], COUNTIFS(Fixtures[userTeam], Teams[[#This Row],[name]], Fixtures[result], "W", Fixtures[APP], TRUE), "")</f>
        <v/>
      </c>
      <c r="J167" s="1" t="str">
        <f>IF(Teams[[#This Row],[relevant]], COUNTIFS(Fixtures[userTeam], Teams[[#This Row],[name]], Fixtures[result], "D", Fixtures[APP], TRUE), "")</f>
        <v/>
      </c>
      <c r="K167" s="1" t="str">
        <f>IF(Teams[[#This Row],[relevant]], COUNTIFS(Fixtures[userTeam], Teams[[#This Row],[name]], Fixtures[result], "L", Fixtures[APP], TRUE), "")</f>
        <v/>
      </c>
      <c r="L167" s="1" t="str">
        <f>IF(Teams[[#This Row],[relevant]], SUMIFS(Fixtures[G], Fixtures[userTeam], Teams[[#This Row],[name]]), "")</f>
        <v/>
      </c>
      <c r="M167" s="1" t="str">
        <f>IF(Teams[[#This Row],[relevant]], SUMIFS(Fixtures[A], Fixtures[userTeam], Teams[[#This Row],[name]]), "")</f>
        <v/>
      </c>
      <c r="N167" s="1" t="str">
        <f>IF(Teams[[#This Row],[relevant]], SUMIFS(Fixtures[INV], Fixtures[userTeam], Teams[[#This Row],[name]]), "")</f>
        <v/>
      </c>
      <c r="O167" s="1" t="str">
        <f>IF(Teams[[#This Row],[relevant]], SUMIFS(Fixtures[YC], Fixtures[userTeam], Teams[[#This Row],[name]]), "")</f>
        <v/>
      </c>
      <c r="P167" s="1" t="str">
        <f>IF(Teams[[#This Row],[relevant]], SUMIFS(Fixtures[RC], Fixtures[userTeam], Teams[[#This Row],[name]]), "")</f>
        <v/>
      </c>
      <c r="Q167" s="13" t="str">
        <f>IF(Teams[[#This Row],[relevant]], IF(ISERROR(AVERAGEIFS(Fixtures[MR], Fixtures[userTeam], Teams[[#This Row],[name]])), 0, AVERAGEIFS(Fixtures[MR], Fixtures[userTeam], Teams[[#This Row],[name]])), "")</f>
        <v/>
      </c>
      <c r="R167" s="1" t="str">
        <f>IF(Teams[[#This Row],[relevant]], COUNTIFS(Fixtures[userTeam], Teams[[#This Row],[name]], Fixtures[MOTM], TRUE), "")</f>
        <v/>
      </c>
      <c r="S167" s="1" t="str" cm="1">
        <f t="array" ref="S167">IF(Teams[[#This Row],[relevant]], _xlfn.TEXTJOIN(", ", TRUE, _xlfn._xlws.FILTER(Stats[competition]&amp;" ("&amp;Stats[season]&amp;")",(Stats[team]=Teams[[#This Row],[name]])*(Stats[result]="Winner"),"")), "")</f>
        <v/>
      </c>
    </row>
    <row r="168" spans="1:19" ht="13" hidden="1">
      <c r="A168" s="1" t="s">
        <v>562</v>
      </c>
      <c r="B168" s="1" t="s">
        <v>396</v>
      </c>
      <c r="C168" s="1" t="s">
        <v>391</v>
      </c>
      <c r="D168" s="1" t="str">
        <f>UPPER(_xlfn.CONCAT(LEFT(Teams[[#This Row],[teamType]], 1), "-", LEFT(SUBSTITUTE(Teams[[#This Row],[nation]], "/", ""), 3), "-", SUBSTITUTE(SUBSTITUTE(SUBSTITUTE(Teams[[#This Row],[name]], ".", ""), " ", ""), "-", "")))</f>
        <v>C-ECU-CSEMELEC</v>
      </c>
      <c r="E168" s="16"/>
      <c r="F168" s="16"/>
      <c r="G168" s="1" t="b">
        <f>COUNTBLANK(Teams[[#This Row],[startDate]:[endDate]]) &lt; 2</f>
        <v>0</v>
      </c>
      <c r="H168" s="1" t="str">
        <f>IF(Teams[[#This Row],[relevant]], COUNTIFS(Fixtures[userTeam], Teams[[#This Row],[name]], Fixtures[APP], TRUE), "")</f>
        <v/>
      </c>
      <c r="I168" s="1" t="str">
        <f>IF(Teams[[#This Row],[relevant]], COUNTIFS(Fixtures[userTeam], Teams[[#This Row],[name]], Fixtures[result], "W", Fixtures[APP], TRUE), "")</f>
        <v/>
      </c>
      <c r="J168" s="1" t="str">
        <f>IF(Teams[[#This Row],[relevant]], COUNTIFS(Fixtures[userTeam], Teams[[#This Row],[name]], Fixtures[result], "D", Fixtures[APP], TRUE), "")</f>
        <v/>
      </c>
      <c r="K168" s="1" t="str">
        <f>IF(Teams[[#This Row],[relevant]], COUNTIFS(Fixtures[userTeam], Teams[[#This Row],[name]], Fixtures[result], "L", Fixtures[APP], TRUE), "")</f>
        <v/>
      </c>
      <c r="L168" s="1" t="str">
        <f>IF(Teams[[#This Row],[relevant]], SUMIFS(Fixtures[G], Fixtures[userTeam], Teams[[#This Row],[name]]), "")</f>
        <v/>
      </c>
      <c r="M168" s="1" t="str">
        <f>IF(Teams[[#This Row],[relevant]], SUMIFS(Fixtures[A], Fixtures[userTeam], Teams[[#This Row],[name]]), "")</f>
        <v/>
      </c>
      <c r="N168" s="1" t="str">
        <f>IF(Teams[[#This Row],[relevant]], SUMIFS(Fixtures[INV], Fixtures[userTeam], Teams[[#This Row],[name]]), "")</f>
        <v/>
      </c>
      <c r="O168" s="1" t="str">
        <f>IF(Teams[[#This Row],[relevant]], SUMIFS(Fixtures[YC], Fixtures[userTeam], Teams[[#This Row],[name]]), "")</f>
        <v/>
      </c>
      <c r="P168" s="1" t="str">
        <f>IF(Teams[[#This Row],[relevant]], SUMIFS(Fixtures[RC], Fixtures[userTeam], Teams[[#This Row],[name]]), "")</f>
        <v/>
      </c>
      <c r="Q168" s="13" t="str">
        <f>IF(Teams[[#This Row],[relevant]], IF(ISERROR(AVERAGEIFS(Fixtures[MR], Fixtures[userTeam], Teams[[#This Row],[name]])), 0, AVERAGEIFS(Fixtures[MR], Fixtures[userTeam], Teams[[#This Row],[name]])), "")</f>
        <v/>
      </c>
      <c r="R168" s="1" t="str">
        <f>IF(Teams[[#This Row],[relevant]], COUNTIFS(Fixtures[userTeam], Teams[[#This Row],[name]], Fixtures[MOTM], TRUE), "")</f>
        <v/>
      </c>
      <c r="S168" s="1" t="str" cm="1">
        <f t="array" ref="S168">IF(Teams[[#This Row],[relevant]], _xlfn.TEXTJOIN(", ", TRUE, _xlfn._xlws.FILTER(Stats[competition]&amp;" ("&amp;Stats[season]&amp;")",(Stats[team]=Teams[[#This Row],[name]])*(Stats[result]="Winner"),"")), "")</f>
        <v/>
      </c>
    </row>
    <row r="169" spans="1:19" ht="13" hidden="1">
      <c r="A169" s="1" t="s">
        <v>563</v>
      </c>
      <c r="B169" s="1" t="s">
        <v>419</v>
      </c>
      <c r="C169" s="1" t="s">
        <v>391</v>
      </c>
      <c r="D169" s="1" t="str">
        <f>UPPER(_xlfn.CONCAT(LEFT(Teams[[#This Row],[teamType]], 1), "-", LEFT(SUBSTITUTE(Teams[[#This Row],[nation]], "/", ""), 3), "-", SUBSTITUTE(SUBSTITUTE(SUBSTITUTE(Teams[[#This Row],[name]], ".", ""), " ", ""), "-", "")))</f>
        <v>C-ROM-CSMIOVENI</v>
      </c>
      <c r="E169" s="16"/>
      <c r="F169" s="16"/>
      <c r="G169" s="1" t="b">
        <f>COUNTBLANK(Teams[[#This Row],[startDate]:[endDate]]) &lt; 2</f>
        <v>0</v>
      </c>
      <c r="H169" s="1" t="str">
        <f>IF(Teams[[#This Row],[relevant]], COUNTIFS(Fixtures[userTeam], Teams[[#This Row],[name]], Fixtures[APP], TRUE), "")</f>
        <v/>
      </c>
      <c r="I169" s="1" t="str">
        <f>IF(Teams[[#This Row],[relevant]], COUNTIFS(Fixtures[userTeam], Teams[[#This Row],[name]], Fixtures[result], "W", Fixtures[APP], TRUE), "")</f>
        <v/>
      </c>
      <c r="J169" s="1" t="str">
        <f>IF(Teams[[#This Row],[relevant]], COUNTIFS(Fixtures[userTeam], Teams[[#This Row],[name]], Fixtures[result], "D", Fixtures[APP], TRUE), "")</f>
        <v/>
      </c>
      <c r="K169" s="1" t="str">
        <f>IF(Teams[[#This Row],[relevant]], COUNTIFS(Fixtures[userTeam], Teams[[#This Row],[name]], Fixtures[result], "L", Fixtures[APP], TRUE), "")</f>
        <v/>
      </c>
      <c r="L169" s="1" t="str">
        <f>IF(Teams[[#This Row],[relevant]], SUMIFS(Fixtures[G], Fixtures[userTeam], Teams[[#This Row],[name]]), "")</f>
        <v/>
      </c>
      <c r="M169" s="1" t="str">
        <f>IF(Teams[[#This Row],[relevant]], SUMIFS(Fixtures[A], Fixtures[userTeam], Teams[[#This Row],[name]]), "")</f>
        <v/>
      </c>
      <c r="N169" s="1" t="str">
        <f>IF(Teams[[#This Row],[relevant]], SUMIFS(Fixtures[INV], Fixtures[userTeam], Teams[[#This Row],[name]]), "")</f>
        <v/>
      </c>
      <c r="O169" s="1" t="str">
        <f>IF(Teams[[#This Row],[relevant]], SUMIFS(Fixtures[YC], Fixtures[userTeam], Teams[[#This Row],[name]]), "")</f>
        <v/>
      </c>
      <c r="P169" s="1" t="str">
        <f>IF(Teams[[#This Row],[relevant]], SUMIFS(Fixtures[RC], Fixtures[userTeam], Teams[[#This Row],[name]]), "")</f>
        <v/>
      </c>
      <c r="Q169" s="13" t="str">
        <f>IF(Teams[[#This Row],[relevant]], IF(ISERROR(AVERAGEIFS(Fixtures[MR], Fixtures[userTeam], Teams[[#This Row],[name]])), 0, AVERAGEIFS(Fixtures[MR], Fixtures[userTeam], Teams[[#This Row],[name]])), "")</f>
        <v/>
      </c>
      <c r="R169" s="1" t="str">
        <f>IF(Teams[[#This Row],[relevant]], COUNTIFS(Fixtures[userTeam], Teams[[#This Row],[name]], Fixtures[MOTM], TRUE), "")</f>
        <v/>
      </c>
      <c r="S169" s="1" t="str" cm="1">
        <f t="array" ref="S169">IF(Teams[[#This Row],[relevant]], _xlfn.TEXTJOIN(", ", TRUE, _xlfn._xlws.FILTER(Stats[competition]&amp;" ("&amp;Stats[season]&amp;")",(Stats[team]=Teams[[#This Row],[name]])*(Stats[result]="Winner"),"")), "")</f>
        <v/>
      </c>
    </row>
    <row r="170" spans="1:19" ht="13" hidden="1">
      <c r="A170" s="1" t="s">
        <v>564</v>
      </c>
      <c r="B170" s="1" t="s">
        <v>451</v>
      </c>
      <c r="C170" s="1" t="s">
        <v>391</v>
      </c>
      <c r="D170" s="1" t="str">
        <f>UPPER(_xlfn.CONCAT(LEFT(Teams[[#This Row],[teamType]], 1), "-", LEFT(SUBSTITUTE(Teams[[#This Row],[nation]], "/", ""), 3), "-", SUBSTITUTE(SUBSTITUTE(SUBSTITUTE(Teams[[#This Row],[name]], ".", ""), " ", ""), "-", "")))</f>
        <v>C-BRA-CUIABÁ</v>
      </c>
      <c r="E170" s="16"/>
      <c r="F170" s="16"/>
      <c r="G170" s="1" t="b">
        <f>COUNTBLANK(Teams[[#This Row],[startDate]:[endDate]]) &lt; 2</f>
        <v>0</v>
      </c>
      <c r="H170" s="1" t="str">
        <f>IF(Teams[[#This Row],[relevant]], COUNTIFS(Fixtures[userTeam], Teams[[#This Row],[name]], Fixtures[APP], TRUE), "")</f>
        <v/>
      </c>
      <c r="I170" s="1" t="str">
        <f>IF(Teams[[#This Row],[relevant]], COUNTIFS(Fixtures[userTeam], Teams[[#This Row],[name]], Fixtures[result], "W", Fixtures[APP], TRUE), "")</f>
        <v/>
      </c>
      <c r="J170" s="1" t="str">
        <f>IF(Teams[[#This Row],[relevant]], COUNTIFS(Fixtures[userTeam], Teams[[#This Row],[name]], Fixtures[result], "D", Fixtures[APP], TRUE), "")</f>
        <v/>
      </c>
      <c r="K170" s="1" t="str">
        <f>IF(Teams[[#This Row],[relevant]], COUNTIFS(Fixtures[userTeam], Teams[[#This Row],[name]], Fixtures[result], "L", Fixtures[APP], TRUE), "")</f>
        <v/>
      </c>
      <c r="L170" s="1" t="str">
        <f>IF(Teams[[#This Row],[relevant]], SUMIFS(Fixtures[G], Fixtures[userTeam], Teams[[#This Row],[name]]), "")</f>
        <v/>
      </c>
      <c r="M170" s="1" t="str">
        <f>IF(Teams[[#This Row],[relevant]], SUMIFS(Fixtures[A], Fixtures[userTeam], Teams[[#This Row],[name]]), "")</f>
        <v/>
      </c>
      <c r="N170" s="1" t="str">
        <f>IF(Teams[[#This Row],[relevant]], SUMIFS(Fixtures[INV], Fixtures[userTeam], Teams[[#This Row],[name]]), "")</f>
        <v/>
      </c>
      <c r="O170" s="1" t="str">
        <f>IF(Teams[[#This Row],[relevant]], SUMIFS(Fixtures[YC], Fixtures[userTeam], Teams[[#This Row],[name]]), "")</f>
        <v/>
      </c>
      <c r="P170" s="1" t="str">
        <f>IF(Teams[[#This Row],[relevant]], SUMIFS(Fixtures[RC], Fixtures[userTeam], Teams[[#This Row],[name]]), "")</f>
        <v/>
      </c>
      <c r="Q170" s="13" t="str">
        <f>IF(Teams[[#This Row],[relevant]], IF(ISERROR(AVERAGEIFS(Fixtures[MR], Fixtures[userTeam], Teams[[#This Row],[name]])), 0, AVERAGEIFS(Fixtures[MR], Fixtures[userTeam], Teams[[#This Row],[name]])), "")</f>
        <v/>
      </c>
      <c r="R170" s="1" t="str">
        <f>IF(Teams[[#This Row],[relevant]], COUNTIFS(Fixtures[userTeam], Teams[[#This Row],[name]], Fixtures[MOTM], TRUE), "")</f>
        <v/>
      </c>
      <c r="S170" s="1" t="str" cm="1">
        <f t="array" ref="S170">IF(Teams[[#This Row],[relevant]], _xlfn.TEXTJOIN(", ", TRUE, _xlfn._xlws.FILTER(Stats[competition]&amp;" ("&amp;Stats[season]&amp;")",(Stats[team]=Teams[[#This Row],[name]])*(Stats[result]="Winner"),"")), "")</f>
        <v/>
      </c>
    </row>
    <row r="171" spans="1:19" ht="13" hidden="1">
      <c r="A171" s="1" t="s">
        <v>164</v>
      </c>
      <c r="B171" s="1" t="s">
        <v>164</v>
      </c>
      <c r="C171" s="1" t="s">
        <v>459</v>
      </c>
      <c r="D171" s="1" t="str">
        <f>UPPER(_xlfn.CONCAT(LEFT(Teams[[#This Row],[teamType]], 1), "-", LEFT(SUBSTITUTE(Teams[[#This Row],[nation]], "/", ""), 3), "-", SUBSTITUTE(SUBSTITUTE(SUBSTITUTE(Teams[[#This Row],[name]], ".", ""), " ", ""), "-", "")))</f>
        <v>N-CZE-CZECHREPUBLIC</v>
      </c>
      <c r="E171" s="16"/>
      <c r="F171" s="16"/>
      <c r="G171" s="1" t="b">
        <f>COUNTBLANK(Teams[[#This Row],[startDate]:[endDate]]) &lt; 2</f>
        <v>0</v>
      </c>
      <c r="H171" s="1" t="str">
        <f>IF(Teams[[#This Row],[relevant]], COUNTIFS(Fixtures[userTeam], Teams[[#This Row],[name]], Fixtures[APP], TRUE), "")</f>
        <v/>
      </c>
      <c r="I171" s="1" t="str">
        <f>IF(Teams[[#This Row],[relevant]], COUNTIFS(Fixtures[userTeam], Teams[[#This Row],[name]], Fixtures[result], "W", Fixtures[APP], TRUE), "")</f>
        <v/>
      </c>
      <c r="J171" s="1" t="str">
        <f>IF(Teams[[#This Row],[relevant]], COUNTIFS(Fixtures[userTeam], Teams[[#This Row],[name]], Fixtures[result], "D", Fixtures[APP], TRUE), "")</f>
        <v/>
      </c>
      <c r="K171" s="1" t="str">
        <f>IF(Teams[[#This Row],[relevant]], COUNTIFS(Fixtures[userTeam], Teams[[#This Row],[name]], Fixtures[result], "L", Fixtures[APP], TRUE), "")</f>
        <v/>
      </c>
      <c r="L171" s="1" t="str">
        <f>IF(Teams[[#This Row],[relevant]], SUMIFS(Fixtures[G], Fixtures[userTeam], Teams[[#This Row],[name]]), "")</f>
        <v/>
      </c>
      <c r="M171" s="1" t="str">
        <f>IF(Teams[[#This Row],[relevant]], SUMIFS(Fixtures[A], Fixtures[userTeam], Teams[[#This Row],[name]]), "")</f>
        <v/>
      </c>
      <c r="N171" s="1" t="str">
        <f>IF(Teams[[#This Row],[relevant]], SUMIFS(Fixtures[INV], Fixtures[userTeam], Teams[[#This Row],[name]]), "")</f>
        <v/>
      </c>
      <c r="O171" s="1" t="str">
        <f>IF(Teams[[#This Row],[relevant]], SUMIFS(Fixtures[YC], Fixtures[userTeam], Teams[[#This Row],[name]]), "")</f>
        <v/>
      </c>
      <c r="P171" s="1" t="str">
        <f>IF(Teams[[#This Row],[relevant]], SUMIFS(Fixtures[RC], Fixtures[userTeam], Teams[[#This Row],[name]]), "")</f>
        <v/>
      </c>
      <c r="Q171" s="13" t="str">
        <f>IF(Teams[[#This Row],[relevant]], IF(ISERROR(AVERAGEIFS(Fixtures[MR], Fixtures[userTeam], Teams[[#This Row],[name]])), 0, AVERAGEIFS(Fixtures[MR], Fixtures[userTeam], Teams[[#This Row],[name]])), "")</f>
        <v/>
      </c>
      <c r="R171" s="1" t="str">
        <f>IF(Teams[[#This Row],[relevant]], COUNTIFS(Fixtures[userTeam], Teams[[#This Row],[name]], Fixtures[MOTM], TRUE), "")</f>
        <v/>
      </c>
      <c r="S171" s="1" t="str" cm="1">
        <f t="array" ref="S171">IF(Teams[[#This Row],[relevant]], _xlfn.TEXTJOIN(", ", TRUE, _xlfn._xlws.FILTER(Stats[competition]&amp;" ("&amp;Stats[season]&amp;")",(Stats[team]=Teams[[#This Row],[name]])*(Stats[result]="Winner"),"")), "")</f>
        <v/>
      </c>
    </row>
    <row r="172" spans="1:19" ht="13" hidden="1">
      <c r="A172" s="1" t="s">
        <v>565</v>
      </c>
      <c r="B172" s="1" t="s">
        <v>163</v>
      </c>
      <c r="C172" s="1" t="s">
        <v>391</v>
      </c>
      <c r="D172" s="1" t="str">
        <f>UPPER(_xlfn.CONCAT(LEFT(Teams[[#This Row],[teamType]], 1), "-", LEFT(SUBSTITUTE(Teams[[#This Row],[nation]], "/", ""), 3), "-", SUBSTITUTE(SUBSTITUTE(SUBSTITUTE(Teams[[#This Row],[name]], ".", ""), " ", ""), "-", "")))</f>
        <v>C-SPA-DALAVÉS</v>
      </c>
      <c r="E172" s="16"/>
      <c r="F172" s="16"/>
      <c r="G172" s="1" t="b">
        <f>COUNTBLANK(Teams[[#This Row],[startDate]:[endDate]]) &lt; 2</f>
        <v>0</v>
      </c>
      <c r="H172" s="1" t="str">
        <f>IF(Teams[[#This Row],[relevant]], COUNTIFS(Fixtures[userTeam], Teams[[#This Row],[name]], Fixtures[APP], TRUE), "")</f>
        <v/>
      </c>
      <c r="I172" s="1" t="str">
        <f>IF(Teams[[#This Row],[relevant]], COUNTIFS(Fixtures[userTeam], Teams[[#This Row],[name]], Fixtures[result], "W", Fixtures[APP], TRUE), "")</f>
        <v/>
      </c>
      <c r="J172" s="1" t="str">
        <f>IF(Teams[[#This Row],[relevant]], COUNTIFS(Fixtures[userTeam], Teams[[#This Row],[name]], Fixtures[result], "D", Fixtures[APP], TRUE), "")</f>
        <v/>
      </c>
      <c r="K172" s="1" t="str">
        <f>IF(Teams[[#This Row],[relevant]], COUNTIFS(Fixtures[userTeam], Teams[[#This Row],[name]], Fixtures[result], "L", Fixtures[APP], TRUE), "")</f>
        <v/>
      </c>
      <c r="L172" s="1" t="str">
        <f>IF(Teams[[#This Row],[relevant]], SUMIFS(Fixtures[G], Fixtures[userTeam], Teams[[#This Row],[name]]), "")</f>
        <v/>
      </c>
      <c r="M172" s="1" t="str">
        <f>IF(Teams[[#This Row],[relevant]], SUMIFS(Fixtures[A], Fixtures[userTeam], Teams[[#This Row],[name]]), "")</f>
        <v/>
      </c>
      <c r="N172" s="1" t="str">
        <f>IF(Teams[[#This Row],[relevant]], SUMIFS(Fixtures[INV], Fixtures[userTeam], Teams[[#This Row],[name]]), "")</f>
        <v/>
      </c>
      <c r="O172" s="1" t="str">
        <f>IF(Teams[[#This Row],[relevant]], SUMIFS(Fixtures[YC], Fixtures[userTeam], Teams[[#This Row],[name]]), "")</f>
        <v/>
      </c>
      <c r="P172" s="1" t="str">
        <f>IF(Teams[[#This Row],[relevant]], SUMIFS(Fixtures[RC], Fixtures[userTeam], Teams[[#This Row],[name]]), "")</f>
        <v/>
      </c>
      <c r="Q172" s="13" t="str">
        <f>IF(Teams[[#This Row],[relevant]], IF(ISERROR(AVERAGEIFS(Fixtures[MR], Fixtures[userTeam], Teams[[#This Row],[name]])), 0, AVERAGEIFS(Fixtures[MR], Fixtures[userTeam], Teams[[#This Row],[name]])), "")</f>
        <v/>
      </c>
      <c r="R172" s="1" t="str">
        <f>IF(Teams[[#This Row],[relevant]], COUNTIFS(Fixtures[userTeam], Teams[[#This Row],[name]], Fixtures[MOTM], TRUE), "")</f>
        <v/>
      </c>
      <c r="S172" s="1" t="str" cm="1">
        <f t="array" ref="S172">IF(Teams[[#This Row],[relevant]], _xlfn.TEXTJOIN(", ", TRUE, _xlfn._xlws.FILTER(Stats[competition]&amp;" ("&amp;Stats[season]&amp;")",(Stats[team]=Teams[[#This Row],[name]])*(Stats[result]="Winner"),"")), "")</f>
        <v/>
      </c>
    </row>
    <row r="173" spans="1:19" ht="13" hidden="1">
      <c r="A173" s="1" t="s">
        <v>566</v>
      </c>
      <c r="B173" s="1" t="s">
        <v>16</v>
      </c>
      <c r="C173" s="1" t="s">
        <v>391</v>
      </c>
      <c r="D173" s="1" t="str">
        <f>UPPER(_xlfn.CONCAT(LEFT(Teams[[#This Row],[teamType]], 1), "-", LEFT(SUBSTITUTE(Teams[[#This Row],[nation]], "/", ""), 3), "-", SUBSTITUTE(SUBSTITUTE(SUBSTITUTE(Teams[[#This Row],[name]], ".", ""), " ", ""), "-", "")))</f>
        <v>C-UNI-DCUNITED</v>
      </c>
      <c r="E173" s="16"/>
      <c r="F173" s="16"/>
      <c r="G173" s="1" t="b">
        <f>COUNTBLANK(Teams[[#This Row],[startDate]:[endDate]]) &lt; 2</f>
        <v>0</v>
      </c>
      <c r="H173" s="1" t="str">
        <f>IF(Teams[[#This Row],[relevant]], COUNTIFS(Fixtures[userTeam], Teams[[#This Row],[name]], Fixtures[APP], TRUE), "")</f>
        <v/>
      </c>
      <c r="I173" s="1" t="str">
        <f>IF(Teams[[#This Row],[relevant]], COUNTIFS(Fixtures[userTeam], Teams[[#This Row],[name]], Fixtures[result], "W", Fixtures[APP], TRUE), "")</f>
        <v/>
      </c>
      <c r="J173" s="1" t="str">
        <f>IF(Teams[[#This Row],[relevant]], COUNTIFS(Fixtures[userTeam], Teams[[#This Row],[name]], Fixtures[result], "D", Fixtures[APP], TRUE), "")</f>
        <v/>
      </c>
      <c r="K173" s="1" t="str">
        <f>IF(Teams[[#This Row],[relevant]], COUNTIFS(Fixtures[userTeam], Teams[[#This Row],[name]], Fixtures[result], "L", Fixtures[APP], TRUE), "")</f>
        <v/>
      </c>
      <c r="L173" s="1" t="str">
        <f>IF(Teams[[#This Row],[relevant]], SUMIFS(Fixtures[G], Fixtures[userTeam], Teams[[#This Row],[name]]), "")</f>
        <v/>
      </c>
      <c r="M173" s="1" t="str">
        <f>IF(Teams[[#This Row],[relevant]], SUMIFS(Fixtures[A], Fixtures[userTeam], Teams[[#This Row],[name]]), "")</f>
        <v/>
      </c>
      <c r="N173" s="1" t="str">
        <f>IF(Teams[[#This Row],[relevant]], SUMIFS(Fixtures[INV], Fixtures[userTeam], Teams[[#This Row],[name]]), "")</f>
        <v/>
      </c>
      <c r="O173" s="1" t="str">
        <f>IF(Teams[[#This Row],[relevant]], SUMIFS(Fixtures[YC], Fixtures[userTeam], Teams[[#This Row],[name]]), "")</f>
        <v/>
      </c>
      <c r="P173" s="1" t="str">
        <f>IF(Teams[[#This Row],[relevant]], SUMIFS(Fixtures[RC], Fixtures[userTeam], Teams[[#This Row],[name]]), "")</f>
        <v/>
      </c>
      <c r="Q173" s="13" t="str">
        <f>IF(Teams[[#This Row],[relevant]], IF(ISERROR(AVERAGEIFS(Fixtures[MR], Fixtures[userTeam], Teams[[#This Row],[name]])), 0, AVERAGEIFS(Fixtures[MR], Fixtures[userTeam], Teams[[#This Row],[name]])), "")</f>
        <v/>
      </c>
      <c r="R173" s="1" t="str">
        <f>IF(Teams[[#This Row],[relevant]], COUNTIFS(Fixtures[userTeam], Teams[[#This Row],[name]], Fixtures[MOTM], TRUE), "")</f>
        <v/>
      </c>
      <c r="S173" s="1" t="str" cm="1">
        <f t="array" ref="S173">IF(Teams[[#This Row],[relevant]], _xlfn.TEXTJOIN(", ", TRUE, _xlfn._xlws.FILTER(Stats[competition]&amp;" ("&amp;Stats[season]&amp;")",(Stats[team]=Teams[[#This Row],[name]])*(Stats[result]="Winner"),"")), "")</f>
        <v/>
      </c>
    </row>
    <row r="174" spans="1:19" ht="13" hidden="1">
      <c r="A174" s="1" t="s">
        <v>567</v>
      </c>
      <c r="B174" s="1" t="s">
        <v>568</v>
      </c>
      <c r="C174" s="1" t="s">
        <v>391</v>
      </c>
      <c r="D174" s="1" t="str">
        <f>UPPER(_xlfn.CONCAT(LEFT(Teams[[#This Row],[teamType]], 1), "-", LEFT(SUBSTITUTE(Teams[[#This Row],[nation]], "/", ""), 3), "-", SUBSTITUTE(SUBSTITUTE(SUBSTITUTE(Teams[[#This Row],[name]], ".", ""), " ", ""), "-", "")))</f>
        <v>C-KOR-DAEGUFC</v>
      </c>
      <c r="E174" s="16"/>
      <c r="F174" s="16"/>
      <c r="G174" s="1" t="b">
        <f>COUNTBLANK(Teams[[#This Row],[startDate]:[endDate]]) &lt; 2</f>
        <v>0</v>
      </c>
      <c r="H174" s="1" t="str">
        <f>IF(Teams[[#This Row],[relevant]], COUNTIFS(Fixtures[userTeam], Teams[[#This Row],[name]], Fixtures[APP], TRUE), "")</f>
        <v/>
      </c>
      <c r="I174" s="1" t="str">
        <f>IF(Teams[[#This Row],[relevant]], COUNTIFS(Fixtures[userTeam], Teams[[#This Row],[name]], Fixtures[result], "W", Fixtures[APP], TRUE), "")</f>
        <v/>
      </c>
      <c r="J174" s="1" t="str">
        <f>IF(Teams[[#This Row],[relevant]], COUNTIFS(Fixtures[userTeam], Teams[[#This Row],[name]], Fixtures[result], "D", Fixtures[APP], TRUE), "")</f>
        <v/>
      </c>
      <c r="K174" s="1" t="str">
        <f>IF(Teams[[#This Row],[relevant]], COUNTIFS(Fixtures[userTeam], Teams[[#This Row],[name]], Fixtures[result], "L", Fixtures[APP], TRUE), "")</f>
        <v/>
      </c>
      <c r="L174" s="1" t="str">
        <f>IF(Teams[[#This Row],[relevant]], SUMIFS(Fixtures[G], Fixtures[userTeam], Teams[[#This Row],[name]]), "")</f>
        <v/>
      </c>
      <c r="M174" s="1" t="str">
        <f>IF(Teams[[#This Row],[relevant]], SUMIFS(Fixtures[A], Fixtures[userTeam], Teams[[#This Row],[name]]), "")</f>
        <v/>
      </c>
      <c r="N174" s="1" t="str">
        <f>IF(Teams[[#This Row],[relevant]], SUMIFS(Fixtures[INV], Fixtures[userTeam], Teams[[#This Row],[name]]), "")</f>
        <v/>
      </c>
      <c r="O174" s="1" t="str">
        <f>IF(Teams[[#This Row],[relevant]], SUMIFS(Fixtures[YC], Fixtures[userTeam], Teams[[#This Row],[name]]), "")</f>
        <v/>
      </c>
      <c r="P174" s="1" t="str">
        <f>IF(Teams[[#This Row],[relevant]], SUMIFS(Fixtures[RC], Fixtures[userTeam], Teams[[#This Row],[name]]), "")</f>
        <v/>
      </c>
      <c r="Q174" s="13" t="str">
        <f>IF(Teams[[#This Row],[relevant]], IF(ISERROR(AVERAGEIFS(Fixtures[MR], Fixtures[userTeam], Teams[[#This Row],[name]])), 0, AVERAGEIFS(Fixtures[MR], Fixtures[userTeam], Teams[[#This Row],[name]])), "")</f>
        <v/>
      </c>
      <c r="R174" s="1" t="str">
        <f>IF(Teams[[#This Row],[relevant]], COUNTIFS(Fixtures[userTeam], Teams[[#This Row],[name]], Fixtures[MOTM], TRUE), "")</f>
        <v/>
      </c>
      <c r="S174" s="1" t="str" cm="1">
        <f t="array" ref="S174">IF(Teams[[#This Row],[relevant]], _xlfn.TEXTJOIN(", ", TRUE, _xlfn._xlws.FILTER(Stats[competition]&amp;" ("&amp;Stats[season]&amp;")",(Stats[team]=Teams[[#This Row],[name]])*(Stats[result]="Winner"),"")), "")</f>
        <v/>
      </c>
    </row>
    <row r="175" spans="1:19" ht="13" hidden="1">
      <c r="A175" s="1" t="s">
        <v>569</v>
      </c>
      <c r="B175" s="1" t="s">
        <v>493</v>
      </c>
      <c r="C175" s="1" t="s">
        <v>391</v>
      </c>
      <c r="D175" s="1" t="str">
        <f>UPPER(_xlfn.CONCAT(LEFT(Teams[[#This Row],[teamType]], 1), "-", LEFT(SUBSTITUTE(Teams[[#This Row],[nation]], "/", ""), 3), "-", SUBSTITUTE(SUBSTITUTE(SUBSTITUTE(Teams[[#This Row],[name]], ".", ""), " ", ""), "-", "")))</f>
        <v>C-CHI-DALIANPRO</v>
      </c>
      <c r="E175" s="16"/>
      <c r="F175" s="16"/>
      <c r="G175" s="1" t="b">
        <f>COUNTBLANK(Teams[[#This Row],[startDate]:[endDate]]) &lt; 2</f>
        <v>0</v>
      </c>
      <c r="H175" s="1" t="str">
        <f>IF(Teams[[#This Row],[relevant]], COUNTIFS(Fixtures[userTeam], Teams[[#This Row],[name]], Fixtures[APP], TRUE), "")</f>
        <v/>
      </c>
      <c r="I175" s="1" t="str">
        <f>IF(Teams[[#This Row],[relevant]], COUNTIFS(Fixtures[userTeam], Teams[[#This Row],[name]], Fixtures[result], "W", Fixtures[APP], TRUE), "")</f>
        <v/>
      </c>
      <c r="J175" s="1" t="str">
        <f>IF(Teams[[#This Row],[relevant]], COUNTIFS(Fixtures[userTeam], Teams[[#This Row],[name]], Fixtures[result], "D", Fixtures[APP], TRUE), "")</f>
        <v/>
      </c>
      <c r="K175" s="1" t="str">
        <f>IF(Teams[[#This Row],[relevant]], COUNTIFS(Fixtures[userTeam], Teams[[#This Row],[name]], Fixtures[result], "L", Fixtures[APP], TRUE), "")</f>
        <v/>
      </c>
      <c r="L175" s="1" t="str">
        <f>IF(Teams[[#This Row],[relevant]], SUMIFS(Fixtures[G], Fixtures[userTeam], Teams[[#This Row],[name]]), "")</f>
        <v/>
      </c>
      <c r="M175" s="1" t="str">
        <f>IF(Teams[[#This Row],[relevant]], SUMIFS(Fixtures[A], Fixtures[userTeam], Teams[[#This Row],[name]]), "")</f>
        <v/>
      </c>
      <c r="N175" s="1" t="str">
        <f>IF(Teams[[#This Row],[relevant]], SUMIFS(Fixtures[INV], Fixtures[userTeam], Teams[[#This Row],[name]]), "")</f>
        <v/>
      </c>
      <c r="O175" s="1" t="str">
        <f>IF(Teams[[#This Row],[relevant]], SUMIFS(Fixtures[YC], Fixtures[userTeam], Teams[[#This Row],[name]]), "")</f>
        <v/>
      </c>
      <c r="P175" s="1" t="str">
        <f>IF(Teams[[#This Row],[relevant]], SUMIFS(Fixtures[RC], Fixtures[userTeam], Teams[[#This Row],[name]]), "")</f>
        <v/>
      </c>
      <c r="Q175" s="13" t="str">
        <f>IF(Teams[[#This Row],[relevant]], IF(ISERROR(AVERAGEIFS(Fixtures[MR], Fixtures[userTeam], Teams[[#This Row],[name]])), 0, AVERAGEIFS(Fixtures[MR], Fixtures[userTeam], Teams[[#This Row],[name]])), "")</f>
        <v/>
      </c>
      <c r="R175" s="1" t="str">
        <f>IF(Teams[[#This Row],[relevant]], COUNTIFS(Fixtures[userTeam], Teams[[#This Row],[name]], Fixtures[MOTM], TRUE), "")</f>
        <v/>
      </c>
      <c r="S175" s="1" t="str" cm="1">
        <f t="array" ref="S175">IF(Teams[[#This Row],[relevant]], _xlfn.TEXTJOIN(", ", TRUE, _xlfn._xlws.FILTER(Stats[competition]&amp;" ("&amp;Stats[season]&amp;")",(Stats[team]=Teams[[#This Row],[name]])*(Stats[result]="Winner"),"")), "")</f>
        <v/>
      </c>
    </row>
    <row r="176" spans="1:19" ht="13" hidden="1">
      <c r="A176" s="1" t="s">
        <v>570</v>
      </c>
      <c r="B176" s="1" t="s">
        <v>403</v>
      </c>
      <c r="C176" s="1" t="s">
        <v>391</v>
      </c>
      <c r="D176" s="1" t="str">
        <f>UPPER(_xlfn.CONCAT(LEFT(Teams[[#This Row],[teamType]], 1), "-", LEFT(SUBSTITUTE(Teams[[#This Row],[nation]], "/", ""), 3), "-", SUBSTITUTE(SUBSTITUTE(SUBSTITUTE(Teams[[#This Row],[name]], ".", ""), " ", ""), "-", "")))</f>
        <v>C-SAU-DAMACFC</v>
      </c>
      <c r="E176" s="16"/>
      <c r="F176" s="16"/>
      <c r="G176" s="1" t="b">
        <f>COUNTBLANK(Teams[[#This Row],[startDate]:[endDate]]) &lt; 2</f>
        <v>0</v>
      </c>
      <c r="H176" s="1" t="str">
        <f>IF(Teams[[#This Row],[relevant]], COUNTIFS(Fixtures[userTeam], Teams[[#This Row],[name]], Fixtures[APP], TRUE), "")</f>
        <v/>
      </c>
      <c r="I176" s="1" t="str">
        <f>IF(Teams[[#This Row],[relevant]], COUNTIFS(Fixtures[userTeam], Teams[[#This Row],[name]], Fixtures[result], "W", Fixtures[APP], TRUE), "")</f>
        <v/>
      </c>
      <c r="J176" s="1" t="str">
        <f>IF(Teams[[#This Row],[relevant]], COUNTIFS(Fixtures[userTeam], Teams[[#This Row],[name]], Fixtures[result], "D", Fixtures[APP], TRUE), "")</f>
        <v/>
      </c>
      <c r="K176" s="1" t="str">
        <f>IF(Teams[[#This Row],[relevant]], COUNTIFS(Fixtures[userTeam], Teams[[#This Row],[name]], Fixtures[result], "L", Fixtures[APP], TRUE), "")</f>
        <v/>
      </c>
      <c r="L176" s="1" t="str">
        <f>IF(Teams[[#This Row],[relevant]], SUMIFS(Fixtures[G], Fixtures[userTeam], Teams[[#This Row],[name]]), "")</f>
        <v/>
      </c>
      <c r="M176" s="1" t="str">
        <f>IF(Teams[[#This Row],[relevant]], SUMIFS(Fixtures[A], Fixtures[userTeam], Teams[[#This Row],[name]]), "")</f>
        <v/>
      </c>
      <c r="N176" s="1" t="str">
        <f>IF(Teams[[#This Row],[relevant]], SUMIFS(Fixtures[INV], Fixtures[userTeam], Teams[[#This Row],[name]]), "")</f>
        <v/>
      </c>
      <c r="O176" s="1" t="str">
        <f>IF(Teams[[#This Row],[relevant]], SUMIFS(Fixtures[YC], Fixtures[userTeam], Teams[[#This Row],[name]]), "")</f>
        <v/>
      </c>
      <c r="P176" s="1" t="str">
        <f>IF(Teams[[#This Row],[relevant]], SUMIFS(Fixtures[RC], Fixtures[userTeam], Teams[[#This Row],[name]]), "")</f>
        <v/>
      </c>
      <c r="Q176" s="13" t="str">
        <f>IF(Teams[[#This Row],[relevant]], IF(ISERROR(AVERAGEIFS(Fixtures[MR], Fixtures[userTeam], Teams[[#This Row],[name]])), 0, AVERAGEIFS(Fixtures[MR], Fixtures[userTeam], Teams[[#This Row],[name]])), "")</f>
        <v/>
      </c>
      <c r="R176" s="1" t="str">
        <f>IF(Teams[[#This Row],[relevant]], COUNTIFS(Fixtures[userTeam], Teams[[#This Row],[name]], Fixtures[MOTM], TRUE), "")</f>
        <v/>
      </c>
      <c r="S176" s="1" t="str" cm="1">
        <f t="array" ref="S176">IF(Teams[[#This Row],[relevant]], _xlfn.TEXTJOIN(", ", TRUE, _xlfn._xlws.FILTER(Stats[competition]&amp;" ("&amp;Stats[season]&amp;")",(Stats[team]=Teams[[#This Row],[name]])*(Stats[result]="Winner"),"")), "")</f>
        <v/>
      </c>
    </row>
    <row r="177" spans="1:19" ht="13" hidden="1">
      <c r="A177" s="1" t="s">
        <v>571</v>
      </c>
      <c r="B177" s="1" t="s">
        <v>131</v>
      </c>
      <c r="C177" s="1" t="s">
        <v>391</v>
      </c>
      <c r="D177" s="1" t="str">
        <f>UPPER(_xlfn.CONCAT(LEFT(Teams[[#This Row],[teamType]], 1), "-", LEFT(SUBSTITUTE(Teams[[#This Row],[nation]], "/", ""), 3), "-", SUBSTITUTE(SUBSTITUTE(SUBSTITUTE(Teams[[#This Row],[name]], ".", ""), " ", ""), "-", "")))</f>
        <v>C-ARG-DEFENSA</v>
      </c>
      <c r="E177" s="16"/>
      <c r="F177" s="16"/>
      <c r="G177" s="1" t="b">
        <f>COUNTBLANK(Teams[[#This Row],[startDate]:[endDate]]) &lt; 2</f>
        <v>0</v>
      </c>
      <c r="H177" s="1" t="str">
        <f>IF(Teams[[#This Row],[relevant]], COUNTIFS(Fixtures[userTeam], Teams[[#This Row],[name]], Fixtures[APP], TRUE), "")</f>
        <v/>
      </c>
      <c r="I177" s="1" t="str">
        <f>IF(Teams[[#This Row],[relevant]], COUNTIFS(Fixtures[userTeam], Teams[[#This Row],[name]], Fixtures[result], "W", Fixtures[APP], TRUE), "")</f>
        <v/>
      </c>
      <c r="J177" s="1" t="str">
        <f>IF(Teams[[#This Row],[relevant]], COUNTIFS(Fixtures[userTeam], Teams[[#This Row],[name]], Fixtures[result], "D", Fixtures[APP], TRUE), "")</f>
        <v/>
      </c>
      <c r="K177" s="1" t="str">
        <f>IF(Teams[[#This Row],[relevant]], COUNTIFS(Fixtures[userTeam], Teams[[#This Row],[name]], Fixtures[result], "L", Fixtures[APP], TRUE), "")</f>
        <v/>
      </c>
      <c r="L177" s="1" t="str">
        <f>IF(Teams[[#This Row],[relevant]], SUMIFS(Fixtures[G], Fixtures[userTeam], Teams[[#This Row],[name]]), "")</f>
        <v/>
      </c>
      <c r="M177" s="1" t="str">
        <f>IF(Teams[[#This Row],[relevant]], SUMIFS(Fixtures[A], Fixtures[userTeam], Teams[[#This Row],[name]]), "")</f>
        <v/>
      </c>
      <c r="N177" s="1" t="str">
        <f>IF(Teams[[#This Row],[relevant]], SUMIFS(Fixtures[INV], Fixtures[userTeam], Teams[[#This Row],[name]]), "")</f>
        <v/>
      </c>
      <c r="O177" s="1" t="str">
        <f>IF(Teams[[#This Row],[relevant]], SUMIFS(Fixtures[YC], Fixtures[userTeam], Teams[[#This Row],[name]]), "")</f>
        <v/>
      </c>
      <c r="P177" s="1" t="str">
        <f>IF(Teams[[#This Row],[relevant]], SUMIFS(Fixtures[RC], Fixtures[userTeam], Teams[[#This Row],[name]]), "")</f>
        <v/>
      </c>
      <c r="Q177" s="13" t="str">
        <f>IF(Teams[[#This Row],[relevant]], IF(ISERROR(AVERAGEIFS(Fixtures[MR], Fixtures[userTeam], Teams[[#This Row],[name]])), 0, AVERAGEIFS(Fixtures[MR], Fixtures[userTeam], Teams[[#This Row],[name]])), "")</f>
        <v/>
      </c>
      <c r="R177" s="1" t="str">
        <f>IF(Teams[[#This Row],[relevant]], COUNTIFS(Fixtures[userTeam], Teams[[#This Row],[name]], Fixtures[MOTM], TRUE), "")</f>
        <v/>
      </c>
      <c r="S177" s="1" t="str" cm="1">
        <f t="array" ref="S177">IF(Teams[[#This Row],[relevant]], _xlfn.TEXTJOIN(", ", TRUE, _xlfn._xlws.FILTER(Stats[competition]&amp;" ("&amp;Stats[season]&amp;")",(Stats[team]=Teams[[#This Row],[name]])*(Stats[result]="Winner"),"")), "")</f>
        <v/>
      </c>
    </row>
    <row r="178" spans="1:19" ht="13" hidden="1">
      <c r="A178" s="1" t="s">
        <v>572</v>
      </c>
      <c r="B178" s="1" t="s">
        <v>284</v>
      </c>
      <c r="C178" s="1" t="s">
        <v>391</v>
      </c>
      <c r="D178" s="1" t="str">
        <f>UPPER(_xlfn.CONCAT(LEFT(Teams[[#This Row],[teamType]], 1), "-", LEFT(SUBSTITUTE(Teams[[#This Row],[nation]], "/", ""), 3), "-", SUBSTITUTE(SUBSTITUTE(SUBSTITUTE(Teams[[#This Row],[name]], ".", ""), " ", ""), "-", "")))</f>
        <v>C-SWE-DEGERFORSIF</v>
      </c>
      <c r="E178" s="16"/>
      <c r="F178" s="16"/>
      <c r="G178" s="1" t="b">
        <f>COUNTBLANK(Teams[[#This Row],[startDate]:[endDate]]) &lt; 2</f>
        <v>0</v>
      </c>
      <c r="H178" s="1" t="str">
        <f>IF(Teams[[#This Row],[relevant]], COUNTIFS(Fixtures[userTeam], Teams[[#This Row],[name]], Fixtures[APP], TRUE), "")</f>
        <v/>
      </c>
      <c r="I178" s="1" t="str">
        <f>IF(Teams[[#This Row],[relevant]], COUNTIFS(Fixtures[userTeam], Teams[[#This Row],[name]], Fixtures[result], "W", Fixtures[APP], TRUE), "")</f>
        <v/>
      </c>
      <c r="J178" s="1" t="str">
        <f>IF(Teams[[#This Row],[relevant]], COUNTIFS(Fixtures[userTeam], Teams[[#This Row],[name]], Fixtures[result], "D", Fixtures[APP], TRUE), "")</f>
        <v/>
      </c>
      <c r="K178" s="1" t="str">
        <f>IF(Teams[[#This Row],[relevant]], COUNTIFS(Fixtures[userTeam], Teams[[#This Row],[name]], Fixtures[result], "L", Fixtures[APP], TRUE), "")</f>
        <v/>
      </c>
      <c r="L178" s="1" t="str">
        <f>IF(Teams[[#This Row],[relevant]], SUMIFS(Fixtures[G], Fixtures[userTeam], Teams[[#This Row],[name]]), "")</f>
        <v/>
      </c>
      <c r="M178" s="1" t="str">
        <f>IF(Teams[[#This Row],[relevant]], SUMIFS(Fixtures[A], Fixtures[userTeam], Teams[[#This Row],[name]]), "")</f>
        <v/>
      </c>
      <c r="N178" s="1" t="str">
        <f>IF(Teams[[#This Row],[relevant]], SUMIFS(Fixtures[INV], Fixtures[userTeam], Teams[[#This Row],[name]]), "")</f>
        <v/>
      </c>
      <c r="O178" s="1" t="str">
        <f>IF(Teams[[#This Row],[relevant]], SUMIFS(Fixtures[YC], Fixtures[userTeam], Teams[[#This Row],[name]]), "")</f>
        <v/>
      </c>
      <c r="P178" s="1" t="str">
        <f>IF(Teams[[#This Row],[relevant]], SUMIFS(Fixtures[RC], Fixtures[userTeam], Teams[[#This Row],[name]]), "")</f>
        <v/>
      </c>
      <c r="Q178" s="13" t="str">
        <f>IF(Teams[[#This Row],[relevant]], IF(ISERROR(AVERAGEIFS(Fixtures[MR], Fixtures[userTeam], Teams[[#This Row],[name]])), 0, AVERAGEIFS(Fixtures[MR], Fixtures[userTeam], Teams[[#This Row],[name]])), "")</f>
        <v/>
      </c>
      <c r="R178" s="1" t="str">
        <f>IF(Teams[[#This Row],[relevant]], COUNTIFS(Fixtures[userTeam], Teams[[#This Row],[name]], Fixtures[MOTM], TRUE), "")</f>
        <v/>
      </c>
      <c r="S178" s="1" t="str" cm="1">
        <f t="array" ref="S178">IF(Teams[[#This Row],[relevant]], _xlfn.TEXTJOIN(", ", TRUE, _xlfn._xlws.FILTER(Stats[competition]&amp;" ("&amp;Stats[season]&amp;")",(Stats[team]=Teams[[#This Row],[name]])*(Stats[result]="Winner"),"")), "")</f>
        <v/>
      </c>
    </row>
    <row r="179" spans="1:19" ht="13" hidden="1">
      <c r="A179" s="1" t="s">
        <v>573</v>
      </c>
      <c r="B179" s="1" t="s">
        <v>396</v>
      </c>
      <c r="C179" s="1" t="s">
        <v>391</v>
      </c>
      <c r="D179" s="1" t="str">
        <f>UPPER(_xlfn.CONCAT(LEFT(Teams[[#This Row],[teamType]], 1), "-", LEFT(SUBSTITUTE(Teams[[#This Row],[nation]], "/", ""), 3), "-", SUBSTITUTE(SUBSTITUTE(SUBSTITUTE(Teams[[#This Row],[name]], ".", ""), " ", ""), "-", "")))</f>
        <v>C-ECU-DELFÍNSC</v>
      </c>
      <c r="E179" s="16"/>
      <c r="F179" s="16"/>
      <c r="G179" s="1" t="b">
        <f>COUNTBLANK(Teams[[#This Row],[startDate]:[endDate]]) &lt; 2</f>
        <v>0</v>
      </c>
      <c r="H179" s="1" t="str">
        <f>IF(Teams[[#This Row],[relevant]], COUNTIFS(Fixtures[userTeam], Teams[[#This Row],[name]], Fixtures[APP], TRUE), "")</f>
        <v/>
      </c>
      <c r="I179" s="1" t="str">
        <f>IF(Teams[[#This Row],[relevant]], COUNTIFS(Fixtures[userTeam], Teams[[#This Row],[name]], Fixtures[result], "W", Fixtures[APP], TRUE), "")</f>
        <v/>
      </c>
      <c r="J179" s="1" t="str">
        <f>IF(Teams[[#This Row],[relevant]], COUNTIFS(Fixtures[userTeam], Teams[[#This Row],[name]], Fixtures[result], "D", Fixtures[APP], TRUE), "")</f>
        <v/>
      </c>
      <c r="K179" s="1" t="str">
        <f>IF(Teams[[#This Row],[relevant]], COUNTIFS(Fixtures[userTeam], Teams[[#This Row],[name]], Fixtures[result], "L", Fixtures[APP], TRUE), "")</f>
        <v/>
      </c>
      <c r="L179" s="1" t="str">
        <f>IF(Teams[[#This Row],[relevant]], SUMIFS(Fixtures[G], Fixtures[userTeam], Teams[[#This Row],[name]]), "")</f>
        <v/>
      </c>
      <c r="M179" s="1" t="str">
        <f>IF(Teams[[#This Row],[relevant]], SUMIFS(Fixtures[A], Fixtures[userTeam], Teams[[#This Row],[name]]), "")</f>
        <v/>
      </c>
      <c r="N179" s="1" t="str">
        <f>IF(Teams[[#This Row],[relevant]], SUMIFS(Fixtures[INV], Fixtures[userTeam], Teams[[#This Row],[name]]), "")</f>
        <v/>
      </c>
      <c r="O179" s="1" t="str">
        <f>IF(Teams[[#This Row],[relevant]], SUMIFS(Fixtures[YC], Fixtures[userTeam], Teams[[#This Row],[name]]), "")</f>
        <v/>
      </c>
      <c r="P179" s="1" t="str">
        <f>IF(Teams[[#This Row],[relevant]], SUMIFS(Fixtures[RC], Fixtures[userTeam], Teams[[#This Row],[name]]), "")</f>
        <v/>
      </c>
      <c r="Q179" s="13" t="str">
        <f>IF(Teams[[#This Row],[relevant]], IF(ISERROR(AVERAGEIFS(Fixtures[MR], Fixtures[userTeam], Teams[[#This Row],[name]])), 0, AVERAGEIFS(Fixtures[MR], Fixtures[userTeam], Teams[[#This Row],[name]])), "")</f>
        <v/>
      </c>
      <c r="R179" s="1" t="str">
        <f>IF(Teams[[#This Row],[relevant]], COUNTIFS(Fixtures[userTeam], Teams[[#This Row],[name]], Fixtures[MOTM], TRUE), "")</f>
        <v/>
      </c>
      <c r="S179" s="1" t="str" cm="1">
        <f t="array" ref="S179">IF(Teams[[#This Row],[relevant]], _xlfn.TEXTJOIN(", ", TRUE, _xlfn._xlws.FILTER(Stats[competition]&amp;" ("&amp;Stats[season]&amp;")",(Stats[team]=Teams[[#This Row],[name]])*(Stats[result]="Winner"),"")), "")</f>
        <v/>
      </c>
    </row>
    <row r="180" spans="1:19" ht="13" hidden="1">
      <c r="A180" s="1" t="s">
        <v>398</v>
      </c>
      <c r="B180" s="1" t="s">
        <v>398</v>
      </c>
      <c r="C180" s="1" t="s">
        <v>459</v>
      </c>
      <c r="D180" s="1" t="str">
        <f>UPPER(_xlfn.CONCAT(LEFT(Teams[[#This Row],[teamType]], 1), "-", LEFT(SUBSTITUTE(Teams[[#This Row],[nation]], "/", ""), 3), "-", SUBSTITUTE(SUBSTITUTE(SUBSTITUTE(Teams[[#This Row],[name]], ".", ""), " ", ""), "-", "")))</f>
        <v>N-DEN-DENMARK</v>
      </c>
      <c r="E180" s="16"/>
      <c r="F180" s="16"/>
      <c r="G180" s="1" t="b">
        <f>COUNTBLANK(Teams[[#This Row],[startDate]:[endDate]]) &lt; 2</f>
        <v>0</v>
      </c>
      <c r="H180" s="1" t="str">
        <f>IF(Teams[[#This Row],[relevant]], COUNTIFS(Fixtures[userTeam], Teams[[#This Row],[name]], Fixtures[APP], TRUE), "")</f>
        <v/>
      </c>
      <c r="I180" s="1" t="str">
        <f>IF(Teams[[#This Row],[relevant]], COUNTIFS(Fixtures[userTeam], Teams[[#This Row],[name]], Fixtures[result], "W", Fixtures[APP], TRUE), "")</f>
        <v/>
      </c>
      <c r="J180" s="1" t="str">
        <f>IF(Teams[[#This Row],[relevant]], COUNTIFS(Fixtures[userTeam], Teams[[#This Row],[name]], Fixtures[result], "D", Fixtures[APP], TRUE), "")</f>
        <v/>
      </c>
      <c r="K180" s="1" t="str">
        <f>IF(Teams[[#This Row],[relevant]], COUNTIFS(Fixtures[userTeam], Teams[[#This Row],[name]], Fixtures[result], "L", Fixtures[APP], TRUE), "")</f>
        <v/>
      </c>
      <c r="L180" s="1" t="str">
        <f>IF(Teams[[#This Row],[relevant]], SUMIFS(Fixtures[G], Fixtures[userTeam], Teams[[#This Row],[name]]), "")</f>
        <v/>
      </c>
      <c r="M180" s="1" t="str">
        <f>IF(Teams[[#This Row],[relevant]], SUMIFS(Fixtures[A], Fixtures[userTeam], Teams[[#This Row],[name]]), "")</f>
        <v/>
      </c>
      <c r="N180" s="1" t="str">
        <f>IF(Teams[[#This Row],[relevant]], SUMIFS(Fixtures[INV], Fixtures[userTeam], Teams[[#This Row],[name]]), "")</f>
        <v/>
      </c>
      <c r="O180" s="1" t="str">
        <f>IF(Teams[[#This Row],[relevant]], SUMIFS(Fixtures[YC], Fixtures[userTeam], Teams[[#This Row],[name]]), "")</f>
        <v/>
      </c>
      <c r="P180" s="1" t="str">
        <f>IF(Teams[[#This Row],[relevant]], SUMIFS(Fixtures[RC], Fixtures[userTeam], Teams[[#This Row],[name]]), "")</f>
        <v/>
      </c>
      <c r="Q180" s="13" t="str">
        <f>IF(Teams[[#This Row],[relevant]], IF(ISERROR(AVERAGEIFS(Fixtures[MR], Fixtures[userTeam], Teams[[#This Row],[name]])), 0, AVERAGEIFS(Fixtures[MR], Fixtures[userTeam], Teams[[#This Row],[name]])), "")</f>
        <v/>
      </c>
      <c r="R180" s="1" t="str">
        <f>IF(Teams[[#This Row],[relevant]], COUNTIFS(Fixtures[userTeam], Teams[[#This Row],[name]], Fixtures[MOTM], TRUE), "")</f>
        <v/>
      </c>
      <c r="S180" s="1" t="str" cm="1">
        <f t="array" ref="S180">IF(Teams[[#This Row],[relevant]], _xlfn.TEXTJOIN(", ", TRUE, _xlfn._xlws.FILTER(Stats[competition]&amp;" ("&amp;Stats[season]&amp;")",(Stats[team]=Teams[[#This Row],[name]])*(Stats[result]="Winner"),"")), "")</f>
        <v/>
      </c>
    </row>
    <row r="181" spans="1:19" ht="13" hidden="1">
      <c r="A181" s="1" t="s">
        <v>574</v>
      </c>
      <c r="B181" s="1" t="s">
        <v>522</v>
      </c>
      <c r="C181" s="1" t="s">
        <v>391</v>
      </c>
      <c r="D181" s="1" t="str">
        <f>UPPER(_xlfn.CONCAT(LEFT(Teams[[#This Row],[teamType]], 1), "-", LEFT(SUBSTITUTE(Teams[[#This Row],[nation]], "/", ""), 3), "-", SUBSTITUTE(SUBSTITUTE(SUBSTITUTE(Teams[[#This Row],[name]], ".", ""), " ", ""), "-", "")))</f>
        <v>C-VEN-DEPLAGUAIRA</v>
      </c>
      <c r="E181" s="16"/>
      <c r="F181" s="16"/>
      <c r="G181" s="1" t="b">
        <f>COUNTBLANK(Teams[[#This Row],[startDate]:[endDate]]) &lt; 2</f>
        <v>0</v>
      </c>
      <c r="H181" s="1" t="str">
        <f>IF(Teams[[#This Row],[relevant]], COUNTIFS(Fixtures[userTeam], Teams[[#This Row],[name]], Fixtures[APP], TRUE), "")</f>
        <v/>
      </c>
      <c r="I181" s="1" t="str">
        <f>IF(Teams[[#This Row],[relevant]], COUNTIFS(Fixtures[userTeam], Teams[[#This Row],[name]], Fixtures[result], "W", Fixtures[APP], TRUE), "")</f>
        <v/>
      </c>
      <c r="J181" s="1" t="str">
        <f>IF(Teams[[#This Row],[relevant]], COUNTIFS(Fixtures[userTeam], Teams[[#This Row],[name]], Fixtures[result], "D", Fixtures[APP], TRUE), "")</f>
        <v/>
      </c>
      <c r="K181" s="1" t="str">
        <f>IF(Teams[[#This Row],[relevant]], COUNTIFS(Fixtures[userTeam], Teams[[#This Row],[name]], Fixtures[result], "L", Fixtures[APP], TRUE), "")</f>
        <v/>
      </c>
      <c r="L181" s="1" t="str">
        <f>IF(Teams[[#This Row],[relevant]], SUMIFS(Fixtures[G], Fixtures[userTeam], Teams[[#This Row],[name]]), "")</f>
        <v/>
      </c>
      <c r="M181" s="1" t="str">
        <f>IF(Teams[[#This Row],[relevant]], SUMIFS(Fixtures[A], Fixtures[userTeam], Teams[[#This Row],[name]]), "")</f>
        <v/>
      </c>
      <c r="N181" s="1" t="str">
        <f>IF(Teams[[#This Row],[relevant]], SUMIFS(Fixtures[INV], Fixtures[userTeam], Teams[[#This Row],[name]]), "")</f>
        <v/>
      </c>
      <c r="O181" s="1" t="str">
        <f>IF(Teams[[#This Row],[relevant]], SUMIFS(Fixtures[YC], Fixtures[userTeam], Teams[[#This Row],[name]]), "")</f>
        <v/>
      </c>
      <c r="P181" s="1" t="str">
        <f>IF(Teams[[#This Row],[relevant]], SUMIFS(Fixtures[RC], Fixtures[userTeam], Teams[[#This Row],[name]]), "")</f>
        <v/>
      </c>
      <c r="Q181" s="13" t="str">
        <f>IF(Teams[[#This Row],[relevant]], IF(ISERROR(AVERAGEIFS(Fixtures[MR], Fixtures[userTeam], Teams[[#This Row],[name]])), 0, AVERAGEIFS(Fixtures[MR], Fixtures[userTeam], Teams[[#This Row],[name]])), "")</f>
        <v/>
      </c>
      <c r="R181" s="1" t="str">
        <f>IF(Teams[[#This Row],[relevant]], COUNTIFS(Fixtures[userTeam], Teams[[#This Row],[name]], Fixtures[MOTM], TRUE), "")</f>
        <v/>
      </c>
      <c r="S181" s="1" t="str" cm="1">
        <f t="array" ref="S181">IF(Teams[[#This Row],[relevant]], _xlfn.TEXTJOIN(", ", TRUE, _xlfn._xlws.FILTER(Stats[competition]&amp;" ("&amp;Stats[season]&amp;")",(Stats[team]=Teams[[#This Row],[name]])*(Stats[result]="Winner"),"")), "")</f>
        <v/>
      </c>
    </row>
    <row r="182" spans="1:19" ht="13" hidden="1">
      <c r="A182" s="1" t="s">
        <v>575</v>
      </c>
      <c r="B182" s="1" t="s">
        <v>522</v>
      </c>
      <c r="C182" s="1" t="s">
        <v>391</v>
      </c>
      <c r="D182" s="1" t="str">
        <f>UPPER(_xlfn.CONCAT(LEFT(Teams[[#This Row],[teamType]], 1), "-", LEFT(SUBSTITUTE(Teams[[#This Row],[nation]], "/", ""), 3), "-", SUBSTITUTE(SUBSTITUTE(SUBSTITUTE(Teams[[#This Row],[name]], ".", ""), " ", ""), "-", "")))</f>
        <v>C-VEN-DEPTÁCHIRA</v>
      </c>
      <c r="E182" s="16"/>
      <c r="F182" s="16"/>
      <c r="G182" s="1" t="b">
        <f>COUNTBLANK(Teams[[#This Row],[startDate]:[endDate]]) &lt; 2</f>
        <v>0</v>
      </c>
      <c r="H182" s="1" t="str">
        <f>IF(Teams[[#This Row],[relevant]], COUNTIFS(Fixtures[userTeam], Teams[[#This Row],[name]], Fixtures[APP], TRUE), "")</f>
        <v/>
      </c>
      <c r="I182" s="1" t="str">
        <f>IF(Teams[[#This Row],[relevant]], COUNTIFS(Fixtures[userTeam], Teams[[#This Row],[name]], Fixtures[result], "W", Fixtures[APP], TRUE), "")</f>
        <v/>
      </c>
      <c r="J182" s="1" t="str">
        <f>IF(Teams[[#This Row],[relevant]], COUNTIFS(Fixtures[userTeam], Teams[[#This Row],[name]], Fixtures[result], "D", Fixtures[APP], TRUE), "")</f>
        <v/>
      </c>
      <c r="K182" s="1" t="str">
        <f>IF(Teams[[#This Row],[relevant]], COUNTIFS(Fixtures[userTeam], Teams[[#This Row],[name]], Fixtures[result], "L", Fixtures[APP], TRUE), "")</f>
        <v/>
      </c>
      <c r="L182" s="1" t="str">
        <f>IF(Teams[[#This Row],[relevant]], SUMIFS(Fixtures[G], Fixtures[userTeam], Teams[[#This Row],[name]]), "")</f>
        <v/>
      </c>
      <c r="M182" s="1" t="str">
        <f>IF(Teams[[#This Row],[relevant]], SUMIFS(Fixtures[A], Fixtures[userTeam], Teams[[#This Row],[name]]), "")</f>
        <v/>
      </c>
      <c r="N182" s="1" t="str">
        <f>IF(Teams[[#This Row],[relevant]], SUMIFS(Fixtures[INV], Fixtures[userTeam], Teams[[#This Row],[name]]), "")</f>
        <v/>
      </c>
      <c r="O182" s="1" t="str">
        <f>IF(Teams[[#This Row],[relevant]], SUMIFS(Fixtures[YC], Fixtures[userTeam], Teams[[#This Row],[name]]), "")</f>
        <v/>
      </c>
      <c r="P182" s="1" t="str">
        <f>IF(Teams[[#This Row],[relevant]], SUMIFS(Fixtures[RC], Fixtures[userTeam], Teams[[#This Row],[name]]), "")</f>
        <v/>
      </c>
      <c r="Q182" s="13" t="str">
        <f>IF(Teams[[#This Row],[relevant]], IF(ISERROR(AVERAGEIFS(Fixtures[MR], Fixtures[userTeam], Teams[[#This Row],[name]])), 0, AVERAGEIFS(Fixtures[MR], Fixtures[userTeam], Teams[[#This Row],[name]])), "")</f>
        <v/>
      </c>
      <c r="R182" s="1" t="str">
        <f>IF(Teams[[#This Row],[relevant]], COUNTIFS(Fixtures[userTeam], Teams[[#This Row],[name]], Fixtures[MOTM], TRUE), "")</f>
        <v/>
      </c>
      <c r="S182" s="1" t="str" cm="1">
        <f t="array" ref="S182">IF(Teams[[#This Row],[relevant]], _xlfn.TEXTJOIN(", ", TRUE, _xlfn._xlws.FILTER(Stats[competition]&amp;" ("&amp;Stats[season]&amp;")",(Stats[team]=Teams[[#This Row],[name]])*(Stats[result]="Winner"),"")), "")</f>
        <v/>
      </c>
    </row>
    <row r="183" spans="1:19" ht="13" hidden="1">
      <c r="A183" s="1" t="s">
        <v>576</v>
      </c>
      <c r="B183" s="1" t="s">
        <v>449</v>
      </c>
      <c r="C183" s="1" t="s">
        <v>391</v>
      </c>
      <c r="D183" s="1" t="str">
        <f>UPPER(_xlfn.CONCAT(LEFT(Teams[[#This Row],[teamType]], 1), "-", LEFT(SUBSTITUTE(Teams[[#This Row],[nation]], "/", ""), 3), "-", SUBSTITUTE(SUBSTITUTE(SUBSTITUTE(Teams[[#This Row],[name]], ".", ""), " ", ""), "-", "")))</f>
        <v>C-COL-DEPORTESTOLIMA</v>
      </c>
      <c r="E183" s="16"/>
      <c r="F183" s="16"/>
      <c r="G183" s="1" t="b">
        <f>COUNTBLANK(Teams[[#This Row],[startDate]:[endDate]]) &lt; 2</f>
        <v>0</v>
      </c>
      <c r="H183" s="1" t="str">
        <f>IF(Teams[[#This Row],[relevant]], COUNTIFS(Fixtures[userTeam], Teams[[#This Row],[name]], Fixtures[APP], TRUE), "")</f>
        <v/>
      </c>
      <c r="I183" s="1" t="str">
        <f>IF(Teams[[#This Row],[relevant]], COUNTIFS(Fixtures[userTeam], Teams[[#This Row],[name]], Fixtures[result], "W", Fixtures[APP], TRUE), "")</f>
        <v/>
      </c>
      <c r="J183" s="1" t="str">
        <f>IF(Teams[[#This Row],[relevant]], COUNTIFS(Fixtures[userTeam], Teams[[#This Row],[name]], Fixtures[result], "D", Fixtures[APP], TRUE), "")</f>
        <v/>
      </c>
      <c r="K183" s="1" t="str">
        <f>IF(Teams[[#This Row],[relevant]], COUNTIFS(Fixtures[userTeam], Teams[[#This Row],[name]], Fixtures[result], "L", Fixtures[APP], TRUE), "")</f>
        <v/>
      </c>
      <c r="L183" s="1" t="str">
        <f>IF(Teams[[#This Row],[relevant]], SUMIFS(Fixtures[G], Fixtures[userTeam], Teams[[#This Row],[name]]), "")</f>
        <v/>
      </c>
      <c r="M183" s="1" t="str">
        <f>IF(Teams[[#This Row],[relevant]], SUMIFS(Fixtures[A], Fixtures[userTeam], Teams[[#This Row],[name]]), "")</f>
        <v/>
      </c>
      <c r="N183" s="1" t="str">
        <f>IF(Teams[[#This Row],[relevant]], SUMIFS(Fixtures[INV], Fixtures[userTeam], Teams[[#This Row],[name]]), "")</f>
        <v/>
      </c>
      <c r="O183" s="1" t="str">
        <f>IF(Teams[[#This Row],[relevant]], SUMIFS(Fixtures[YC], Fixtures[userTeam], Teams[[#This Row],[name]]), "")</f>
        <v/>
      </c>
      <c r="P183" s="1" t="str">
        <f>IF(Teams[[#This Row],[relevant]], SUMIFS(Fixtures[RC], Fixtures[userTeam], Teams[[#This Row],[name]]), "")</f>
        <v/>
      </c>
      <c r="Q183" s="13" t="str">
        <f>IF(Teams[[#This Row],[relevant]], IF(ISERROR(AVERAGEIFS(Fixtures[MR], Fixtures[userTeam], Teams[[#This Row],[name]])), 0, AVERAGEIFS(Fixtures[MR], Fixtures[userTeam], Teams[[#This Row],[name]])), "")</f>
        <v/>
      </c>
      <c r="R183" s="1" t="str">
        <f>IF(Teams[[#This Row],[relevant]], COUNTIFS(Fixtures[userTeam], Teams[[#This Row],[name]], Fixtures[MOTM], TRUE), "")</f>
        <v/>
      </c>
      <c r="S183" s="1" t="str" cm="1">
        <f t="array" ref="S183">IF(Teams[[#This Row],[relevant]], _xlfn.TEXTJOIN(", ", TRUE, _xlfn._xlws.FILTER(Stats[competition]&amp;" ("&amp;Stats[season]&amp;")",(Stats[team]=Teams[[#This Row],[name]])*(Stats[result]="Winner"),"")), "")</f>
        <v/>
      </c>
    </row>
    <row r="184" spans="1:19" ht="13" hidden="1">
      <c r="A184" s="1" t="s">
        <v>577</v>
      </c>
      <c r="B184" s="1" t="s">
        <v>449</v>
      </c>
      <c r="C184" s="1" t="s">
        <v>391</v>
      </c>
      <c r="D184" s="1" t="str">
        <f>UPPER(_xlfn.CONCAT(LEFT(Teams[[#This Row],[teamType]], 1), "-", LEFT(SUBSTITUTE(Teams[[#This Row],[nation]], "/", ""), 3), "-", SUBSTITUTE(SUBSTITUTE(SUBSTITUTE(Teams[[#This Row],[name]], ".", ""), " ", ""), "-", "")))</f>
        <v>C-COL-DEPORTIVOCALI</v>
      </c>
      <c r="E184" s="16"/>
      <c r="F184" s="16"/>
      <c r="G184" s="1" t="b">
        <f>COUNTBLANK(Teams[[#This Row],[startDate]:[endDate]]) &lt; 2</f>
        <v>0</v>
      </c>
      <c r="H184" s="1" t="str">
        <f>IF(Teams[[#This Row],[relevant]], COUNTIFS(Fixtures[userTeam], Teams[[#This Row],[name]], Fixtures[APP], TRUE), "")</f>
        <v/>
      </c>
      <c r="I184" s="1" t="str">
        <f>IF(Teams[[#This Row],[relevant]], COUNTIFS(Fixtures[userTeam], Teams[[#This Row],[name]], Fixtures[result], "W", Fixtures[APP], TRUE), "")</f>
        <v/>
      </c>
      <c r="J184" s="1" t="str">
        <f>IF(Teams[[#This Row],[relevant]], COUNTIFS(Fixtures[userTeam], Teams[[#This Row],[name]], Fixtures[result], "D", Fixtures[APP], TRUE), "")</f>
        <v/>
      </c>
      <c r="K184" s="1" t="str">
        <f>IF(Teams[[#This Row],[relevant]], COUNTIFS(Fixtures[userTeam], Teams[[#This Row],[name]], Fixtures[result], "L", Fixtures[APP], TRUE), "")</f>
        <v/>
      </c>
      <c r="L184" s="1" t="str">
        <f>IF(Teams[[#This Row],[relevant]], SUMIFS(Fixtures[G], Fixtures[userTeam], Teams[[#This Row],[name]]), "")</f>
        <v/>
      </c>
      <c r="M184" s="1" t="str">
        <f>IF(Teams[[#This Row],[relevant]], SUMIFS(Fixtures[A], Fixtures[userTeam], Teams[[#This Row],[name]]), "")</f>
        <v/>
      </c>
      <c r="N184" s="1" t="str">
        <f>IF(Teams[[#This Row],[relevant]], SUMIFS(Fixtures[INV], Fixtures[userTeam], Teams[[#This Row],[name]]), "")</f>
        <v/>
      </c>
      <c r="O184" s="1" t="str">
        <f>IF(Teams[[#This Row],[relevant]], SUMIFS(Fixtures[YC], Fixtures[userTeam], Teams[[#This Row],[name]]), "")</f>
        <v/>
      </c>
      <c r="P184" s="1" t="str">
        <f>IF(Teams[[#This Row],[relevant]], SUMIFS(Fixtures[RC], Fixtures[userTeam], Teams[[#This Row],[name]]), "")</f>
        <v/>
      </c>
      <c r="Q184" s="13" t="str">
        <f>IF(Teams[[#This Row],[relevant]], IF(ISERROR(AVERAGEIFS(Fixtures[MR], Fixtures[userTeam], Teams[[#This Row],[name]])), 0, AVERAGEIFS(Fixtures[MR], Fixtures[userTeam], Teams[[#This Row],[name]])), "")</f>
        <v/>
      </c>
      <c r="R184" s="1" t="str">
        <f>IF(Teams[[#This Row],[relevant]], COUNTIFS(Fixtures[userTeam], Teams[[#This Row],[name]], Fixtures[MOTM], TRUE), "")</f>
        <v/>
      </c>
      <c r="S184" s="1" t="str" cm="1">
        <f t="array" ref="S184">IF(Teams[[#This Row],[relevant]], _xlfn.TEXTJOIN(", ", TRUE, _xlfn._xlws.FILTER(Stats[competition]&amp;" ("&amp;Stats[season]&amp;")",(Stats[team]=Teams[[#This Row],[name]])*(Stats[result]="Winner"),"")), "")</f>
        <v/>
      </c>
    </row>
    <row r="185" spans="1:19" ht="13" hidden="1">
      <c r="A185" s="1" t="s">
        <v>578</v>
      </c>
      <c r="B185" s="1" t="s">
        <v>152</v>
      </c>
      <c r="C185" s="1" t="s">
        <v>391</v>
      </c>
      <c r="D185" s="1" t="str">
        <f>UPPER(_xlfn.CONCAT(LEFT(Teams[[#This Row],[teamType]], 1), "-", LEFT(SUBSTITUTE(Teams[[#This Row],[nation]], "/", ""), 3), "-", SUBSTITUTE(SUBSTITUTE(SUBSTITUTE(Teams[[#This Row],[name]], ".", ""), " ", ""), "-", "")))</f>
        <v>C-ENG-DERBYCOUNTY</v>
      </c>
      <c r="E185" s="16"/>
      <c r="F185" s="16"/>
      <c r="G185" s="1" t="b">
        <f>COUNTBLANK(Teams[[#This Row],[startDate]:[endDate]]) &lt; 2</f>
        <v>0</v>
      </c>
      <c r="H185" s="1" t="str">
        <f>IF(Teams[[#This Row],[relevant]], COUNTIFS(Fixtures[userTeam], Teams[[#This Row],[name]], Fixtures[APP], TRUE), "")</f>
        <v/>
      </c>
      <c r="I185" s="1" t="str">
        <f>IF(Teams[[#This Row],[relevant]], COUNTIFS(Fixtures[userTeam], Teams[[#This Row],[name]], Fixtures[result], "W", Fixtures[APP], TRUE), "")</f>
        <v/>
      </c>
      <c r="J185" s="1" t="str">
        <f>IF(Teams[[#This Row],[relevant]], COUNTIFS(Fixtures[userTeam], Teams[[#This Row],[name]], Fixtures[result], "D", Fixtures[APP], TRUE), "")</f>
        <v/>
      </c>
      <c r="K185" s="1" t="str">
        <f>IF(Teams[[#This Row],[relevant]], COUNTIFS(Fixtures[userTeam], Teams[[#This Row],[name]], Fixtures[result], "L", Fixtures[APP], TRUE), "")</f>
        <v/>
      </c>
      <c r="L185" s="1" t="str">
        <f>IF(Teams[[#This Row],[relevant]], SUMIFS(Fixtures[G], Fixtures[userTeam], Teams[[#This Row],[name]]), "")</f>
        <v/>
      </c>
      <c r="M185" s="1" t="str">
        <f>IF(Teams[[#This Row],[relevant]], SUMIFS(Fixtures[A], Fixtures[userTeam], Teams[[#This Row],[name]]), "")</f>
        <v/>
      </c>
      <c r="N185" s="1" t="str">
        <f>IF(Teams[[#This Row],[relevant]], SUMIFS(Fixtures[INV], Fixtures[userTeam], Teams[[#This Row],[name]]), "")</f>
        <v/>
      </c>
      <c r="O185" s="1" t="str">
        <f>IF(Teams[[#This Row],[relevant]], SUMIFS(Fixtures[YC], Fixtures[userTeam], Teams[[#This Row],[name]]), "")</f>
        <v/>
      </c>
      <c r="P185" s="1" t="str">
        <f>IF(Teams[[#This Row],[relevant]], SUMIFS(Fixtures[RC], Fixtures[userTeam], Teams[[#This Row],[name]]), "")</f>
        <v/>
      </c>
      <c r="Q185" s="13" t="str">
        <f>IF(Teams[[#This Row],[relevant]], IF(ISERROR(AVERAGEIFS(Fixtures[MR], Fixtures[userTeam], Teams[[#This Row],[name]])), 0, AVERAGEIFS(Fixtures[MR], Fixtures[userTeam], Teams[[#This Row],[name]])), "")</f>
        <v/>
      </c>
      <c r="R185" s="1" t="str">
        <f>IF(Teams[[#This Row],[relevant]], COUNTIFS(Fixtures[userTeam], Teams[[#This Row],[name]], Fixtures[MOTM], TRUE), "")</f>
        <v/>
      </c>
      <c r="S185" s="1" t="str" cm="1">
        <f t="array" ref="S185">IF(Teams[[#This Row],[relevant]], _xlfn.TEXTJOIN(", ", TRUE, _xlfn._xlws.FILTER(Stats[competition]&amp;" ("&amp;Stats[season]&amp;")",(Stats[team]=Teams[[#This Row],[name]])*(Stats[result]="Winner"),"")), "")</f>
        <v/>
      </c>
    </row>
    <row r="186" spans="1:19" ht="13" hidden="1">
      <c r="A186" s="1" t="s">
        <v>579</v>
      </c>
      <c r="B186" s="1" t="s">
        <v>270</v>
      </c>
      <c r="C186" s="1" t="s">
        <v>391</v>
      </c>
      <c r="D186" s="1" t="str">
        <f>UPPER(_xlfn.CONCAT(LEFT(Teams[[#This Row],[teamType]], 1), "-", LEFT(SUBSTITUTE(Teams[[#This Row],[nation]], "/", ""), 3), "-", SUBSTITUTE(SUBSTITUTE(SUBSTITUTE(Teams[[#This Row],[name]], ".", ""), " ", ""), "-", "")))</f>
        <v>C-IRE-DERRYCITY</v>
      </c>
      <c r="E186" s="16"/>
      <c r="F186" s="16"/>
      <c r="G186" s="1" t="b">
        <f>COUNTBLANK(Teams[[#This Row],[startDate]:[endDate]]) &lt; 2</f>
        <v>0</v>
      </c>
      <c r="H186" s="1" t="str">
        <f>IF(Teams[[#This Row],[relevant]], COUNTIFS(Fixtures[userTeam], Teams[[#This Row],[name]], Fixtures[APP], TRUE), "")</f>
        <v/>
      </c>
      <c r="I186" s="1" t="str">
        <f>IF(Teams[[#This Row],[relevant]], COUNTIFS(Fixtures[userTeam], Teams[[#This Row],[name]], Fixtures[result], "W", Fixtures[APP], TRUE), "")</f>
        <v/>
      </c>
      <c r="J186" s="1" t="str">
        <f>IF(Teams[[#This Row],[relevant]], COUNTIFS(Fixtures[userTeam], Teams[[#This Row],[name]], Fixtures[result], "D", Fixtures[APP], TRUE), "")</f>
        <v/>
      </c>
      <c r="K186" s="1" t="str">
        <f>IF(Teams[[#This Row],[relevant]], COUNTIFS(Fixtures[userTeam], Teams[[#This Row],[name]], Fixtures[result], "L", Fixtures[APP], TRUE), "")</f>
        <v/>
      </c>
      <c r="L186" s="1" t="str">
        <f>IF(Teams[[#This Row],[relevant]], SUMIFS(Fixtures[G], Fixtures[userTeam], Teams[[#This Row],[name]]), "")</f>
        <v/>
      </c>
      <c r="M186" s="1" t="str">
        <f>IF(Teams[[#This Row],[relevant]], SUMIFS(Fixtures[A], Fixtures[userTeam], Teams[[#This Row],[name]]), "")</f>
        <v/>
      </c>
      <c r="N186" s="1" t="str">
        <f>IF(Teams[[#This Row],[relevant]], SUMIFS(Fixtures[INV], Fixtures[userTeam], Teams[[#This Row],[name]]), "")</f>
        <v/>
      </c>
      <c r="O186" s="1" t="str">
        <f>IF(Teams[[#This Row],[relevant]], SUMIFS(Fixtures[YC], Fixtures[userTeam], Teams[[#This Row],[name]]), "")</f>
        <v/>
      </c>
      <c r="P186" s="1" t="str">
        <f>IF(Teams[[#This Row],[relevant]], SUMIFS(Fixtures[RC], Fixtures[userTeam], Teams[[#This Row],[name]]), "")</f>
        <v/>
      </c>
      <c r="Q186" s="13" t="str">
        <f>IF(Teams[[#This Row],[relevant]], IF(ISERROR(AVERAGEIFS(Fixtures[MR], Fixtures[userTeam], Teams[[#This Row],[name]])), 0, AVERAGEIFS(Fixtures[MR], Fixtures[userTeam], Teams[[#This Row],[name]])), "")</f>
        <v/>
      </c>
      <c r="R186" s="1" t="str">
        <f>IF(Teams[[#This Row],[relevant]], COUNTIFS(Fixtures[userTeam], Teams[[#This Row],[name]], Fixtures[MOTM], TRUE), "")</f>
        <v/>
      </c>
      <c r="S186" s="1" t="str" cm="1">
        <f t="array" ref="S186">IF(Teams[[#This Row],[relevant]], _xlfn.TEXTJOIN(", ", TRUE, _xlfn._xlws.FILTER(Stats[competition]&amp;" ("&amp;Stats[season]&amp;")",(Stats[team]=Teams[[#This Row],[name]])*(Stats[result]="Winner"),"")), "")</f>
        <v/>
      </c>
    </row>
    <row r="187" spans="1:19" ht="13" hidden="1">
      <c r="A187" s="1" t="s">
        <v>580</v>
      </c>
      <c r="B187" s="1" t="s">
        <v>339</v>
      </c>
      <c r="C187" s="1" t="s">
        <v>391</v>
      </c>
      <c r="D187" s="1" t="str">
        <f>UPPER(_xlfn.CONCAT(LEFT(Teams[[#This Row],[teamType]], 1), "-", LEFT(SUBSTITUTE(Teams[[#This Row],[nation]], "/", ""), 3), "-", SUBSTITUTE(SUBSTITUTE(SUBSTITUTE(Teams[[#This Row],[name]], ".", ""), " ", ""), "-", "")))</f>
        <v>C-FRA-DIJONFCO</v>
      </c>
      <c r="E187" s="16"/>
      <c r="F187" s="16"/>
      <c r="G187" s="1" t="b">
        <f>COUNTBLANK(Teams[[#This Row],[startDate]:[endDate]]) &lt; 2</f>
        <v>0</v>
      </c>
      <c r="H187" s="1" t="str">
        <f>IF(Teams[[#This Row],[relevant]], COUNTIFS(Fixtures[userTeam], Teams[[#This Row],[name]], Fixtures[APP], TRUE), "")</f>
        <v/>
      </c>
      <c r="I187" s="1" t="str">
        <f>IF(Teams[[#This Row],[relevant]], COUNTIFS(Fixtures[userTeam], Teams[[#This Row],[name]], Fixtures[result], "W", Fixtures[APP], TRUE), "")</f>
        <v/>
      </c>
      <c r="J187" s="1" t="str">
        <f>IF(Teams[[#This Row],[relevant]], COUNTIFS(Fixtures[userTeam], Teams[[#This Row],[name]], Fixtures[result], "D", Fixtures[APP], TRUE), "")</f>
        <v/>
      </c>
      <c r="K187" s="1" t="str">
        <f>IF(Teams[[#This Row],[relevant]], COUNTIFS(Fixtures[userTeam], Teams[[#This Row],[name]], Fixtures[result], "L", Fixtures[APP], TRUE), "")</f>
        <v/>
      </c>
      <c r="L187" s="1" t="str">
        <f>IF(Teams[[#This Row],[relevant]], SUMIFS(Fixtures[G], Fixtures[userTeam], Teams[[#This Row],[name]]), "")</f>
        <v/>
      </c>
      <c r="M187" s="1" t="str">
        <f>IF(Teams[[#This Row],[relevant]], SUMIFS(Fixtures[A], Fixtures[userTeam], Teams[[#This Row],[name]]), "")</f>
        <v/>
      </c>
      <c r="N187" s="1" t="str">
        <f>IF(Teams[[#This Row],[relevant]], SUMIFS(Fixtures[INV], Fixtures[userTeam], Teams[[#This Row],[name]]), "")</f>
        <v/>
      </c>
      <c r="O187" s="1" t="str">
        <f>IF(Teams[[#This Row],[relevant]], SUMIFS(Fixtures[YC], Fixtures[userTeam], Teams[[#This Row],[name]]), "")</f>
        <v/>
      </c>
      <c r="P187" s="1" t="str">
        <f>IF(Teams[[#This Row],[relevant]], SUMIFS(Fixtures[RC], Fixtures[userTeam], Teams[[#This Row],[name]]), "")</f>
        <v/>
      </c>
      <c r="Q187" s="13" t="str">
        <f>IF(Teams[[#This Row],[relevant]], IF(ISERROR(AVERAGEIFS(Fixtures[MR], Fixtures[userTeam], Teams[[#This Row],[name]])), 0, AVERAGEIFS(Fixtures[MR], Fixtures[userTeam], Teams[[#This Row],[name]])), "")</f>
        <v/>
      </c>
      <c r="R187" s="1" t="str">
        <f>IF(Teams[[#This Row],[relevant]], COUNTIFS(Fixtures[userTeam], Teams[[#This Row],[name]], Fixtures[MOTM], TRUE), "")</f>
        <v/>
      </c>
      <c r="S187" s="1" t="str" cm="1">
        <f t="array" ref="S187">IF(Teams[[#This Row],[relevant]], _xlfn.TEXTJOIN(", ", TRUE, _xlfn._xlws.FILTER(Stats[competition]&amp;" ("&amp;Stats[season]&amp;")",(Stats[team]=Teams[[#This Row],[name]])*(Stats[result]="Winner"),"")), "")</f>
        <v/>
      </c>
    </row>
    <row r="188" spans="1:19" ht="13" hidden="1">
      <c r="A188" s="1" t="s">
        <v>581</v>
      </c>
      <c r="B188" s="1" t="s">
        <v>224</v>
      </c>
      <c r="C188" s="1" t="s">
        <v>391</v>
      </c>
      <c r="D188" s="1" t="str">
        <f>UPPER(_xlfn.CONCAT(LEFT(Teams[[#This Row],[teamType]], 1), "-", LEFT(SUBSTITUTE(Teams[[#This Row],[nation]], "/", ""), 3), "-", SUBSTITUTE(SUBSTITUTE(SUBSTITUTE(Teams[[#This Row],[name]], ".", ""), " ", ""), "-", "")))</f>
        <v>C-CRO-DINAMOZAGREB</v>
      </c>
      <c r="E188" s="16"/>
      <c r="F188" s="16"/>
      <c r="G188" s="1" t="b">
        <f>COUNTBLANK(Teams[[#This Row],[startDate]:[endDate]]) &lt; 2</f>
        <v>0</v>
      </c>
      <c r="H188" s="1" t="str">
        <f>IF(Teams[[#This Row],[relevant]], COUNTIFS(Fixtures[userTeam], Teams[[#This Row],[name]], Fixtures[APP], TRUE), "")</f>
        <v/>
      </c>
      <c r="I188" s="1" t="str">
        <f>IF(Teams[[#This Row],[relevant]], COUNTIFS(Fixtures[userTeam], Teams[[#This Row],[name]], Fixtures[result], "W", Fixtures[APP], TRUE), "")</f>
        <v/>
      </c>
      <c r="J188" s="1" t="str">
        <f>IF(Teams[[#This Row],[relevant]], COUNTIFS(Fixtures[userTeam], Teams[[#This Row],[name]], Fixtures[result], "D", Fixtures[APP], TRUE), "")</f>
        <v/>
      </c>
      <c r="K188" s="1" t="str">
        <f>IF(Teams[[#This Row],[relevant]], COUNTIFS(Fixtures[userTeam], Teams[[#This Row],[name]], Fixtures[result], "L", Fixtures[APP], TRUE), "")</f>
        <v/>
      </c>
      <c r="L188" s="1" t="str">
        <f>IF(Teams[[#This Row],[relevant]], SUMIFS(Fixtures[G], Fixtures[userTeam], Teams[[#This Row],[name]]), "")</f>
        <v/>
      </c>
      <c r="M188" s="1" t="str">
        <f>IF(Teams[[#This Row],[relevant]], SUMIFS(Fixtures[A], Fixtures[userTeam], Teams[[#This Row],[name]]), "")</f>
        <v/>
      </c>
      <c r="N188" s="1" t="str">
        <f>IF(Teams[[#This Row],[relevant]], SUMIFS(Fixtures[INV], Fixtures[userTeam], Teams[[#This Row],[name]]), "")</f>
        <v/>
      </c>
      <c r="O188" s="1" t="str">
        <f>IF(Teams[[#This Row],[relevant]], SUMIFS(Fixtures[YC], Fixtures[userTeam], Teams[[#This Row],[name]]), "")</f>
        <v/>
      </c>
      <c r="P188" s="1" t="str">
        <f>IF(Teams[[#This Row],[relevant]], SUMIFS(Fixtures[RC], Fixtures[userTeam], Teams[[#This Row],[name]]), "")</f>
        <v/>
      </c>
      <c r="Q188" s="13" t="str">
        <f>IF(Teams[[#This Row],[relevant]], IF(ISERROR(AVERAGEIFS(Fixtures[MR], Fixtures[userTeam], Teams[[#This Row],[name]])), 0, AVERAGEIFS(Fixtures[MR], Fixtures[userTeam], Teams[[#This Row],[name]])), "")</f>
        <v/>
      </c>
      <c r="R188" s="1" t="str">
        <f>IF(Teams[[#This Row],[relevant]], COUNTIFS(Fixtures[userTeam], Teams[[#This Row],[name]], Fixtures[MOTM], TRUE), "")</f>
        <v/>
      </c>
      <c r="S188" s="1" t="str" cm="1">
        <f t="array" ref="S188">IF(Teams[[#This Row],[relevant]], _xlfn.TEXTJOIN(", ", TRUE, _xlfn._xlws.FILTER(Stats[competition]&amp;" ("&amp;Stats[season]&amp;")",(Stats[team]=Teams[[#This Row],[name]])*(Stats[result]="Winner"),"")), "")</f>
        <v/>
      </c>
    </row>
    <row r="189" spans="1:19" ht="13" hidden="1">
      <c r="A189" s="1" t="s">
        <v>582</v>
      </c>
      <c r="B189" s="1" t="s">
        <v>284</v>
      </c>
      <c r="C189" s="1" t="s">
        <v>391</v>
      </c>
      <c r="D189" s="1" t="str">
        <f>UPPER(_xlfn.CONCAT(LEFT(Teams[[#This Row],[teamType]], 1), "-", LEFT(SUBSTITUTE(Teams[[#This Row],[nation]], "/", ""), 3), "-", SUBSTITUTE(SUBSTITUTE(SUBSTITUTE(Teams[[#This Row],[name]], ".", ""), " ", ""), "-", "")))</f>
        <v>C-SWE-DJURGÅRDENSIF</v>
      </c>
      <c r="E189" s="16"/>
      <c r="F189" s="16"/>
      <c r="G189" s="1" t="b">
        <f>COUNTBLANK(Teams[[#This Row],[startDate]:[endDate]]) &lt; 2</f>
        <v>0</v>
      </c>
      <c r="H189" s="1" t="str">
        <f>IF(Teams[[#This Row],[relevant]], COUNTIFS(Fixtures[userTeam], Teams[[#This Row],[name]], Fixtures[APP], TRUE), "")</f>
        <v/>
      </c>
      <c r="I189" s="1" t="str">
        <f>IF(Teams[[#This Row],[relevant]], COUNTIFS(Fixtures[userTeam], Teams[[#This Row],[name]], Fixtures[result], "W", Fixtures[APP], TRUE), "")</f>
        <v/>
      </c>
      <c r="J189" s="1" t="str">
        <f>IF(Teams[[#This Row],[relevant]], COUNTIFS(Fixtures[userTeam], Teams[[#This Row],[name]], Fixtures[result], "D", Fixtures[APP], TRUE), "")</f>
        <v/>
      </c>
      <c r="K189" s="1" t="str">
        <f>IF(Teams[[#This Row],[relevant]], COUNTIFS(Fixtures[userTeam], Teams[[#This Row],[name]], Fixtures[result], "L", Fixtures[APP], TRUE), "")</f>
        <v/>
      </c>
      <c r="L189" s="1" t="str">
        <f>IF(Teams[[#This Row],[relevant]], SUMIFS(Fixtures[G], Fixtures[userTeam], Teams[[#This Row],[name]]), "")</f>
        <v/>
      </c>
      <c r="M189" s="1" t="str">
        <f>IF(Teams[[#This Row],[relevant]], SUMIFS(Fixtures[A], Fixtures[userTeam], Teams[[#This Row],[name]]), "")</f>
        <v/>
      </c>
      <c r="N189" s="1" t="str">
        <f>IF(Teams[[#This Row],[relevant]], SUMIFS(Fixtures[INV], Fixtures[userTeam], Teams[[#This Row],[name]]), "")</f>
        <v/>
      </c>
      <c r="O189" s="1" t="str">
        <f>IF(Teams[[#This Row],[relevant]], SUMIFS(Fixtures[YC], Fixtures[userTeam], Teams[[#This Row],[name]]), "")</f>
        <v/>
      </c>
      <c r="P189" s="1" t="str">
        <f>IF(Teams[[#This Row],[relevant]], SUMIFS(Fixtures[RC], Fixtures[userTeam], Teams[[#This Row],[name]]), "")</f>
        <v/>
      </c>
      <c r="Q189" s="13" t="str">
        <f>IF(Teams[[#This Row],[relevant]], IF(ISERROR(AVERAGEIFS(Fixtures[MR], Fixtures[userTeam], Teams[[#This Row],[name]])), 0, AVERAGEIFS(Fixtures[MR], Fixtures[userTeam], Teams[[#This Row],[name]])), "")</f>
        <v/>
      </c>
      <c r="R189" s="1" t="str">
        <f>IF(Teams[[#This Row],[relevant]], COUNTIFS(Fixtures[userTeam], Teams[[#This Row],[name]], Fixtures[MOTM], TRUE), "")</f>
        <v/>
      </c>
      <c r="S189" s="1" t="str" cm="1">
        <f t="array" ref="S189">IF(Teams[[#This Row],[relevant]], _xlfn.TEXTJOIN(", ", TRUE, _xlfn._xlws.FILTER(Stats[competition]&amp;" ("&amp;Stats[season]&amp;")",(Stats[team]=Teams[[#This Row],[name]])*(Stats[result]="Winner"),"")), "")</f>
        <v/>
      </c>
    </row>
    <row r="190" spans="1:19" ht="13" hidden="1">
      <c r="A190" s="1" t="s">
        <v>583</v>
      </c>
      <c r="B190" s="1" t="s">
        <v>152</v>
      </c>
      <c r="C190" s="1" t="s">
        <v>391</v>
      </c>
      <c r="D190" s="1" t="str">
        <f>UPPER(_xlfn.CONCAT(LEFT(Teams[[#This Row],[teamType]], 1), "-", LEFT(SUBSTITUTE(Teams[[#This Row],[nation]], "/", ""), 3), "-", SUBSTITUTE(SUBSTITUTE(SUBSTITUTE(Teams[[#This Row],[name]], ".", ""), " ", ""), "-", "")))</f>
        <v>C-ENG-DONCASTER</v>
      </c>
      <c r="E190" s="16"/>
      <c r="F190" s="16"/>
      <c r="G190" s="1" t="b">
        <f>COUNTBLANK(Teams[[#This Row],[startDate]:[endDate]]) &lt; 2</f>
        <v>0</v>
      </c>
      <c r="H190" s="1" t="str">
        <f>IF(Teams[[#This Row],[relevant]], COUNTIFS(Fixtures[userTeam], Teams[[#This Row],[name]], Fixtures[APP], TRUE), "")</f>
        <v/>
      </c>
      <c r="I190" s="1" t="str">
        <f>IF(Teams[[#This Row],[relevant]], COUNTIFS(Fixtures[userTeam], Teams[[#This Row],[name]], Fixtures[result], "W", Fixtures[APP], TRUE), "")</f>
        <v/>
      </c>
      <c r="J190" s="1" t="str">
        <f>IF(Teams[[#This Row],[relevant]], COUNTIFS(Fixtures[userTeam], Teams[[#This Row],[name]], Fixtures[result], "D", Fixtures[APP], TRUE), "")</f>
        <v/>
      </c>
      <c r="K190" s="1" t="str">
        <f>IF(Teams[[#This Row],[relevant]], COUNTIFS(Fixtures[userTeam], Teams[[#This Row],[name]], Fixtures[result], "L", Fixtures[APP], TRUE), "")</f>
        <v/>
      </c>
      <c r="L190" s="1" t="str">
        <f>IF(Teams[[#This Row],[relevant]], SUMIFS(Fixtures[G], Fixtures[userTeam], Teams[[#This Row],[name]]), "")</f>
        <v/>
      </c>
      <c r="M190" s="1" t="str">
        <f>IF(Teams[[#This Row],[relevant]], SUMIFS(Fixtures[A], Fixtures[userTeam], Teams[[#This Row],[name]]), "")</f>
        <v/>
      </c>
      <c r="N190" s="1" t="str">
        <f>IF(Teams[[#This Row],[relevant]], SUMIFS(Fixtures[INV], Fixtures[userTeam], Teams[[#This Row],[name]]), "")</f>
        <v/>
      </c>
      <c r="O190" s="1" t="str">
        <f>IF(Teams[[#This Row],[relevant]], SUMIFS(Fixtures[YC], Fixtures[userTeam], Teams[[#This Row],[name]]), "")</f>
        <v/>
      </c>
      <c r="P190" s="1" t="str">
        <f>IF(Teams[[#This Row],[relevant]], SUMIFS(Fixtures[RC], Fixtures[userTeam], Teams[[#This Row],[name]]), "")</f>
        <v/>
      </c>
      <c r="Q190" s="13" t="str">
        <f>IF(Teams[[#This Row],[relevant]], IF(ISERROR(AVERAGEIFS(Fixtures[MR], Fixtures[userTeam], Teams[[#This Row],[name]])), 0, AVERAGEIFS(Fixtures[MR], Fixtures[userTeam], Teams[[#This Row],[name]])), "")</f>
        <v/>
      </c>
      <c r="R190" s="1" t="str">
        <f>IF(Teams[[#This Row],[relevant]], COUNTIFS(Fixtures[userTeam], Teams[[#This Row],[name]], Fixtures[MOTM], TRUE), "")</f>
        <v/>
      </c>
      <c r="S190" s="1" t="str" cm="1">
        <f t="array" ref="S190">IF(Teams[[#This Row],[relevant]], _xlfn.TEXTJOIN(", ", TRUE, _xlfn._xlws.FILTER(Stats[competition]&amp;" ("&amp;Stats[season]&amp;")",(Stats[team]=Teams[[#This Row],[name]])*(Stats[result]="Winner"),"")), "")</f>
        <v/>
      </c>
    </row>
    <row r="191" spans="1:19" ht="13" hidden="1">
      <c r="A191" s="1" t="s">
        <v>584</v>
      </c>
      <c r="B191" s="1" t="s">
        <v>270</v>
      </c>
      <c r="C191" s="1" t="s">
        <v>391</v>
      </c>
      <c r="D191" s="1" t="str">
        <f>UPPER(_xlfn.CONCAT(LEFT(Teams[[#This Row],[teamType]], 1), "-", LEFT(SUBSTITUTE(Teams[[#This Row],[nation]], "/", ""), 3), "-", SUBSTITUTE(SUBSTITUTE(SUBSTITUTE(Teams[[#This Row],[name]], ".", ""), " ", ""), "-", "")))</f>
        <v>C-IRE-DROGHEDAUNITED</v>
      </c>
      <c r="E191" s="16"/>
      <c r="F191" s="16"/>
      <c r="G191" s="1" t="b">
        <f>COUNTBLANK(Teams[[#This Row],[startDate]:[endDate]]) &lt; 2</f>
        <v>0</v>
      </c>
      <c r="H191" s="1" t="str">
        <f>IF(Teams[[#This Row],[relevant]], COUNTIFS(Fixtures[userTeam], Teams[[#This Row],[name]], Fixtures[APP], TRUE), "")</f>
        <v/>
      </c>
      <c r="I191" s="1" t="str">
        <f>IF(Teams[[#This Row],[relevant]], COUNTIFS(Fixtures[userTeam], Teams[[#This Row],[name]], Fixtures[result], "W", Fixtures[APP], TRUE), "")</f>
        <v/>
      </c>
      <c r="J191" s="1" t="str">
        <f>IF(Teams[[#This Row],[relevant]], COUNTIFS(Fixtures[userTeam], Teams[[#This Row],[name]], Fixtures[result], "D", Fixtures[APP], TRUE), "")</f>
        <v/>
      </c>
      <c r="K191" s="1" t="str">
        <f>IF(Teams[[#This Row],[relevant]], COUNTIFS(Fixtures[userTeam], Teams[[#This Row],[name]], Fixtures[result], "L", Fixtures[APP], TRUE), "")</f>
        <v/>
      </c>
      <c r="L191" s="1" t="str">
        <f>IF(Teams[[#This Row],[relevant]], SUMIFS(Fixtures[G], Fixtures[userTeam], Teams[[#This Row],[name]]), "")</f>
        <v/>
      </c>
      <c r="M191" s="1" t="str">
        <f>IF(Teams[[#This Row],[relevant]], SUMIFS(Fixtures[A], Fixtures[userTeam], Teams[[#This Row],[name]]), "")</f>
        <v/>
      </c>
      <c r="N191" s="1" t="str">
        <f>IF(Teams[[#This Row],[relevant]], SUMIFS(Fixtures[INV], Fixtures[userTeam], Teams[[#This Row],[name]]), "")</f>
        <v/>
      </c>
      <c r="O191" s="1" t="str">
        <f>IF(Teams[[#This Row],[relevant]], SUMIFS(Fixtures[YC], Fixtures[userTeam], Teams[[#This Row],[name]]), "")</f>
        <v/>
      </c>
      <c r="P191" s="1" t="str">
        <f>IF(Teams[[#This Row],[relevant]], SUMIFS(Fixtures[RC], Fixtures[userTeam], Teams[[#This Row],[name]]), "")</f>
        <v/>
      </c>
      <c r="Q191" s="13" t="str">
        <f>IF(Teams[[#This Row],[relevant]], IF(ISERROR(AVERAGEIFS(Fixtures[MR], Fixtures[userTeam], Teams[[#This Row],[name]])), 0, AVERAGEIFS(Fixtures[MR], Fixtures[userTeam], Teams[[#This Row],[name]])), "")</f>
        <v/>
      </c>
      <c r="R191" s="1" t="str">
        <f>IF(Teams[[#This Row],[relevant]], COUNTIFS(Fixtures[userTeam], Teams[[#This Row],[name]], Fixtures[MOTM], TRUE), "")</f>
        <v/>
      </c>
      <c r="S191" s="1" t="str" cm="1">
        <f t="array" ref="S191">IF(Teams[[#This Row],[relevant]], _xlfn.TEXTJOIN(", ", TRUE, _xlfn._xlws.FILTER(Stats[competition]&amp;" ("&amp;Stats[season]&amp;")",(Stats[team]=Teams[[#This Row],[name]])*(Stats[result]="Winner"),"")), "")</f>
        <v/>
      </c>
    </row>
    <row r="192" spans="1:19" ht="13" hidden="1">
      <c r="A192" s="1" t="s">
        <v>585</v>
      </c>
      <c r="B192" s="1" t="s">
        <v>270</v>
      </c>
      <c r="C192" s="1" t="s">
        <v>391</v>
      </c>
      <c r="D192" s="1" t="str">
        <f>UPPER(_xlfn.CONCAT(LEFT(Teams[[#This Row],[teamType]], 1), "-", LEFT(SUBSTITUTE(Teams[[#This Row],[nation]], "/", ""), 3), "-", SUBSTITUTE(SUBSTITUTE(SUBSTITUTE(Teams[[#This Row],[name]], ".", ""), " ", ""), "-", "")))</f>
        <v>C-IRE-DUNDALK</v>
      </c>
      <c r="E192" s="16"/>
      <c r="F192" s="16"/>
      <c r="G192" s="1" t="b">
        <f>COUNTBLANK(Teams[[#This Row],[startDate]:[endDate]]) &lt; 2</f>
        <v>0</v>
      </c>
      <c r="H192" s="1" t="str">
        <f>IF(Teams[[#This Row],[relevant]], COUNTIFS(Fixtures[userTeam], Teams[[#This Row],[name]], Fixtures[APP], TRUE), "")</f>
        <v/>
      </c>
      <c r="I192" s="1" t="str">
        <f>IF(Teams[[#This Row],[relevant]], COUNTIFS(Fixtures[userTeam], Teams[[#This Row],[name]], Fixtures[result], "W", Fixtures[APP], TRUE), "")</f>
        <v/>
      </c>
      <c r="J192" s="1" t="str">
        <f>IF(Teams[[#This Row],[relevant]], COUNTIFS(Fixtures[userTeam], Teams[[#This Row],[name]], Fixtures[result], "D", Fixtures[APP], TRUE), "")</f>
        <v/>
      </c>
      <c r="K192" s="1" t="str">
        <f>IF(Teams[[#This Row],[relevant]], COUNTIFS(Fixtures[userTeam], Teams[[#This Row],[name]], Fixtures[result], "L", Fixtures[APP], TRUE), "")</f>
        <v/>
      </c>
      <c r="L192" s="1" t="str">
        <f>IF(Teams[[#This Row],[relevant]], SUMIFS(Fixtures[G], Fixtures[userTeam], Teams[[#This Row],[name]]), "")</f>
        <v/>
      </c>
      <c r="M192" s="1" t="str">
        <f>IF(Teams[[#This Row],[relevant]], SUMIFS(Fixtures[A], Fixtures[userTeam], Teams[[#This Row],[name]]), "")</f>
        <v/>
      </c>
      <c r="N192" s="1" t="str">
        <f>IF(Teams[[#This Row],[relevant]], SUMIFS(Fixtures[INV], Fixtures[userTeam], Teams[[#This Row],[name]]), "")</f>
        <v/>
      </c>
      <c r="O192" s="1" t="str">
        <f>IF(Teams[[#This Row],[relevant]], SUMIFS(Fixtures[YC], Fixtures[userTeam], Teams[[#This Row],[name]]), "")</f>
        <v/>
      </c>
      <c r="P192" s="1" t="str">
        <f>IF(Teams[[#This Row],[relevant]], SUMIFS(Fixtures[RC], Fixtures[userTeam], Teams[[#This Row],[name]]), "")</f>
        <v/>
      </c>
      <c r="Q192" s="13" t="str">
        <f>IF(Teams[[#This Row],[relevant]], IF(ISERROR(AVERAGEIFS(Fixtures[MR], Fixtures[userTeam], Teams[[#This Row],[name]])), 0, AVERAGEIFS(Fixtures[MR], Fixtures[userTeam], Teams[[#This Row],[name]])), "")</f>
        <v/>
      </c>
      <c r="R192" s="1" t="str">
        <f>IF(Teams[[#This Row],[relevant]], COUNTIFS(Fixtures[userTeam], Teams[[#This Row],[name]], Fixtures[MOTM], TRUE), "")</f>
        <v/>
      </c>
      <c r="S192" s="1" t="str" cm="1">
        <f t="array" ref="S192">IF(Teams[[#This Row],[relevant]], _xlfn.TEXTJOIN(", ", TRUE, _xlfn._xlws.FILTER(Stats[competition]&amp;" ("&amp;Stats[season]&amp;")",(Stats[team]=Teams[[#This Row],[name]])*(Stats[result]="Winner"),"")), "")</f>
        <v/>
      </c>
    </row>
    <row r="193" spans="1:19" ht="13" hidden="1">
      <c r="A193" s="1" t="s">
        <v>586</v>
      </c>
      <c r="B193" s="1" t="s">
        <v>401</v>
      </c>
      <c r="C193" s="1" t="s">
        <v>391</v>
      </c>
      <c r="D193" s="1" t="str">
        <f>UPPER(_xlfn.CONCAT(LEFT(Teams[[#This Row],[teamType]], 1), "-", LEFT(SUBSTITUTE(Teams[[#This Row],[nation]], "/", ""), 3), "-", SUBSTITUTE(SUBSTITUTE(SUBSTITUTE(Teams[[#This Row],[name]], ".", ""), " ", ""), "-", "")))</f>
        <v>C-SCO-DUNDEEUNITED</v>
      </c>
      <c r="E193" s="16"/>
      <c r="F193" s="16"/>
      <c r="G193" s="1" t="b">
        <f>COUNTBLANK(Teams[[#This Row],[startDate]:[endDate]]) &lt; 2</f>
        <v>0</v>
      </c>
      <c r="H193" s="1" t="str">
        <f>IF(Teams[[#This Row],[relevant]], COUNTIFS(Fixtures[userTeam], Teams[[#This Row],[name]], Fixtures[APP], TRUE), "")</f>
        <v/>
      </c>
      <c r="I193" s="1" t="str">
        <f>IF(Teams[[#This Row],[relevant]], COUNTIFS(Fixtures[userTeam], Teams[[#This Row],[name]], Fixtures[result], "W", Fixtures[APP], TRUE), "")</f>
        <v/>
      </c>
      <c r="J193" s="1" t="str">
        <f>IF(Teams[[#This Row],[relevant]], COUNTIFS(Fixtures[userTeam], Teams[[#This Row],[name]], Fixtures[result], "D", Fixtures[APP], TRUE), "")</f>
        <v/>
      </c>
      <c r="K193" s="1" t="str">
        <f>IF(Teams[[#This Row],[relevant]], COUNTIFS(Fixtures[userTeam], Teams[[#This Row],[name]], Fixtures[result], "L", Fixtures[APP], TRUE), "")</f>
        <v/>
      </c>
      <c r="L193" s="1" t="str">
        <f>IF(Teams[[#This Row],[relevant]], SUMIFS(Fixtures[G], Fixtures[userTeam], Teams[[#This Row],[name]]), "")</f>
        <v/>
      </c>
      <c r="M193" s="1" t="str">
        <f>IF(Teams[[#This Row],[relevant]], SUMIFS(Fixtures[A], Fixtures[userTeam], Teams[[#This Row],[name]]), "")</f>
        <v/>
      </c>
      <c r="N193" s="1" t="str">
        <f>IF(Teams[[#This Row],[relevant]], SUMIFS(Fixtures[INV], Fixtures[userTeam], Teams[[#This Row],[name]]), "")</f>
        <v/>
      </c>
      <c r="O193" s="1" t="str">
        <f>IF(Teams[[#This Row],[relevant]], SUMIFS(Fixtures[YC], Fixtures[userTeam], Teams[[#This Row],[name]]), "")</f>
        <v/>
      </c>
      <c r="P193" s="1" t="str">
        <f>IF(Teams[[#This Row],[relevant]], SUMIFS(Fixtures[RC], Fixtures[userTeam], Teams[[#This Row],[name]]), "")</f>
        <v/>
      </c>
      <c r="Q193" s="13" t="str">
        <f>IF(Teams[[#This Row],[relevant]], IF(ISERROR(AVERAGEIFS(Fixtures[MR], Fixtures[userTeam], Teams[[#This Row],[name]])), 0, AVERAGEIFS(Fixtures[MR], Fixtures[userTeam], Teams[[#This Row],[name]])), "")</f>
        <v/>
      </c>
      <c r="R193" s="1" t="str">
        <f>IF(Teams[[#This Row],[relevant]], COUNTIFS(Fixtures[userTeam], Teams[[#This Row],[name]], Fixtures[MOTM], TRUE), "")</f>
        <v/>
      </c>
      <c r="S193" s="1" t="str" cm="1">
        <f t="array" ref="S193">IF(Teams[[#This Row],[relevant]], _xlfn.TEXTJOIN(", ", TRUE, _xlfn._xlws.FILTER(Stats[competition]&amp;" ("&amp;Stats[season]&amp;")",(Stats[team]=Teams[[#This Row],[name]])*(Stats[result]="Winner"),"")), "")</f>
        <v/>
      </c>
    </row>
    <row r="194" spans="1:19" ht="13" hidden="1">
      <c r="A194" s="1" t="s">
        <v>346</v>
      </c>
      <c r="B194" s="1" t="s">
        <v>337</v>
      </c>
      <c r="C194" s="1" t="s">
        <v>391</v>
      </c>
      <c r="D194" s="1" t="str">
        <f>UPPER(_xlfn.CONCAT(LEFT(Teams[[#This Row],[teamType]], 1), "-", LEFT(SUBSTITUTE(Teams[[#This Row],[nation]], "/", ""), 3), "-", SUBSTITUTE(SUBSTITUTE(SUBSTITUTE(Teams[[#This Row],[name]], ".", ""), " ", ""), "-", "")))</f>
        <v>C-GER-DÜSSELDORF</v>
      </c>
      <c r="E194" s="16"/>
      <c r="F194" s="16"/>
      <c r="G194" s="1" t="b">
        <f>COUNTBLANK(Teams[[#This Row],[startDate]:[endDate]]) &lt; 2</f>
        <v>0</v>
      </c>
      <c r="H194" s="1" t="str">
        <f>IF(Teams[[#This Row],[relevant]], COUNTIFS(Fixtures[userTeam], Teams[[#This Row],[name]], Fixtures[APP], TRUE), "")</f>
        <v/>
      </c>
      <c r="I194" s="1" t="str">
        <f>IF(Teams[[#This Row],[relevant]], COUNTIFS(Fixtures[userTeam], Teams[[#This Row],[name]], Fixtures[result], "W", Fixtures[APP], TRUE), "")</f>
        <v/>
      </c>
      <c r="J194" s="1" t="str">
        <f>IF(Teams[[#This Row],[relevant]], COUNTIFS(Fixtures[userTeam], Teams[[#This Row],[name]], Fixtures[result], "D", Fixtures[APP], TRUE), "")</f>
        <v/>
      </c>
      <c r="K194" s="1" t="str">
        <f>IF(Teams[[#This Row],[relevant]], COUNTIFS(Fixtures[userTeam], Teams[[#This Row],[name]], Fixtures[result], "L", Fixtures[APP], TRUE), "")</f>
        <v/>
      </c>
      <c r="L194" s="1" t="str">
        <f>IF(Teams[[#This Row],[relevant]], SUMIFS(Fixtures[G], Fixtures[userTeam], Teams[[#This Row],[name]]), "")</f>
        <v/>
      </c>
      <c r="M194" s="1" t="str">
        <f>IF(Teams[[#This Row],[relevant]], SUMIFS(Fixtures[A], Fixtures[userTeam], Teams[[#This Row],[name]]), "")</f>
        <v/>
      </c>
      <c r="N194" s="1" t="str">
        <f>IF(Teams[[#This Row],[relevant]], SUMIFS(Fixtures[INV], Fixtures[userTeam], Teams[[#This Row],[name]]), "")</f>
        <v/>
      </c>
      <c r="O194" s="1" t="str">
        <f>IF(Teams[[#This Row],[relevant]], SUMIFS(Fixtures[YC], Fixtures[userTeam], Teams[[#This Row],[name]]), "")</f>
        <v/>
      </c>
      <c r="P194" s="1" t="str">
        <f>IF(Teams[[#This Row],[relevant]], SUMIFS(Fixtures[RC], Fixtures[userTeam], Teams[[#This Row],[name]]), "")</f>
        <v/>
      </c>
      <c r="Q194" s="13" t="str">
        <f>IF(Teams[[#This Row],[relevant]], IF(ISERROR(AVERAGEIFS(Fixtures[MR], Fixtures[userTeam], Teams[[#This Row],[name]])), 0, AVERAGEIFS(Fixtures[MR], Fixtures[userTeam], Teams[[#This Row],[name]])), "")</f>
        <v/>
      </c>
      <c r="R194" s="1" t="str">
        <f>IF(Teams[[#This Row],[relevant]], COUNTIFS(Fixtures[userTeam], Teams[[#This Row],[name]], Fixtures[MOTM], TRUE), "")</f>
        <v/>
      </c>
      <c r="S194" s="1" t="str" cm="1">
        <f t="array" ref="S194">IF(Teams[[#This Row],[relevant]], _xlfn.TEXTJOIN(", ", TRUE, _xlfn._xlws.FILTER(Stats[competition]&amp;" ("&amp;Stats[season]&amp;")",(Stats[team]=Teams[[#This Row],[name]])*(Stats[result]="Winner"),"")), "")</f>
        <v/>
      </c>
    </row>
    <row r="195" spans="1:19" ht="13" hidden="1">
      <c r="A195" s="1" t="s">
        <v>587</v>
      </c>
      <c r="B195" s="1" t="s">
        <v>337</v>
      </c>
      <c r="C195" s="1" t="s">
        <v>391</v>
      </c>
      <c r="D195" s="1" t="str">
        <f>UPPER(_xlfn.CONCAT(LEFT(Teams[[#This Row],[teamType]], 1), "-", LEFT(SUBSTITUTE(Teams[[#This Row],[nation]], "/", ""), 3), "-", SUBSTITUTE(SUBSTITUTE(SUBSTITUTE(Teams[[#This Row],[name]], ".", ""), " ", ""), "-", "")))</f>
        <v>C-GER-DYNAMODRESDEN</v>
      </c>
      <c r="E195" s="16"/>
      <c r="F195" s="16"/>
      <c r="G195" s="1" t="b">
        <f>COUNTBLANK(Teams[[#This Row],[startDate]:[endDate]]) &lt; 2</f>
        <v>0</v>
      </c>
      <c r="H195" s="1" t="str">
        <f>IF(Teams[[#This Row],[relevant]], COUNTIFS(Fixtures[userTeam], Teams[[#This Row],[name]], Fixtures[APP], TRUE), "")</f>
        <v/>
      </c>
      <c r="I195" s="1" t="str">
        <f>IF(Teams[[#This Row],[relevant]], COUNTIFS(Fixtures[userTeam], Teams[[#This Row],[name]], Fixtures[result], "W", Fixtures[APP], TRUE), "")</f>
        <v/>
      </c>
      <c r="J195" s="1" t="str">
        <f>IF(Teams[[#This Row],[relevant]], COUNTIFS(Fixtures[userTeam], Teams[[#This Row],[name]], Fixtures[result], "D", Fixtures[APP], TRUE), "")</f>
        <v/>
      </c>
      <c r="K195" s="1" t="str">
        <f>IF(Teams[[#This Row],[relevant]], COUNTIFS(Fixtures[userTeam], Teams[[#This Row],[name]], Fixtures[result], "L", Fixtures[APP], TRUE), "")</f>
        <v/>
      </c>
      <c r="L195" s="1" t="str">
        <f>IF(Teams[[#This Row],[relevant]], SUMIFS(Fixtures[G], Fixtures[userTeam], Teams[[#This Row],[name]]), "")</f>
        <v/>
      </c>
      <c r="M195" s="1" t="str">
        <f>IF(Teams[[#This Row],[relevant]], SUMIFS(Fixtures[A], Fixtures[userTeam], Teams[[#This Row],[name]]), "")</f>
        <v/>
      </c>
      <c r="N195" s="1" t="str">
        <f>IF(Teams[[#This Row],[relevant]], SUMIFS(Fixtures[INV], Fixtures[userTeam], Teams[[#This Row],[name]]), "")</f>
        <v/>
      </c>
      <c r="O195" s="1" t="str">
        <f>IF(Teams[[#This Row],[relevant]], SUMIFS(Fixtures[YC], Fixtures[userTeam], Teams[[#This Row],[name]]), "")</f>
        <v/>
      </c>
      <c r="P195" s="1" t="str">
        <f>IF(Teams[[#This Row],[relevant]], SUMIFS(Fixtures[RC], Fixtures[userTeam], Teams[[#This Row],[name]]), "")</f>
        <v/>
      </c>
      <c r="Q195" s="13" t="str">
        <f>IF(Teams[[#This Row],[relevant]], IF(ISERROR(AVERAGEIFS(Fixtures[MR], Fixtures[userTeam], Teams[[#This Row],[name]])), 0, AVERAGEIFS(Fixtures[MR], Fixtures[userTeam], Teams[[#This Row],[name]])), "")</f>
        <v/>
      </c>
      <c r="R195" s="1" t="str">
        <f>IF(Teams[[#This Row],[relevant]], COUNTIFS(Fixtures[userTeam], Teams[[#This Row],[name]], Fixtures[MOTM], TRUE), "")</f>
        <v/>
      </c>
      <c r="S195" s="1" t="str" cm="1">
        <f t="array" ref="S195">IF(Teams[[#This Row],[relevant]], _xlfn.TEXTJOIN(", ", TRUE, _xlfn._xlws.FILTER(Stats[competition]&amp;" ("&amp;Stats[season]&amp;")",(Stats[team]=Teams[[#This Row],[name]])*(Stats[result]="Winner"),"")), "")</f>
        <v/>
      </c>
    </row>
    <row r="196" spans="1:19" ht="13" hidden="1">
      <c r="A196" s="1" t="s">
        <v>588</v>
      </c>
      <c r="B196" s="1" t="s">
        <v>589</v>
      </c>
      <c r="C196" s="1" t="s">
        <v>391</v>
      </c>
      <c r="D196" s="1" t="str">
        <f>UPPER(_xlfn.CONCAT(LEFT(Teams[[#This Row],[teamType]], 1), "-", LEFT(SUBSTITUTE(Teams[[#This Row],[nation]], "/", ""), 3), "-", SUBSTITUTE(SUBSTITUTE(SUBSTITUTE(Teams[[#This Row],[name]], ".", ""), " ", ""), "-", "")))</f>
        <v>C-UKR-DYNAMOKYIV</v>
      </c>
      <c r="E196" s="16"/>
      <c r="F196" s="16"/>
      <c r="G196" s="1" t="b">
        <f>COUNTBLANK(Teams[[#This Row],[startDate]:[endDate]]) &lt; 2</f>
        <v>0</v>
      </c>
      <c r="H196" s="1" t="str">
        <f>IF(Teams[[#This Row],[relevant]], COUNTIFS(Fixtures[userTeam], Teams[[#This Row],[name]], Fixtures[APP], TRUE), "")</f>
        <v/>
      </c>
      <c r="I196" s="1" t="str">
        <f>IF(Teams[[#This Row],[relevant]], COUNTIFS(Fixtures[userTeam], Teams[[#This Row],[name]], Fixtures[result], "W", Fixtures[APP], TRUE), "")</f>
        <v/>
      </c>
      <c r="J196" s="1" t="str">
        <f>IF(Teams[[#This Row],[relevant]], COUNTIFS(Fixtures[userTeam], Teams[[#This Row],[name]], Fixtures[result], "D", Fixtures[APP], TRUE), "")</f>
        <v/>
      </c>
      <c r="K196" s="1" t="str">
        <f>IF(Teams[[#This Row],[relevant]], COUNTIFS(Fixtures[userTeam], Teams[[#This Row],[name]], Fixtures[result], "L", Fixtures[APP], TRUE), "")</f>
        <v/>
      </c>
      <c r="L196" s="1" t="str">
        <f>IF(Teams[[#This Row],[relevant]], SUMIFS(Fixtures[G], Fixtures[userTeam], Teams[[#This Row],[name]]), "")</f>
        <v/>
      </c>
      <c r="M196" s="1" t="str">
        <f>IF(Teams[[#This Row],[relevant]], SUMIFS(Fixtures[A], Fixtures[userTeam], Teams[[#This Row],[name]]), "")</f>
        <v/>
      </c>
      <c r="N196" s="1" t="str">
        <f>IF(Teams[[#This Row],[relevant]], SUMIFS(Fixtures[INV], Fixtures[userTeam], Teams[[#This Row],[name]]), "")</f>
        <v/>
      </c>
      <c r="O196" s="1" t="str">
        <f>IF(Teams[[#This Row],[relevant]], SUMIFS(Fixtures[YC], Fixtures[userTeam], Teams[[#This Row],[name]]), "")</f>
        <v/>
      </c>
      <c r="P196" s="1" t="str">
        <f>IF(Teams[[#This Row],[relevant]], SUMIFS(Fixtures[RC], Fixtures[userTeam], Teams[[#This Row],[name]]), "")</f>
        <v/>
      </c>
      <c r="Q196" s="13" t="str">
        <f>IF(Teams[[#This Row],[relevant]], IF(ISERROR(AVERAGEIFS(Fixtures[MR], Fixtures[userTeam], Teams[[#This Row],[name]])), 0, AVERAGEIFS(Fixtures[MR], Fixtures[userTeam], Teams[[#This Row],[name]])), "")</f>
        <v/>
      </c>
      <c r="R196" s="1" t="str">
        <f>IF(Teams[[#This Row],[relevant]], COUNTIFS(Fixtures[userTeam], Teams[[#This Row],[name]], Fixtures[MOTM], TRUE), "")</f>
        <v/>
      </c>
      <c r="S196" s="1" t="str" cm="1">
        <f t="array" ref="S196">IF(Teams[[#This Row],[relevant]], _xlfn.TEXTJOIN(", ", TRUE, _xlfn._xlws.FILTER(Stats[competition]&amp;" ("&amp;Stats[season]&amp;")",(Stats[team]=Teams[[#This Row],[name]])*(Stats[result]="Winner"),"")), "")</f>
        <v/>
      </c>
    </row>
    <row r="197" spans="1:19" ht="13" hidden="1">
      <c r="A197" s="1" t="s">
        <v>590</v>
      </c>
      <c r="B197" s="1" t="s">
        <v>473</v>
      </c>
      <c r="C197" s="1" t="s">
        <v>391</v>
      </c>
      <c r="D197" s="1" t="str">
        <f>UPPER(_xlfn.CONCAT(LEFT(Teams[[#This Row],[teamType]], 1), "-", LEFT(SUBSTITUTE(Teams[[#This Row],[nation]], "/", ""), 3), "-", SUBSTITUTE(SUBSTITUTE(SUBSTITUTE(Teams[[#This Row],[name]], ".", ""), " ", ""), "-", "")))</f>
        <v>C-IND-EASTBENGAL</v>
      </c>
      <c r="E197" s="16"/>
      <c r="F197" s="16"/>
      <c r="G197" s="1" t="b">
        <f>COUNTBLANK(Teams[[#This Row],[startDate]:[endDate]]) &lt; 2</f>
        <v>0</v>
      </c>
      <c r="H197" s="1" t="str">
        <f>IF(Teams[[#This Row],[relevant]], COUNTIFS(Fixtures[userTeam], Teams[[#This Row],[name]], Fixtures[APP], TRUE), "")</f>
        <v/>
      </c>
      <c r="I197" s="1" t="str">
        <f>IF(Teams[[#This Row],[relevant]], COUNTIFS(Fixtures[userTeam], Teams[[#This Row],[name]], Fixtures[result], "W", Fixtures[APP], TRUE), "")</f>
        <v/>
      </c>
      <c r="J197" s="1" t="str">
        <f>IF(Teams[[#This Row],[relevant]], COUNTIFS(Fixtures[userTeam], Teams[[#This Row],[name]], Fixtures[result], "D", Fixtures[APP], TRUE), "")</f>
        <v/>
      </c>
      <c r="K197" s="1" t="str">
        <f>IF(Teams[[#This Row],[relevant]], COUNTIFS(Fixtures[userTeam], Teams[[#This Row],[name]], Fixtures[result], "L", Fixtures[APP], TRUE), "")</f>
        <v/>
      </c>
      <c r="L197" s="1" t="str">
        <f>IF(Teams[[#This Row],[relevant]], SUMIFS(Fixtures[G], Fixtures[userTeam], Teams[[#This Row],[name]]), "")</f>
        <v/>
      </c>
      <c r="M197" s="1" t="str">
        <f>IF(Teams[[#This Row],[relevant]], SUMIFS(Fixtures[A], Fixtures[userTeam], Teams[[#This Row],[name]]), "")</f>
        <v/>
      </c>
      <c r="N197" s="1" t="str">
        <f>IF(Teams[[#This Row],[relevant]], SUMIFS(Fixtures[INV], Fixtures[userTeam], Teams[[#This Row],[name]]), "")</f>
        <v/>
      </c>
      <c r="O197" s="1" t="str">
        <f>IF(Teams[[#This Row],[relevant]], SUMIFS(Fixtures[YC], Fixtures[userTeam], Teams[[#This Row],[name]]), "")</f>
        <v/>
      </c>
      <c r="P197" s="1" t="str">
        <f>IF(Teams[[#This Row],[relevant]], SUMIFS(Fixtures[RC], Fixtures[userTeam], Teams[[#This Row],[name]]), "")</f>
        <v/>
      </c>
      <c r="Q197" s="13" t="str">
        <f>IF(Teams[[#This Row],[relevant]], IF(ISERROR(AVERAGEIFS(Fixtures[MR], Fixtures[userTeam], Teams[[#This Row],[name]])), 0, AVERAGEIFS(Fixtures[MR], Fixtures[userTeam], Teams[[#This Row],[name]])), "")</f>
        <v/>
      </c>
      <c r="R197" s="1" t="str">
        <f>IF(Teams[[#This Row],[relevant]], COUNTIFS(Fixtures[userTeam], Teams[[#This Row],[name]], Fixtures[MOTM], TRUE), "")</f>
        <v/>
      </c>
      <c r="S197" s="1" t="str" cm="1">
        <f t="array" ref="S197">IF(Teams[[#This Row],[relevant]], _xlfn.TEXTJOIN(", ", TRUE, _xlfn._xlws.FILTER(Stats[competition]&amp;" ("&amp;Stats[season]&amp;")",(Stats[team]=Teams[[#This Row],[name]])*(Stats[result]="Winner"),"")), "")</f>
        <v/>
      </c>
    </row>
    <row r="198" spans="1:19" ht="13" hidden="1">
      <c r="A198" s="1" t="s">
        <v>591</v>
      </c>
      <c r="B198" s="1" t="s">
        <v>163</v>
      </c>
      <c r="C198" s="1" t="s">
        <v>391</v>
      </c>
      <c r="D198" s="1" t="str">
        <f>UPPER(_xlfn.CONCAT(LEFT(Teams[[#This Row],[teamType]], 1), "-", LEFT(SUBSTITUTE(Teams[[#This Row],[nation]], "/", ""), 3), "-", SUBSTITUTE(SUBSTITUTE(SUBSTITUTE(Teams[[#This Row],[name]], ".", ""), " ", ""), "-", "")))</f>
        <v>C-SPA-ELCHECF</v>
      </c>
      <c r="E198" s="16"/>
      <c r="F198" s="16"/>
      <c r="G198" s="1" t="b">
        <f>COUNTBLANK(Teams[[#This Row],[startDate]:[endDate]]) &lt; 2</f>
        <v>0</v>
      </c>
      <c r="H198" s="1" t="str">
        <f>IF(Teams[[#This Row],[relevant]], COUNTIFS(Fixtures[userTeam], Teams[[#This Row],[name]], Fixtures[APP], TRUE), "")</f>
        <v/>
      </c>
      <c r="I198" s="1" t="str">
        <f>IF(Teams[[#This Row],[relevant]], COUNTIFS(Fixtures[userTeam], Teams[[#This Row],[name]], Fixtures[result], "W", Fixtures[APP], TRUE), "")</f>
        <v/>
      </c>
      <c r="J198" s="1" t="str">
        <f>IF(Teams[[#This Row],[relevant]], COUNTIFS(Fixtures[userTeam], Teams[[#This Row],[name]], Fixtures[result], "D", Fixtures[APP], TRUE), "")</f>
        <v/>
      </c>
      <c r="K198" s="1" t="str">
        <f>IF(Teams[[#This Row],[relevant]], COUNTIFS(Fixtures[userTeam], Teams[[#This Row],[name]], Fixtures[result], "L", Fixtures[APP], TRUE), "")</f>
        <v/>
      </c>
      <c r="L198" s="1" t="str">
        <f>IF(Teams[[#This Row],[relevant]], SUMIFS(Fixtures[G], Fixtures[userTeam], Teams[[#This Row],[name]]), "")</f>
        <v/>
      </c>
      <c r="M198" s="1" t="str">
        <f>IF(Teams[[#This Row],[relevant]], SUMIFS(Fixtures[A], Fixtures[userTeam], Teams[[#This Row],[name]]), "")</f>
        <v/>
      </c>
      <c r="N198" s="1" t="str">
        <f>IF(Teams[[#This Row],[relevant]], SUMIFS(Fixtures[INV], Fixtures[userTeam], Teams[[#This Row],[name]]), "")</f>
        <v/>
      </c>
      <c r="O198" s="1" t="str">
        <f>IF(Teams[[#This Row],[relevant]], SUMIFS(Fixtures[YC], Fixtures[userTeam], Teams[[#This Row],[name]]), "")</f>
        <v/>
      </c>
      <c r="P198" s="1" t="str">
        <f>IF(Teams[[#This Row],[relevant]], SUMIFS(Fixtures[RC], Fixtures[userTeam], Teams[[#This Row],[name]]), "")</f>
        <v/>
      </c>
      <c r="Q198" s="13" t="str">
        <f>IF(Teams[[#This Row],[relevant]], IF(ISERROR(AVERAGEIFS(Fixtures[MR], Fixtures[userTeam], Teams[[#This Row],[name]])), 0, AVERAGEIFS(Fixtures[MR], Fixtures[userTeam], Teams[[#This Row],[name]])), "")</f>
        <v/>
      </c>
      <c r="R198" s="1" t="str">
        <f>IF(Teams[[#This Row],[relevant]], COUNTIFS(Fixtures[userTeam], Teams[[#This Row],[name]], Fixtures[MOTM], TRUE), "")</f>
        <v/>
      </c>
      <c r="S198" s="1" t="str" cm="1">
        <f t="array" ref="S198">IF(Teams[[#This Row],[relevant]], _xlfn.TEXTJOIN(", ", TRUE, _xlfn._xlws.FILTER(Stats[competition]&amp;" ("&amp;Stats[season]&amp;")",(Stats[team]=Teams[[#This Row],[name]])*(Stats[result]="Winner"),"")), "")</f>
        <v/>
      </c>
    </row>
    <row r="199" spans="1:19" ht="13" hidden="1">
      <c r="A199" s="1" t="s">
        <v>592</v>
      </c>
      <c r="B199" s="1" t="s">
        <v>254</v>
      </c>
      <c r="C199" s="1" t="s">
        <v>391</v>
      </c>
      <c r="D199" s="1" t="str">
        <f>UPPER(_xlfn.CONCAT(LEFT(Teams[[#This Row],[teamType]], 1), "-", LEFT(SUBSTITUTE(Teams[[#This Row],[nation]], "/", ""), 3), "-", SUBSTITUTE(SUBSTITUTE(SUBSTITUTE(Teams[[#This Row],[name]], ".", ""), " ", ""), "-", "")))</f>
        <v>C-ITA-EMPOLI</v>
      </c>
      <c r="E199" s="16"/>
      <c r="F199" s="16"/>
      <c r="G199" s="1" t="b">
        <f>COUNTBLANK(Teams[[#This Row],[startDate]:[endDate]]) &lt; 2</f>
        <v>0</v>
      </c>
      <c r="H199" s="1" t="str">
        <f>IF(Teams[[#This Row],[relevant]], COUNTIFS(Fixtures[userTeam], Teams[[#This Row],[name]], Fixtures[APP], TRUE), "")</f>
        <v/>
      </c>
      <c r="I199" s="1" t="str">
        <f>IF(Teams[[#This Row],[relevant]], COUNTIFS(Fixtures[userTeam], Teams[[#This Row],[name]], Fixtures[result], "W", Fixtures[APP], TRUE), "")</f>
        <v/>
      </c>
      <c r="J199" s="1" t="str">
        <f>IF(Teams[[#This Row],[relevant]], COUNTIFS(Fixtures[userTeam], Teams[[#This Row],[name]], Fixtures[result], "D", Fixtures[APP], TRUE), "")</f>
        <v/>
      </c>
      <c r="K199" s="1" t="str">
        <f>IF(Teams[[#This Row],[relevant]], COUNTIFS(Fixtures[userTeam], Teams[[#This Row],[name]], Fixtures[result], "L", Fixtures[APP], TRUE), "")</f>
        <v/>
      </c>
      <c r="L199" s="1" t="str">
        <f>IF(Teams[[#This Row],[relevant]], SUMIFS(Fixtures[G], Fixtures[userTeam], Teams[[#This Row],[name]]), "")</f>
        <v/>
      </c>
      <c r="M199" s="1" t="str">
        <f>IF(Teams[[#This Row],[relevant]], SUMIFS(Fixtures[A], Fixtures[userTeam], Teams[[#This Row],[name]]), "")</f>
        <v/>
      </c>
      <c r="N199" s="1" t="str">
        <f>IF(Teams[[#This Row],[relevant]], SUMIFS(Fixtures[INV], Fixtures[userTeam], Teams[[#This Row],[name]]), "")</f>
        <v/>
      </c>
      <c r="O199" s="1" t="str">
        <f>IF(Teams[[#This Row],[relevant]], SUMIFS(Fixtures[YC], Fixtures[userTeam], Teams[[#This Row],[name]]), "")</f>
        <v/>
      </c>
      <c r="P199" s="1" t="str">
        <f>IF(Teams[[#This Row],[relevant]], SUMIFS(Fixtures[RC], Fixtures[userTeam], Teams[[#This Row],[name]]), "")</f>
        <v/>
      </c>
      <c r="Q199" s="13" t="str">
        <f>IF(Teams[[#This Row],[relevant]], IF(ISERROR(AVERAGEIFS(Fixtures[MR], Fixtures[userTeam], Teams[[#This Row],[name]])), 0, AVERAGEIFS(Fixtures[MR], Fixtures[userTeam], Teams[[#This Row],[name]])), "")</f>
        <v/>
      </c>
      <c r="R199" s="1" t="str">
        <f>IF(Teams[[#This Row],[relevant]], COUNTIFS(Fixtures[userTeam], Teams[[#This Row],[name]], Fixtures[MOTM], TRUE), "")</f>
        <v/>
      </c>
      <c r="S199" s="1" t="str" cm="1">
        <f t="array" ref="S199">IF(Teams[[#This Row],[relevant]], _xlfn.TEXTJOIN(", ", TRUE, _xlfn._xlws.FILTER(Stats[competition]&amp;" ("&amp;Stats[season]&amp;")",(Stats[team]=Teams[[#This Row],[name]])*(Stats[result]="Winner"),"")), "")</f>
        <v/>
      </c>
    </row>
    <row r="200" spans="1:19" ht="13" hidden="1">
      <c r="A200" s="1" t="s">
        <v>593</v>
      </c>
      <c r="B200" s="1" t="s">
        <v>339</v>
      </c>
      <c r="C200" s="1" t="s">
        <v>391</v>
      </c>
      <c r="D200" s="1" t="str">
        <f>UPPER(_xlfn.CONCAT(LEFT(Teams[[#This Row],[teamType]], 1), "-", LEFT(SUBSTITUTE(Teams[[#This Row],[nation]], "/", ""), 3), "-", SUBSTITUTE(SUBSTITUTE(SUBSTITUTE(Teams[[#This Row],[name]], ".", ""), " ", ""), "-", "")))</f>
        <v>C-FRA-ENAVANTGUINGAMP</v>
      </c>
      <c r="E200" s="16"/>
      <c r="F200" s="16"/>
      <c r="G200" s="1" t="b">
        <f>COUNTBLANK(Teams[[#This Row],[startDate]:[endDate]]) &lt; 2</f>
        <v>0</v>
      </c>
      <c r="H200" s="1" t="str">
        <f>IF(Teams[[#This Row],[relevant]], COUNTIFS(Fixtures[userTeam], Teams[[#This Row],[name]], Fixtures[APP], TRUE), "")</f>
        <v/>
      </c>
      <c r="I200" s="1" t="str">
        <f>IF(Teams[[#This Row],[relevant]], COUNTIFS(Fixtures[userTeam], Teams[[#This Row],[name]], Fixtures[result], "W", Fixtures[APP], TRUE), "")</f>
        <v/>
      </c>
      <c r="J200" s="1" t="str">
        <f>IF(Teams[[#This Row],[relevant]], COUNTIFS(Fixtures[userTeam], Teams[[#This Row],[name]], Fixtures[result], "D", Fixtures[APP], TRUE), "")</f>
        <v/>
      </c>
      <c r="K200" s="1" t="str">
        <f>IF(Teams[[#This Row],[relevant]], COUNTIFS(Fixtures[userTeam], Teams[[#This Row],[name]], Fixtures[result], "L", Fixtures[APP], TRUE), "")</f>
        <v/>
      </c>
      <c r="L200" s="1" t="str">
        <f>IF(Teams[[#This Row],[relevant]], SUMIFS(Fixtures[G], Fixtures[userTeam], Teams[[#This Row],[name]]), "")</f>
        <v/>
      </c>
      <c r="M200" s="1" t="str">
        <f>IF(Teams[[#This Row],[relevant]], SUMIFS(Fixtures[A], Fixtures[userTeam], Teams[[#This Row],[name]]), "")</f>
        <v/>
      </c>
      <c r="N200" s="1" t="str">
        <f>IF(Teams[[#This Row],[relevant]], SUMIFS(Fixtures[INV], Fixtures[userTeam], Teams[[#This Row],[name]]), "")</f>
        <v/>
      </c>
      <c r="O200" s="1" t="str">
        <f>IF(Teams[[#This Row],[relevant]], SUMIFS(Fixtures[YC], Fixtures[userTeam], Teams[[#This Row],[name]]), "")</f>
        <v/>
      </c>
      <c r="P200" s="1" t="str">
        <f>IF(Teams[[#This Row],[relevant]], SUMIFS(Fixtures[RC], Fixtures[userTeam], Teams[[#This Row],[name]]), "")</f>
        <v/>
      </c>
      <c r="Q200" s="13" t="str">
        <f>IF(Teams[[#This Row],[relevant]], IF(ISERROR(AVERAGEIFS(Fixtures[MR], Fixtures[userTeam], Teams[[#This Row],[name]])), 0, AVERAGEIFS(Fixtures[MR], Fixtures[userTeam], Teams[[#This Row],[name]])), "")</f>
        <v/>
      </c>
      <c r="R200" s="1" t="str">
        <f>IF(Teams[[#This Row],[relevant]], COUNTIFS(Fixtures[userTeam], Teams[[#This Row],[name]], Fixtures[MOTM], TRUE), "")</f>
        <v/>
      </c>
      <c r="S200" s="1" t="str" cm="1">
        <f t="array" ref="S200">IF(Teams[[#This Row],[relevant]], _xlfn.TEXTJOIN(", ", TRUE, _xlfn._xlws.FILTER(Stats[competition]&amp;" ("&amp;Stats[season]&amp;")",(Stats[team]=Teams[[#This Row],[name]])*(Stats[result]="Winner"),"")), "")</f>
        <v/>
      </c>
    </row>
    <row r="201" spans="1:19" ht="13" hidden="1">
      <c r="A201" s="1" t="s">
        <v>152</v>
      </c>
      <c r="B201" s="1" t="s">
        <v>152</v>
      </c>
      <c r="C201" s="1" t="s">
        <v>459</v>
      </c>
      <c r="D201" s="1" t="str">
        <f>UPPER(_xlfn.CONCAT(LEFT(Teams[[#This Row],[teamType]], 1), "-", LEFT(SUBSTITUTE(Teams[[#This Row],[nation]], "/", ""), 3), "-", SUBSTITUTE(SUBSTITUTE(SUBSTITUTE(Teams[[#This Row],[name]], ".", ""), " ", ""), "-", "")))</f>
        <v>N-ENG-ENGLAND</v>
      </c>
      <c r="E201" s="16"/>
      <c r="F201" s="16"/>
      <c r="G201" s="1" t="b">
        <f>COUNTBLANK(Teams[[#This Row],[startDate]:[endDate]]) &lt; 2</f>
        <v>0</v>
      </c>
      <c r="H201" s="1" t="str">
        <f>IF(Teams[[#This Row],[relevant]], COUNTIFS(Fixtures[userTeam], Teams[[#This Row],[name]], Fixtures[APP], TRUE), "")</f>
        <v/>
      </c>
      <c r="I201" s="1" t="str">
        <f>IF(Teams[[#This Row],[relevant]], COUNTIFS(Fixtures[userTeam], Teams[[#This Row],[name]], Fixtures[result], "W", Fixtures[APP], TRUE), "")</f>
        <v/>
      </c>
      <c r="J201" s="1" t="str">
        <f>IF(Teams[[#This Row],[relevant]], COUNTIFS(Fixtures[userTeam], Teams[[#This Row],[name]], Fixtures[result], "D", Fixtures[APP], TRUE), "")</f>
        <v/>
      </c>
      <c r="K201" s="1" t="str">
        <f>IF(Teams[[#This Row],[relevant]], COUNTIFS(Fixtures[userTeam], Teams[[#This Row],[name]], Fixtures[result], "L", Fixtures[APP], TRUE), "")</f>
        <v/>
      </c>
      <c r="L201" s="1" t="str">
        <f>IF(Teams[[#This Row],[relevant]], SUMIFS(Fixtures[G], Fixtures[userTeam], Teams[[#This Row],[name]]), "")</f>
        <v/>
      </c>
      <c r="M201" s="1" t="str">
        <f>IF(Teams[[#This Row],[relevant]], SUMIFS(Fixtures[A], Fixtures[userTeam], Teams[[#This Row],[name]]), "")</f>
        <v/>
      </c>
      <c r="N201" s="1" t="str">
        <f>IF(Teams[[#This Row],[relevant]], SUMIFS(Fixtures[INV], Fixtures[userTeam], Teams[[#This Row],[name]]), "")</f>
        <v/>
      </c>
      <c r="O201" s="1" t="str">
        <f>IF(Teams[[#This Row],[relevant]], SUMIFS(Fixtures[YC], Fixtures[userTeam], Teams[[#This Row],[name]]), "")</f>
        <v/>
      </c>
      <c r="P201" s="1" t="str">
        <f>IF(Teams[[#This Row],[relevant]], SUMIFS(Fixtures[RC], Fixtures[userTeam], Teams[[#This Row],[name]]), "")</f>
        <v/>
      </c>
      <c r="Q201" s="13" t="str">
        <f>IF(Teams[[#This Row],[relevant]], IF(ISERROR(AVERAGEIFS(Fixtures[MR], Fixtures[userTeam], Teams[[#This Row],[name]])), 0, AVERAGEIFS(Fixtures[MR], Fixtures[userTeam], Teams[[#This Row],[name]])), "")</f>
        <v/>
      </c>
      <c r="R201" s="1" t="str">
        <f>IF(Teams[[#This Row],[relevant]], COUNTIFS(Fixtures[userTeam], Teams[[#This Row],[name]], Fixtures[MOTM], TRUE), "")</f>
        <v/>
      </c>
      <c r="S201" s="1" t="str" cm="1">
        <f t="array" ref="S201">IF(Teams[[#This Row],[relevant]], _xlfn.TEXTJOIN(", ", TRUE, _xlfn._xlws.FILTER(Stats[competition]&amp;" ("&amp;Stats[season]&amp;")",(Stats[team]=Teams[[#This Row],[name]])*(Stats[result]="Winner"),"")), "")</f>
        <v/>
      </c>
    </row>
    <row r="202" spans="1:19" ht="13" hidden="1">
      <c r="A202" s="1" t="s">
        <v>594</v>
      </c>
      <c r="B202" s="1" t="s">
        <v>522</v>
      </c>
      <c r="C202" s="1" t="s">
        <v>391</v>
      </c>
      <c r="D202" s="1" t="str">
        <f>UPPER(_xlfn.CONCAT(LEFT(Teams[[#This Row],[teamType]], 1), "-", LEFT(SUBSTITUTE(Teams[[#This Row],[nation]], "/", ""), 3), "-", SUBSTITUTE(SUBSTITUTE(SUBSTITUTE(Teams[[#This Row],[name]], ".", ""), " ", ""), "-", "")))</f>
        <v>C-VEN-ESTDEMÉRIDA</v>
      </c>
      <c r="E202" s="16"/>
      <c r="F202" s="16"/>
      <c r="G202" s="1" t="b">
        <f>COUNTBLANK(Teams[[#This Row],[startDate]:[endDate]]) &lt; 2</f>
        <v>0</v>
      </c>
      <c r="H202" s="1" t="str">
        <f>IF(Teams[[#This Row],[relevant]], COUNTIFS(Fixtures[userTeam], Teams[[#This Row],[name]], Fixtures[APP], TRUE), "")</f>
        <v/>
      </c>
      <c r="I202" s="1" t="str">
        <f>IF(Teams[[#This Row],[relevant]], COUNTIFS(Fixtures[userTeam], Teams[[#This Row],[name]], Fixtures[result], "W", Fixtures[APP], TRUE), "")</f>
        <v/>
      </c>
      <c r="J202" s="1" t="str">
        <f>IF(Teams[[#This Row],[relevant]], COUNTIFS(Fixtures[userTeam], Teams[[#This Row],[name]], Fixtures[result], "D", Fixtures[APP], TRUE), "")</f>
        <v/>
      </c>
      <c r="K202" s="1" t="str">
        <f>IF(Teams[[#This Row],[relevant]], COUNTIFS(Fixtures[userTeam], Teams[[#This Row],[name]], Fixtures[result], "L", Fixtures[APP], TRUE), "")</f>
        <v/>
      </c>
      <c r="L202" s="1" t="str">
        <f>IF(Teams[[#This Row],[relevant]], SUMIFS(Fixtures[G], Fixtures[userTeam], Teams[[#This Row],[name]]), "")</f>
        <v/>
      </c>
      <c r="M202" s="1" t="str">
        <f>IF(Teams[[#This Row],[relevant]], SUMIFS(Fixtures[A], Fixtures[userTeam], Teams[[#This Row],[name]]), "")</f>
        <v/>
      </c>
      <c r="N202" s="1" t="str">
        <f>IF(Teams[[#This Row],[relevant]], SUMIFS(Fixtures[INV], Fixtures[userTeam], Teams[[#This Row],[name]]), "")</f>
        <v/>
      </c>
      <c r="O202" s="1" t="str">
        <f>IF(Teams[[#This Row],[relevant]], SUMIFS(Fixtures[YC], Fixtures[userTeam], Teams[[#This Row],[name]]), "")</f>
        <v/>
      </c>
      <c r="P202" s="1" t="str">
        <f>IF(Teams[[#This Row],[relevant]], SUMIFS(Fixtures[RC], Fixtures[userTeam], Teams[[#This Row],[name]]), "")</f>
        <v/>
      </c>
      <c r="Q202" s="13" t="str">
        <f>IF(Teams[[#This Row],[relevant]], IF(ISERROR(AVERAGEIFS(Fixtures[MR], Fixtures[userTeam], Teams[[#This Row],[name]])), 0, AVERAGEIFS(Fixtures[MR], Fixtures[userTeam], Teams[[#This Row],[name]])), "")</f>
        <v/>
      </c>
      <c r="R202" s="1" t="str">
        <f>IF(Teams[[#This Row],[relevant]], COUNTIFS(Fixtures[userTeam], Teams[[#This Row],[name]], Fixtures[MOTM], TRUE), "")</f>
        <v/>
      </c>
      <c r="S202" s="1" t="str" cm="1">
        <f t="array" ref="S202">IF(Teams[[#This Row],[relevant]], _xlfn.TEXTJOIN(", ", TRUE, _xlfn._xlws.FILTER(Stats[competition]&amp;" ("&amp;Stats[season]&amp;")",(Stats[team]=Teams[[#This Row],[name]])*(Stats[result]="Winner"),"")), "")</f>
        <v/>
      </c>
    </row>
    <row r="203" spans="1:19" ht="13" hidden="1">
      <c r="A203" s="1" t="s">
        <v>595</v>
      </c>
      <c r="B203" s="1" t="s">
        <v>339</v>
      </c>
      <c r="C203" s="1" t="s">
        <v>391</v>
      </c>
      <c r="D203" s="1" t="str">
        <f>UPPER(_xlfn.CONCAT(LEFT(Teams[[#This Row],[teamType]], 1), "-", LEFT(SUBSTITUTE(Teams[[#This Row],[nation]], "/", ""), 3), "-", SUBSTITUTE(SUBSTITUTE(SUBSTITUTE(Teams[[#This Row],[name]], ".", ""), " ", ""), "-", "")))</f>
        <v>C-FRA-ESTACTROYES</v>
      </c>
      <c r="E203" s="16"/>
      <c r="F203" s="16"/>
      <c r="G203" s="1" t="b">
        <f>COUNTBLANK(Teams[[#This Row],[startDate]:[endDate]]) &lt; 2</f>
        <v>0</v>
      </c>
      <c r="H203" s="1" t="str">
        <f>IF(Teams[[#This Row],[relevant]], COUNTIFS(Fixtures[userTeam], Teams[[#This Row],[name]], Fixtures[APP], TRUE), "")</f>
        <v/>
      </c>
      <c r="I203" s="1" t="str">
        <f>IF(Teams[[#This Row],[relevant]], COUNTIFS(Fixtures[userTeam], Teams[[#This Row],[name]], Fixtures[result], "W", Fixtures[APP], TRUE), "")</f>
        <v/>
      </c>
      <c r="J203" s="1" t="str">
        <f>IF(Teams[[#This Row],[relevant]], COUNTIFS(Fixtures[userTeam], Teams[[#This Row],[name]], Fixtures[result], "D", Fixtures[APP], TRUE), "")</f>
        <v/>
      </c>
      <c r="K203" s="1" t="str">
        <f>IF(Teams[[#This Row],[relevant]], COUNTIFS(Fixtures[userTeam], Teams[[#This Row],[name]], Fixtures[result], "L", Fixtures[APP], TRUE), "")</f>
        <v/>
      </c>
      <c r="L203" s="1" t="str">
        <f>IF(Teams[[#This Row],[relevant]], SUMIFS(Fixtures[G], Fixtures[userTeam], Teams[[#This Row],[name]]), "")</f>
        <v/>
      </c>
      <c r="M203" s="1" t="str">
        <f>IF(Teams[[#This Row],[relevant]], SUMIFS(Fixtures[A], Fixtures[userTeam], Teams[[#This Row],[name]]), "")</f>
        <v/>
      </c>
      <c r="N203" s="1" t="str">
        <f>IF(Teams[[#This Row],[relevant]], SUMIFS(Fixtures[INV], Fixtures[userTeam], Teams[[#This Row],[name]]), "")</f>
        <v/>
      </c>
      <c r="O203" s="1" t="str">
        <f>IF(Teams[[#This Row],[relevant]], SUMIFS(Fixtures[YC], Fixtures[userTeam], Teams[[#This Row],[name]]), "")</f>
        <v/>
      </c>
      <c r="P203" s="1" t="str">
        <f>IF(Teams[[#This Row],[relevant]], SUMIFS(Fixtures[RC], Fixtures[userTeam], Teams[[#This Row],[name]]), "")</f>
        <v/>
      </c>
      <c r="Q203" s="13" t="str">
        <f>IF(Teams[[#This Row],[relevant]], IF(ISERROR(AVERAGEIFS(Fixtures[MR], Fixtures[userTeam], Teams[[#This Row],[name]])), 0, AVERAGEIFS(Fixtures[MR], Fixtures[userTeam], Teams[[#This Row],[name]])), "")</f>
        <v/>
      </c>
      <c r="R203" s="1" t="str">
        <f>IF(Teams[[#This Row],[relevant]], COUNTIFS(Fixtures[userTeam], Teams[[#This Row],[name]], Fixtures[MOTM], TRUE), "")</f>
        <v/>
      </c>
      <c r="S203" s="1" t="str" cm="1">
        <f t="array" ref="S203">IF(Teams[[#This Row],[relevant]], _xlfn.TEXTJOIN(", ", TRUE, _xlfn._xlws.FILTER(Stats[competition]&amp;" ("&amp;Stats[season]&amp;")",(Stats[team]=Teams[[#This Row],[name]])*(Stats[result]="Winner"),"")), "")</f>
        <v/>
      </c>
    </row>
    <row r="204" spans="1:19" ht="13" hidden="1">
      <c r="A204" s="1" t="s">
        <v>596</v>
      </c>
      <c r="B204" s="1" t="s">
        <v>463</v>
      </c>
      <c r="C204" s="1" t="s">
        <v>391</v>
      </c>
      <c r="D204" s="1" t="str">
        <f>UPPER(_xlfn.CONCAT(LEFT(Teams[[#This Row],[teamType]], 1), "-", LEFT(SUBSTITUTE(Teams[[#This Row],[nation]], "/", ""), 3), "-", SUBSTITUTE(SUBSTITUTE(SUBSTITUTE(Teams[[#This Row],[name]], ".", ""), " ", ""), "-", "")))</f>
        <v>C-POR-ESTORILPRAIA</v>
      </c>
      <c r="E204" s="16"/>
      <c r="F204" s="16"/>
      <c r="G204" s="1" t="b">
        <f>COUNTBLANK(Teams[[#This Row],[startDate]:[endDate]]) &lt; 2</f>
        <v>0</v>
      </c>
      <c r="H204" s="1" t="str">
        <f>IF(Teams[[#This Row],[relevant]], COUNTIFS(Fixtures[userTeam], Teams[[#This Row],[name]], Fixtures[APP], TRUE), "")</f>
        <v/>
      </c>
      <c r="I204" s="1" t="str">
        <f>IF(Teams[[#This Row],[relevant]], COUNTIFS(Fixtures[userTeam], Teams[[#This Row],[name]], Fixtures[result], "W", Fixtures[APP], TRUE), "")</f>
        <v/>
      </c>
      <c r="J204" s="1" t="str">
        <f>IF(Teams[[#This Row],[relevant]], COUNTIFS(Fixtures[userTeam], Teams[[#This Row],[name]], Fixtures[result], "D", Fixtures[APP], TRUE), "")</f>
        <v/>
      </c>
      <c r="K204" s="1" t="str">
        <f>IF(Teams[[#This Row],[relevant]], COUNTIFS(Fixtures[userTeam], Teams[[#This Row],[name]], Fixtures[result], "L", Fixtures[APP], TRUE), "")</f>
        <v/>
      </c>
      <c r="L204" s="1" t="str">
        <f>IF(Teams[[#This Row],[relevant]], SUMIFS(Fixtures[G], Fixtures[userTeam], Teams[[#This Row],[name]]), "")</f>
        <v/>
      </c>
      <c r="M204" s="1" t="str">
        <f>IF(Teams[[#This Row],[relevant]], SUMIFS(Fixtures[A], Fixtures[userTeam], Teams[[#This Row],[name]]), "")</f>
        <v/>
      </c>
      <c r="N204" s="1" t="str">
        <f>IF(Teams[[#This Row],[relevant]], SUMIFS(Fixtures[INV], Fixtures[userTeam], Teams[[#This Row],[name]]), "")</f>
        <v/>
      </c>
      <c r="O204" s="1" t="str">
        <f>IF(Teams[[#This Row],[relevant]], SUMIFS(Fixtures[YC], Fixtures[userTeam], Teams[[#This Row],[name]]), "")</f>
        <v/>
      </c>
      <c r="P204" s="1" t="str">
        <f>IF(Teams[[#This Row],[relevant]], SUMIFS(Fixtures[RC], Fixtures[userTeam], Teams[[#This Row],[name]]), "")</f>
        <v/>
      </c>
      <c r="Q204" s="13" t="str">
        <f>IF(Teams[[#This Row],[relevant]], IF(ISERROR(AVERAGEIFS(Fixtures[MR], Fixtures[userTeam], Teams[[#This Row],[name]])), 0, AVERAGEIFS(Fixtures[MR], Fixtures[userTeam], Teams[[#This Row],[name]])), "")</f>
        <v/>
      </c>
      <c r="R204" s="1" t="str">
        <f>IF(Teams[[#This Row],[relevant]], COUNTIFS(Fixtures[userTeam], Teams[[#This Row],[name]], Fixtures[MOTM], TRUE), "")</f>
        <v/>
      </c>
      <c r="S204" s="1" t="str" cm="1">
        <f t="array" ref="S204">IF(Teams[[#This Row],[relevant]], _xlfn.TEXTJOIN(", ", TRUE, _xlfn._xlws.FILTER(Stats[competition]&amp;" ("&amp;Stats[season]&amp;")",(Stats[team]=Teams[[#This Row],[name]])*(Stats[result]="Winner"),"")), "")</f>
        <v/>
      </c>
    </row>
    <row r="205" spans="1:19" ht="13" hidden="1">
      <c r="A205" s="1" t="s">
        <v>597</v>
      </c>
      <c r="B205" s="1" t="s">
        <v>131</v>
      </c>
      <c r="C205" s="1" t="s">
        <v>391</v>
      </c>
      <c r="D205" s="1" t="str">
        <f>UPPER(_xlfn.CONCAT(LEFT(Teams[[#This Row],[teamType]], 1), "-", LEFT(SUBSTITUTE(Teams[[#This Row],[nation]], "/", ""), 3), "-", SUBSTITUTE(SUBSTITUTE(SUBSTITUTE(Teams[[#This Row],[name]], ".", ""), " ", ""), "-", "")))</f>
        <v>C-ARG-ESTUDIANTES</v>
      </c>
      <c r="E205" s="16"/>
      <c r="F205" s="16"/>
      <c r="G205" s="1" t="b">
        <f>COUNTBLANK(Teams[[#This Row],[startDate]:[endDate]]) &lt; 2</f>
        <v>0</v>
      </c>
      <c r="H205" s="1" t="str">
        <f>IF(Teams[[#This Row],[relevant]], COUNTIFS(Fixtures[userTeam], Teams[[#This Row],[name]], Fixtures[APP], TRUE), "")</f>
        <v/>
      </c>
      <c r="I205" s="1" t="str">
        <f>IF(Teams[[#This Row],[relevant]], COUNTIFS(Fixtures[userTeam], Teams[[#This Row],[name]], Fixtures[result], "W", Fixtures[APP], TRUE), "")</f>
        <v/>
      </c>
      <c r="J205" s="1" t="str">
        <f>IF(Teams[[#This Row],[relevant]], COUNTIFS(Fixtures[userTeam], Teams[[#This Row],[name]], Fixtures[result], "D", Fixtures[APP], TRUE), "")</f>
        <v/>
      </c>
      <c r="K205" s="1" t="str">
        <f>IF(Teams[[#This Row],[relevant]], COUNTIFS(Fixtures[userTeam], Teams[[#This Row],[name]], Fixtures[result], "L", Fixtures[APP], TRUE), "")</f>
        <v/>
      </c>
      <c r="L205" s="1" t="str">
        <f>IF(Teams[[#This Row],[relevant]], SUMIFS(Fixtures[G], Fixtures[userTeam], Teams[[#This Row],[name]]), "")</f>
        <v/>
      </c>
      <c r="M205" s="1" t="str">
        <f>IF(Teams[[#This Row],[relevant]], SUMIFS(Fixtures[A], Fixtures[userTeam], Teams[[#This Row],[name]]), "")</f>
        <v/>
      </c>
      <c r="N205" s="1" t="str">
        <f>IF(Teams[[#This Row],[relevant]], SUMIFS(Fixtures[INV], Fixtures[userTeam], Teams[[#This Row],[name]]), "")</f>
        <v/>
      </c>
      <c r="O205" s="1" t="str">
        <f>IF(Teams[[#This Row],[relevant]], SUMIFS(Fixtures[YC], Fixtures[userTeam], Teams[[#This Row],[name]]), "")</f>
        <v/>
      </c>
      <c r="P205" s="1" t="str">
        <f>IF(Teams[[#This Row],[relevant]], SUMIFS(Fixtures[RC], Fixtures[userTeam], Teams[[#This Row],[name]]), "")</f>
        <v/>
      </c>
      <c r="Q205" s="13" t="str">
        <f>IF(Teams[[#This Row],[relevant]], IF(ISERROR(AVERAGEIFS(Fixtures[MR], Fixtures[userTeam], Teams[[#This Row],[name]])), 0, AVERAGEIFS(Fixtures[MR], Fixtures[userTeam], Teams[[#This Row],[name]])), "")</f>
        <v/>
      </c>
      <c r="R205" s="1" t="str">
        <f>IF(Teams[[#This Row],[relevant]], COUNTIFS(Fixtures[userTeam], Teams[[#This Row],[name]], Fixtures[MOTM], TRUE), "")</f>
        <v/>
      </c>
      <c r="S205" s="1" t="str" cm="1">
        <f t="array" ref="S205">IF(Teams[[#This Row],[relevant]], _xlfn.TEXTJOIN(", ", TRUE, _xlfn._xlws.FILTER(Stats[competition]&amp;" ("&amp;Stats[season]&amp;")",(Stats[team]=Teams[[#This Row],[name]])*(Stats[result]="Winner"),"")), "")</f>
        <v/>
      </c>
    </row>
    <row r="206" spans="1:19" ht="13" hidden="1">
      <c r="A206" s="1" t="s">
        <v>598</v>
      </c>
      <c r="B206" s="1" t="s">
        <v>403</v>
      </c>
      <c r="C206" s="1" t="s">
        <v>391</v>
      </c>
      <c r="D206" s="1" t="str">
        <f>UPPER(_xlfn.CONCAT(LEFT(Teams[[#This Row],[teamType]], 1), "-", LEFT(SUBSTITUTE(Teams[[#This Row],[nation]], "/", ""), 3), "-", SUBSTITUTE(SUBSTITUTE(SUBSTITUTE(Teams[[#This Row],[name]], ".", ""), " ", ""), "-", "")))</f>
        <v>C-SAU-ETTIFAQFC</v>
      </c>
      <c r="E206" s="16"/>
      <c r="F206" s="16"/>
      <c r="G206" s="1" t="b">
        <f>COUNTBLANK(Teams[[#This Row],[startDate]:[endDate]]) &lt; 2</f>
        <v>0</v>
      </c>
      <c r="H206" s="1" t="str">
        <f>IF(Teams[[#This Row],[relevant]], COUNTIFS(Fixtures[userTeam], Teams[[#This Row],[name]], Fixtures[APP], TRUE), "")</f>
        <v/>
      </c>
      <c r="I206" s="1" t="str">
        <f>IF(Teams[[#This Row],[relevant]], COUNTIFS(Fixtures[userTeam], Teams[[#This Row],[name]], Fixtures[result], "W", Fixtures[APP], TRUE), "")</f>
        <v/>
      </c>
      <c r="J206" s="1" t="str">
        <f>IF(Teams[[#This Row],[relevant]], COUNTIFS(Fixtures[userTeam], Teams[[#This Row],[name]], Fixtures[result], "D", Fixtures[APP], TRUE), "")</f>
        <v/>
      </c>
      <c r="K206" s="1" t="str">
        <f>IF(Teams[[#This Row],[relevant]], COUNTIFS(Fixtures[userTeam], Teams[[#This Row],[name]], Fixtures[result], "L", Fixtures[APP], TRUE), "")</f>
        <v/>
      </c>
      <c r="L206" s="1" t="str">
        <f>IF(Teams[[#This Row],[relevant]], SUMIFS(Fixtures[G], Fixtures[userTeam], Teams[[#This Row],[name]]), "")</f>
        <v/>
      </c>
      <c r="M206" s="1" t="str">
        <f>IF(Teams[[#This Row],[relevant]], SUMIFS(Fixtures[A], Fixtures[userTeam], Teams[[#This Row],[name]]), "")</f>
        <v/>
      </c>
      <c r="N206" s="1" t="str">
        <f>IF(Teams[[#This Row],[relevant]], SUMIFS(Fixtures[INV], Fixtures[userTeam], Teams[[#This Row],[name]]), "")</f>
        <v/>
      </c>
      <c r="O206" s="1" t="str">
        <f>IF(Teams[[#This Row],[relevant]], SUMIFS(Fixtures[YC], Fixtures[userTeam], Teams[[#This Row],[name]]), "")</f>
        <v/>
      </c>
      <c r="P206" s="1" t="str">
        <f>IF(Teams[[#This Row],[relevant]], SUMIFS(Fixtures[RC], Fixtures[userTeam], Teams[[#This Row],[name]]), "")</f>
        <v/>
      </c>
      <c r="Q206" s="13" t="str">
        <f>IF(Teams[[#This Row],[relevant]], IF(ISERROR(AVERAGEIFS(Fixtures[MR], Fixtures[userTeam], Teams[[#This Row],[name]])), 0, AVERAGEIFS(Fixtures[MR], Fixtures[userTeam], Teams[[#This Row],[name]])), "")</f>
        <v/>
      </c>
      <c r="R206" s="1" t="str">
        <f>IF(Teams[[#This Row],[relevant]], COUNTIFS(Fixtures[userTeam], Teams[[#This Row],[name]], Fixtures[MOTM], TRUE), "")</f>
        <v/>
      </c>
      <c r="S206" s="1" t="str" cm="1">
        <f t="array" ref="S206">IF(Teams[[#This Row],[relevant]], _xlfn.TEXTJOIN(", ", TRUE, _xlfn._xlws.FILTER(Stats[competition]&amp;" ("&amp;Stats[season]&amp;")",(Stats[team]=Teams[[#This Row],[name]])*(Stats[result]="Winner"),"")), "")</f>
        <v/>
      </c>
    </row>
    <row r="207" spans="1:19" ht="13" hidden="1">
      <c r="A207" s="1" t="s">
        <v>599</v>
      </c>
      <c r="B207" s="1" t="s">
        <v>152</v>
      </c>
      <c r="C207" s="1" t="s">
        <v>391</v>
      </c>
      <c r="D207" s="1" t="str">
        <f>UPPER(_xlfn.CONCAT(LEFT(Teams[[#This Row],[teamType]], 1), "-", LEFT(SUBSTITUTE(Teams[[#This Row],[nation]], "/", ""), 3), "-", SUBSTITUTE(SUBSTITUTE(SUBSTITUTE(Teams[[#This Row],[name]], ".", ""), " ", ""), "-", "")))</f>
        <v>C-ENG-EVERTON</v>
      </c>
      <c r="E207" s="16"/>
      <c r="F207" s="16"/>
      <c r="G207" s="1" t="b">
        <f>COUNTBLANK(Teams[[#This Row],[startDate]:[endDate]]) &lt; 2</f>
        <v>0</v>
      </c>
      <c r="H207" s="1" t="str">
        <f>IF(Teams[[#This Row],[relevant]], COUNTIFS(Fixtures[userTeam], Teams[[#This Row],[name]], Fixtures[APP], TRUE), "")</f>
        <v/>
      </c>
      <c r="I207" s="1" t="str">
        <f>IF(Teams[[#This Row],[relevant]], COUNTIFS(Fixtures[userTeam], Teams[[#This Row],[name]], Fixtures[result], "W", Fixtures[APP], TRUE), "")</f>
        <v/>
      </c>
      <c r="J207" s="1" t="str">
        <f>IF(Teams[[#This Row],[relevant]], COUNTIFS(Fixtures[userTeam], Teams[[#This Row],[name]], Fixtures[result], "D", Fixtures[APP], TRUE), "")</f>
        <v/>
      </c>
      <c r="K207" s="1" t="str">
        <f>IF(Teams[[#This Row],[relevant]], COUNTIFS(Fixtures[userTeam], Teams[[#This Row],[name]], Fixtures[result], "L", Fixtures[APP], TRUE), "")</f>
        <v/>
      </c>
      <c r="L207" s="1" t="str">
        <f>IF(Teams[[#This Row],[relevant]], SUMIFS(Fixtures[G], Fixtures[userTeam], Teams[[#This Row],[name]]), "")</f>
        <v/>
      </c>
      <c r="M207" s="1" t="str">
        <f>IF(Teams[[#This Row],[relevant]], SUMIFS(Fixtures[A], Fixtures[userTeam], Teams[[#This Row],[name]]), "")</f>
        <v/>
      </c>
      <c r="N207" s="1" t="str">
        <f>IF(Teams[[#This Row],[relevant]], SUMIFS(Fixtures[INV], Fixtures[userTeam], Teams[[#This Row],[name]]), "")</f>
        <v/>
      </c>
      <c r="O207" s="1" t="str">
        <f>IF(Teams[[#This Row],[relevant]], SUMIFS(Fixtures[YC], Fixtures[userTeam], Teams[[#This Row],[name]]), "")</f>
        <v/>
      </c>
      <c r="P207" s="1" t="str">
        <f>IF(Teams[[#This Row],[relevant]], SUMIFS(Fixtures[RC], Fixtures[userTeam], Teams[[#This Row],[name]]), "")</f>
        <v/>
      </c>
      <c r="Q207" s="13" t="str">
        <f>IF(Teams[[#This Row],[relevant]], IF(ISERROR(AVERAGEIFS(Fixtures[MR], Fixtures[userTeam], Teams[[#This Row],[name]])), 0, AVERAGEIFS(Fixtures[MR], Fixtures[userTeam], Teams[[#This Row],[name]])), "")</f>
        <v/>
      </c>
      <c r="R207" s="1" t="str">
        <f>IF(Teams[[#This Row],[relevant]], COUNTIFS(Fixtures[userTeam], Teams[[#This Row],[name]], Fixtures[MOTM], TRUE), "")</f>
        <v/>
      </c>
      <c r="S207" s="1" t="str" cm="1">
        <f t="array" ref="S207">IF(Teams[[#This Row],[relevant]], _xlfn.TEXTJOIN(", ", TRUE, _xlfn._xlws.FILTER(Stats[competition]&amp;" ("&amp;Stats[season]&amp;")",(Stats[team]=Teams[[#This Row],[name]])*(Stats[result]="Winner"),"")), "")</f>
        <v/>
      </c>
    </row>
    <row r="208" spans="1:19" ht="13" hidden="1">
      <c r="A208" s="1" t="s">
        <v>600</v>
      </c>
      <c r="B208" s="1" t="s">
        <v>456</v>
      </c>
      <c r="C208" s="1" t="s">
        <v>391</v>
      </c>
      <c r="D208" s="1" t="str">
        <f>UPPER(_xlfn.CONCAT(LEFT(Teams[[#This Row],[teamType]], 1), "-", LEFT(SUBSTITUTE(Teams[[#This Row],[nation]], "/", ""), 3), "-", SUBSTITUTE(SUBSTITUTE(SUBSTITUTE(Teams[[#This Row],[name]], ".", ""), " ", ""), "-", "")))</f>
        <v>C-CHI-EVERTONDEVIÑA</v>
      </c>
      <c r="E208" s="16"/>
      <c r="F208" s="16"/>
      <c r="G208" s="1" t="b">
        <f>COUNTBLANK(Teams[[#This Row],[startDate]:[endDate]]) &lt; 2</f>
        <v>0</v>
      </c>
      <c r="H208" s="1" t="str">
        <f>IF(Teams[[#This Row],[relevant]], COUNTIFS(Fixtures[userTeam], Teams[[#This Row],[name]], Fixtures[APP], TRUE), "")</f>
        <v/>
      </c>
      <c r="I208" s="1" t="str">
        <f>IF(Teams[[#This Row],[relevant]], COUNTIFS(Fixtures[userTeam], Teams[[#This Row],[name]], Fixtures[result], "W", Fixtures[APP], TRUE), "")</f>
        <v/>
      </c>
      <c r="J208" s="1" t="str">
        <f>IF(Teams[[#This Row],[relevant]], COUNTIFS(Fixtures[userTeam], Teams[[#This Row],[name]], Fixtures[result], "D", Fixtures[APP], TRUE), "")</f>
        <v/>
      </c>
      <c r="K208" s="1" t="str">
        <f>IF(Teams[[#This Row],[relevant]], COUNTIFS(Fixtures[userTeam], Teams[[#This Row],[name]], Fixtures[result], "L", Fixtures[APP], TRUE), "")</f>
        <v/>
      </c>
      <c r="L208" s="1" t="str">
        <f>IF(Teams[[#This Row],[relevant]], SUMIFS(Fixtures[G], Fixtures[userTeam], Teams[[#This Row],[name]]), "")</f>
        <v/>
      </c>
      <c r="M208" s="1" t="str">
        <f>IF(Teams[[#This Row],[relevant]], SUMIFS(Fixtures[A], Fixtures[userTeam], Teams[[#This Row],[name]]), "")</f>
        <v/>
      </c>
      <c r="N208" s="1" t="str">
        <f>IF(Teams[[#This Row],[relevant]], SUMIFS(Fixtures[INV], Fixtures[userTeam], Teams[[#This Row],[name]]), "")</f>
        <v/>
      </c>
      <c r="O208" s="1" t="str">
        <f>IF(Teams[[#This Row],[relevant]], SUMIFS(Fixtures[YC], Fixtures[userTeam], Teams[[#This Row],[name]]), "")</f>
        <v/>
      </c>
      <c r="P208" s="1" t="str">
        <f>IF(Teams[[#This Row],[relevant]], SUMIFS(Fixtures[RC], Fixtures[userTeam], Teams[[#This Row],[name]]), "")</f>
        <v/>
      </c>
      <c r="Q208" s="13" t="str">
        <f>IF(Teams[[#This Row],[relevant]], IF(ISERROR(AVERAGEIFS(Fixtures[MR], Fixtures[userTeam], Teams[[#This Row],[name]])), 0, AVERAGEIFS(Fixtures[MR], Fixtures[userTeam], Teams[[#This Row],[name]])), "")</f>
        <v/>
      </c>
      <c r="R208" s="1" t="str">
        <f>IF(Teams[[#This Row],[relevant]], COUNTIFS(Fixtures[userTeam], Teams[[#This Row],[name]], Fixtures[MOTM], TRUE), "")</f>
        <v/>
      </c>
      <c r="S208" s="1" t="str" cm="1">
        <f t="array" ref="S208">IF(Teams[[#This Row],[relevant]], _xlfn.TEXTJOIN(", ", TRUE, _xlfn._xlws.FILTER(Stats[competition]&amp;" ("&amp;Stats[season]&amp;")",(Stats[team]=Teams[[#This Row],[name]])*(Stats[result]="Winner"),"")), "")</f>
        <v/>
      </c>
    </row>
    <row r="209" spans="1:19" ht="13" hidden="1">
      <c r="A209" s="1" t="s">
        <v>601</v>
      </c>
      <c r="B209" s="1" t="s">
        <v>425</v>
      </c>
      <c r="C209" s="1" t="s">
        <v>391</v>
      </c>
      <c r="D209" s="1" t="str">
        <f>UPPER(_xlfn.CONCAT(LEFT(Teams[[#This Row],[teamType]], 1), "-", LEFT(SUBSTITUTE(Teams[[#This Row],[nation]], "/", ""), 3), "-", SUBSTITUTE(SUBSTITUTE(SUBSTITUTE(Teams[[#This Row],[name]], ".", ""), " ", ""), "-", "")))</f>
        <v>C-NET-EXCELSIOR</v>
      </c>
      <c r="E209" s="16"/>
      <c r="F209" s="16"/>
      <c r="G209" s="1" t="b">
        <f>COUNTBLANK(Teams[[#This Row],[startDate]:[endDate]]) &lt; 2</f>
        <v>0</v>
      </c>
      <c r="H209" s="1" t="str">
        <f>IF(Teams[[#This Row],[relevant]], COUNTIFS(Fixtures[userTeam], Teams[[#This Row],[name]], Fixtures[APP], TRUE), "")</f>
        <v/>
      </c>
      <c r="I209" s="1" t="str">
        <f>IF(Teams[[#This Row],[relevant]], COUNTIFS(Fixtures[userTeam], Teams[[#This Row],[name]], Fixtures[result], "W", Fixtures[APP], TRUE), "")</f>
        <v/>
      </c>
      <c r="J209" s="1" t="str">
        <f>IF(Teams[[#This Row],[relevant]], COUNTIFS(Fixtures[userTeam], Teams[[#This Row],[name]], Fixtures[result], "D", Fixtures[APP], TRUE), "")</f>
        <v/>
      </c>
      <c r="K209" s="1" t="str">
        <f>IF(Teams[[#This Row],[relevant]], COUNTIFS(Fixtures[userTeam], Teams[[#This Row],[name]], Fixtures[result], "L", Fixtures[APP], TRUE), "")</f>
        <v/>
      </c>
      <c r="L209" s="1" t="str">
        <f>IF(Teams[[#This Row],[relevant]], SUMIFS(Fixtures[G], Fixtures[userTeam], Teams[[#This Row],[name]]), "")</f>
        <v/>
      </c>
      <c r="M209" s="1" t="str">
        <f>IF(Teams[[#This Row],[relevant]], SUMIFS(Fixtures[A], Fixtures[userTeam], Teams[[#This Row],[name]]), "")</f>
        <v/>
      </c>
      <c r="N209" s="1" t="str">
        <f>IF(Teams[[#This Row],[relevant]], SUMIFS(Fixtures[INV], Fixtures[userTeam], Teams[[#This Row],[name]]), "")</f>
        <v/>
      </c>
      <c r="O209" s="1" t="str">
        <f>IF(Teams[[#This Row],[relevant]], SUMIFS(Fixtures[YC], Fixtures[userTeam], Teams[[#This Row],[name]]), "")</f>
        <v/>
      </c>
      <c r="P209" s="1" t="str">
        <f>IF(Teams[[#This Row],[relevant]], SUMIFS(Fixtures[RC], Fixtures[userTeam], Teams[[#This Row],[name]]), "")</f>
        <v/>
      </c>
      <c r="Q209" s="13" t="str">
        <f>IF(Teams[[#This Row],[relevant]], IF(ISERROR(AVERAGEIFS(Fixtures[MR], Fixtures[userTeam], Teams[[#This Row],[name]])), 0, AVERAGEIFS(Fixtures[MR], Fixtures[userTeam], Teams[[#This Row],[name]])), "")</f>
        <v/>
      </c>
      <c r="R209" s="1" t="str">
        <f>IF(Teams[[#This Row],[relevant]], COUNTIFS(Fixtures[userTeam], Teams[[#This Row],[name]], Fixtures[MOTM], TRUE), "")</f>
        <v/>
      </c>
      <c r="S209" s="1" t="str" cm="1">
        <f t="array" ref="S209">IF(Teams[[#This Row],[relevant]], _xlfn.TEXTJOIN(", ", TRUE, _xlfn._xlws.FILTER(Stats[competition]&amp;" ("&amp;Stats[season]&amp;")",(Stats[team]=Teams[[#This Row],[name]])*(Stats[result]="Winner"),"")), "")</f>
        <v/>
      </c>
    </row>
    <row r="210" spans="1:19" ht="13" hidden="1">
      <c r="A210" s="1" t="s">
        <v>181</v>
      </c>
      <c r="B210" s="1" t="s">
        <v>152</v>
      </c>
      <c r="C210" s="1" t="s">
        <v>391</v>
      </c>
      <c r="D210" s="1" t="str">
        <f>UPPER(_xlfn.CONCAT(LEFT(Teams[[#This Row],[teamType]], 1), "-", LEFT(SUBSTITUTE(Teams[[#This Row],[nation]], "/", ""), 3), "-", SUBSTITUTE(SUBSTITUTE(SUBSTITUTE(Teams[[#This Row],[name]], ".", ""), " ", ""), "-", "")))</f>
        <v>C-ENG-EXETERCITY</v>
      </c>
      <c r="E210" s="16"/>
      <c r="F210" s="16"/>
      <c r="G210" s="1" t="b">
        <f>COUNTBLANK(Teams[[#This Row],[startDate]:[endDate]]) &lt; 2</f>
        <v>0</v>
      </c>
      <c r="H210" s="1" t="str">
        <f>IF(Teams[[#This Row],[relevant]], COUNTIFS(Fixtures[userTeam], Teams[[#This Row],[name]], Fixtures[APP], TRUE), "")</f>
        <v/>
      </c>
      <c r="I210" s="1" t="str">
        <f>IF(Teams[[#This Row],[relevant]], COUNTIFS(Fixtures[userTeam], Teams[[#This Row],[name]], Fixtures[result], "W", Fixtures[APP], TRUE), "")</f>
        <v/>
      </c>
      <c r="J210" s="1" t="str">
        <f>IF(Teams[[#This Row],[relevant]], COUNTIFS(Fixtures[userTeam], Teams[[#This Row],[name]], Fixtures[result], "D", Fixtures[APP], TRUE), "")</f>
        <v/>
      </c>
      <c r="K210" s="1" t="str">
        <f>IF(Teams[[#This Row],[relevant]], COUNTIFS(Fixtures[userTeam], Teams[[#This Row],[name]], Fixtures[result], "L", Fixtures[APP], TRUE), "")</f>
        <v/>
      </c>
      <c r="L210" s="1" t="str">
        <f>IF(Teams[[#This Row],[relevant]], SUMIFS(Fixtures[G], Fixtures[userTeam], Teams[[#This Row],[name]]), "")</f>
        <v/>
      </c>
      <c r="M210" s="1" t="str">
        <f>IF(Teams[[#This Row],[relevant]], SUMIFS(Fixtures[A], Fixtures[userTeam], Teams[[#This Row],[name]]), "")</f>
        <v/>
      </c>
      <c r="N210" s="1" t="str">
        <f>IF(Teams[[#This Row],[relevant]], SUMIFS(Fixtures[INV], Fixtures[userTeam], Teams[[#This Row],[name]]), "")</f>
        <v/>
      </c>
      <c r="O210" s="1" t="str">
        <f>IF(Teams[[#This Row],[relevant]], SUMIFS(Fixtures[YC], Fixtures[userTeam], Teams[[#This Row],[name]]), "")</f>
        <v/>
      </c>
      <c r="P210" s="1" t="str">
        <f>IF(Teams[[#This Row],[relevant]], SUMIFS(Fixtures[RC], Fixtures[userTeam], Teams[[#This Row],[name]]), "")</f>
        <v/>
      </c>
      <c r="Q210" s="13" t="str">
        <f>IF(Teams[[#This Row],[relevant]], IF(ISERROR(AVERAGEIFS(Fixtures[MR], Fixtures[userTeam], Teams[[#This Row],[name]])), 0, AVERAGEIFS(Fixtures[MR], Fixtures[userTeam], Teams[[#This Row],[name]])), "")</f>
        <v/>
      </c>
      <c r="R210" s="1" t="str">
        <f>IF(Teams[[#This Row],[relevant]], COUNTIFS(Fixtures[userTeam], Teams[[#This Row],[name]], Fixtures[MOTM], TRUE), "")</f>
        <v/>
      </c>
      <c r="S210" s="1" t="str" cm="1">
        <f t="array" ref="S210">IF(Teams[[#This Row],[relevant]], _xlfn.TEXTJOIN(", ", TRUE, _xlfn._xlws.FILTER(Stats[competition]&amp;" ("&amp;Stats[season]&amp;")",(Stats[team]=Teams[[#This Row],[name]])*(Stats[result]="Winner"),"")), "")</f>
        <v/>
      </c>
    </row>
    <row r="211" spans="1:19" ht="13" hidden="1">
      <c r="A211" s="1" t="s">
        <v>602</v>
      </c>
      <c r="B211" s="1" t="s">
        <v>398</v>
      </c>
      <c r="C211" s="1" t="s">
        <v>391</v>
      </c>
      <c r="D211" s="1" t="str">
        <f>UPPER(_xlfn.CONCAT(LEFT(Teams[[#This Row],[teamType]], 1), "-", LEFT(SUBSTITUTE(Teams[[#This Row],[nation]], "/", ""), 3), "-", SUBSTITUTE(SUBSTITUTE(SUBSTITUTE(Teams[[#This Row],[name]], ".", ""), " ", ""), "-", "")))</f>
        <v>C-DEN-FCKØBENHAVN</v>
      </c>
      <c r="E211" s="16"/>
      <c r="F211" s="16"/>
      <c r="G211" s="1" t="b">
        <f>COUNTBLANK(Teams[[#This Row],[startDate]:[endDate]]) &lt; 2</f>
        <v>0</v>
      </c>
      <c r="H211" s="1" t="str">
        <f>IF(Teams[[#This Row],[relevant]], COUNTIFS(Fixtures[userTeam], Teams[[#This Row],[name]], Fixtures[APP], TRUE), "")</f>
        <v/>
      </c>
      <c r="I211" s="1" t="str">
        <f>IF(Teams[[#This Row],[relevant]], COUNTIFS(Fixtures[userTeam], Teams[[#This Row],[name]], Fixtures[result], "W", Fixtures[APP], TRUE), "")</f>
        <v/>
      </c>
      <c r="J211" s="1" t="str">
        <f>IF(Teams[[#This Row],[relevant]], COUNTIFS(Fixtures[userTeam], Teams[[#This Row],[name]], Fixtures[result], "D", Fixtures[APP], TRUE), "")</f>
        <v/>
      </c>
      <c r="K211" s="1" t="str">
        <f>IF(Teams[[#This Row],[relevant]], COUNTIFS(Fixtures[userTeam], Teams[[#This Row],[name]], Fixtures[result], "L", Fixtures[APP], TRUE), "")</f>
        <v/>
      </c>
      <c r="L211" s="1" t="str">
        <f>IF(Teams[[#This Row],[relevant]], SUMIFS(Fixtures[G], Fixtures[userTeam], Teams[[#This Row],[name]]), "")</f>
        <v/>
      </c>
      <c r="M211" s="1" t="str">
        <f>IF(Teams[[#This Row],[relevant]], SUMIFS(Fixtures[A], Fixtures[userTeam], Teams[[#This Row],[name]]), "")</f>
        <v/>
      </c>
      <c r="N211" s="1" t="str">
        <f>IF(Teams[[#This Row],[relevant]], SUMIFS(Fixtures[INV], Fixtures[userTeam], Teams[[#This Row],[name]]), "")</f>
        <v/>
      </c>
      <c r="O211" s="1" t="str">
        <f>IF(Teams[[#This Row],[relevant]], SUMIFS(Fixtures[YC], Fixtures[userTeam], Teams[[#This Row],[name]]), "")</f>
        <v/>
      </c>
      <c r="P211" s="1" t="str">
        <f>IF(Teams[[#This Row],[relevant]], SUMIFS(Fixtures[RC], Fixtures[userTeam], Teams[[#This Row],[name]]), "")</f>
        <v/>
      </c>
      <c r="Q211" s="13" t="str">
        <f>IF(Teams[[#This Row],[relevant]], IF(ISERROR(AVERAGEIFS(Fixtures[MR], Fixtures[userTeam], Teams[[#This Row],[name]])), 0, AVERAGEIFS(Fixtures[MR], Fixtures[userTeam], Teams[[#This Row],[name]])), "")</f>
        <v/>
      </c>
      <c r="R211" s="1" t="str">
        <f>IF(Teams[[#This Row],[relevant]], COUNTIFS(Fixtures[userTeam], Teams[[#This Row],[name]], Fixtures[MOTM], TRUE), "")</f>
        <v/>
      </c>
      <c r="S211" s="1" t="str" cm="1">
        <f t="array" ref="S211">IF(Teams[[#This Row],[relevant]], _xlfn.TEXTJOIN(", ", TRUE, _xlfn._xlws.FILTER(Stats[competition]&amp;" ("&amp;Stats[season]&amp;")",(Stats[team]=Teams[[#This Row],[name]])*(Stats[result]="Winner"),"")), "")</f>
        <v/>
      </c>
    </row>
    <row r="212" spans="1:19" ht="13" hidden="1">
      <c r="A212" s="1" t="s">
        <v>603</v>
      </c>
      <c r="B212" s="1" t="s">
        <v>419</v>
      </c>
      <c r="C212" s="1" t="s">
        <v>391</v>
      </c>
      <c r="D212" s="1" t="str">
        <f>UPPER(_xlfn.CONCAT(LEFT(Teams[[#This Row],[teamType]], 1), "-", LEFT(SUBSTITUTE(Teams[[#This Row],[nation]], "/", ""), 3), "-", SUBSTITUTE(SUBSTITUTE(SUBSTITUTE(Teams[[#This Row],[name]], ".", ""), " ", ""), "-", "")))</f>
        <v>C-ROM-FARULCONSTANȚA</v>
      </c>
      <c r="E212" s="16"/>
      <c r="F212" s="16"/>
      <c r="G212" s="1" t="b">
        <f>COUNTBLANK(Teams[[#This Row],[startDate]:[endDate]]) &lt; 2</f>
        <v>0</v>
      </c>
      <c r="H212" s="1" t="str">
        <f>IF(Teams[[#This Row],[relevant]], COUNTIFS(Fixtures[userTeam], Teams[[#This Row],[name]], Fixtures[APP], TRUE), "")</f>
        <v/>
      </c>
      <c r="I212" s="1" t="str">
        <f>IF(Teams[[#This Row],[relevant]], COUNTIFS(Fixtures[userTeam], Teams[[#This Row],[name]], Fixtures[result], "W", Fixtures[APP], TRUE), "")</f>
        <v/>
      </c>
      <c r="J212" s="1" t="str">
        <f>IF(Teams[[#This Row],[relevant]], COUNTIFS(Fixtures[userTeam], Teams[[#This Row],[name]], Fixtures[result], "D", Fixtures[APP], TRUE), "")</f>
        <v/>
      </c>
      <c r="K212" s="1" t="str">
        <f>IF(Teams[[#This Row],[relevant]], COUNTIFS(Fixtures[userTeam], Teams[[#This Row],[name]], Fixtures[result], "L", Fixtures[APP], TRUE), "")</f>
        <v/>
      </c>
      <c r="L212" s="1" t="str">
        <f>IF(Teams[[#This Row],[relevant]], SUMIFS(Fixtures[G], Fixtures[userTeam], Teams[[#This Row],[name]]), "")</f>
        <v/>
      </c>
      <c r="M212" s="1" t="str">
        <f>IF(Teams[[#This Row],[relevant]], SUMIFS(Fixtures[A], Fixtures[userTeam], Teams[[#This Row],[name]]), "")</f>
        <v/>
      </c>
      <c r="N212" s="1" t="str">
        <f>IF(Teams[[#This Row],[relevant]], SUMIFS(Fixtures[INV], Fixtures[userTeam], Teams[[#This Row],[name]]), "")</f>
        <v/>
      </c>
      <c r="O212" s="1" t="str">
        <f>IF(Teams[[#This Row],[relevant]], SUMIFS(Fixtures[YC], Fixtures[userTeam], Teams[[#This Row],[name]]), "")</f>
        <v/>
      </c>
      <c r="P212" s="1" t="str">
        <f>IF(Teams[[#This Row],[relevant]], SUMIFS(Fixtures[RC], Fixtures[userTeam], Teams[[#This Row],[name]]), "")</f>
        <v/>
      </c>
      <c r="Q212" s="13" t="str">
        <f>IF(Teams[[#This Row],[relevant]], IF(ISERROR(AVERAGEIFS(Fixtures[MR], Fixtures[userTeam], Teams[[#This Row],[name]])), 0, AVERAGEIFS(Fixtures[MR], Fixtures[userTeam], Teams[[#This Row],[name]])), "")</f>
        <v/>
      </c>
      <c r="R212" s="1" t="str">
        <f>IF(Teams[[#This Row],[relevant]], COUNTIFS(Fixtures[userTeam], Teams[[#This Row],[name]], Fixtures[MOTM], TRUE), "")</f>
        <v/>
      </c>
      <c r="S212" s="1" t="str" cm="1">
        <f t="array" ref="S212">IF(Teams[[#This Row],[relevant]], _xlfn.TEXTJOIN(", ", TRUE, _xlfn._xlws.FILTER(Stats[competition]&amp;" ("&amp;Stats[season]&amp;")",(Stats[team]=Teams[[#This Row],[name]])*(Stats[result]="Winner"),"")), "")</f>
        <v/>
      </c>
    </row>
    <row r="213" spans="1:19" ht="13" hidden="1">
      <c r="A213" s="1" t="s">
        <v>604</v>
      </c>
      <c r="B213" s="1" t="s">
        <v>445</v>
      </c>
      <c r="C213" s="1" t="s">
        <v>391</v>
      </c>
      <c r="D213" s="1" t="str">
        <f>UPPER(_xlfn.CONCAT(LEFT(Teams[[#This Row],[teamType]], 1), "-", LEFT(SUBSTITUTE(Teams[[#This Row],[nation]], "/", ""), 3), "-", SUBSTITUTE(SUBSTITUTE(SUBSTITUTE(Teams[[#This Row],[name]], ".", ""), " ", ""), "-", "")))</f>
        <v>C-PER-FBCMELGAR</v>
      </c>
      <c r="E213" s="16"/>
      <c r="F213" s="16"/>
      <c r="G213" s="1" t="b">
        <f>COUNTBLANK(Teams[[#This Row],[startDate]:[endDate]]) &lt; 2</f>
        <v>0</v>
      </c>
      <c r="H213" s="1" t="str">
        <f>IF(Teams[[#This Row],[relevant]], COUNTIFS(Fixtures[userTeam], Teams[[#This Row],[name]], Fixtures[APP], TRUE), "")</f>
        <v/>
      </c>
      <c r="I213" s="1" t="str">
        <f>IF(Teams[[#This Row],[relevant]], COUNTIFS(Fixtures[userTeam], Teams[[#This Row],[name]], Fixtures[result], "W", Fixtures[APP], TRUE), "")</f>
        <v/>
      </c>
      <c r="J213" s="1" t="str">
        <f>IF(Teams[[#This Row],[relevant]], COUNTIFS(Fixtures[userTeam], Teams[[#This Row],[name]], Fixtures[result], "D", Fixtures[APP], TRUE), "")</f>
        <v/>
      </c>
      <c r="K213" s="1" t="str">
        <f>IF(Teams[[#This Row],[relevant]], COUNTIFS(Fixtures[userTeam], Teams[[#This Row],[name]], Fixtures[result], "L", Fixtures[APP], TRUE), "")</f>
        <v/>
      </c>
      <c r="L213" s="1" t="str">
        <f>IF(Teams[[#This Row],[relevant]], SUMIFS(Fixtures[G], Fixtures[userTeam], Teams[[#This Row],[name]]), "")</f>
        <v/>
      </c>
      <c r="M213" s="1" t="str">
        <f>IF(Teams[[#This Row],[relevant]], SUMIFS(Fixtures[A], Fixtures[userTeam], Teams[[#This Row],[name]]), "")</f>
        <v/>
      </c>
      <c r="N213" s="1" t="str">
        <f>IF(Teams[[#This Row],[relevant]], SUMIFS(Fixtures[INV], Fixtures[userTeam], Teams[[#This Row],[name]]), "")</f>
        <v/>
      </c>
      <c r="O213" s="1" t="str">
        <f>IF(Teams[[#This Row],[relevant]], SUMIFS(Fixtures[YC], Fixtures[userTeam], Teams[[#This Row],[name]]), "")</f>
        <v/>
      </c>
      <c r="P213" s="1" t="str">
        <f>IF(Teams[[#This Row],[relevant]], SUMIFS(Fixtures[RC], Fixtures[userTeam], Teams[[#This Row],[name]]), "")</f>
        <v/>
      </c>
      <c r="Q213" s="13" t="str">
        <f>IF(Teams[[#This Row],[relevant]], IF(ISERROR(AVERAGEIFS(Fixtures[MR], Fixtures[userTeam], Teams[[#This Row],[name]])), 0, AVERAGEIFS(Fixtures[MR], Fixtures[userTeam], Teams[[#This Row],[name]])), "")</f>
        <v/>
      </c>
      <c r="R213" s="1" t="str">
        <f>IF(Teams[[#This Row],[relevant]], COUNTIFS(Fixtures[userTeam], Teams[[#This Row],[name]], Fixtures[MOTM], TRUE), "")</f>
        <v/>
      </c>
      <c r="S213" s="1" t="str" cm="1">
        <f t="array" ref="S213">IF(Teams[[#This Row],[relevant]], _xlfn.TEXTJOIN(", ", TRUE, _xlfn._xlws.FILTER(Stats[competition]&amp;" ("&amp;Stats[season]&amp;")",(Stats[team]=Teams[[#This Row],[name]])*(Stats[result]="Winner"),"")), "")</f>
        <v/>
      </c>
    </row>
    <row r="214" spans="1:19" ht="13" hidden="1">
      <c r="A214" s="1" t="s">
        <v>605</v>
      </c>
      <c r="B214" s="1" t="s">
        <v>163</v>
      </c>
      <c r="C214" s="1" t="s">
        <v>391</v>
      </c>
      <c r="D214" s="1" t="str">
        <f>UPPER(_xlfn.CONCAT(LEFT(Teams[[#This Row],[teamType]], 1), "-", LEFT(SUBSTITUTE(Teams[[#This Row],[nation]], "/", ""), 3), "-", SUBSTITUTE(SUBSTITUTE(SUBSTITUTE(Teams[[#This Row],[name]], ".", ""), " ", ""), "-", "")))</f>
        <v>C-SPA-FCANDORRA</v>
      </c>
      <c r="E214" s="16"/>
      <c r="F214" s="16"/>
      <c r="G214" s="1" t="b">
        <f>COUNTBLANK(Teams[[#This Row],[startDate]:[endDate]]) &lt; 2</f>
        <v>0</v>
      </c>
      <c r="H214" s="1" t="str">
        <f>IF(Teams[[#This Row],[relevant]], COUNTIFS(Fixtures[userTeam], Teams[[#This Row],[name]], Fixtures[APP], TRUE), "")</f>
        <v/>
      </c>
      <c r="I214" s="1" t="str">
        <f>IF(Teams[[#This Row],[relevant]], COUNTIFS(Fixtures[userTeam], Teams[[#This Row],[name]], Fixtures[result], "W", Fixtures[APP], TRUE), "")</f>
        <v/>
      </c>
      <c r="J214" s="1" t="str">
        <f>IF(Teams[[#This Row],[relevant]], COUNTIFS(Fixtures[userTeam], Teams[[#This Row],[name]], Fixtures[result], "D", Fixtures[APP], TRUE), "")</f>
        <v/>
      </c>
      <c r="K214" s="1" t="str">
        <f>IF(Teams[[#This Row],[relevant]], COUNTIFS(Fixtures[userTeam], Teams[[#This Row],[name]], Fixtures[result], "L", Fixtures[APP], TRUE), "")</f>
        <v/>
      </c>
      <c r="L214" s="1" t="str">
        <f>IF(Teams[[#This Row],[relevant]], SUMIFS(Fixtures[G], Fixtures[userTeam], Teams[[#This Row],[name]]), "")</f>
        <v/>
      </c>
      <c r="M214" s="1" t="str">
        <f>IF(Teams[[#This Row],[relevant]], SUMIFS(Fixtures[A], Fixtures[userTeam], Teams[[#This Row],[name]]), "")</f>
        <v/>
      </c>
      <c r="N214" s="1" t="str">
        <f>IF(Teams[[#This Row],[relevant]], SUMIFS(Fixtures[INV], Fixtures[userTeam], Teams[[#This Row],[name]]), "")</f>
        <v/>
      </c>
      <c r="O214" s="1" t="str">
        <f>IF(Teams[[#This Row],[relevant]], SUMIFS(Fixtures[YC], Fixtures[userTeam], Teams[[#This Row],[name]]), "")</f>
        <v/>
      </c>
      <c r="P214" s="1" t="str">
        <f>IF(Teams[[#This Row],[relevant]], SUMIFS(Fixtures[RC], Fixtures[userTeam], Teams[[#This Row],[name]]), "")</f>
        <v/>
      </c>
      <c r="Q214" s="13" t="str">
        <f>IF(Teams[[#This Row],[relevant]], IF(ISERROR(AVERAGEIFS(Fixtures[MR], Fixtures[userTeam], Teams[[#This Row],[name]])), 0, AVERAGEIFS(Fixtures[MR], Fixtures[userTeam], Teams[[#This Row],[name]])), "")</f>
        <v/>
      </c>
      <c r="R214" s="1" t="str">
        <f>IF(Teams[[#This Row],[relevant]], COUNTIFS(Fixtures[userTeam], Teams[[#This Row],[name]], Fixtures[MOTM], TRUE), "")</f>
        <v/>
      </c>
      <c r="S214" s="1" t="str" cm="1">
        <f t="array" ref="S214">IF(Teams[[#This Row],[relevant]], _xlfn.TEXTJOIN(", ", TRUE, _xlfn._xlws.FILTER(Stats[competition]&amp;" ("&amp;Stats[season]&amp;")",(Stats[team]=Teams[[#This Row],[name]])*(Stats[result]="Winner"),"")), "")</f>
        <v/>
      </c>
    </row>
    <row r="215" spans="1:19" ht="13" hidden="1">
      <c r="A215" s="1" t="s">
        <v>606</v>
      </c>
      <c r="B215" s="1" t="s">
        <v>339</v>
      </c>
      <c r="C215" s="1" t="s">
        <v>391</v>
      </c>
      <c r="D215" s="1" t="str">
        <f>UPPER(_xlfn.CONCAT(LEFT(Teams[[#This Row],[teamType]], 1), "-", LEFT(SUBSTITUTE(Teams[[#This Row],[nation]], "/", ""), 3), "-", SUBSTITUTE(SUBSTITUTE(SUBSTITUTE(Teams[[#This Row],[name]], ".", ""), " ", ""), "-", "")))</f>
        <v>C-FRA-FCANNECY</v>
      </c>
      <c r="E215" s="16"/>
      <c r="F215" s="16"/>
      <c r="G215" s="1" t="b">
        <f>COUNTBLANK(Teams[[#This Row],[startDate]:[endDate]]) &lt; 2</f>
        <v>0</v>
      </c>
      <c r="H215" s="1" t="str">
        <f>IF(Teams[[#This Row],[relevant]], COUNTIFS(Fixtures[userTeam], Teams[[#This Row],[name]], Fixtures[APP], TRUE), "")</f>
        <v/>
      </c>
      <c r="I215" s="1" t="str">
        <f>IF(Teams[[#This Row],[relevant]], COUNTIFS(Fixtures[userTeam], Teams[[#This Row],[name]], Fixtures[result], "W", Fixtures[APP], TRUE), "")</f>
        <v/>
      </c>
      <c r="J215" s="1" t="str">
        <f>IF(Teams[[#This Row],[relevant]], COUNTIFS(Fixtures[userTeam], Teams[[#This Row],[name]], Fixtures[result], "D", Fixtures[APP], TRUE), "")</f>
        <v/>
      </c>
      <c r="K215" s="1" t="str">
        <f>IF(Teams[[#This Row],[relevant]], COUNTIFS(Fixtures[userTeam], Teams[[#This Row],[name]], Fixtures[result], "L", Fixtures[APP], TRUE), "")</f>
        <v/>
      </c>
      <c r="L215" s="1" t="str">
        <f>IF(Teams[[#This Row],[relevant]], SUMIFS(Fixtures[G], Fixtures[userTeam], Teams[[#This Row],[name]]), "")</f>
        <v/>
      </c>
      <c r="M215" s="1" t="str">
        <f>IF(Teams[[#This Row],[relevant]], SUMIFS(Fixtures[A], Fixtures[userTeam], Teams[[#This Row],[name]]), "")</f>
        <v/>
      </c>
      <c r="N215" s="1" t="str">
        <f>IF(Teams[[#This Row],[relevant]], SUMIFS(Fixtures[INV], Fixtures[userTeam], Teams[[#This Row],[name]]), "")</f>
        <v/>
      </c>
      <c r="O215" s="1" t="str">
        <f>IF(Teams[[#This Row],[relevant]], SUMIFS(Fixtures[YC], Fixtures[userTeam], Teams[[#This Row],[name]]), "")</f>
        <v/>
      </c>
      <c r="P215" s="1" t="str">
        <f>IF(Teams[[#This Row],[relevant]], SUMIFS(Fixtures[RC], Fixtures[userTeam], Teams[[#This Row],[name]]), "")</f>
        <v/>
      </c>
      <c r="Q215" s="13" t="str">
        <f>IF(Teams[[#This Row],[relevant]], IF(ISERROR(AVERAGEIFS(Fixtures[MR], Fixtures[userTeam], Teams[[#This Row],[name]])), 0, AVERAGEIFS(Fixtures[MR], Fixtures[userTeam], Teams[[#This Row],[name]])), "")</f>
        <v/>
      </c>
      <c r="R215" s="1" t="str">
        <f>IF(Teams[[#This Row],[relevant]], COUNTIFS(Fixtures[userTeam], Teams[[#This Row],[name]], Fixtures[MOTM], TRUE), "")</f>
        <v/>
      </c>
      <c r="S215" s="1" t="str" cm="1">
        <f t="array" ref="S215">IF(Teams[[#This Row],[relevant]], _xlfn.TEXTJOIN(", ", TRUE, _xlfn._xlws.FILTER(Stats[competition]&amp;" ("&amp;Stats[season]&amp;")",(Stats[team]=Teams[[#This Row],[name]])*(Stats[result]="Winner"),"")), "")</f>
        <v/>
      </c>
    </row>
    <row r="216" spans="1:19" ht="13" hidden="1">
      <c r="A216" s="1" t="s">
        <v>607</v>
      </c>
      <c r="B216" s="1" t="s">
        <v>419</v>
      </c>
      <c r="C216" s="1" t="s">
        <v>391</v>
      </c>
      <c r="D216" s="1" t="str">
        <f>UPPER(_xlfn.CONCAT(LEFT(Teams[[#This Row],[teamType]], 1), "-", LEFT(SUBSTITUTE(Teams[[#This Row],[nation]], "/", ""), 3), "-", SUBSTITUTE(SUBSTITUTE(SUBSTITUTE(Teams[[#This Row],[name]], ".", ""), " ", ""), "-", "")))</f>
        <v>C-ROM-FCARGEȘ</v>
      </c>
      <c r="E216" s="16"/>
      <c r="F216" s="16"/>
      <c r="G216" s="1" t="b">
        <f>COUNTBLANK(Teams[[#This Row],[startDate]:[endDate]]) &lt; 2</f>
        <v>0</v>
      </c>
      <c r="H216" s="1" t="str">
        <f>IF(Teams[[#This Row],[relevant]], COUNTIFS(Fixtures[userTeam], Teams[[#This Row],[name]], Fixtures[APP], TRUE), "")</f>
        <v/>
      </c>
      <c r="I216" s="1" t="str">
        <f>IF(Teams[[#This Row],[relevant]], COUNTIFS(Fixtures[userTeam], Teams[[#This Row],[name]], Fixtures[result], "W", Fixtures[APP], TRUE), "")</f>
        <v/>
      </c>
      <c r="J216" s="1" t="str">
        <f>IF(Teams[[#This Row],[relevant]], COUNTIFS(Fixtures[userTeam], Teams[[#This Row],[name]], Fixtures[result], "D", Fixtures[APP], TRUE), "")</f>
        <v/>
      </c>
      <c r="K216" s="1" t="str">
        <f>IF(Teams[[#This Row],[relevant]], COUNTIFS(Fixtures[userTeam], Teams[[#This Row],[name]], Fixtures[result], "L", Fixtures[APP], TRUE), "")</f>
        <v/>
      </c>
      <c r="L216" s="1" t="str">
        <f>IF(Teams[[#This Row],[relevant]], SUMIFS(Fixtures[G], Fixtures[userTeam], Teams[[#This Row],[name]]), "")</f>
        <v/>
      </c>
      <c r="M216" s="1" t="str">
        <f>IF(Teams[[#This Row],[relevant]], SUMIFS(Fixtures[A], Fixtures[userTeam], Teams[[#This Row],[name]]), "")</f>
        <v/>
      </c>
      <c r="N216" s="1" t="str">
        <f>IF(Teams[[#This Row],[relevant]], SUMIFS(Fixtures[INV], Fixtures[userTeam], Teams[[#This Row],[name]]), "")</f>
        <v/>
      </c>
      <c r="O216" s="1" t="str">
        <f>IF(Teams[[#This Row],[relevant]], SUMIFS(Fixtures[YC], Fixtures[userTeam], Teams[[#This Row],[name]]), "")</f>
        <v/>
      </c>
      <c r="P216" s="1" t="str">
        <f>IF(Teams[[#This Row],[relevant]], SUMIFS(Fixtures[RC], Fixtures[userTeam], Teams[[#This Row],[name]]), "")</f>
        <v/>
      </c>
      <c r="Q216" s="13" t="str">
        <f>IF(Teams[[#This Row],[relevant]], IF(ISERROR(AVERAGEIFS(Fixtures[MR], Fixtures[userTeam], Teams[[#This Row],[name]])), 0, AVERAGEIFS(Fixtures[MR], Fixtures[userTeam], Teams[[#This Row],[name]])), "")</f>
        <v/>
      </c>
      <c r="R216" s="1" t="str">
        <f>IF(Teams[[#This Row],[relevant]], COUNTIFS(Fixtures[userTeam], Teams[[#This Row],[name]], Fixtures[MOTM], TRUE), "")</f>
        <v/>
      </c>
      <c r="S216" s="1" t="str" cm="1">
        <f t="array" ref="S216">IF(Teams[[#This Row],[relevant]], _xlfn.TEXTJOIN(", ", TRUE, _xlfn._xlws.FILTER(Stats[competition]&amp;" ("&amp;Stats[season]&amp;")",(Stats[team]=Teams[[#This Row],[name]])*(Stats[result]="Winner"),"")), "")</f>
        <v/>
      </c>
    </row>
    <row r="217" spans="1:19" ht="13" hidden="1">
      <c r="A217" s="1" t="s">
        <v>306</v>
      </c>
      <c r="B217" s="1" t="s">
        <v>337</v>
      </c>
      <c r="C217" s="1" t="s">
        <v>391</v>
      </c>
      <c r="D217" s="1" t="str">
        <f>UPPER(_xlfn.CONCAT(LEFT(Teams[[#This Row],[teamType]], 1), "-", LEFT(SUBSTITUTE(Teams[[#This Row],[nation]], "/", ""), 3), "-", SUBSTITUTE(SUBSTITUTE(SUBSTITUTE(Teams[[#This Row],[name]], ".", ""), " ", ""), "-", "")))</f>
        <v>C-GER-FCAUGSBURG</v>
      </c>
      <c r="E217" s="16"/>
      <c r="F217" s="16"/>
      <c r="G217" s="1" t="b">
        <f>COUNTBLANK(Teams[[#This Row],[startDate]:[endDate]]) &lt; 2</f>
        <v>0</v>
      </c>
      <c r="H217" s="1" t="str">
        <f>IF(Teams[[#This Row],[relevant]], COUNTIFS(Fixtures[userTeam], Teams[[#This Row],[name]], Fixtures[APP], TRUE), "")</f>
        <v/>
      </c>
      <c r="I217" s="1" t="str">
        <f>IF(Teams[[#This Row],[relevant]], COUNTIFS(Fixtures[userTeam], Teams[[#This Row],[name]], Fixtures[result], "W", Fixtures[APP], TRUE), "")</f>
        <v/>
      </c>
      <c r="J217" s="1" t="str">
        <f>IF(Teams[[#This Row],[relevant]], COUNTIFS(Fixtures[userTeam], Teams[[#This Row],[name]], Fixtures[result], "D", Fixtures[APP], TRUE), "")</f>
        <v/>
      </c>
      <c r="K217" s="1" t="str">
        <f>IF(Teams[[#This Row],[relevant]], COUNTIFS(Fixtures[userTeam], Teams[[#This Row],[name]], Fixtures[result], "L", Fixtures[APP], TRUE), "")</f>
        <v/>
      </c>
      <c r="L217" s="1" t="str">
        <f>IF(Teams[[#This Row],[relevant]], SUMIFS(Fixtures[G], Fixtures[userTeam], Teams[[#This Row],[name]]), "")</f>
        <v/>
      </c>
      <c r="M217" s="1" t="str">
        <f>IF(Teams[[#This Row],[relevant]], SUMIFS(Fixtures[A], Fixtures[userTeam], Teams[[#This Row],[name]]), "")</f>
        <v/>
      </c>
      <c r="N217" s="1" t="str">
        <f>IF(Teams[[#This Row],[relevant]], SUMIFS(Fixtures[INV], Fixtures[userTeam], Teams[[#This Row],[name]]), "")</f>
        <v/>
      </c>
      <c r="O217" s="1" t="str">
        <f>IF(Teams[[#This Row],[relevant]], SUMIFS(Fixtures[YC], Fixtures[userTeam], Teams[[#This Row],[name]]), "")</f>
        <v/>
      </c>
      <c r="P217" s="1" t="str">
        <f>IF(Teams[[#This Row],[relevant]], SUMIFS(Fixtures[RC], Fixtures[userTeam], Teams[[#This Row],[name]]), "")</f>
        <v/>
      </c>
      <c r="Q217" s="13" t="str">
        <f>IF(Teams[[#This Row],[relevant]], IF(ISERROR(AVERAGEIFS(Fixtures[MR], Fixtures[userTeam], Teams[[#This Row],[name]])), 0, AVERAGEIFS(Fixtures[MR], Fixtures[userTeam], Teams[[#This Row],[name]])), "")</f>
        <v/>
      </c>
      <c r="R217" s="1" t="str">
        <f>IF(Teams[[#This Row],[relevant]], COUNTIFS(Fixtures[userTeam], Teams[[#This Row],[name]], Fixtures[MOTM], TRUE), "")</f>
        <v/>
      </c>
      <c r="S217" s="1" t="str" cm="1">
        <f t="array" ref="S217">IF(Teams[[#This Row],[relevant]], _xlfn.TEXTJOIN(", ", TRUE, _xlfn._xlws.FILTER(Stats[competition]&amp;" ("&amp;Stats[season]&amp;")",(Stats[team]=Teams[[#This Row],[name]])*(Stats[result]="Winner"),"")), "")</f>
        <v/>
      </c>
    </row>
    <row r="218" spans="1:19" ht="13" hidden="1">
      <c r="A218" s="1" t="s">
        <v>608</v>
      </c>
      <c r="B218" s="1" t="s">
        <v>163</v>
      </c>
      <c r="C218" s="1" t="s">
        <v>391</v>
      </c>
      <c r="D218" s="1" t="str">
        <f>UPPER(_xlfn.CONCAT(LEFT(Teams[[#This Row],[teamType]], 1), "-", LEFT(SUBSTITUTE(Teams[[#This Row],[nation]], "/", ""), 3), "-", SUBSTITUTE(SUBSTITUTE(SUBSTITUTE(Teams[[#This Row],[name]], ".", ""), " ", ""), "-", "")))</f>
        <v>C-SPA-FCBARCELONA</v>
      </c>
      <c r="E218" s="16"/>
      <c r="F218" s="16"/>
      <c r="G218" s="1" t="b">
        <f>COUNTBLANK(Teams[[#This Row],[startDate]:[endDate]]) &lt; 2</f>
        <v>0</v>
      </c>
      <c r="H218" s="1" t="str">
        <f>IF(Teams[[#This Row],[relevant]], COUNTIFS(Fixtures[userTeam], Teams[[#This Row],[name]], Fixtures[APP], TRUE), "")</f>
        <v/>
      </c>
      <c r="I218" s="1" t="str">
        <f>IF(Teams[[#This Row],[relevant]], COUNTIFS(Fixtures[userTeam], Teams[[#This Row],[name]], Fixtures[result], "W", Fixtures[APP], TRUE), "")</f>
        <v/>
      </c>
      <c r="J218" s="1" t="str">
        <f>IF(Teams[[#This Row],[relevant]], COUNTIFS(Fixtures[userTeam], Teams[[#This Row],[name]], Fixtures[result], "D", Fixtures[APP], TRUE), "")</f>
        <v/>
      </c>
      <c r="K218" s="1" t="str">
        <f>IF(Teams[[#This Row],[relevant]], COUNTIFS(Fixtures[userTeam], Teams[[#This Row],[name]], Fixtures[result], "L", Fixtures[APP], TRUE), "")</f>
        <v/>
      </c>
      <c r="L218" s="1" t="str">
        <f>IF(Teams[[#This Row],[relevant]], SUMIFS(Fixtures[G], Fixtures[userTeam], Teams[[#This Row],[name]]), "")</f>
        <v/>
      </c>
      <c r="M218" s="1" t="str">
        <f>IF(Teams[[#This Row],[relevant]], SUMIFS(Fixtures[A], Fixtures[userTeam], Teams[[#This Row],[name]]), "")</f>
        <v/>
      </c>
      <c r="N218" s="1" t="str">
        <f>IF(Teams[[#This Row],[relevant]], SUMIFS(Fixtures[INV], Fixtures[userTeam], Teams[[#This Row],[name]]), "")</f>
        <v/>
      </c>
      <c r="O218" s="1" t="str">
        <f>IF(Teams[[#This Row],[relevant]], SUMIFS(Fixtures[YC], Fixtures[userTeam], Teams[[#This Row],[name]]), "")</f>
        <v/>
      </c>
      <c r="P218" s="1" t="str">
        <f>IF(Teams[[#This Row],[relevant]], SUMIFS(Fixtures[RC], Fixtures[userTeam], Teams[[#This Row],[name]]), "")</f>
        <v/>
      </c>
      <c r="Q218" s="13" t="str">
        <f>IF(Teams[[#This Row],[relevant]], IF(ISERROR(AVERAGEIFS(Fixtures[MR], Fixtures[userTeam], Teams[[#This Row],[name]])), 0, AVERAGEIFS(Fixtures[MR], Fixtures[userTeam], Teams[[#This Row],[name]])), "")</f>
        <v/>
      </c>
      <c r="R218" s="1" t="str">
        <f>IF(Teams[[#This Row],[relevant]], COUNTIFS(Fixtures[userTeam], Teams[[#This Row],[name]], Fixtures[MOTM], TRUE), "")</f>
        <v/>
      </c>
      <c r="S218" s="1" t="str" cm="1">
        <f t="array" ref="S218">IF(Teams[[#This Row],[relevant]], _xlfn.TEXTJOIN(", ", TRUE, _xlfn._xlws.FILTER(Stats[competition]&amp;" ("&amp;Stats[season]&amp;")",(Stats[team]=Teams[[#This Row],[name]])*(Stats[result]="Winner"),"")), "")</f>
        <v/>
      </c>
    </row>
    <row r="219" spans="1:19" ht="13" hidden="1">
      <c r="A219" s="1" t="s">
        <v>609</v>
      </c>
      <c r="B219" s="1" t="s">
        <v>513</v>
      </c>
      <c r="C219" s="1" t="s">
        <v>391</v>
      </c>
      <c r="D219" s="1" t="str">
        <f>UPPER(_xlfn.CONCAT(LEFT(Teams[[#This Row],[teamType]], 1), "-", LEFT(SUBSTITUTE(Teams[[#This Row],[nation]], "/", ""), 3), "-", SUBSTITUTE(SUBSTITUTE(SUBSTITUTE(Teams[[#This Row],[name]], ".", ""), " ", ""), "-", "")))</f>
        <v>C-SWI-FCBASEL1893</v>
      </c>
      <c r="E219" s="16"/>
      <c r="F219" s="16"/>
      <c r="G219" s="1" t="b">
        <f>COUNTBLANK(Teams[[#This Row],[startDate]:[endDate]]) &lt; 2</f>
        <v>0</v>
      </c>
      <c r="H219" s="1" t="str">
        <f>IF(Teams[[#This Row],[relevant]], COUNTIFS(Fixtures[userTeam], Teams[[#This Row],[name]], Fixtures[APP], TRUE), "")</f>
        <v/>
      </c>
      <c r="I219" s="1" t="str">
        <f>IF(Teams[[#This Row],[relevant]], COUNTIFS(Fixtures[userTeam], Teams[[#This Row],[name]], Fixtures[result], "W", Fixtures[APP], TRUE), "")</f>
        <v/>
      </c>
      <c r="J219" s="1" t="str">
        <f>IF(Teams[[#This Row],[relevant]], COUNTIFS(Fixtures[userTeam], Teams[[#This Row],[name]], Fixtures[result], "D", Fixtures[APP], TRUE), "")</f>
        <v/>
      </c>
      <c r="K219" s="1" t="str">
        <f>IF(Teams[[#This Row],[relevant]], COUNTIFS(Fixtures[userTeam], Teams[[#This Row],[name]], Fixtures[result], "L", Fixtures[APP], TRUE), "")</f>
        <v/>
      </c>
      <c r="L219" s="1" t="str">
        <f>IF(Teams[[#This Row],[relevant]], SUMIFS(Fixtures[G], Fixtures[userTeam], Teams[[#This Row],[name]]), "")</f>
        <v/>
      </c>
      <c r="M219" s="1" t="str">
        <f>IF(Teams[[#This Row],[relevant]], SUMIFS(Fixtures[A], Fixtures[userTeam], Teams[[#This Row],[name]]), "")</f>
        <v/>
      </c>
      <c r="N219" s="1" t="str">
        <f>IF(Teams[[#This Row],[relevant]], SUMIFS(Fixtures[INV], Fixtures[userTeam], Teams[[#This Row],[name]]), "")</f>
        <v/>
      </c>
      <c r="O219" s="1" t="str">
        <f>IF(Teams[[#This Row],[relevant]], SUMIFS(Fixtures[YC], Fixtures[userTeam], Teams[[#This Row],[name]]), "")</f>
        <v/>
      </c>
      <c r="P219" s="1" t="str">
        <f>IF(Teams[[#This Row],[relevant]], SUMIFS(Fixtures[RC], Fixtures[userTeam], Teams[[#This Row],[name]]), "")</f>
        <v/>
      </c>
      <c r="Q219" s="13" t="str">
        <f>IF(Teams[[#This Row],[relevant]], IF(ISERROR(AVERAGEIFS(Fixtures[MR], Fixtures[userTeam], Teams[[#This Row],[name]])), 0, AVERAGEIFS(Fixtures[MR], Fixtures[userTeam], Teams[[#This Row],[name]])), "")</f>
        <v/>
      </c>
      <c r="R219" s="1" t="str">
        <f>IF(Teams[[#This Row],[relevant]], COUNTIFS(Fixtures[userTeam], Teams[[#This Row],[name]], Fixtures[MOTM], TRUE), "")</f>
        <v/>
      </c>
      <c r="S219" s="1" t="str" cm="1">
        <f t="array" ref="S219">IF(Teams[[#This Row],[relevant]], _xlfn.TEXTJOIN(", ", TRUE, _xlfn._xlws.FILTER(Stats[competition]&amp;" ("&amp;Stats[season]&amp;")",(Stats[team]=Teams[[#This Row],[name]])*(Stats[result]="Winner"),"")), "")</f>
        <v/>
      </c>
    </row>
    <row r="220" spans="1:19" ht="13" hidden="1">
      <c r="A220" s="1" t="s">
        <v>292</v>
      </c>
      <c r="B220" s="1" t="s">
        <v>337</v>
      </c>
      <c r="C220" s="1" t="s">
        <v>391</v>
      </c>
      <c r="D220" s="1" t="str">
        <f>UPPER(_xlfn.CONCAT(LEFT(Teams[[#This Row],[teamType]], 1), "-", LEFT(SUBSTITUTE(Teams[[#This Row],[nation]], "/", ""), 3), "-", SUBSTITUTE(SUBSTITUTE(SUBSTITUTE(Teams[[#This Row],[name]], ".", ""), " ", ""), "-", "")))</f>
        <v>C-GER-FCBAYERNMÜNCHEN</v>
      </c>
      <c r="E220" s="16"/>
      <c r="F220" s="16"/>
      <c r="G220" s="1" t="b">
        <f>COUNTBLANK(Teams[[#This Row],[startDate]:[endDate]]) &lt; 2</f>
        <v>0</v>
      </c>
      <c r="H220" s="1" t="str">
        <f>IF(Teams[[#This Row],[relevant]], COUNTIFS(Fixtures[userTeam], Teams[[#This Row],[name]], Fixtures[APP], TRUE), "")</f>
        <v/>
      </c>
      <c r="I220" s="1" t="str">
        <f>IF(Teams[[#This Row],[relevant]], COUNTIFS(Fixtures[userTeam], Teams[[#This Row],[name]], Fixtures[result], "W", Fixtures[APP], TRUE), "")</f>
        <v/>
      </c>
      <c r="J220" s="1" t="str">
        <f>IF(Teams[[#This Row],[relevant]], COUNTIFS(Fixtures[userTeam], Teams[[#This Row],[name]], Fixtures[result], "D", Fixtures[APP], TRUE), "")</f>
        <v/>
      </c>
      <c r="K220" s="1" t="str">
        <f>IF(Teams[[#This Row],[relevant]], COUNTIFS(Fixtures[userTeam], Teams[[#This Row],[name]], Fixtures[result], "L", Fixtures[APP], TRUE), "")</f>
        <v/>
      </c>
      <c r="L220" s="1" t="str">
        <f>IF(Teams[[#This Row],[relevant]], SUMIFS(Fixtures[G], Fixtures[userTeam], Teams[[#This Row],[name]]), "")</f>
        <v/>
      </c>
      <c r="M220" s="1" t="str">
        <f>IF(Teams[[#This Row],[relevant]], SUMIFS(Fixtures[A], Fixtures[userTeam], Teams[[#This Row],[name]]), "")</f>
        <v/>
      </c>
      <c r="N220" s="1" t="str">
        <f>IF(Teams[[#This Row],[relevant]], SUMIFS(Fixtures[INV], Fixtures[userTeam], Teams[[#This Row],[name]]), "")</f>
        <v/>
      </c>
      <c r="O220" s="1" t="str">
        <f>IF(Teams[[#This Row],[relevant]], SUMIFS(Fixtures[YC], Fixtures[userTeam], Teams[[#This Row],[name]]), "")</f>
        <v/>
      </c>
      <c r="P220" s="1" t="str">
        <f>IF(Teams[[#This Row],[relevant]], SUMIFS(Fixtures[RC], Fixtures[userTeam], Teams[[#This Row],[name]]), "")</f>
        <v/>
      </c>
      <c r="Q220" s="13" t="str">
        <f>IF(Teams[[#This Row],[relevant]], IF(ISERROR(AVERAGEIFS(Fixtures[MR], Fixtures[userTeam], Teams[[#This Row],[name]])), 0, AVERAGEIFS(Fixtures[MR], Fixtures[userTeam], Teams[[#This Row],[name]])), "")</f>
        <v/>
      </c>
      <c r="R220" s="1" t="str">
        <f>IF(Teams[[#This Row],[relevant]], COUNTIFS(Fixtures[userTeam], Teams[[#This Row],[name]], Fixtures[MOTM], TRUE), "")</f>
        <v/>
      </c>
      <c r="S220" s="1" t="str" cm="1">
        <f t="array" ref="S220">IF(Teams[[#This Row],[relevant]], _xlfn.TEXTJOIN(", ", TRUE, _xlfn._xlws.FILTER(Stats[competition]&amp;" ("&amp;Stats[season]&amp;")",(Stats[team]=Teams[[#This Row],[name]])*(Stats[result]="Winner"),"")), "")</f>
        <v/>
      </c>
    </row>
    <row r="221" spans="1:19" ht="13" hidden="1">
      <c r="A221" s="1" t="s">
        <v>610</v>
      </c>
      <c r="B221" s="1" t="s">
        <v>419</v>
      </c>
      <c r="C221" s="1" t="s">
        <v>391</v>
      </c>
      <c r="D221" s="1" t="str">
        <f>UPPER(_xlfn.CONCAT(LEFT(Teams[[#This Row],[teamType]], 1), "-", LEFT(SUBSTITUTE(Teams[[#This Row],[nation]], "/", ""), 3), "-", SUBSTITUTE(SUBSTITUTE(SUBSTITUTE(Teams[[#This Row],[name]], ".", ""), " ", ""), "-", "")))</f>
        <v>C-ROM-FCBOTOȘANI</v>
      </c>
      <c r="E221" s="16"/>
      <c r="F221" s="16"/>
      <c r="G221" s="1" t="b">
        <f>COUNTBLANK(Teams[[#This Row],[startDate]:[endDate]]) &lt; 2</f>
        <v>0</v>
      </c>
      <c r="H221" s="1" t="str">
        <f>IF(Teams[[#This Row],[relevant]], COUNTIFS(Fixtures[userTeam], Teams[[#This Row],[name]], Fixtures[APP], TRUE), "")</f>
        <v/>
      </c>
      <c r="I221" s="1" t="str">
        <f>IF(Teams[[#This Row],[relevant]], COUNTIFS(Fixtures[userTeam], Teams[[#This Row],[name]], Fixtures[result], "W", Fixtures[APP], TRUE), "")</f>
        <v/>
      </c>
      <c r="J221" s="1" t="str">
        <f>IF(Teams[[#This Row],[relevant]], COUNTIFS(Fixtures[userTeam], Teams[[#This Row],[name]], Fixtures[result], "D", Fixtures[APP], TRUE), "")</f>
        <v/>
      </c>
      <c r="K221" s="1" t="str">
        <f>IF(Teams[[#This Row],[relevant]], COUNTIFS(Fixtures[userTeam], Teams[[#This Row],[name]], Fixtures[result], "L", Fixtures[APP], TRUE), "")</f>
        <v/>
      </c>
      <c r="L221" s="1" t="str">
        <f>IF(Teams[[#This Row],[relevant]], SUMIFS(Fixtures[G], Fixtures[userTeam], Teams[[#This Row],[name]]), "")</f>
        <v/>
      </c>
      <c r="M221" s="1" t="str">
        <f>IF(Teams[[#This Row],[relevant]], SUMIFS(Fixtures[A], Fixtures[userTeam], Teams[[#This Row],[name]]), "")</f>
        <v/>
      </c>
      <c r="N221" s="1" t="str">
        <f>IF(Teams[[#This Row],[relevant]], SUMIFS(Fixtures[INV], Fixtures[userTeam], Teams[[#This Row],[name]]), "")</f>
        <v/>
      </c>
      <c r="O221" s="1" t="str">
        <f>IF(Teams[[#This Row],[relevant]], SUMIFS(Fixtures[YC], Fixtures[userTeam], Teams[[#This Row],[name]]), "")</f>
        <v/>
      </c>
      <c r="P221" s="1" t="str">
        <f>IF(Teams[[#This Row],[relevant]], SUMIFS(Fixtures[RC], Fixtures[userTeam], Teams[[#This Row],[name]]), "")</f>
        <v/>
      </c>
      <c r="Q221" s="13" t="str">
        <f>IF(Teams[[#This Row],[relevant]], IF(ISERROR(AVERAGEIFS(Fixtures[MR], Fixtures[userTeam], Teams[[#This Row],[name]])), 0, AVERAGEIFS(Fixtures[MR], Fixtures[userTeam], Teams[[#This Row],[name]])), "")</f>
        <v/>
      </c>
      <c r="R221" s="1" t="str">
        <f>IF(Teams[[#This Row],[relevant]], COUNTIFS(Fixtures[userTeam], Teams[[#This Row],[name]], Fixtures[MOTM], TRUE), "")</f>
        <v/>
      </c>
      <c r="S221" s="1" t="str" cm="1">
        <f t="array" ref="S221">IF(Teams[[#This Row],[relevant]], _xlfn.TEXTJOIN(", ", TRUE, _xlfn._xlws.FILTER(Stats[competition]&amp;" ("&amp;Stats[season]&amp;")",(Stats[team]=Teams[[#This Row],[name]])*(Stats[result]="Winner"),"")), "")</f>
        <v/>
      </c>
    </row>
    <row r="222" spans="1:19" ht="13" hidden="1">
      <c r="A222" s="1" t="s">
        <v>611</v>
      </c>
      <c r="B222" s="1" t="s">
        <v>163</v>
      </c>
      <c r="C222" s="1" t="s">
        <v>391</v>
      </c>
      <c r="D222" s="1" t="str">
        <f>UPPER(_xlfn.CONCAT(LEFT(Teams[[#This Row],[teamType]], 1), "-", LEFT(SUBSTITUTE(Teams[[#This Row],[nation]], "/", ""), 3), "-", SUBSTITUTE(SUBSTITUTE(SUBSTITUTE(Teams[[#This Row],[name]], ".", ""), " ", ""), "-", "")))</f>
        <v>C-SPA-FCCARTAGENA</v>
      </c>
      <c r="E222" s="16"/>
      <c r="F222" s="16"/>
      <c r="G222" s="1" t="b">
        <f>COUNTBLANK(Teams[[#This Row],[startDate]:[endDate]]) &lt; 2</f>
        <v>0</v>
      </c>
      <c r="H222" s="1" t="str">
        <f>IF(Teams[[#This Row],[relevant]], COUNTIFS(Fixtures[userTeam], Teams[[#This Row],[name]], Fixtures[APP], TRUE), "")</f>
        <v/>
      </c>
      <c r="I222" s="1" t="str">
        <f>IF(Teams[[#This Row],[relevant]], COUNTIFS(Fixtures[userTeam], Teams[[#This Row],[name]], Fixtures[result], "W", Fixtures[APP], TRUE), "")</f>
        <v/>
      </c>
      <c r="J222" s="1" t="str">
        <f>IF(Teams[[#This Row],[relevant]], COUNTIFS(Fixtures[userTeam], Teams[[#This Row],[name]], Fixtures[result], "D", Fixtures[APP], TRUE), "")</f>
        <v/>
      </c>
      <c r="K222" s="1" t="str">
        <f>IF(Teams[[#This Row],[relevant]], COUNTIFS(Fixtures[userTeam], Teams[[#This Row],[name]], Fixtures[result], "L", Fixtures[APP], TRUE), "")</f>
        <v/>
      </c>
      <c r="L222" s="1" t="str">
        <f>IF(Teams[[#This Row],[relevant]], SUMIFS(Fixtures[G], Fixtures[userTeam], Teams[[#This Row],[name]]), "")</f>
        <v/>
      </c>
      <c r="M222" s="1" t="str">
        <f>IF(Teams[[#This Row],[relevant]], SUMIFS(Fixtures[A], Fixtures[userTeam], Teams[[#This Row],[name]]), "")</f>
        <v/>
      </c>
      <c r="N222" s="1" t="str">
        <f>IF(Teams[[#This Row],[relevant]], SUMIFS(Fixtures[INV], Fixtures[userTeam], Teams[[#This Row],[name]]), "")</f>
        <v/>
      </c>
      <c r="O222" s="1" t="str">
        <f>IF(Teams[[#This Row],[relevant]], SUMIFS(Fixtures[YC], Fixtures[userTeam], Teams[[#This Row],[name]]), "")</f>
        <v/>
      </c>
      <c r="P222" s="1" t="str">
        <f>IF(Teams[[#This Row],[relevant]], SUMIFS(Fixtures[RC], Fixtures[userTeam], Teams[[#This Row],[name]]), "")</f>
        <v/>
      </c>
      <c r="Q222" s="13" t="str">
        <f>IF(Teams[[#This Row],[relevant]], IF(ISERROR(AVERAGEIFS(Fixtures[MR], Fixtures[userTeam], Teams[[#This Row],[name]])), 0, AVERAGEIFS(Fixtures[MR], Fixtures[userTeam], Teams[[#This Row],[name]])), "")</f>
        <v/>
      </c>
      <c r="R222" s="1" t="str">
        <f>IF(Teams[[#This Row],[relevant]], COUNTIFS(Fixtures[userTeam], Teams[[#This Row],[name]], Fixtures[MOTM], TRUE), "")</f>
        <v/>
      </c>
      <c r="S222" s="1" t="str" cm="1">
        <f t="array" ref="S222">IF(Teams[[#This Row],[relevant]], _xlfn.TEXTJOIN(", ", TRUE, _xlfn._xlws.FILTER(Stats[competition]&amp;" ("&amp;Stats[season]&amp;")",(Stats[team]=Teams[[#This Row],[name]])*(Stats[result]="Winner"),"")), "")</f>
        <v/>
      </c>
    </row>
    <row r="223" spans="1:19" ht="13" hidden="1">
      <c r="A223" s="1" t="s">
        <v>612</v>
      </c>
      <c r="B223" s="1" t="s">
        <v>16</v>
      </c>
      <c r="C223" s="1" t="s">
        <v>391</v>
      </c>
      <c r="D223" s="1" t="str">
        <f>UPPER(_xlfn.CONCAT(LEFT(Teams[[#This Row],[teamType]], 1), "-", LEFT(SUBSTITUTE(Teams[[#This Row],[nation]], "/", ""), 3), "-", SUBSTITUTE(SUBSTITUTE(SUBSTITUTE(Teams[[#This Row],[name]], ".", ""), " ", ""), "-", "")))</f>
        <v>C-UNI-FCCINCINNATI</v>
      </c>
      <c r="E223" s="16"/>
      <c r="F223" s="16"/>
      <c r="G223" s="1" t="b">
        <f>COUNTBLANK(Teams[[#This Row],[startDate]:[endDate]]) &lt; 2</f>
        <v>0</v>
      </c>
      <c r="H223" s="1" t="str">
        <f>IF(Teams[[#This Row],[relevant]], COUNTIFS(Fixtures[userTeam], Teams[[#This Row],[name]], Fixtures[APP], TRUE), "")</f>
        <v/>
      </c>
      <c r="I223" s="1" t="str">
        <f>IF(Teams[[#This Row],[relevant]], COUNTIFS(Fixtures[userTeam], Teams[[#This Row],[name]], Fixtures[result], "W", Fixtures[APP], TRUE), "")</f>
        <v/>
      </c>
      <c r="J223" s="1" t="str">
        <f>IF(Teams[[#This Row],[relevant]], COUNTIFS(Fixtures[userTeam], Teams[[#This Row],[name]], Fixtures[result], "D", Fixtures[APP], TRUE), "")</f>
        <v/>
      </c>
      <c r="K223" s="1" t="str">
        <f>IF(Teams[[#This Row],[relevant]], COUNTIFS(Fixtures[userTeam], Teams[[#This Row],[name]], Fixtures[result], "L", Fixtures[APP], TRUE), "")</f>
        <v/>
      </c>
      <c r="L223" s="1" t="str">
        <f>IF(Teams[[#This Row],[relevant]], SUMIFS(Fixtures[G], Fixtures[userTeam], Teams[[#This Row],[name]]), "")</f>
        <v/>
      </c>
      <c r="M223" s="1" t="str">
        <f>IF(Teams[[#This Row],[relevant]], SUMIFS(Fixtures[A], Fixtures[userTeam], Teams[[#This Row],[name]]), "")</f>
        <v/>
      </c>
      <c r="N223" s="1" t="str">
        <f>IF(Teams[[#This Row],[relevant]], SUMIFS(Fixtures[INV], Fixtures[userTeam], Teams[[#This Row],[name]]), "")</f>
        <v/>
      </c>
      <c r="O223" s="1" t="str">
        <f>IF(Teams[[#This Row],[relevant]], SUMIFS(Fixtures[YC], Fixtures[userTeam], Teams[[#This Row],[name]]), "")</f>
        <v/>
      </c>
      <c r="P223" s="1" t="str">
        <f>IF(Teams[[#This Row],[relevant]], SUMIFS(Fixtures[RC], Fixtures[userTeam], Teams[[#This Row],[name]]), "")</f>
        <v/>
      </c>
      <c r="Q223" s="13" t="str">
        <f>IF(Teams[[#This Row],[relevant]], IF(ISERROR(AVERAGEIFS(Fixtures[MR], Fixtures[userTeam], Teams[[#This Row],[name]])), 0, AVERAGEIFS(Fixtures[MR], Fixtures[userTeam], Teams[[#This Row],[name]])), "")</f>
        <v/>
      </c>
      <c r="R223" s="1" t="str">
        <f>IF(Teams[[#This Row],[relevant]], COUNTIFS(Fixtures[userTeam], Teams[[#This Row],[name]], Fixtures[MOTM], TRUE), "")</f>
        <v/>
      </c>
      <c r="S223" s="1" t="str" cm="1">
        <f t="array" ref="S223">IF(Teams[[#This Row],[relevant]], _xlfn.TEXTJOIN(", ", TRUE, _xlfn._xlws.FILTER(Stats[competition]&amp;" ("&amp;Stats[season]&amp;")",(Stats[team]=Teams[[#This Row],[name]])*(Stats[result]="Winner"),"")), "")</f>
        <v/>
      </c>
    </row>
    <row r="224" spans="1:19" ht="13" hidden="1">
      <c r="A224" s="1" t="s">
        <v>613</v>
      </c>
      <c r="B224" s="1" t="s">
        <v>16</v>
      </c>
      <c r="C224" s="1" t="s">
        <v>391</v>
      </c>
      <c r="D224" s="1" t="str">
        <f>UPPER(_xlfn.CONCAT(LEFT(Teams[[#This Row],[teamType]], 1), "-", LEFT(SUBSTITUTE(Teams[[#This Row],[nation]], "/", ""), 3), "-", SUBSTITUTE(SUBSTITUTE(SUBSTITUTE(Teams[[#This Row],[name]], ".", ""), " ", ""), "-", "")))</f>
        <v>C-UNI-FCDALLAS</v>
      </c>
      <c r="E224" s="16"/>
      <c r="F224" s="16"/>
      <c r="G224" s="1" t="b">
        <f>COUNTBLANK(Teams[[#This Row],[startDate]:[endDate]]) &lt; 2</f>
        <v>0</v>
      </c>
      <c r="H224" s="1" t="str">
        <f>IF(Teams[[#This Row],[relevant]], COUNTIFS(Fixtures[userTeam], Teams[[#This Row],[name]], Fixtures[APP], TRUE), "")</f>
        <v/>
      </c>
      <c r="I224" s="1" t="str">
        <f>IF(Teams[[#This Row],[relevant]], COUNTIFS(Fixtures[userTeam], Teams[[#This Row],[name]], Fixtures[result], "W", Fixtures[APP], TRUE), "")</f>
        <v/>
      </c>
      <c r="J224" s="1" t="str">
        <f>IF(Teams[[#This Row],[relevant]], COUNTIFS(Fixtures[userTeam], Teams[[#This Row],[name]], Fixtures[result], "D", Fixtures[APP], TRUE), "")</f>
        <v/>
      </c>
      <c r="K224" s="1" t="str">
        <f>IF(Teams[[#This Row],[relevant]], COUNTIFS(Fixtures[userTeam], Teams[[#This Row],[name]], Fixtures[result], "L", Fixtures[APP], TRUE), "")</f>
        <v/>
      </c>
      <c r="L224" s="1" t="str">
        <f>IF(Teams[[#This Row],[relevant]], SUMIFS(Fixtures[G], Fixtures[userTeam], Teams[[#This Row],[name]]), "")</f>
        <v/>
      </c>
      <c r="M224" s="1" t="str">
        <f>IF(Teams[[#This Row],[relevant]], SUMIFS(Fixtures[A], Fixtures[userTeam], Teams[[#This Row],[name]]), "")</f>
        <v/>
      </c>
      <c r="N224" s="1" t="str">
        <f>IF(Teams[[#This Row],[relevant]], SUMIFS(Fixtures[INV], Fixtures[userTeam], Teams[[#This Row],[name]]), "")</f>
        <v/>
      </c>
      <c r="O224" s="1" t="str">
        <f>IF(Teams[[#This Row],[relevant]], SUMIFS(Fixtures[YC], Fixtures[userTeam], Teams[[#This Row],[name]]), "")</f>
        <v/>
      </c>
      <c r="P224" s="1" t="str">
        <f>IF(Teams[[#This Row],[relevant]], SUMIFS(Fixtures[RC], Fixtures[userTeam], Teams[[#This Row],[name]]), "")</f>
        <v/>
      </c>
      <c r="Q224" s="13" t="str">
        <f>IF(Teams[[#This Row],[relevant]], IF(ISERROR(AVERAGEIFS(Fixtures[MR], Fixtures[userTeam], Teams[[#This Row],[name]])), 0, AVERAGEIFS(Fixtures[MR], Fixtures[userTeam], Teams[[#This Row],[name]])), "")</f>
        <v/>
      </c>
      <c r="R224" s="1" t="str">
        <f>IF(Teams[[#This Row],[relevant]], COUNTIFS(Fixtures[userTeam], Teams[[#This Row],[name]], Fixtures[MOTM], TRUE), "")</f>
        <v/>
      </c>
      <c r="S224" s="1" t="str" cm="1">
        <f t="array" ref="S224">IF(Teams[[#This Row],[relevant]], _xlfn.TEXTJOIN(", ", TRUE, _xlfn._xlws.FILTER(Stats[competition]&amp;" ("&amp;Stats[season]&amp;")",(Stats[team]=Teams[[#This Row],[name]])*(Stats[result]="Winner"),"")), "")</f>
        <v/>
      </c>
    </row>
    <row r="225" spans="1:19" ht="13" hidden="1">
      <c r="A225" s="1" t="s">
        <v>614</v>
      </c>
      <c r="B225" s="1" t="s">
        <v>425</v>
      </c>
      <c r="C225" s="1" t="s">
        <v>391</v>
      </c>
      <c r="D225" s="1" t="str">
        <f>UPPER(_xlfn.CONCAT(LEFT(Teams[[#This Row],[teamType]], 1), "-", LEFT(SUBSTITUTE(Teams[[#This Row],[nation]], "/", ""), 3), "-", SUBSTITUTE(SUBSTITUTE(SUBSTITUTE(Teams[[#This Row],[name]], ".", ""), " ", ""), "-", "")))</f>
        <v>C-NET-FCEMMEN</v>
      </c>
      <c r="E225" s="16"/>
      <c r="F225" s="16"/>
      <c r="G225" s="1" t="b">
        <f>COUNTBLANK(Teams[[#This Row],[startDate]:[endDate]]) &lt; 2</f>
        <v>0</v>
      </c>
      <c r="H225" s="1" t="str">
        <f>IF(Teams[[#This Row],[relevant]], COUNTIFS(Fixtures[userTeam], Teams[[#This Row],[name]], Fixtures[APP], TRUE), "")</f>
        <v/>
      </c>
      <c r="I225" s="1" t="str">
        <f>IF(Teams[[#This Row],[relevant]], COUNTIFS(Fixtures[userTeam], Teams[[#This Row],[name]], Fixtures[result], "W", Fixtures[APP], TRUE), "")</f>
        <v/>
      </c>
      <c r="J225" s="1" t="str">
        <f>IF(Teams[[#This Row],[relevant]], COUNTIFS(Fixtures[userTeam], Teams[[#This Row],[name]], Fixtures[result], "D", Fixtures[APP], TRUE), "")</f>
        <v/>
      </c>
      <c r="K225" s="1" t="str">
        <f>IF(Teams[[#This Row],[relevant]], COUNTIFS(Fixtures[userTeam], Teams[[#This Row],[name]], Fixtures[result], "L", Fixtures[APP], TRUE), "")</f>
        <v/>
      </c>
      <c r="L225" s="1" t="str">
        <f>IF(Teams[[#This Row],[relevant]], SUMIFS(Fixtures[G], Fixtures[userTeam], Teams[[#This Row],[name]]), "")</f>
        <v/>
      </c>
      <c r="M225" s="1" t="str">
        <f>IF(Teams[[#This Row],[relevant]], SUMIFS(Fixtures[A], Fixtures[userTeam], Teams[[#This Row],[name]]), "")</f>
        <v/>
      </c>
      <c r="N225" s="1" t="str">
        <f>IF(Teams[[#This Row],[relevant]], SUMIFS(Fixtures[INV], Fixtures[userTeam], Teams[[#This Row],[name]]), "")</f>
        <v/>
      </c>
      <c r="O225" s="1" t="str">
        <f>IF(Teams[[#This Row],[relevant]], SUMIFS(Fixtures[YC], Fixtures[userTeam], Teams[[#This Row],[name]]), "")</f>
        <v/>
      </c>
      <c r="P225" s="1" t="str">
        <f>IF(Teams[[#This Row],[relevant]], SUMIFS(Fixtures[RC], Fixtures[userTeam], Teams[[#This Row],[name]]), "")</f>
        <v/>
      </c>
      <c r="Q225" s="13" t="str">
        <f>IF(Teams[[#This Row],[relevant]], IF(ISERROR(AVERAGEIFS(Fixtures[MR], Fixtures[userTeam], Teams[[#This Row],[name]])), 0, AVERAGEIFS(Fixtures[MR], Fixtures[userTeam], Teams[[#This Row],[name]])), "")</f>
        <v/>
      </c>
      <c r="R225" s="1" t="str">
        <f>IF(Teams[[#This Row],[relevant]], COUNTIFS(Fixtures[userTeam], Teams[[#This Row],[name]], Fixtures[MOTM], TRUE), "")</f>
        <v/>
      </c>
      <c r="S225" s="1" t="str" cm="1">
        <f t="array" ref="S225">IF(Teams[[#This Row],[relevant]], _xlfn.TEXTJOIN(", ", TRUE, _xlfn._xlws.FILTER(Stats[competition]&amp;" ("&amp;Stats[season]&amp;")",(Stats[team]=Teams[[#This Row],[name]])*(Stats[result]="Winner"),"")), "")</f>
        <v/>
      </c>
    </row>
    <row r="226" spans="1:19" ht="13" hidden="1">
      <c r="A226" s="1" t="s">
        <v>615</v>
      </c>
      <c r="B226" s="1" t="s">
        <v>337</v>
      </c>
      <c r="C226" s="1" t="s">
        <v>391</v>
      </c>
      <c r="D226" s="1" t="str">
        <f>UPPER(_xlfn.CONCAT(LEFT(Teams[[#This Row],[teamType]], 1), "-", LEFT(SUBSTITUTE(Teams[[#This Row],[nation]], "/", ""), 3), "-", SUBSTITUTE(SUBSTITUTE(SUBSTITUTE(Teams[[#This Row],[name]], ".", ""), " ", ""), "-", "")))</f>
        <v>C-GER-FCERZGEBIRGEAUE</v>
      </c>
      <c r="E226" s="16"/>
      <c r="F226" s="16"/>
      <c r="G226" s="1" t="b">
        <f>COUNTBLANK(Teams[[#This Row],[startDate]:[endDate]]) &lt; 2</f>
        <v>0</v>
      </c>
      <c r="H226" s="1" t="str">
        <f>IF(Teams[[#This Row],[relevant]], COUNTIFS(Fixtures[userTeam], Teams[[#This Row],[name]], Fixtures[APP], TRUE), "")</f>
        <v/>
      </c>
      <c r="I226" s="1" t="str">
        <f>IF(Teams[[#This Row],[relevant]], COUNTIFS(Fixtures[userTeam], Teams[[#This Row],[name]], Fixtures[result], "W", Fixtures[APP], TRUE), "")</f>
        <v/>
      </c>
      <c r="J226" s="1" t="str">
        <f>IF(Teams[[#This Row],[relevant]], COUNTIFS(Fixtures[userTeam], Teams[[#This Row],[name]], Fixtures[result], "D", Fixtures[APP], TRUE), "")</f>
        <v/>
      </c>
      <c r="K226" s="1" t="str">
        <f>IF(Teams[[#This Row],[relevant]], COUNTIFS(Fixtures[userTeam], Teams[[#This Row],[name]], Fixtures[result], "L", Fixtures[APP], TRUE), "")</f>
        <v/>
      </c>
      <c r="L226" s="1" t="str">
        <f>IF(Teams[[#This Row],[relevant]], SUMIFS(Fixtures[G], Fixtures[userTeam], Teams[[#This Row],[name]]), "")</f>
        <v/>
      </c>
      <c r="M226" s="1" t="str">
        <f>IF(Teams[[#This Row],[relevant]], SUMIFS(Fixtures[A], Fixtures[userTeam], Teams[[#This Row],[name]]), "")</f>
        <v/>
      </c>
      <c r="N226" s="1" t="str">
        <f>IF(Teams[[#This Row],[relevant]], SUMIFS(Fixtures[INV], Fixtures[userTeam], Teams[[#This Row],[name]]), "")</f>
        <v/>
      </c>
      <c r="O226" s="1" t="str">
        <f>IF(Teams[[#This Row],[relevant]], SUMIFS(Fixtures[YC], Fixtures[userTeam], Teams[[#This Row],[name]]), "")</f>
        <v/>
      </c>
      <c r="P226" s="1" t="str">
        <f>IF(Teams[[#This Row],[relevant]], SUMIFS(Fixtures[RC], Fixtures[userTeam], Teams[[#This Row],[name]]), "")</f>
        <v/>
      </c>
      <c r="Q226" s="13" t="str">
        <f>IF(Teams[[#This Row],[relevant]], IF(ISERROR(AVERAGEIFS(Fixtures[MR], Fixtures[userTeam], Teams[[#This Row],[name]])), 0, AVERAGEIFS(Fixtures[MR], Fixtures[userTeam], Teams[[#This Row],[name]])), "")</f>
        <v/>
      </c>
      <c r="R226" s="1" t="str">
        <f>IF(Teams[[#This Row],[relevant]], COUNTIFS(Fixtures[userTeam], Teams[[#This Row],[name]], Fixtures[MOTM], TRUE), "")</f>
        <v/>
      </c>
      <c r="S226" s="1" t="str" cm="1">
        <f t="array" ref="S226">IF(Teams[[#This Row],[relevant]], _xlfn.TEXTJOIN(", ", TRUE, _xlfn._xlws.FILTER(Stats[competition]&amp;" ("&amp;Stats[season]&amp;")",(Stats[team]=Teams[[#This Row],[name]])*(Stats[result]="Winner"),"")), "")</f>
        <v/>
      </c>
    </row>
    <row r="227" spans="1:19" ht="13" hidden="1">
      <c r="A227" s="1" t="s">
        <v>616</v>
      </c>
      <c r="B227" s="1" t="s">
        <v>463</v>
      </c>
      <c r="C227" s="1" t="s">
        <v>391</v>
      </c>
      <c r="D227" s="1" t="str">
        <f>UPPER(_xlfn.CONCAT(LEFT(Teams[[#This Row],[teamType]], 1), "-", LEFT(SUBSTITUTE(Teams[[#This Row],[nation]], "/", ""), 3), "-", SUBSTITUTE(SUBSTITUTE(SUBSTITUTE(Teams[[#This Row],[name]], ".", ""), " ", ""), "-", "")))</f>
        <v>C-POR-FCFAMALICÃO</v>
      </c>
      <c r="E227" s="16"/>
      <c r="F227" s="16"/>
      <c r="G227" s="1" t="b">
        <f>COUNTBLANK(Teams[[#This Row],[startDate]:[endDate]]) &lt; 2</f>
        <v>0</v>
      </c>
      <c r="H227" s="1" t="str">
        <f>IF(Teams[[#This Row],[relevant]], COUNTIFS(Fixtures[userTeam], Teams[[#This Row],[name]], Fixtures[APP], TRUE), "")</f>
        <v/>
      </c>
      <c r="I227" s="1" t="str">
        <f>IF(Teams[[#This Row],[relevant]], COUNTIFS(Fixtures[userTeam], Teams[[#This Row],[name]], Fixtures[result], "W", Fixtures[APP], TRUE), "")</f>
        <v/>
      </c>
      <c r="J227" s="1" t="str">
        <f>IF(Teams[[#This Row],[relevant]], COUNTIFS(Fixtures[userTeam], Teams[[#This Row],[name]], Fixtures[result], "D", Fixtures[APP], TRUE), "")</f>
        <v/>
      </c>
      <c r="K227" s="1" t="str">
        <f>IF(Teams[[#This Row],[relevant]], COUNTIFS(Fixtures[userTeam], Teams[[#This Row],[name]], Fixtures[result], "L", Fixtures[APP], TRUE), "")</f>
        <v/>
      </c>
      <c r="L227" s="1" t="str">
        <f>IF(Teams[[#This Row],[relevant]], SUMIFS(Fixtures[G], Fixtures[userTeam], Teams[[#This Row],[name]]), "")</f>
        <v/>
      </c>
      <c r="M227" s="1" t="str">
        <f>IF(Teams[[#This Row],[relevant]], SUMIFS(Fixtures[A], Fixtures[userTeam], Teams[[#This Row],[name]]), "")</f>
        <v/>
      </c>
      <c r="N227" s="1" t="str">
        <f>IF(Teams[[#This Row],[relevant]], SUMIFS(Fixtures[INV], Fixtures[userTeam], Teams[[#This Row],[name]]), "")</f>
        <v/>
      </c>
      <c r="O227" s="1" t="str">
        <f>IF(Teams[[#This Row],[relevant]], SUMIFS(Fixtures[YC], Fixtures[userTeam], Teams[[#This Row],[name]]), "")</f>
        <v/>
      </c>
      <c r="P227" s="1" t="str">
        <f>IF(Teams[[#This Row],[relevant]], SUMIFS(Fixtures[RC], Fixtures[userTeam], Teams[[#This Row],[name]]), "")</f>
        <v/>
      </c>
      <c r="Q227" s="13" t="str">
        <f>IF(Teams[[#This Row],[relevant]], IF(ISERROR(AVERAGEIFS(Fixtures[MR], Fixtures[userTeam], Teams[[#This Row],[name]])), 0, AVERAGEIFS(Fixtures[MR], Fixtures[userTeam], Teams[[#This Row],[name]])), "")</f>
        <v/>
      </c>
      <c r="R227" s="1" t="str">
        <f>IF(Teams[[#This Row],[relevant]], COUNTIFS(Fixtures[userTeam], Teams[[#This Row],[name]], Fixtures[MOTM], TRUE), "")</f>
        <v/>
      </c>
      <c r="S227" s="1" t="str" cm="1">
        <f t="array" ref="S227">IF(Teams[[#This Row],[relevant]], _xlfn.TEXTJOIN(", ", TRUE, _xlfn._xlws.FILTER(Stats[competition]&amp;" ("&amp;Stats[season]&amp;")",(Stats[team]=Teams[[#This Row],[name]])*(Stats[result]="Winner"),"")), "")</f>
        <v/>
      </c>
    </row>
    <row r="228" spans="1:19" ht="13" hidden="1">
      <c r="A228" s="1" t="s">
        <v>617</v>
      </c>
      <c r="B228" s="1" t="s">
        <v>473</v>
      </c>
      <c r="C228" s="1" t="s">
        <v>391</v>
      </c>
      <c r="D228" s="1" t="str">
        <f>UPPER(_xlfn.CONCAT(LEFT(Teams[[#This Row],[teamType]], 1), "-", LEFT(SUBSTITUTE(Teams[[#This Row],[nation]], "/", ""), 3), "-", SUBSTITUTE(SUBSTITUTE(SUBSTITUTE(Teams[[#This Row],[name]], ".", ""), " ", ""), "-", "")))</f>
        <v>C-IND-FCGOA</v>
      </c>
      <c r="E228" s="16"/>
      <c r="F228" s="16"/>
      <c r="G228" s="1" t="b">
        <f>COUNTBLANK(Teams[[#This Row],[startDate]:[endDate]]) &lt; 2</f>
        <v>0</v>
      </c>
      <c r="H228" s="1" t="str">
        <f>IF(Teams[[#This Row],[relevant]], COUNTIFS(Fixtures[userTeam], Teams[[#This Row],[name]], Fixtures[APP], TRUE), "")</f>
        <v/>
      </c>
      <c r="I228" s="1" t="str">
        <f>IF(Teams[[#This Row],[relevant]], COUNTIFS(Fixtures[userTeam], Teams[[#This Row],[name]], Fixtures[result], "W", Fixtures[APP], TRUE), "")</f>
        <v/>
      </c>
      <c r="J228" s="1" t="str">
        <f>IF(Teams[[#This Row],[relevant]], COUNTIFS(Fixtures[userTeam], Teams[[#This Row],[name]], Fixtures[result], "D", Fixtures[APP], TRUE), "")</f>
        <v/>
      </c>
      <c r="K228" s="1" t="str">
        <f>IF(Teams[[#This Row],[relevant]], COUNTIFS(Fixtures[userTeam], Teams[[#This Row],[name]], Fixtures[result], "L", Fixtures[APP], TRUE), "")</f>
        <v/>
      </c>
      <c r="L228" s="1" t="str">
        <f>IF(Teams[[#This Row],[relevant]], SUMIFS(Fixtures[G], Fixtures[userTeam], Teams[[#This Row],[name]]), "")</f>
        <v/>
      </c>
      <c r="M228" s="1" t="str">
        <f>IF(Teams[[#This Row],[relevant]], SUMIFS(Fixtures[A], Fixtures[userTeam], Teams[[#This Row],[name]]), "")</f>
        <v/>
      </c>
      <c r="N228" s="1" t="str">
        <f>IF(Teams[[#This Row],[relevant]], SUMIFS(Fixtures[INV], Fixtures[userTeam], Teams[[#This Row],[name]]), "")</f>
        <v/>
      </c>
      <c r="O228" s="1" t="str">
        <f>IF(Teams[[#This Row],[relevant]], SUMIFS(Fixtures[YC], Fixtures[userTeam], Teams[[#This Row],[name]]), "")</f>
        <v/>
      </c>
      <c r="P228" s="1" t="str">
        <f>IF(Teams[[#This Row],[relevant]], SUMIFS(Fixtures[RC], Fixtures[userTeam], Teams[[#This Row],[name]]), "")</f>
        <v/>
      </c>
      <c r="Q228" s="13" t="str">
        <f>IF(Teams[[#This Row],[relevant]], IF(ISERROR(AVERAGEIFS(Fixtures[MR], Fixtures[userTeam], Teams[[#This Row],[name]])), 0, AVERAGEIFS(Fixtures[MR], Fixtures[userTeam], Teams[[#This Row],[name]])), "")</f>
        <v/>
      </c>
      <c r="R228" s="1" t="str">
        <f>IF(Teams[[#This Row],[relevant]], COUNTIFS(Fixtures[userTeam], Teams[[#This Row],[name]], Fixtures[MOTM], TRUE), "")</f>
        <v/>
      </c>
      <c r="S228" s="1" t="str" cm="1">
        <f t="array" ref="S228">IF(Teams[[#This Row],[relevant]], _xlfn.TEXTJOIN(", ", TRUE, _xlfn._xlws.FILTER(Stats[competition]&amp;" ("&amp;Stats[season]&amp;")",(Stats[team]=Teams[[#This Row],[name]])*(Stats[result]="Winner"),"")), "")</f>
        <v/>
      </c>
    </row>
    <row r="229" spans="1:19" ht="13" hidden="1">
      <c r="A229" s="1" t="s">
        <v>618</v>
      </c>
      <c r="B229" s="1" t="s">
        <v>425</v>
      </c>
      <c r="C229" s="1" t="s">
        <v>391</v>
      </c>
      <c r="D229" s="1" t="str">
        <f>UPPER(_xlfn.CONCAT(LEFT(Teams[[#This Row],[teamType]], 1), "-", LEFT(SUBSTITUTE(Teams[[#This Row],[nation]], "/", ""), 3), "-", SUBSTITUTE(SUBSTITUTE(SUBSTITUTE(Teams[[#This Row],[name]], ".", ""), " ", ""), "-", "")))</f>
        <v>C-NET-FCGRONINGEN</v>
      </c>
      <c r="E229" s="16"/>
      <c r="F229" s="16"/>
      <c r="G229" s="1" t="b">
        <f>COUNTBLANK(Teams[[#This Row],[startDate]:[endDate]]) &lt; 2</f>
        <v>0</v>
      </c>
      <c r="H229" s="1" t="str">
        <f>IF(Teams[[#This Row],[relevant]], COUNTIFS(Fixtures[userTeam], Teams[[#This Row],[name]], Fixtures[APP], TRUE), "")</f>
        <v/>
      </c>
      <c r="I229" s="1" t="str">
        <f>IF(Teams[[#This Row],[relevant]], COUNTIFS(Fixtures[userTeam], Teams[[#This Row],[name]], Fixtures[result], "W", Fixtures[APP], TRUE), "")</f>
        <v/>
      </c>
      <c r="J229" s="1" t="str">
        <f>IF(Teams[[#This Row],[relevant]], COUNTIFS(Fixtures[userTeam], Teams[[#This Row],[name]], Fixtures[result], "D", Fixtures[APP], TRUE), "")</f>
        <v/>
      </c>
      <c r="K229" s="1" t="str">
        <f>IF(Teams[[#This Row],[relevant]], COUNTIFS(Fixtures[userTeam], Teams[[#This Row],[name]], Fixtures[result], "L", Fixtures[APP], TRUE), "")</f>
        <v/>
      </c>
      <c r="L229" s="1" t="str">
        <f>IF(Teams[[#This Row],[relevant]], SUMIFS(Fixtures[G], Fixtures[userTeam], Teams[[#This Row],[name]]), "")</f>
        <v/>
      </c>
      <c r="M229" s="1" t="str">
        <f>IF(Teams[[#This Row],[relevant]], SUMIFS(Fixtures[A], Fixtures[userTeam], Teams[[#This Row],[name]]), "")</f>
        <v/>
      </c>
      <c r="N229" s="1" t="str">
        <f>IF(Teams[[#This Row],[relevant]], SUMIFS(Fixtures[INV], Fixtures[userTeam], Teams[[#This Row],[name]]), "")</f>
        <v/>
      </c>
      <c r="O229" s="1" t="str">
        <f>IF(Teams[[#This Row],[relevant]], SUMIFS(Fixtures[YC], Fixtures[userTeam], Teams[[#This Row],[name]]), "")</f>
        <v/>
      </c>
      <c r="P229" s="1" t="str">
        <f>IF(Teams[[#This Row],[relevant]], SUMIFS(Fixtures[RC], Fixtures[userTeam], Teams[[#This Row],[name]]), "")</f>
        <v/>
      </c>
      <c r="Q229" s="13" t="str">
        <f>IF(Teams[[#This Row],[relevant]], IF(ISERROR(AVERAGEIFS(Fixtures[MR], Fixtures[userTeam], Teams[[#This Row],[name]])), 0, AVERAGEIFS(Fixtures[MR], Fixtures[userTeam], Teams[[#This Row],[name]])), "")</f>
        <v/>
      </c>
      <c r="R229" s="1" t="str">
        <f>IF(Teams[[#This Row],[relevant]], COUNTIFS(Fixtures[userTeam], Teams[[#This Row],[name]], Fixtures[MOTM], TRUE), "")</f>
        <v/>
      </c>
      <c r="S229" s="1" t="str" cm="1">
        <f t="array" ref="S229">IF(Teams[[#This Row],[relevant]], _xlfn.TEXTJOIN(", ", TRUE, _xlfn._xlws.FILTER(Stats[competition]&amp;" ("&amp;Stats[season]&amp;")",(Stats[team]=Teams[[#This Row],[name]])*(Stats[result]="Winner"),"")), "")</f>
        <v/>
      </c>
    </row>
    <row r="230" spans="1:19" ht="13" hidden="1">
      <c r="A230" s="1" t="s">
        <v>619</v>
      </c>
      <c r="B230" s="1" t="s">
        <v>419</v>
      </c>
      <c r="C230" s="1" t="s">
        <v>391</v>
      </c>
      <c r="D230" s="1" t="str">
        <f>UPPER(_xlfn.CONCAT(LEFT(Teams[[#This Row],[teamType]], 1), "-", LEFT(SUBSTITUTE(Teams[[#This Row],[nation]], "/", ""), 3), "-", SUBSTITUTE(SUBSTITUTE(SUBSTITUTE(Teams[[#This Row],[name]], ".", ""), " ", ""), "-", "")))</f>
        <v>C-ROM-FCHERMANNSTADT</v>
      </c>
      <c r="E230" s="16"/>
      <c r="F230" s="16"/>
      <c r="G230" s="1" t="b">
        <f>COUNTBLANK(Teams[[#This Row],[startDate]:[endDate]]) &lt; 2</f>
        <v>0</v>
      </c>
      <c r="H230" s="1" t="str">
        <f>IF(Teams[[#This Row],[relevant]], COUNTIFS(Fixtures[userTeam], Teams[[#This Row],[name]], Fixtures[APP], TRUE), "")</f>
        <v/>
      </c>
      <c r="I230" s="1" t="str">
        <f>IF(Teams[[#This Row],[relevant]], COUNTIFS(Fixtures[userTeam], Teams[[#This Row],[name]], Fixtures[result], "W", Fixtures[APP], TRUE), "")</f>
        <v/>
      </c>
      <c r="J230" s="1" t="str">
        <f>IF(Teams[[#This Row],[relevant]], COUNTIFS(Fixtures[userTeam], Teams[[#This Row],[name]], Fixtures[result], "D", Fixtures[APP], TRUE), "")</f>
        <v/>
      </c>
      <c r="K230" s="1" t="str">
        <f>IF(Teams[[#This Row],[relevant]], COUNTIFS(Fixtures[userTeam], Teams[[#This Row],[name]], Fixtures[result], "L", Fixtures[APP], TRUE), "")</f>
        <v/>
      </c>
      <c r="L230" s="1" t="str">
        <f>IF(Teams[[#This Row],[relevant]], SUMIFS(Fixtures[G], Fixtures[userTeam], Teams[[#This Row],[name]]), "")</f>
        <v/>
      </c>
      <c r="M230" s="1" t="str">
        <f>IF(Teams[[#This Row],[relevant]], SUMIFS(Fixtures[A], Fixtures[userTeam], Teams[[#This Row],[name]]), "")</f>
        <v/>
      </c>
      <c r="N230" s="1" t="str">
        <f>IF(Teams[[#This Row],[relevant]], SUMIFS(Fixtures[INV], Fixtures[userTeam], Teams[[#This Row],[name]]), "")</f>
        <v/>
      </c>
      <c r="O230" s="1" t="str">
        <f>IF(Teams[[#This Row],[relevant]], SUMIFS(Fixtures[YC], Fixtures[userTeam], Teams[[#This Row],[name]]), "")</f>
        <v/>
      </c>
      <c r="P230" s="1" t="str">
        <f>IF(Teams[[#This Row],[relevant]], SUMIFS(Fixtures[RC], Fixtures[userTeam], Teams[[#This Row],[name]]), "")</f>
        <v/>
      </c>
      <c r="Q230" s="13" t="str">
        <f>IF(Teams[[#This Row],[relevant]], IF(ISERROR(AVERAGEIFS(Fixtures[MR], Fixtures[userTeam], Teams[[#This Row],[name]])), 0, AVERAGEIFS(Fixtures[MR], Fixtures[userTeam], Teams[[#This Row],[name]])), "")</f>
        <v/>
      </c>
      <c r="R230" s="1" t="str">
        <f>IF(Teams[[#This Row],[relevant]], COUNTIFS(Fixtures[userTeam], Teams[[#This Row],[name]], Fixtures[MOTM], TRUE), "")</f>
        <v/>
      </c>
      <c r="S230" s="1" t="str" cm="1">
        <f t="array" ref="S230">IF(Teams[[#This Row],[relevant]], _xlfn.TEXTJOIN(", ", TRUE, _xlfn._xlws.FILTER(Stats[competition]&amp;" ("&amp;Stats[season]&amp;")",(Stats[team]=Teams[[#This Row],[name]])*(Stats[result]="Winner"),"")), "")</f>
        <v/>
      </c>
    </row>
    <row r="231" spans="1:19" ht="13" hidden="1">
      <c r="A231" s="1" t="s">
        <v>620</v>
      </c>
      <c r="B231" s="1" t="s">
        <v>337</v>
      </c>
      <c r="C231" s="1" t="s">
        <v>391</v>
      </c>
      <c r="D231" s="1" t="str">
        <f>UPPER(_xlfn.CONCAT(LEFT(Teams[[#This Row],[teamType]], 1), "-", LEFT(SUBSTITUTE(Teams[[#This Row],[nation]], "/", ""), 3), "-", SUBSTITUTE(SUBSTITUTE(SUBSTITUTE(Teams[[#This Row],[name]], ".", ""), " ", ""), "-", "")))</f>
        <v>C-GER-FCINGOLSTADT04</v>
      </c>
      <c r="E231" s="16"/>
      <c r="F231" s="16"/>
      <c r="G231" s="1" t="b">
        <f>COUNTBLANK(Teams[[#This Row],[startDate]:[endDate]]) &lt; 2</f>
        <v>0</v>
      </c>
      <c r="H231" s="1" t="str">
        <f>IF(Teams[[#This Row],[relevant]], COUNTIFS(Fixtures[userTeam], Teams[[#This Row],[name]], Fixtures[APP], TRUE), "")</f>
        <v/>
      </c>
      <c r="I231" s="1" t="str">
        <f>IF(Teams[[#This Row],[relevant]], COUNTIFS(Fixtures[userTeam], Teams[[#This Row],[name]], Fixtures[result], "W", Fixtures[APP], TRUE), "")</f>
        <v/>
      </c>
      <c r="J231" s="1" t="str">
        <f>IF(Teams[[#This Row],[relevant]], COUNTIFS(Fixtures[userTeam], Teams[[#This Row],[name]], Fixtures[result], "D", Fixtures[APP], TRUE), "")</f>
        <v/>
      </c>
      <c r="K231" s="1" t="str">
        <f>IF(Teams[[#This Row],[relevant]], COUNTIFS(Fixtures[userTeam], Teams[[#This Row],[name]], Fixtures[result], "L", Fixtures[APP], TRUE), "")</f>
        <v/>
      </c>
      <c r="L231" s="1" t="str">
        <f>IF(Teams[[#This Row],[relevant]], SUMIFS(Fixtures[G], Fixtures[userTeam], Teams[[#This Row],[name]]), "")</f>
        <v/>
      </c>
      <c r="M231" s="1" t="str">
        <f>IF(Teams[[#This Row],[relevant]], SUMIFS(Fixtures[A], Fixtures[userTeam], Teams[[#This Row],[name]]), "")</f>
        <v/>
      </c>
      <c r="N231" s="1" t="str">
        <f>IF(Teams[[#This Row],[relevant]], SUMIFS(Fixtures[INV], Fixtures[userTeam], Teams[[#This Row],[name]]), "")</f>
        <v/>
      </c>
      <c r="O231" s="1" t="str">
        <f>IF(Teams[[#This Row],[relevant]], SUMIFS(Fixtures[YC], Fixtures[userTeam], Teams[[#This Row],[name]]), "")</f>
        <v/>
      </c>
      <c r="P231" s="1" t="str">
        <f>IF(Teams[[#This Row],[relevant]], SUMIFS(Fixtures[RC], Fixtures[userTeam], Teams[[#This Row],[name]]), "")</f>
        <v/>
      </c>
      <c r="Q231" s="13" t="str">
        <f>IF(Teams[[#This Row],[relevant]], IF(ISERROR(AVERAGEIFS(Fixtures[MR], Fixtures[userTeam], Teams[[#This Row],[name]])), 0, AVERAGEIFS(Fixtures[MR], Fixtures[userTeam], Teams[[#This Row],[name]])), "")</f>
        <v/>
      </c>
      <c r="R231" s="1" t="str">
        <f>IF(Teams[[#This Row],[relevant]], COUNTIFS(Fixtures[userTeam], Teams[[#This Row],[name]], Fixtures[MOTM], TRUE), "")</f>
        <v/>
      </c>
      <c r="S231" s="1" t="str" cm="1">
        <f t="array" ref="S231">IF(Teams[[#This Row],[relevant]], _xlfn.TEXTJOIN(", ", TRUE, _xlfn._xlws.FILTER(Stats[competition]&amp;" ("&amp;Stats[season]&amp;")",(Stats[team]=Teams[[#This Row],[name]])*(Stats[result]="Winner"),"")), "")</f>
        <v/>
      </c>
    </row>
    <row r="232" spans="1:19" ht="13" hidden="1">
      <c r="A232" s="1" t="s">
        <v>621</v>
      </c>
      <c r="B232" s="1" t="s">
        <v>339</v>
      </c>
      <c r="C232" s="1" t="s">
        <v>391</v>
      </c>
      <c r="D232" s="1" t="str">
        <f>UPPER(_xlfn.CONCAT(LEFT(Teams[[#This Row],[teamType]], 1), "-", LEFT(SUBSTITUTE(Teams[[#This Row],[nation]], "/", ""), 3), "-", SUBSTITUTE(SUBSTITUTE(SUBSTITUTE(Teams[[#This Row],[name]], ".", ""), " ", ""), "-", "")))</f>
        <v>C-FRA-FCLORIENT</v>
      </c>
      <c r="E232" s="16"/>
      <c r="F232" s="16"/>
      <c r="G232" s="1" t="b">
        <f>COUNTBLANK(Teams[[#This Row],[startDate]:[endDate]]) &lt; 2</f>
        <v>0</v>
      </c>
      <c r="H232" s="1" t="str">
        <f>IF(Teams[[#This Row],[relevant]], COUNTIFS(Fixtures[userTeam], Teams[[#This Row],[name]], Fixtures[APP], TRUE), "")</f>
        <v/>
      </c>
      <c r="I232" s="1" t="str">
        <f>IF(Teams[[#This Row],[relevant]], COUNTIFS(Fixtures[userTeam], Teams[[#This Row],[name]], Fixtures[result], "W", Fixtures[APP], TRUE), "")</f>
        <v/>
      </c>
      <c r="J232" s="1" t="str">
        <f>IF(Teams[[#This Row],[relevant]], COUNTIFS(Fixtures[userTeam], Teams[[#This Row],[name]], Fixtures[result], "D", Fixtures[APP], TRUE), "")</f>
        <v/>
      </c>
      <c r="K232" s="1" t="str">
        <f>IF(Teams[[#This Row],[relevant]], COUNTIFS(Fixtures[userTeam], Teams[[#This Row],[name]], Fixtures[result], "L", Fixtures[APP], TRUE), "")</f>
        <v/>
      </c>
      <c r="L232" s="1" t="str">
        <f>IF(Teams[[#This Row],[relevant]], SUMIFS(Fixtures[G], Fixtures[userTeam], Teams[[#This Row],[name]]), "")</f>
        <v/>
      </c>
      <c r="M232" s="1" t="str">
        <f>IF(Teams[[#This Row],[relevant]], SUMIFS(Fixtures[A], Fixtures[userTeam], Teams[[#This Row],[name]]), "")</f>
        <v/>
      </c>
      <c r="N232" s="1" t="str">
        <f>IF(Teams[[#This Row],[relevant]], SUMIFS(Fixtures[INV], Fixtures[userTeam], Teams[[#This Row],[name]]), "")</f>
        <v/>
      </c>
      <c r="O232" s="1" t="str">
        <f>IF(Teams[[#This Row],[relevant]], SUMIFS(Fixtures[YC], Fixtures[userTeam], Teams[[#This Row],[name]]), "")</f>
        <v/>
      </c>
      <c r="P232" s="1" t="str">
        <f>IF(Teams[[#This Row],[relevant]], SUMIFS(Fixtures[RC], Fixtures[userTeam], Teams[[#This Row],[name]]), "")</f>
        <v/>
      </c>
      <c r="Q232" s="13" t="str">
        <f>IF(Teams[[#This Row],[relevant]], IF(ISERROR(AVERAGEIFS(Fixtures[MR], Fixtures[userTeam], Teams[[#This Row],[name]])), 0, AVERAGEIFS(Fixtures[MR], Fixtures[userTeam], Teams[[#This Row],[name]])), "")</f>
        <v/>
      </c>
      <c r="R232" s="1" t="str">
        <f>IF(Teams[[#This Row],[relevant]], COUNTIFS(Fixtures[userTeam], Teams[[#This Row],[name]], Fixtures[MOTM], TRUE), "")</f>
        <v/>
      </c>
      <c r="S232" s="1" t="str" cm="1">
        <f t="array" ref="S232">IF(Teams[[#This Row],[relevant]], _xlfn.TEXTJOIN(", ", TRUE, _xlfn._xlws.FILTER(Stats[competition]&amp;" ("&amp;Stats[season]&amp;")",(Stats[team]=Teams[[#This Row],[name]])*(Stats[result]="Winner"),"")), "")</f>
        <v/>
      </c>
    </row>
    <row r="233" spans="1:19" ht="13" hidden="1">
      <c r="A233" s="1" t="s">
        <v>622</v>
      </c>
      <c r="B233" s="1" t="s">
        <v>513</v>
      </c>
      <c r="C233" s="1" t="s">
        <v>391</v>
      </c>
      <c r="D233" s="1" t="str">
        <f>UPPER(_xlfn.CONCAT(LEFT(Teams[[#This Row],[teamType]], 1), "-", LEFT(SUBSTITUTE(Teams[[#This Row],[nation]], "/", ""), 3), "-", SUBSTITUTE(SUBSTITUTE(SUBSTITUTE(Teams[[#This Row],[name]], ".", ""), " ", ""), "-", "")))</f>
        <v>C-SWI-FCLUGANO</v>
      </c>
      <c r="E233" s="16"/>
      <c r="F233" s="16"/>
      <c r="G233" s="1" t="b">
        <f>COUNTBLANK(Teams[[#This Row],[startDate]:[endDate]]) &lt; 2</f>
        <v>0</v>
      </c>
      <c r="H233" s="1" t="str">
        <f>IF(Teams[[#This Row],[relevant]], COUNTIFS(Fixtures[userTeam], Teams[[#This Row],[name]], Fixtures[APP], TRUE), "")</f>
        <v/>
      </c>
      <c r="I233" s="1" t="str">
        <f>IF(Teams[[#This Row],[relevant]], COUNTIFS(Fixtures[userTeam], Teams[[#This Row],[name]], Fixtures[result], "W", Fixtures[APP], TRUE), "")</f>
        <v/>
      </c>
      <c r="J233" s="1" t="str">
        <f>IF(Teams[[#This Row],[relevant]], COUNTIFS(Fixtures[userTeam], Teams[[#This Row],[name]], Fixtures[result], "D", Fixtures[APP], TRUE), "")</f>
        <v/>
      </c>
      <c r="K233" s="1" t="str">
        <f>IF(Teams[[#This Row],[relevant]], COUNTIFS(Fixtures[userTeam], Teams[[#This Row],[name]], Fixtures[result], "L", Fixtures[APP], TRUE), "")</f>
        <v/>
      </c>
      <c r="L233" s="1" t="str">
        <f>IF(Teams[[#This Row],[relevant]], SUMIFS(Fixtures[G], Fixtures[userTeam], Teams[[#This Row],[name]]), "")</f>
        <v/>
      </c>
      <c r="M233" s="1" t="str">
        <f>IF(Teams[[#This Row],[relevant]], SUMIFS(Fixtures[A], Fixtures[userTeam], Teams[[#This Row],[name]]), "")</f>
        <v/>
      </c>
      <c r="N233" s="1" t="str">
        <f>IF(Teams[[#This Row],[relevant]], SUMIFS(Fixtures[INV], Fixtures[userTeam], Teams[[#This Row],[name]]), "")</f>
        <v/>
      </c>
      <c r="O233" s="1" t="str">
        <f>IF(Teams[[#This Row],[relevant]], SUMIFS(Fixtures[YC], Fixtures[userTeam], Teams[[#This Row],[name]]), "")</f>
        <v/>
      </c>
      <c r="P233" s="1" t="str">
        <f>IF(Teams[[#This Row],[relevant]], SUMIFS(Fixtures[RC], Fixtures[userTeam], Teams[[#This Row],[name]]), "")</f>
        <v/>
      </c>
      <c r="Q233" s="13" t="str">
        <f>IF(Teams[[#This Row],[relevant]], IF(ISERROR(AVERAGEIFS(Fixtures[MR], Fixtures[userTeam], Teams[[#This Row],[name]])), 0, AVERAGEIFS(Fixtures[MR], Fixtures[userTeam], Teams[[#This Row],[name]])), "")</f>
        <v/>
      </c>
      <c r="R233" s="1" t="str">
        <f>IF(Teams[[#This Row],[relevant]], COUNTIFS(Fixtures[userTeam], Teams[[#This Row],[name]], Fixtures[MOTM], TRUE), "")</f>
        <v/>
      </c>
      <c r="S233" s="1" t="str" cm="1">
        <f t="array" ref="S233">IF(Teams[[#This Row],[relevant]], _xlfn.TEXTJOIN(", ", TRUE, _xlfn._xlws.FILTER(Stats[competition]&amp;" ("&amp;Stats[season]&amp;")",(Stats[team]=Teams[[#This Row],[name]])*(Stats[result]="Winner"),"")), "")</f>
        <v/>
      </c>
    </row>
    <row r="234" spans="1:19" ht="13" hidden="1">
      <c r="A234" s="1" t="s">
        <v>623</v>
      </c>
      <c r="B234" s="1" t="s">
        <v>513</v>
      </c>
      <c r="C234" s="1" t="s">
        <v>391</v>
      </c>
      <c r="D234" s="1" t="str">
        <f>UPPER(_xlfn.CONCAT(LEFT(Teams[[#This Row],[teamType]], 1), "-", LEFT(SUBSTITUTE(Teams[[#This Row],[nation]], "/", ""), 3), "-", SUBSTITUTE(SUBSTITUTE(SUBSTITUTE(Teams[[#This Row],[name]], ".", ""), " ", ""), "-", "")))</f>
        <v>C-SWI-FCLUZERN</v>
      </c>
      <c r="E234" s="16"/>
      <c r="F234" s="16"/>
      <c r="G234" s="1" t="b">
        <f>COUNTBLANK(Teams[[#This Row],[startDate]:[endDate]]) &lt; 2</f>
        <v>0</v>
      </c>
      <c r="H234" s="1" t="str">
        <f>IF(Teams[[#This Row],[relevant]], COUNTIFS(Fixtures[userTeam], Teams[[#This Row],[name]], Fixtures[APP], TRUE), "")</f>
        <v/>
      </c>
      <c r="I234" s="1" t="str">
        <f>IF(Teams[[#This Row],[relevant]], COUNTIFS(Fixtures[userTeam], Teams[[#This Row],[name]], Fixtures[result], "W", Fixtures[APP], TRUE), "")</f>
        <v/>
      </c>
      <c r="J234" s="1" t="str">
        <f>IF(Teams[[#This Row],[relevant]], COUNTIFS(Fixtures[userTeam], Teams[[#This Row],[name]], Fixtures[result], "D", Fixtures[APP], TRUE), "")</f>
        <v/>
      </c>
      <c r="K234" s="1" t="str">
        <f>IF(Teams[[#This Row],[relevant]], COUNTIFS(Fixtures[userTeam], Teams[[#This Row],[name]], Fixtures[result], "L", Fixtures[APP], TRUE), "")</f>
        <v/>
      </c>
      <c r="L234" s="1" t="str">
        <f>IF(Teams[[#This Row],[relevant]], SUMIFS(Fixtures[G], Fixtures[userTeam], Teams[[#This Row],[name]]), "")</f>
        <v/>
      </c>
      <c r="M234" s="1" t="str">
        <f>IF(Teams[[#This Row],[relevant]], SUMIFS(Fixtures[A], Fixtures[userTeam], Teams[[#This Row],[name]]), "")</f>
        <v/>
      </c>
      <c r="N234" s="1" t="str">
        <f>IF(Teams[[#This Row],[relevant]], SUMIFS(Fixtures[INV], Fixtures[userTeam], Teams[[#This Row],[name]]), "")</f>
        <v/>
      </c>
      <c r="O234" s="1" t="str">
        <f>IF(Teams[[#This Row],[relevant]], SUMIFS(Fixtures[YC], Fixtures[userTeam], Teams[[#This Row],[name]]), "")</f>
        <v/>
      </c>
      <c r="P234" s="1" t="str">
        <f>IF(Teams[[#This Row],[relevant]], SUMIFS(Fixtures[RC], Fixtures[userTeam], Teams[[#This Row],[name]]), "")</f>
        <v/>
      </c>
      <c r="Q234" s="13" t="str">
        <f>IF(Teams[[#This Row],[relevant]], IF(ISERROR(AVERAGEIFS(Fixtures[MR], Fixtures[userTeam], Teams[[#This Row],[name]])), 0, AVERAGEIFS(Fixtures[MR], Fixtures[userTeam], Teams[[#This Row],[name]])), "")</f>
        <v/>
      </c>
      <c r="R234" s="1" t="str">
        <f>IF(Teams[[#This Row],[relevant]], COUNTIFS(Fixtures[userTeam], Teams[[#This Row],[name]], Fixtures[MOTM], TRUE), "")</f>
        <v/>
      </c>
      <c r="S234" s="1" t="str" cm="1">
        <f t="array" ref="S234">IF(Teams[[#This Row],[relevant]], _xlfn.TEXTJOIN(", ", TRUE, _xlfn._xlws.FILTER(Stats[competition]&amp;" ("&amp;Stats[season]&amp;")",(Stats[team]=Teams[[#This Row],[name]])*(Stats[result]="Winner"),"")), "")</f>
        <v/>
      </c>
    </row>
    <row r="235" spans="1:19" ht="13" hidden="1">
      <c r="A235" s="1" t="s">
        <v>624</v>
      </c>
      <c r="B235" s="1" t="s">
        <v>339</v>
      </c>
      <c r="C235" s="1" t="s">
        <v>391</v>
      </c>
      <c r="D235" s="1" t="str">
        <f>UPPER(_xlfn.CONCAT(LEFT(Teams[[#This Row],[teamType]], 1), "-", LEFT(SUBSTITUTE(Teams[[#This Row],[nation]], "/", ""), 3), "-", SUBSTITUTE(SUBSTITUTE(SUBSTITUTE(Teams[[#This Row],[name]], ".", ""), " ", ""), "-", "")))</f>
        <v>C-FRA-FCMETZ</v>
      </c>
      <c r="E235" s="16"/>
      <c r="F235" s="16"/>
      <c r="G235" s="1" t="b">
        <f>COUNTBLANK(Teams[[#This Row],[startDate]:[endDate]]) &lt; 2</f>
        <v>0</v>
      </c>
      <c r="H235" s="1" t="str">
        <f>IF(Teams[[#This Row],[relevant]], COUNTIFS(Fixtures[userTeam], Teams[[#This Row],[name]], Fixtures[APP], TRUE), "")</f>
        <v/>
      </c>
      <c r="I235" s="1" t="str">
        <f>IF(Teams[[#This Row],[relevant]], COUNTIFS(Fixtures[userTeam], Teams[[#This Row],[name]], Fixtures[result], "W", Fixtures[APP], TRUE), "")</f>
        <v/>
      </c>
      <c r="J235" s="1" t="str">
        <f>IF(Teams[[#This Row],[relevant]], COUNTIFS(Fixtures[userTeam], Teams[[#This Row],[name]], Fixtures[result], "D", Fixtures[APP], TRUE), "")</f>
        <v/>
      </c>
      <c r="K235" s="1" t="str">
        <f>IF(Teams[[#This Row],[relevant]], COUNTIFS(Fixtures[userTeam], Teams[[#This Row],[name]], Fixtures[result], "L", Fixtures[APP], TRUE), "")</f>
        <v/>
      </c>
      <c r="L235" s="1" t="str">
        <f>IF(Teams[[#This Row],[relevant]], SUMIFS(Fixtures[G], Fixtures[userTeam], Teams[[#This Row],[name]]), "")</f>
        <v/>
      </c>
      <c r="M235" s="1" t="str">
        <f>IF(Teams[[#This Row],[relevant]], SUMIFS(Fixtures[A], Fixtures[userTeam], Teams[[#This Row],[name]]), "")</f>
        <v/>
      </c>
      <c r="N235" s="1" t="str">
        <f>IF(Teams[[#This Row],[relevant]], SUMIFS(Fixtures[INV], Fixtures[userTeam], Teams[[#This Row],[name]]), "")</f>
        <v/>
      </c>
      <c r="O235" s="1" t="str">
        <f>IF(Teams[[#This Row],[relevant]], SUMIFS(Fixtures[YC], Fixtures[userTeam], Teams[[#This Row],[name]]), "")</f>
        <v/>
      </c>
      <c r="P235" s="1" t="str">
        <f>IF(Teams[[#This Row],[relevant]], SUMIFS(Fixtures[RC], Fixtures[userTeam], Teams[[#This Row],[name]]), "")</f>
        <v/>
      </c>
      <c r="Q235" s="13" t="str">
        <f>IF(Teams[[#This Row],[relevant]], IF(ISERROR(AVERAGEIFS(Fixtures[MR], Fixtures[userTeam], Teams[[#This Row],[name]])), 0, AVERAGEIFS(Fixtures[MR], Fixtures[userTeam], Teams[[#This Row],[name]])), "")</f>
        <v/>
      </c>
      <c r="R235" s="1" t="str">
        <f>IF(Teams[[#This Row],[relevant]], COUNTIFS(Fixtures[userTeam], Teams[[#This Row],[name]], Fixtures[MOTM], TRUE), "")</f>
        <v/>
      </c>
      <c r="S235" s="1" t="str" cm="1">
        <f t="array" ref="S235">IF(Teams[[#This Row],[relevant]], _xlfn.TEXTJOIN(", ", TRUE, _xlfn._xlws.FILTER(Stats[competition]&amp;" ("&amp;Stats[season]&amp;")",(Stats[team]=Teams[[#This Row],[name]])*(Stats[result]="Winner"),"")), "")</f>
        <v/>
      </c>
    </row>
    <row r="236" spans="1:19" ht="13" hidden="1">
      <c r="A236" s="1" t="s">
        <v>625</v>
      </c>
      <c r="B236" s="1" t="s">
        <v>398</v>
      </c>
      <c r="C236" s="1" t="s">
        <v>391</v>
      </c>
      <c r="D236" s="1" t="str">
        <f>UPPER(_xlfn.CONCAT(LEFT(Teams[[#This Row],[teamType]], 1), "-", LEFT(SUBSTITUTE(Teams[[#This Row],[nation]], "/", ""), 3), "-", SUBSTITUTE(SUBSTITUTE(SUBSTITUTE(Teams[[#This Row],[name]], ".", ""), " ", ""), "-", "")))</f>
        <v>C-DEN-FCMIDTJYLLAND</v>
      </c>
      <c r="E236" s="16"/>
      <c r="F236" s="16"/>
      <c r="G236" s="1" t="b">
        <f>COUNTBLANK(Teams[[#This Row],[startDate]:[endDate]]) &lt; 2</f>
        <v>0</v>
      </c>
      <c r="H236" s="1" t="str">
        <f>IF(Teams[[#This Row],[relevant]], COUNTIFS(Fixtures[userTeam], Teams[[#This Row],[name]], Fixtures[APP], TRUE), "")</f>
        <v/>
      </c>
      <c r="I236" s="1" t="str">
        <f>IF(Teams[[#This Row],[relevant]], COUNTIFS(Fixtures[userTeam], Teams[[#This Row],[name]], Fixtures[result], "W", Fixtures[APP], TRUE), "")</f>
        <v/>
      </c>
      <c r="J236" s="1" t="str">
        <f>IF(Teams[[#This Row],[relevant]], COUNTIFS(Fixtures[userTeam], Teams[[#This Row],[name]], Fixtures[result], "D", Fixtures[APP], TRUE), "")</f>
        <v/>
      </c>
      <c r="K236" s="1" t="str">
        <f>IF(Teams[[#This Row],[relevant]], COUNTIFS(Fixtures[userTeam], Teams[[#This Row],[name]], Fixtures[result], "L", Fixtures[APP], TRUE), "")</f>
        <v/>
      </c>
      <c r="L236" s="1" t="str">
        <f>IF(Teams[[#This Row],[relevant]], SUMIFS(Fixtures[G], Fixtures[userTeam], Teams[[#This Row],[name]]), "")</f>
        <v/>
      </c>
      <c r="M236" s="1" t="str">
        <f>IF(Teams[[#This Row],[relevant]], SUMIFS(Fixtures[A], Fixtures[userTeam], Teams[[#This Row],[name]]), "")</f>
        <v/>
      </c>
      <c r="N236" s="1" t="str">
        <f>IF(Teams[[#This Row],[relevant]], SUMIFS(Fixtures[INV], Fixtures[userTeam], Teams[[#This Row],[name]]), "")</f>
        <v/>
      </c>
      <c r="O236" s="1" t="str">
        <f>IF(Teams[[#This Row],[relevant]], SUMIFS(Fixtures[YC], Fixtures[userTeam], Teams[[#This Row],[name]]), "")</f>
        <v/>
      </c>
      <c r="P236" s="1" t="str">
        <f>IF(Teams[[#This Row],[relevant]], SUMIFS(Fixtures[RC], Fixtures[userTeam], Teams[[#This Row],[name]]), "")</f>
        <v/>
      </c>
      <c r="Q236" s="13" t="str">
        <f>IF(Teams[[#This Row],[relevant]], IF(ISERROR(AVERAGEIFS(Fixtures[MR], Fixtures[userTeam], Teams[[#This Row],[name]])), 0, AVERAGEIFS(Fixtures[MR], Fixtures[userTeam], Teams[[#This Row],[name]])), "")</f>
        <v/>
      </c>
      <c r="R236" s="1" t="str">
        <f>IF(Teams[[#This Row],[relevant]], COUNTIFS(Fixtures[userTeam], Teams[[#This Row],[name]], Fixtures[MOTM], TRUE), "")</f>
        <v/>
      </c>
      <c r="S236" s="1" t="str" cm="1">
        <f t="array" ref="S236">IF(Teams[[#This Row],[relevant]], _xlfn.TEXTJOIN(", ", TRUE, _xlfn._xlws.FILTER(Stats[competition]&amp;" ("&amp;Stats[season]&amp;")",(Stats[team]=Teams[[#This Row],[name]])*(Stats[result]="Winner"),"")), "")</f>
        <v/>
      </c>
    </row>
    <row r="237" spans="1:19" ht="13" hidden="1">
      <c r="A237" s="1" t="s">
        <v>114</v>
      </c>
      <c r="B237" s="1" t="s">
        <v>339</v>
      </c>
      <c r="C237" s="1" t="s">
        <v>391</v>
      </c>
      <c r="D237" s="1" t="str">
        <f>UPPER(_xlfn.CONCAT(LEFT(Teams[[#This Row],[teamType]], 1), "-", LEFT(SUBSTITUTE(Teams[[#This Row],[nation]], "/", ""), 3), "-", SUBSTITUTE(SUBSTITUTE(SUBSTITUTE(Teams[[#This Row],[name]], ".", ""), " ", ""), "-", "")))</f>
        <v>C-FRA-FCNANTES</v>
      </c>
      <c r="E237" s="16"/>
      <c r="F237" s="16"/>
      <c r="G237" s="1" t="b">
        <f>COUNTBLANK(Teams[[#This Row],[startDate]:[endDate]]) &lt; 2</f>
        <v>0</v>
      </c>
      <c r="H237" s="1" t="str">
        <f>IF(Teams[[#This Row],[relevant]], COUNTIFS(Fixtures[userTeam], Teams[[#This Row],[name]], Fixtures[APP], TRUE), "")</f>
        <v/>
      </c>
      <c r="I237" s="1" t="str">
        <f>IF(Teams[[#This Row],[relevant]], COUNTIFS(Fixtures[userTeam], Teams[[#This Row],[name]], Fixtures[result], "W", Fixtures[APP], TRUE), "")</f>
        <v/>
      </c>
      <c r="J237" s="1" t="str">
        <f>IF(Teams[[#This Row],[relevant]], COUNTIFS(Fixtures[userTeam], Teams[[#This Row],[name]], Fixtures[result], "D", Fixtures[APP], TRUE), "")</f>
        <v/>
      </c>
      <c r="K237" s="1" t="str">
        <f>IF(Teams[[#This Row],[relevant]], COUNTIFS(Fixtures[userTeam], Teams[[#This Row],[name]], Fixtures[result], "L", Fixtures[APP], TRUE), "")</f>
        <v/>
      </c>
      <c r="L237" s="1" t="str">
        <f>IF(Teams[[#This Row],[relevant]], SUMIFS(Fixtures[G], Fixtures[userTeam], Teams[[#This Row],[name]]), "")</f>
        <v/>
      </c>
      <c r="M237" s="1" t="str">
        <f>IF(Teams[[#This Row],[relevant]], SUMIFS(Fixtures[A], Fixtures[userTeam], Teams[[#This Row],[name]]), "")</f>
        <v/>
      </c>
      <c r="N237" s="1" t="str">
        <f>IF(Teams[[#This Row],[relevant]], SUMIFS(Fixtures[INV], Fixtures[userTeam], Teams[[#This Row],[name]]), "")</f>
        <v/>
      </c>
      <c r="O237" s="1" t="str">
        <f>IF(Teams[[#This Row],[relevant]], SUMIFS(Fixtures[YC], Fixtures[userTeam], Teams[[#This Row],[name]]), "")</f>
        <v/>
      </c>
      <c r="P237" s="1" t="str">
        <f>IF(Teams[[#This Row],[relevant]], SUMIFS(Fixtures[RC], Fixtures[userTeam], Teams[[#This Row],[name]]), "")</f>
        <v/>
      </c>
      <c r="Q237" s="13" t="str">
        <f>IF(Teams[[#This Row],[relevant]], IF(ISERROR(AVERAGEIFS(Fixtures[MR], Fixtures[userTeam], Teams[[#This Row],[name]])), 0, AVERAGEIFS(Fixtures[MR], Fixtures[userTeam], Teams[[#This Row],[name]])), "")</f>
        <v/>
      </c>
      <c r="R237" s="1" t="str">
        <f>IF(Teams[[#This Row],[relevant]], COUNTIFS(Fixtures[userTeam], Teams[[#This Row],[name]], Fixtures[MOTM], TRUE), "")</f>
        <v/>
      </c>
      <c r="S237" s="1" t="str" cm="1">
        <f t="array" ref="S237">IF(Teams[[#This Row],[relevant]], _xlfn.TEXTJOIN(", ", TRUE, _xlfn._xlws.FILTER(Stats[competition]&amp;" ("&amp;Stats[season]&amp;")",(Stats[team]=Teams[[#This Row],[name]])*(Stats[result]="Winner"),"")), "")</f>
        <v/>
      </c>
    </row>
    <row r="238" spans="1:19" ht="13" hidden="1">
      <c r="A238" s="1" t="s">
        <v>626</v>
      </c>
      <c r="B238" s="1" t="s">
        <v>398</v>
      </c>
      <c r="C238" s="1" t="s">
        <v>391</v>
      </c>
      <c r="D238" s="1" t="str">
        <f>UPPER(_xlfn.CONCAT(LEFT(Teams[[#This Row],[teamType]], 1), "-", LEFT(SUBSTITUTE(Teams[[#This Row],[nation]], "/", ""), 3), "-", SUBSTITUTE(SUBSTITUTE(SUBSTITUTE(Teams[[#This Row],[name]], ".", ""), " ", ""), "-", "")))</f>
        <v>C-DEN-FCNORDSJÆLLAND</v>
      </c>
      <c r="E238" s="16"/>
      <c r="F238" s="16"/>
      <c r="G238" s="1" t="b">
        <f>COUNTBLANK(Teams[[#This Row],[startDate]:[endDate]]) &lt; 2</f>
        <v>0</v>
      </c>
      <c r="H238" s="1" t="str">
        <f>IF(Teams[[#This Row],[relevant]], COUNTIFS(Fixtures[userTeam], Teams[[#This Row],[name]], Fixtures[APP], TRUE), "")</f>
        <v/>
      </c>
      <c r="I238" s="1" t="str">
        <f>IF(Teams[[#This Row],[relevant]], COUNTIFS(Fixtures[userTeam], Teams[[#This Row],[name]], Fixtures[result], "W", Fixtures[APP], TRUE), "")</f>
        <v/>
      </c>
      <c r="J238" s="1" t="str">
        <f>IF(Teams[[#This Row],[relevant]], COUNTIFS(Fixtures[userTeam], Teams[[#This Row],[name]], Fixtures[result], "D", Fixtures[APP], TRUE), "")</f>
        <v/>
      </c>
      <c r="K238" s="1" t="str">
        <f>IF(Teams[[#This Row],[relevant]], COUNTIFS(Fixtures[userTeam], Teams[[#This Row],[name]], Fixtures[result], "L", Fixtures[APP], TRUE), "")</f>
        <v/>
      </c>
      <c r="L238" s="1" t="str">
        <f>IF(Teams[[#This Row],[relevant]], SUMIFS(Fixtures[G], Fixtures[userTeam], Teams[[#This Row],[name]]), "")</f>
        <v/>
      </c>
      <c r="M238" s="1" t="str">
        <f>IF(Teams[[#This Row],[relevant]], SUMIFS(Fixtures[A], Fixtures[userTeam], Teams[[#This Row],[name]]), "")</f>
        <v/>
      </c>
      <c r="N238" s="1" t="str">
        <f>IF(Teams[[#This Row],[relevant]], SUMIFS(Fixtures[INV], Fixtures[userTeam], Teams[[#This Row],[name]]), "")</f>
        <v/>
      </c>
      <c r="O238" s="1" t="str">
        <f>IF(Teams[[#This Row],[relevant]], SUMIFS(Fixtures[YC], Fixtures[userTeam], Teams[[#This Row],[name]]), "")</f>
        <v/>
      </c>
      <c r="P238" s="1" t="str">
        <f>IF(Teams[[#This Row],[relevant]], SUMIFS(Fixtures[RC], Fixtures[userTeam], Teams[[#This Row],[name]]), "")</f>
        <v/>
      </c>
      <c r="Q238" s="13" t="str">
        <f>IF(Teams[[#This Row],[relevant]], IF(ISERROR(AVERAGEIFS(Fixtures[MR], Fixtures[userTeam], Teams[[#This Row],[name]])), 0, AVERAGEIFS(Fixtures[MR], Fixtures[userTeam], Teams[[#This Row],[name]])), "")</f>
        <v/>
      </c>
      <c r="R238" s="1" t="str">
        <f>IF(Teams[[#This Row],[relevant]], COUNTIFS(Fixtures[userTeam], Teams[[#This Row],[name]], Fixtures[MOTM], TRUE), "")</f>
        <v/>
      </c>
      <c r="S238" s="1" t="str" cm="1">
        <f t="array" ref="S238">IF(Teams[[#This Row],[relevant]], _xlfn.TEXTJOIN(", ", TRUE, _xlfn._xlws.FILTER(Stats[competition]&amp;" ("&amp;Stats[season]&amp;")",(Stats[team]=Teams[[#This Row],[name]])*(Stats[result]="Winner"),"")), "")</f>
        <v/>
      </c>
    </row>
    <row r="239" spans="1:19" ht="13" hidden="1">
      <c r="A239" s="1" t="s">
        <v>627</v>
      </c>
      <c r="B239" s="1" t="s">
        <v>419</v>
      </c>
      <c r="C239" s="1" t="s">
        <v>391</v>
      </c>
      <c r="D239" s="1" t="str">
        <f>UPPER(_xlfn.CONCAT(LEFT(Teams[[#This Row],[teamType]], 1), "-", LEFT(SUBSTITUTE(Teams[[#This Row],[nation]], "/", ""), 3), "-", SUBSTITUTE(SUBSTITUTE(SUBSTITUTE(Teams[[#This Row],[name]], ".", ""), " ", ""), "-", "")))</f>
        <v>C-ROM-FCPETROLUL</v>
      </c>
      <c r="E239" s="16"/>
      <c r="F239" s="16"/>
      <c r="G239" s="1" t="b">
        <f>COUNTBLANK(Teams[[#This Row],[startDate]:[endDate]]) &lt; 2</f>
        <v>0</v>
      </c>
      <c r="H239" s="1" t="str">
        <f>IF(Teams[[#This Row],[relevant]], COUNTIFS(Fixtures[userTeam], Teams[[#This Row],[name]], Fixtures[APP], TRUE), "")</f>
        <v/>
      </c>
      <c r="I239" s="1" t="str">
        <f>IF(Teams[[#This Row],[relevant]], COUNTIFS(Fixtures[userTeam], Teams[[#This Row],[name]], Fixtures[result], "W", Fixtures[APP], TRUE), "")</f>
        <v/>
      </c>
      <c r="J239" s="1" t="str">
        <f>IF(Teams[[#This Row],[relevant]], COUNTIFS(Fixtures[userTeam], Teams[[#This Row],[name]], Fixtures[result], "D", Fixtures[APP], TRUE), "")</f>
        <v/>
      </c>
      <c r="K239" s="1" t="str">
        <f>IF(Teams[[#This Row],[relevant]], COUNTIFS(Fixtures[userTeam], Teams[[#This Row],[name]], Fixtures[result], "L", Fixtures[APP], TRUE), "")</f>
        <v/>
      </c>
      <c r="L239" s="1" t="str">
        <f>IF(Teams[[#This Row],[relevant]], SUMIFS(Fixtures[G], Fixtures[userTeam], Teams[[#This Row],[name]]), "")</f>
        <v/>
      </c>
      <c r="M239" s="1" t="str">
        <f>IF(Teams[[#This Row],[relevant]], SUMIFS(Fixtures[A], Fixtures[userTeam], Teams[[#This Row],[name]]), "")</f>
        <v/>
      </c>
      <c r="N239" s="1" t="str">
        <f>IF(Teams[[#This Row],[relevant]], SUMIFS(Fixtures[INV], Fixtures[userTeam], Teams[[#This Row],[name]]), "")</f>
        <v/>
      </c>
      <c r="O239" s="1" t="str">
        <f>IF(Teams[[#This Row],[relevant]], SUMIFS(Fixtures[YC], Fixtures[userTeam], Teams[[#This Row],[name]]), "")</f>
        <v/>
      </c>
      <c r="P239" s="1" t="str">
        <f>IF(Teams[[#This Row],[relevant]], SUMIFS(Fixtures[RC], Fixtures[userTeam], Teams[[#This Row],[name]]), "")</f>
        <v/>
      </c>
      <c r="Q239" s="13" t="str">
        <f>IF(Teams[[#This Row],[relevant]], IF(ISERROR(AVERAGEIFS(Fixtures[MR], Fixtures[userTeam], Teams[[#This Row],[name]])), 0, AVERAGEIFS(Fixtures[MR], Fixtures[userTeam], Teams[[#This Row],[name]])), "")</f>
        <v/>
      </c>
      <c r="R239" s="1" t="str">
        <f>IF(Teams[[#This Row],[relevant]], COUNTIFS(Fixtures[userTeam], Teams[[#This Row],[name]], Fixtures[MOTM], TRUE), "")</f>
        <v/>
      </c>
      <c r="S239" s="1" t="str" cm="1">
        <f t="array" ref="S239">IF(Teams[[#This Row],[relevant]], _xlfn.TEXTJOIN(", ", TRUE, _xlfn._xlws.FILTER(Stats[competition]&amp;" ("&amp;Stats[season]&amp;")",(Stats[team]=Teams[[#This Row],[name]])*(Stats[result]="Winner"),"")), "")</f>
        <v/>
      </c>
    </row>
    <row r="240" spans="1:19" ht="13" hidden="1">
      <c r="A240" s="1" t="s">
        <v>628</v>
      </c>
      <c r="B240" s="1" t="s">
        <v>463</v>
      </c>
      <c r="C240" s="1" t="s">
        <v>391</v>
      </c>
      <c r="D240" s="1" t="str">
        <f>UPPER(_xlfn.CONCAT(LEFT(Teams[[#This Row],[teamType]], 1), "-", LEFT(SUBSTITUTE(Teams[[#This Row],[nation]], "/", ""), 3), "-", SUBSTITUTE(SUBSTITUTE(SUBSTITUTE(Teams[[#This Row],[name]], ".", ""), " ", ""), "-", "")))</f>
        <v>C-POR-FCPORTO</v>
      </c>
      <c r="E240" s="16"/>
      <c r="F240" s="16"/>
      <c r="G240" s="1" t="b">
        <f>COUNTBLANK(Teams[[#This Row],[startDate]:[endDate]]) &lt; 2</f>
        <v>0</v>
      </c>
      <c r="H240" s="1" t="str">
        <f>IF(Teams[[#This Row],[relevant]], COUNTIFS(Fixtures[userTeam], Teams[[#This Row],[name]], Fixtures[APP], TRUE), "")</f>
        <v/>
      </c>
      <c r="I240" s="1" t="str">
        <f>IF(Teams[[#This Row],[relevant]], COUNTIFS(Fixtures[userTeam], Teams[[#This Row],[name]], Fixtures[result], "W", Fixtures[APP], TRUE), "")</f>
        <v/>
      </c>
      <c r="J240" s="1" t="str">
        <f>IF(Teams[[#This Row],[relevant]], COUNTIFS(Fixtures[userTeam], Teams[[#This Row],[name]], Fixtures[result], "D", Fixtures[APP], TRUE), "")</f>
        <v/>
      </c>
      <c r="K240" s="1" t="str">
        <f>IF(Teams[[#This Row],[relevant]], COUNTIFS(Fixtures[userTeam], Teams[[#This Row],[name]], Fixtures[result], "L", Fixtures[APP], TRUE), "")</f>
        <v/>
      </c>
      <c r="L240" s="1" t="str">
        <f>IF(Teams[[#This Row],[relevant]], SUMIFS(Fixtures[G], Fixtures[userTeam], Teams[[#This Row],[name]]), "")</f>
        <v/>
      </c>
      <c r="M240" s="1" t="str">
        <f>IF(Teams[[#This Row],[relevant]], SUMIFS(Fixtures[A], Fixtures[userTeam], Teams[[#This Row],[name]]), "")</f>
        <v/>
      </c>
      <c r="N240" s="1" t="str">
        <f>IF(Teams[[#This Row],[relevant]], SUMIFS(Fixtures[INV], Fixtures[userTeam], Teams[[#This Row],[name]]), "")</f>
        <v/>
      </c>
      <c r="O240" s="1" t="str">
        <f>IF(Teams[[#This Row],[relevant]], SUMIFS(Fixtures[YC], Fixtures[userTeam], Teams[[#This Row],[name]]), "")</f>
        <v/>
      </c>
      <c r="P240" s="1" t="str">
        <f>IF(Teams[[#This Row],[relevant]], SUMIFS(Fixtures[RC], Fixtures[userTeam], Teams[[#This Row],[name]]), "")</f>
        <v/>
      </c>
      <c r="Q240" s="13" t="str">
        <f>IF(Teams[[#This Row],[relevant]], IF(ISERROR(AVERAGEIFS(Fixtures[MR], Fixtures[userTeam], Teams[[#This Row],[name]])), 0, AVERAGEIFS(Fixtures[MR], Fixtures[userTeam], Teams[[#This Row],[name]])), "")</f>
        <v/>
      </c>
      <c r="R240" s="1" t="str">
        <f>IF(Teams[[#This Row],[relevant]], COUNTIFS(Fixtures[userTeam], Teams[[#This Row],[name]], Fixtures[MOTM], TRUE), "")</f>
        <v/>
      </c>
      <c r="S240" s="1" t="str" cm="1">
        <f t="array" ref="S240">IF(Teams[[#This Row],[relevant]], _xlfn.TEXTJOIN(", ", TRUE, _xlfn._xlws.FILTER(Stats[competition]&amp;" ("&amp;Stats[season]&amp;")",(Stats[team]=Teams[[#This Row],[name]])*(Stats[result]="Winner"),"")), "")</f>
        <v/>
      </c>
    </row>
    <row r="241" spans="1:19" ht="13" hidden="1">
      <c r="A241" s="1" t="s">
        <v>629</v>
      </c>
      <c r="B241" s="1" t="s">
        <v>419</v>
      </c>
      <c r="C241" s="1" t="s">
        <v>391</v>
      </c>
      <c r="D241" s="1" t="str">
        <f>UPPER(_xlfn.CONCAT(LEFT(Teams[[#This Row],[teamType]], 1), "-", LEFT(SUBSTITUTE(Teams[[#This Row],[nation]], "/", ""), 3), "-", SUBSTITUTE(SUBSTITUTE(SUBSTITUTE(Teams[[#This Row],[name]], ".", ""), " ", ""), "-", "")))</f>
        <v>C-ROM-FCRAPID1923</v>
      </c>
      <c r="E241" s="16"/>
      <c r="F241" s="16"/>
      <c r="G241" s="1" t="b">
        <f>COUNTBLANK(Teams[[#This Row],[startDate]:[endDate]]) &lt; 2</f>
        <v>0</v>
      </c>
      <c r="H241" s="1" t="str">
        <f>IF(Teams[[#This Row],[relevant]], COUNTIFS(Fixtures[userTeam], Teams[[#This Row],[name]], Fixtures[APP], TRUE), "")</f>
        <v/>
      </c>
      <c r="I241" s="1" t="str">
        <f>IF(Teams[[#This Row],[relevant]], COUNTIFS(Fixtures[userTeam], Teams[[#This Row],[name]], Fixtures[result], "W", Fixtures[APP], TRUE), "")</f>
        <v/>
      </c>
      <c r="J241" s="1" t="str">
        <f>IF(Teams[[#This Row],[relevant]], COUNTIFS(Fixtures[userTeam], Teams[[#This Row],[name]], Fixtures[result], "D", Fixtures[APP], TRUE), "")</f>
        <v/>
      </c>
      <c r="K241" s="1" t="str">
        <f>IF(Teams[[#This Row],[relevant]], COUNTIFS(Fixtures[userTeam], Teams[[#This Row],[name]], Fixtures[result], "L", Fixtures[APP], TRUE), "")</f>
        <v/>
      </c>
      <c r="L241" s="1" t="str">
        <f>IF(Teams[[#This Row],[relevant]], SUMIFS(Fixtures[G], Fixtures[userTeam], Teams[[#This Row],[name]]), "")</f>
        <v/>
      </c>
      <c r="M241" s="1" t="str">
        <f>IF(Teams[[#This Row],[relevant]], SUMIFS(Fixtures[A], Fixtures[userTeam], Teams[[#This Row],[name]]), "")</f>
        <v/>
      </c>
      <c r="N241" s="1" t="str">
        <f>IF(Teams[[#This Row],[relevant]], SUMIFS(Fixtures[INV], Fixtures[userTeam], Teams[[#This Row],[name]]), "")</f>
        <v/>
      </c>
      <c r="O241" s="1" t="str">
        <f>IF(Teams[[#This Row],[relevant]], SUMIFS(Fixtures[YC], Fixtures[userTeam], Teams[[#This Row],[name]]), "")</f>
        <v/>
      </c>
      <c r="P241" s="1" t="str">
        <f>IF(Teams[[#This Row],[relevant]], SUMIFS(Fixtures[RC], Fixtures[userTeam], Teams[[#This Row],[name]]), "")</f>
        <v/>
      </c>
      <c r="Q241" s="13" t="str">
        <f>IF(Teams[[#This Row],[relevant]], IF(ISERROR(AVERAGEIFS(Fixtures[MR], Fixtures[userTeam], Teams[[#This Row],[name]])), 0, AVERAGEIFS(Fixtures[MR], Fixtures[userTeam], Teams[[#This Row],[name]])), "")</f>
        <v/>
      </c>
      <c r="R241" s="1" t="str">
        <f>IF(Teams[[#This Row],[relevant]], COUNTIFS(Fixtures[userTeam], Teams[[#This Row],[name]], Fixtures[MOTM], TRUE), "")</f>
        <v/>
      </c>
      <c r="S241" s="1" t="str" cm="1">
        <f t="array" ref="S241">IF(Teams[[#This Row],[relevant]], _xlfn.TEXTJOIN(", ", TRUE, _xlfn._xlws.FILTER(Stats[competition]&amp;" ("&amp;Stats[season]&amp;")",(Stats[team]=Teams[[#This Row],[name]])*(Stats[result]="Winner"),"")), "")</f>
        <v/>
      </c>
    </row>
    <row r="242" spans="1:19" ht="13" hidden="1">
      <c r="A242" s="1" t="s">
        <v>354</v>
      </c>
      <c r="B242" s="1" t="s">
        <v>337</v>
      </c>
      <c r="C242" s="1" t="s">
        <v>391</v>
      </c>
      <c r="D242" s="1" t="str">
        <f>UPPER(_xlfn.CONCAT(LEFT(Teams[[#This Row],[teamType]], 1), "-", LEFT(SUBSTITUTE(Teams[[#This Row],[nation]], "/", ""), 3), "-", SUBSTITUTE(SUBSTITUTE(SUBSTITUTE(Teams[[#This Row],[name]], ".", ""), " ", ""), "-", "")))</f>
        <v>C-GER-FCSCHALKE04</v>
      </c>
      <c r="E242" s="16"/>
      <c r="F242" s="16"/>
      <c r="G242" s="1" t="b">
        <f>COUNTBLANK(Teams[[#This Row],[startDate]:[endDate]]) &lt; 2</f>
        <v>0</v>
      </c>
      <c r="H242" s="1" t="str">
        <f>IF(Teams[[#This Row],[relevant]], COUNTIFS(Fixtures[userTeam], Teams[[#This Row],[name]], Fixtures[APP], TRUE), "")</f>
        <v/>
      </c>
      <c r="I242" s="1" t="str">
        <f>IF(Teams[[#This Row],[relevant]], COUNTIFS(Fixtures[userTeam], Teams[[#This Row],[name]], Fixtures[result], "W", Fixtures[APP], TRUE), "")</f>
        <v/>
      </c>
      <c r="J242" s="1" t="str">
        <f>IF(Teams[[#This Row],[relevant]], COUNTIFS(Fixtures[userTeam], Teams[[#This Row],[name]], Fixtures[result], "D", Fixtures[APP], TRUE), "")</f>
        <v/>
      </c>
      <c r="K242" s="1" t="str">
        <f>IF(Teams[[#This Row],[relevant]], COUNTIFS(Fixtures[userTeam], Teams[[#This Row],[name]], Fixtures[result], "L", Fixtures[APP], TRUE), "")</f>
        <v/>
      </c>
      <c r="L242" s="1" t="str">
        <f>IF(Teams[[#This Row],[relevant]], SUMIFS(Fixtures[G], Fixtures[userTeam], Teams[[#This Row],[name]]), "")</f>
        <v/>
      </c>
      <c r="M242" s="1" t="str">
        <f>IF(Teams[[#This Row],[relevant]], SUMIFS(Fixtures[A], Fixtures[userTeam], Teams[[#This Row],[name]]), "")</f>
        <v/>
      </c>
      <c r="N242" s="1" t="str">
        <f>IF(Teams[[#This Row],[relevant]], SUMIFS(Fixtures[INV], Fixtures[userTeam], Teams[[#This Row],[name]]), "")</f>
        <v/>
      </c>
      <c r="O242" s="1" t="str">
        <f>IF(Teams[[#This Row],[relevant]], SUMIFS(Fixtures[YC], Fixtures[userTeam], Teams[[#This Row],[name]]), "")</f>
        <v/>
      </c>
      <c r="P242" s="1" t="str">
        <f>IF(Teams[[#This Row],[relevant]], SUMIFS(Fixtures[RC], Fixtures[userTeam], Teams[[#This Row],[name]]), "")</f>
        <v/>
      </c>
      <c r="Q242" s="13" t="str">
        <f>IF(Teams[[#This Row],[relevant]], IF(ISERROR(AVERAGEIFS(Fixtures[MR], Fixtures[userTeam], Teams[[#This Row],[name]])), 0, AVERAGEIFS(Fixtures[MR], Fixtures[userTeam], Teams[[#This Row],[name]])), "")</f>
        <v/>
      </c>
      <c r="R242" s="1" t="str">
        <f>IF(Teams[[#This Row],[relevant]], COUNTIFS(Fixtures[userTeam], Teams[[#This Row],[name]], Fixtures[MOTM], TRUE), "")</f>
        <v/>
      </c>
      <c r="S242" s="1" t="str" cm="1">
        <f t="array" ref="S242">IF(Teams[[#This Row],[relevant]], _xlfn.TEXTJOIN(", ", TRUE, _xlfn._xlws.FILTER(Stats[competition]&amp;" ("&amp;Stats[season]&amp;")",(Stats[team]=Teams[[#This Row],[name]])*(Stats[result]="Winner"),"")), "")</f>
        <v/>
      </c>
    </row>
    <row r="243" spans="1:19" ht="13" hidden="1">
      <c r="A243" s="1" t="s">
        <v>630</v>
      </c>
      <c r="B243" s="1" t="s">
        <v>568</v>
      </c>
      <c r="C243" s="1" t="s">
        <v>391</v>
      </c>
      <c r="D243" s="1" t="str">
        <f>UPPER(_xlfn.CONCAT(LEFT(Teams[[#This Row],[teamType]], 1), "-", LEFT(SUBSTITUTE(Teams[[#This Row],[nation]], "/", ""), 3), "-", SUBSTITUTE(SUBSTITUTE(SUBSTITUTE(Teams[[#This Row],[name]], ".", ""), " ", ""), "-", "")))</f>
        <v>C-KOR-FCSEOUL</v>
      </c>
      <c r="E243" s="16"/>
      <c r="F243" s="16"/>
      <c r="G243" s="1" t="b">
        <f>COUNTBLANK(Teams[[#This Row],[startDate]:[endDate]]) &lt; 2</f>
        <v>0</v>
      </c>
      <c r="H243" s="1" t="str">
        <f>IF(Teams[[#This Row],[relevant]], COUNTIFS(Fixtures[userTeam], Teams[[#This Row],[name]], Fixtures[APP], TRUE), "")</f>
        <v/>
      </c>
      <c r="I243" s="1" t="str">
        <f>IF(Teams[[#This Row],[relevant]], COUNTIFS(Fixtures[userTeam], Teams[[#This Row],[name]], Fixtures[result], "W", Fixtures[APP], TRUE), "")</f>
        <v/>
      </c>
      <c r="J243" s="1" t="str">
        <f>IF(Teams[[#This Row],[relevant]], COUNTIFS(Fixtures[userTeam], Teams[[#This Row],[name]], Fixtures[result], "D", Fixtures[APP], TRUE), "")</f>
        <v/>
      </c>
      <c r="K243" s="1" t="str">
        <f>IF(Teams[[#This Row],[relevant]], COUNTIFS(Fixtures[userTeam], Teams[[#This Row],[name]], Fixtures[result], "L", Fixtures[APP], TRUE), "")</f>
        <v/>
      </c>
      <c r="L243" s="1" t="str">
        <f>IF(Teams[[#This Row],[relevant]], SUMIFS(Fixtures[G], Fixtures[userTeam], Teams[[#This Row],[name]]), "")</f>
        <v/>
      </c>
      <c r="M243" s="1" t="str">
        <f>IF(Teams[[#This Row],[relevant]], SUMIFS(Fixtures[A], Fixtures[userTeam], Teams[[#This Row],[name]]), "")</f>
        <v/>
      </c>
      <c r="N243" s="1" t="str">
        <f>IF(Teams[[#This Row],[relevant]], SUMIFS(Fixtures[INV], Fixtures[userTeam], Teams[[#This Row],[name]]), "")</f>
        <v/>
      </c>
      <c r="O243" s="1" t="str">
        <f>IF(Teams[[#This Row],[relevant]], SUMIFS(Fixtures[YC], Fixtures[userTeam], Teams[[#This Row],[name]]), "")</f>
        <v/>
      </c>
      <c r="P243" s="1" t="str">
        <f>IF(Teams[[#This Row],[relevant]], SUMIFS(Fixtures[RC], Fixtures[userTeam], Teams[[#This Row],[name]]), "")</f>
        <v/>
      </c>
      <c r="Q243" s="13" t="str">
        <f>IF(Teams[[#This Row],[relevant]], IF(ISERROR(AVERAGEIFS(Fixtures[MR], Fixtures[userTeam], Teams[[#This Row],[name]])), 0, AVERAGEIFS(Fixtures[MR], Fixtures[userTeam], Teams[[#This Row],[name]])), "")</f>
        <v/>
      </c>
      <c r="R243" s="1" t="str">
        <f>IF(Teams[[#This Row],[relevant]], COUNTIFS(Fixtures[userTeam], Teams[[#This Row],[name]], Fixtures[MOTM], TRUE), "")</f>
        <v/>
      </c>
      <c r="S243" s="1" t="str" cm="1">
        <f t="array" ref="S243">IF(Teams[[#This Row],[relevant]], _xlfn.TEXTJOIN(", ", TRUE, _xlfn._xlws.FILTER(Stats[competition]&amp;" ("&amp;Stats[season]&amp;")",(Stats[team]=Teams[[#This Row],[name]])*(Stats[result]="Winner"),"")), "")</f>
        <v/>
      </c>
    </row>
    <row r="244" spans="1:19" ht="13" hidden="1">
      <c r="A244" s="1" t="s">
        <v>631</v>
      </c>
      <c r="B244" s="1" t="s">
        <v>513</v>
      </c>
      <c r="C244" s="1" t="s">
        <v>391</v>
      </c>
      <c r="D244" s="1" t="str">
        <f>UPPER(_xlfn.CONCAT(LEFT(Teams[[#This Row],[teamType]], 1), "-", LEFT(SUBSTITUTE(Teams[[#This Row],[nation]], "/", ""), 3), "-", SUBSTITUTE(SUBSTITUTE(SUBSTITUTE(Teams[[#This Row],[name]], ".", ""), " ", ""), "-", "")))</f>
        <v>C-SWI-FCSION</v>
      </c>
      <c r="E244" s="16"/>
      <c r="F244" s="16"/>
      <c r="G244" s="1" t="b">
        <f>COUNTBLANK(Teams[[#This Row],[startDate]:[endDate]]) &lt; 2</f>
        <v>0</v>
      </c>
      <c r="H244" s="1" t="str">
        <f>IF(Teams[[#This Row],[relevant]], COUNTIFS(Fixtures[userTeam], Teams[[#This Row],[name]], Fixtures[APP], TRUE), "")</f>
        <v/>
      </c>
      <c r="I244" s="1" t="str">
        <f>IF(Teams[[#This Row],[relevant]], COUNTIFS(Fixtures[userTeam], Teams[[#This Row],[name]], Fixtures[result], "W", Fixtures[APP], TRUE), "")</f>
        <v/>
      </c>
      <c r="J244" s="1" t="str">
        <f>IF(Teams[[#This Row],[relevant]], COUNTIFS(Fixtures[userTeam], Teams[[#This Row],[name]], Fixtures[result], "D", Fixtures[APP], TRUE), "")</f>
        <v/>
      </c>
      <c r="K244" s="1" t="str">
        <f>IF(Teams[[#This Row],[relevant]], COUNTIFS(Fixtures[userTeam], Teams[[#This Row],[name]], Fixtures[result], "L", Fixtures[APP], TRUE), "")</f>
        <v/>
      </c>
      <c r="L244" s="1" t="str">
        <f>IF(Teams[[#This Row],[relevant]], SUMIFS(Fixtures[G], Fixtures[userTeam], Teams[[#This Row],[name]]), "")</f>
        <v/>
      </c>
      <c r="M244" s="1" t="str">
        <f>IF(Teams[[#This Row],[relevant]], SUMIFS(Fixtures[A], Fixtures[userTeam], Teams[[#This Row],[name]]), "")</f>
        <v/>
      </c>
      <c r="N244" s="1" t="str">
        <f>IF(Teams[[#This Row],[relevant]], SUMIFS(Fixtures[INV], Fixtures[userTeam], Teams[[#This Row],[name]]), "")</f>
        <v/>
      </c>
      <c r="O244" s="1" t="str">
        <f>IF(Teams[[#This Row],[relevant]], SUMIFS(Fixtures[YC], Fixtures[userTeam], Teams[[#This Row],[name]]), "")</f>
        <v/>
      </c>
      <c r="P244" s="1" t="str">
        <f>IF(Teams[[#This Row],[relevant]], SUMIFS(Fixtures[RC], Fixtures[userTeam], Teams[[#This Row],[name]]), "")</f>
        <v/>
      </c>
      <c r="Q244" s="13" t="str">
        <f>IF(Teams[[#This Row],[relevant]], IF(ISERROR(AVERAGEIFS(Fixtures[MR], Fixtures[userTeam], Teams[[#This Row],[name]])), 0, AVERAGEIFS(Fixtures[MR], Fixtures[userTeam], Teams[[#This Row],[name]])), "")</f>
        <v/>
      </c>
      <c r="R244" s="1" t="str">
        <f>IF(Teams[[#This Row],[relevant]], COUNTIFS(Fixtures[userTeam], Teams[[#This Row],[name]], Fixtures[MOTM], TRUE), "")</f>
        <v/>
      </c>
      <c r="S244" s="1" t="str" cm="1">
        <f t="array" ref="S244">IF(Teams[[#This Row],[relevant]], _xlfn.TEXTJOIN(", ", TRUE, _xlfn._xlws.FILTER(Stats[competition]&amp;" ("&amp;Stats[season]&amp;")",(Stats[team]=Teams[[#This Row],[name]])*(Stats[result]="Winner"),"")), "")</f>
        <v/>
      </c>
    </row>
    <row r="245" spans="1:19" ht="13" hidden="1">
      <c r="A245" s="1" t="s">
        <v>632</v>
      </c>
      <c r="B245" s="1" t="s">
        <v>513</v>
      </c>
      <c r="C245" s="1" t="s">
        <v>391</v>
      </c>
      <c r="D245" s="1" t="str">
        <f>UPPER(_xlfn.CONCAT(LEFT(Teams[[#This Row],[teamType]], 1), "-", LEFT(SUBSTITUTE(Teams[[#This Row],[nation]], "/", ""), 3), "-", SUBSTITUTE(SUBSTITUTE(SUBSTITUTE(Teams[[#This Row],[name]], ".", ""), " ", ""), "-", "")))</f>
        <v>C-SWI-FCSTGALLEN</v>
      </c>
      <c r="E245" s="16"/>
      <c r="F245" s="16"/>
      <c r="G245" s="1" t="b">
        <f>COUNTBLANK(Teams[[#This Row],[startDate]:[endDate]]) &lt; 2</f>
        <v>0</v>
      </c>
      <c r="H245" s="1" t="str">
        <f>IF(Teams[[#This Row],[relevant]], COUNTIFS(Fixtures[userTeam], Teams[[#This Row],[name]], Fixtures[APP], TRUE), "")</f>
        <v/>
      </c>
      <c r="I245" s="1" t="str">
        <f>IF(Teams[[#This Row],[relevant]], COUNTIFS(Fixtures[userTeam], Teams[[#This Row],[name]], Fixtures[result], "W", Fixtures[APP], TRUE), "")</f>
        <v/>
      </c>
      <c r="J245" s="1" t="str">
        <f>IF(Teams[[#This Row],[relevant]], COUNTIFS(Fixtures[userTeam], Teams[[#This Row],[name]], Fixtures[result], "D", Fixtures[APP], TRUE), "")</f>
        <v/>
      </c>
      <c r="K245" s="1" t="str">
        <f>IF(Teams[[#This Row],[relevant]], COUNTIFS(Fixtures[userTeam], Teams[[#This Row],[name]], Fixtures[result], "L", Fixtures[APP], TRUE), "")</f>
        <v/>
      </c>
      <c r="L245" s="1" t="str">
        <f>IF(Teams[[#This Row],[relevant]], SUMIFS(Fixtures[G], Fixtures[userTeam], Teams[[#This Row],[name]]), "")</f>
        <v/>
      </c>
      <c r="M245" s="1" t="str">
        <f>IF(Teams[[#This Row],[relevant]], SUMIFS(Fixtures[A], Fixtures[userTeam], Teams[[#This Row],[name]]), "")</f>
        <v/>
      </c>
      <c r="N245" s="1" t="str">
        <f>IF(Teams[[#This Row],[relevant]], SUMIFS(Fixtures[INV], Fixtures[userTeam], Teams[[#This Row],[name]]), "")</f>
        <v/>
      </c>
      <c r="O245" s="1" t="str">
        <f>IF(Teams[[#This Row],[relevant]], SUMIFS(Fixtures[YC], Fixtures[userTeam], Teams[[#This Row],[name]]), "")</f>
        <v/>
      </c>
      <c r="P245" s="1" t="str">
        <f>IF(Teams[[#This Row],[relevant]], SUMIFS(Fixtures[RC], Fixtures[userTeam], Teams[[#This Row],[name]]), "")</f>
        <v/>
      </c>
      <c r="Q245" s="13" t="str">
        <f>IF(Teams[[#This Row],[relevant]], IF(ISERROR(AVERAGEIFS(Fixtures[MR], Fixtures[userTeam], Teams[[#This Row],[name]])), 0, AVERAGEIFS(Fixtures[MR], Fixtures[userTeam], Teams[[#This Row],[name]])), "")</f>
        <v/>
      </c>
      <c r="R245" s="1" t="str">
        <f>IF(Teams[[#This Row],[relevant]], COUNTIFS(Fixtures[userTeam], Teams[[#This Row],[name]], Fixtures[MOTM], TRUE), "")</f>
        <v/>
      </c>
      <c r="S245" s="1" t="str" cm="1">
        <f t="array" ref="S245">IF(Teams[[#This Row],[relevant]], _xlfn.TEXTJOIN(", ", TRUE, _xlfn._xlws.FILTER(Stats[competition]&amp;" ("&amp;Stats[season]&amp;")",(Stats[team]=Teams[[#This Row],[name]])*(Stats[result]="Winner"),"")), "")</f>
        <v/>
      </c>
    </row>
    <row r="246" spans="1:19" ht="13" hidden="1">
      <c r="A246" s="1" t="s">
        <v>357</v>
      </c>
      <c r="B246" s="1" t="s">
        <v>337</v>
      </c>
      <c r="C246" s="1" t="s">
        <v>391</v>
      </c>
      <c r="D246" s="1" t="str">
        <f>UPPER(_xlfn.CONCAT(LEFT(Teams[[#This Row],[teamType]], 1), "-", LEFT(SUBSTITUTE(Teams[[#This Row],[nation]], "/", ""), 3), "-", SUBSTITUTE(SUBSTITUTE(SUBSTITUTE(Teams[[#This Row],[name]], ".", ""), " ", ""), "-", "")))</f>
        <v>C-GER-FCSTPAULI</v>
      </c>
      <c r="E246" s="16"/>
      <c r="F246" s="16"/>
      <c r="G246" s="1" t="b">
        <f>COUNTBLANK(Teams[[#This Row],[startDate]:[endDate]]) &lt; 2</f>
        <v>0</v>
      </c>
      <c r="H246" s="1" t="str">
        <f>IF(Teams[[#This Row],[relevant]], COUNTIFS(Fixtures[userTeam], Teams[[#This Row],[name]], Fixtures[APP], TRUE), "")</f>
        <v/>
      </c>
      <c r="I246" s="1" t="str">
        <f>IF(Teams[[#This Row],[relevant]], COUNTIFS(Fixtures[userTeam], Teams[[#This Row],[name]], Fixtures[result], "W", Fixtures[APP], TRUE), "")</f>
        <v/>
      </c>
      <c r="J246" s="1" t="str">
        <f>IF(Teams[[#This Row],[relevant]], COUNTIFS(Fixtures[userTeam], Teams[[#This Row],[name]], Fixtures[result], "D", Fixtures[APP], TRUE), "")</f>
        <v/>
      </c>
      <c r="K246" s="1" t="str">
        <f>IF(Teams[[#This Row],[relevant]], COUNTIFS(Fixtures[userTeam], Teams[[#This Row],[name]], Fixtures[result], "L", Fixtures[APP], TRUE), "")</f>
        <v/>
      </c>
      <c r="L246" s="1" t="str">
        <f>IF(Teams[[#This Row],[relevant]], SUMIFS(Fixtures[G], Fixtures[userTeam], Teams[[#This Row],[name]]), "")</f>
        <v/>
      </c>
      <c r="M246" s="1" t="str">
        <f>IF(Teams[[#This Row],[relevant]], SUMIFS(Fixtures[A], Fixtures[userTeam], Teams[[#This Row],[name]]), "")</f>
        <v/>
      </c>
      <c r="N246" s="1" t="str">
        <f>IF(Teams[[#This Row],[relevant]], SUMIFS(Fixtures[INV], Fixtures[userTeam], Teams[[#This Row],[name]]), "")</f>
        <v/>
      </c>
      <c r="O246" s="1" t="str">
        <f>IF(Teams[[#This Row],[relevant]], SUMIFS(Fixtures[YC], Fixtures[userTeam], Teams[[#This Row],[name]]), "")</f>
        <v/>
      </c>
      <c r="P246" s="1" t="str">
        <f>IF(Teams[[#This Row],[relevant]], SUMIFS(Fixtures[RC], Fixtures[userTeam], Teams[[#This Row],[name]]), "")</f>
        <v/>
      </c>
      <c r="Q246" s="13" t="str">
        <f>IF(Teams[[#This Row],[relevant]], IF(ISERROR(AVERAGEIFS(Fixtures[MR], Fixtures[userTeam], Teams[[#This Row],[name]])), 0, AVERAGEIFS(Fixtures[MR], Fixtures[userTeam], Teams[[#This Row],[name]])), "")</f>
        <v/>
      </c>
      <c r="R246" s="1" t="str">
        <f>IF(Teams[[#This Row],[relevant]], COUNTIFS(Fixtures[userTeam], Teams[[#This Row],[name]], Fixtures[MOTM], TRUE), "")</f>
        <v/>
      </c>
      <c r="S246" s="1" t="str" cm="1">
        <f t="array" ref="S246">IF(Teams[[#This Row],[relevant]], _xlfn.TEXTJOIN(", ", TRUE, _xlfn._xlws.FILTER(Stats[competition]&amp;" ("&amp;Stats[season]&amp;")",(Stats[team]=Teams[[#This Row],[name]])*(Stats[result]="Winner"),"")), "")</f>
        <v/>
      </c>
    </row>
    <row r="247" spans="1:19" ht="13" hidden="1">
      <c r="A247" s="1" t="s">
        <v>633</v>
      </c>
      <c r="B247" s="1" t="s">
        <v>425</v>
      </c>
      <c r="C247" s="1" t="s">
        <v>391</v>
      </c>
      <c r="D247" s="1" t="str">
        <f>UPPER(_xlfn.CONCAT(LEFT(Teams[[#This Row],[teamType]], 1), "-", LEFT(SUBSTITUTE(Teams[[#This Row],[nation]], "/", ""), 3), "-", SUBSTITUTE(SUBSTITUTE(SUBSTITUTE(Teams[[#This Row],[name]], ".", ""), " ", ""), "-", "")))</f>
        <v>C-NET-FCTWENTE</v>
      </c>
      <c r="E247" s="16"/>
      <c r="F247" s="16"/>
      <c r="G247" s="1" t="b">
        <f>COUNTBLANK(Teams[[#This Row],[startDate]:[endDate]]) &lt; 2</f>
        <v>0</v>
      </c>
      <c r="H247" s="1" t="str">
        <f>IF(Teams[[#This Row],[relevant]], COUNTIFS(Fixtures[userTeam], Teams[[#This Row],[name]], Fixtures[APP], TRUE), "")</f>
        <v/>
      </c>
      <c r="I247" s="1" t="str">
        <f>IF(Teams[[#This Row],[relevant]], COUNTIFS(Fixtures[userTeam], Teams[[#This Row],[name]], Fixtures[result], "W", Fixtures[APP], TRUE), "")</f>
        <v/>
      </c>
      <c r="J247" s="1" t="str">
        <f>IF(Teams[[#This Row],[relevant]], COUNTIFS(Fixtures[userTeam], Teams[[#This Row],[name]], Fixtures[result], "D", Fixtures[APP], TRUE), "")</f>
        <v/>
      </c>
      <c r="K247" s="1" t="str">
        <f>IF(Teams[[#This Row],[relevant]], COUNTIFS(Fixtures[userTeam], Teams[[#This Row],[name]], Fixtures[result], "L", Fixtures[APP], TRUE), "")</f>
        <v/>
      </c>
      <c r="L247" s="1" t="str">
        <f>IF(Teams[[#This Row],[relevant]], SUMIFS(Fixtures[G], Fixtures[userTeam], Teams[[#This Row],[name]]), "")</f>
        <v/>
      </c>
      <c r="M247" s="1" t="str">
        <f>IF(Teams[[#This Row],[relevant]], SUMIFS(Fixtures[A], Fixtures[userTeam], Teams[[#This Row],[name]]), "")</f>
        <v/>
      </c>
      <c r="N247" s="1" t="str">
        <f>IF(Teams[[#This Row],[relevant]], SUMIFS(Fixtures[INV], Fixtures[userTeam], Teams[[#This Row],[name]]), "")</f>
        <v/>
      </c>
      <c r="O247" s="1" t="str">
        <f>IF(Teams[[#This Row],[relevant]], SUMIFS(Fixtures[YC], Fixtures[userTeam], Teams[[#This Row],[name]]), "")</f>
        <v/>
      </c>
      <c r="P247" s="1" t="str">
        <f>IF(Teams[[#This Row],[relevant]], SUMIFS(Fixtures[RC], Fixtures[userTeam], Teams[[#This Row],[name]]), "")</f>
        <v/>
      </c>
      <c r="Q247" s="13" t="str">
        <f>IF(Teams[[#This Row],[relevant]], IF(ISERROR(AVERAGEIFS(Fixtures[MR], Fixtures[userTeam], Teams[[#This Row],[name]])), 0, AVERAGEIFS(Fixtures[MR], Fixtures[userTeam], Teams[[#This Row],[name]])), "")</f>
        <v/>
      </c>
      <c r="R247" s="1" t="str">
        <f>IF(Teams[[#This Row],[relevant]], COUNTIFS(Fixtures[userTeam], Teams[[#This Row],[name]], Fixtures[MOTM], TRUE), "")</f>
        <v/>
      </c>
      <c r="S247" s="1" t="str" cm="1">
        <f t="array" ref="S247">IF(Teams[[#This Row],[relevant]], _xlfn.TEXTJOIN(", ", TRUE, _xlfn._xlws.FILTER(Stats[competition]&amp;" ("&amp;Stats[season]&amp;")",(Stats[team]=Teams[[#This Row],[name]])*(Stats[result]="Winner"),"")), "")</f>
        <v/>
      </c>
    </row>
    <row r="248" spans="1:19" ht="13" hidden="1">
      <c r="A248" s="1" t="s">
        <v>634</v>
      </c>
      <c r="B248" s="1" t="s">
        <v>419</v>
      </c>
      <c r="C248" s="1" t="s">
        <v>391</v>
      </c>
      <c r="D248" s="1" t="str">
        <f>UPPER(_xlfn.CONCAT(LEFT(Teams[[#This Row],[teamType]], 1), "-", LEFT(SUBSTITUTE(Teams[[#This Row],[nation]], "/", ""), 3), "-", SUBSTITUTE(SUBSTITUTE(SUBSTITUTE(Teams[[#This Row],[name]], ".", ""), " ", ""), "-", "")))</f>
        <v>C-ROM-FCUNIVCLUJ</v>
      </c>
      <c r="E248" s="16"/>
      <c r="F248" s="16"/>
      <c r="G248" s="1" t="b">
        <f>COUNTBLANK(Teams[[#This Row],[startDate]:[endDate]]) &lt; 2</f>
        <v>0</v>
      </c>
      <c r="H248" s="1" t="str">
        <f>IF(Teams[[#This Row],[relevant]], COUNTIFS(Fixtures[userTeam], Teams[[#This Row],[name]], Fixtures[APP], TRUE), "")</f>
        <v/>
      </c>
      <c r="I248" s="1" t="str">
        <f>IF(Teams[[#This Row],[relevant]], COUNTIFS(Fixtures[userTeam], Teams[[#This Row],[name]], Fixtures[result], "W", Fixtures[APP], TRUE), "")</f>
        <v/>
      </c>
      <c r="J248" s="1" t="str">
        <f>IF(Teams[[#This Row],[relevant]], COUNTIFS(Fixtures[userTeam], Teams[[#This Row],[name]], Fixtures[result], "D", Fixtures[APP], TRUE), "")</f>
        <v/>
      </c>
      <c r="K248" s="1" t="str">
        <f>IF(Teams[[#This Row],[relevant]], COUNTIFS(Fixtures[userTeam], Teams[[#This Row],[name]], Fixtures[result], "L", Fixtures[APP], TRUE), "")</f>
        <v/>
      </c>
      <c r="L248" s="1" t="str">
        <f>IF(Teams[[#This Row],[relevant]], SUMIFS(Fixtures[G], Fixtures[userTeam], Teams[[#This Row],[name]]), "")</f>
        <v/>
      </c>
      <c r="M248" s="1" t="str">
        <f>IF(Teams[[#This Row],[relevant]], SUMIFS(Fixtures[A], Fixtures[userTeam], Teams[[#This Row],[name]]), "")</f>
        <v/>
      </c>
      <c r="N248" s="1" t="str">
        <f>IF(Teams[[#This Row],[relevant]], SUMIFS(Fixtures[INV], Fixtures[userTeam], Teams[[#This Row],[name]]), "")</f>
        <v/>
      </c>
      <c r="O248" s="1" t="str">
        <f>IF(Teams[[#This Row],[relevant]], SUMIFS(Fixtures[YC], Fixtures[userTeam], Teams[[#This Row],[name]]), "")</f>
        <v/>
      </c>
      <c r="P248" s="1" t="str">
        <f>IF(Teams[[#This Row],[relevant]], SUMIFS(Fixtures[RC], Fixtures[userTeam], Teams[[#This Row],[name]]), "")</f>
        <v/>
      </c>
      <c r="Q248" s="13" t="str">
        <f>IF(Teams[[#This Row],[relevant]], IF(ISERROR(AVERAGEIFS(Fixtures[MR], Fixtures[userTeam], Teams[[#This Row],[name]])), 0, AVERAGEIFS(Fixtures[MR], Fixtures[userTeam], Teams[[#This Row],[name]])), "")</f>
        <v/>
      </c>
      <c r="R248" s="1" t="str">
        <f>IF(Teams[[#This Row],[relevant]], COUNTIFS(Fixtures[userTeam], Teams[[#This Row],[name]], Fixtures[MOTM], TRUE), "")</f>
        <v/>
      </c>
      <c r="S248" s="1" t="str" cm="1">
        <f t="array" ref="S248">IF(Teams[[#This Row],[relevant]], _xlfn.TEXTJOIN(", ", TRUE, _xlfn._xlws.FILTER(Stats[competition]&amp;" ("&amp;Stats[season]&amp;")",(Stats[team]=Teams[[#This Row],[name]])*(Stats[result]="Winner"),"")), "")</f>
        <v/>
      </c>
    </row>
    <row r="249" spans="1:19" ht="13" hidden="1">
      <c r="A249" s="1" t="s">
        <v>635</v>
      </c>
      <c r="B249" s="1" t="s">
        <v>425</v>
      </c>
      <c r="C249" s="1" t="s">
        <v>391</v>
      </c>
      <c r="D249" s="1" t="str">
        <f>UPPER(_xlfn.CONCAT(LEFT(Teams[[#This Row],[teamType]], 1), "-", LEFT(SUBSTITUTE(Teams[[#This Row],[nation]], "/", ""), 3), "-", SUBSTITUTE(SUBSTITUTE(SUBSTITUTE(Teams[[#This Row],[name]], ".", ""), " ", ""), "-", "")))</f>
        <v>C-NET-FCUTRECHT</v>
      </c>
      <c r="E249" s="16"/>
      <c r="F249" s="16"/>
      <c r="G249" s="1" t="b">
        <f>COUNTBLANK(Teams[[#This Row],[startDate]:[endDate]]) &lt; 2</f>
        <v>0</v>
      </c>
      <c r="H249" s="1" t="str">
        <f>IF(Teams[[#This Row],[relevant]], COUNTIFS(Fixtures[userTeam], Teams[[#This Row],[name]], Fixtures[APP], TRUE), "")</f>
        <v/>
      </c>
      <c r="I249" s="1" t="str">
        <f>IF(Teams[[#This Row],[relevant]], COUNTIFS(Fixtures[userTeam], Teams[[#This Row],[name]], Fixtures[result], "W", Fixtures[APP], TRUE), "")</f>
        <v/>
      </c>
      <c r="J249" s="1" t="str">
        <f>IF(Teams[[#This Row],[relevant]], COUNTIFS(Fixtures[userTeam], Teams[[#This Row],[name]], Fixtures[result], "D", Fixtures[APP], TRUE), "")</f>
        <v/>
      </c>
      <c r="K249" s="1" t="str">
        <f>IF(Teams[[#This Row],[relevant]], COUNTIFS(Fixtures[userTeam], Teams[[#This Row],[name]], Fixtures[result], "L", Fixtures[APP], TRUE), "")</f>
        <v/>
      </c>
      <c r="L249" s="1" t="str">
        <f>IF(Teams[[#This Row],[relevant]], SUMIFS(Fixtures[G], Fixtures[userTeam], Teams[[#This Row],[name]]), "")</f>
        <v/>
      </c>
      <c r="M249" s="1" t="str">
        <f>IF(Teams[[#This Row],[relevant]], SUMIFS(Fixtures[A], Fixtures[userTeam], Teams[[#This Row],[name]]), "")</f>
        <v/>
      </c>
      <c r="N249" s="1" t="str">
        <f>IF(Teams[[#This Row],[relevant]], SUMIFS(Fixtures[INV], Fixtures[userTeam], Teams[[#This Row],[name]]), "")</f>
        <v/>
      </c>
      <c r="O249" s="1" t="str">
        <f>IF(Teams[[#This Row],[relevant]], SUMIFS(Fixtures[YC], Fixtures[userTeam], Teams[[#This Row],[name]]), "")</f>
        <v/>
      </c>
      <c r="P249" s="1" t="str">
        <f>IF(Teams[[#This Row],[relevant]], SUMIFS(Fixtures[RC], Fixtures[userTeam], Teams[[#This Row],[name]]), "")</f>
        <v/>
      </c>
      <c r="Q249" s="13" t="str">
        <f>IF(Teams[[#This Row],[relevant]], IF(ISERROR(AVERAGEIFS(Fixtures[MR], Fixtures[userTeam], Teams[[#This Row],[name]])), 0, AVERAGEIFS(Fixtures[MR], Fixtures[userTeam], Teams[[#This Row],[name]])), "")</f>
        <v/>
      </c>
      <c r="R249" s="1" t="str">
        <f>IF(Teams[[#This Row],[relevant]], COUNTIFS(Fixtures[userTeam], Teams[[#This Row],[name]], Fixtures[MOTM], TRUE), "")</f>
        <v/>
      </c>
      <c r="S249" s="1" t="str" cm="1">
        <f t="array" ref="S249">IF(Teams[[#This Row],[relevant]], _xlfn.TEXTJOIN(", ", TRUE, _xlfn._xlws.FILTER(Stats[competition]&amp;" ("&amp;Stats[season]&amp;")",(Stats[team]=Teams[[#This Row],[name]])*(Stats[result]="Winner"),"")), "")</f>
        <v/>
      </c>
    </row>
    <row r="250" spans="1:19" ht="13" hidden="1">
      <c r="A250" s="1" t="s">
        <v>636</v>
      </c>
      <c r="B250" s="1" t="s">
        <v>463</v>
      </c>
      <c r="C250" s="1" t="s">
        <v>391</v>
      </c>
      <c r="D250" s="1" t="str">
        <f>UPPER(_xlfn.CONCAT(LEFT(Teams[[#This Row],[teamType]], 1), "-", LEFT(SUBSTITUTE(Teams[[#This Row],[nation]], "/", ""), 3), "-", SUBSTITUTE(SUBSTITUTE(SUBSTITUTE(Teams[[#This Row],[name]], ".", ""), " ", ""), "-", "")))</f>
        <v>C-POR-FCVIZELA</v>
      </c>
      <c r="E250" s="16"/>
      <c r="F250" s="16"/>
      <c r="G250" s="1" t="b">
        <f>COUNTBLANK(Teams[[#This Row],[startDate]:[endDate]]) &lt; 2</f>
        <v>0</v>
      </c>
      <c r="H250" s="1" t="str">
        <f>IF(Teams[[#This Row],[relevant]], COUNTIFS(Fixtures[userTeam], Teams[[#This Row],[name]], Fixtures[APP], TRUE), "")</f>
        <v/>
      </c>
      <c r="I250" s="1" t="str">
        <f>IF(Teams[[#This Row],[relevant]], COUNTIFS(Fixtures[userTeam], Teams[[#This Row],[name]], Fixtures[result], "W", Fixtures[APP], TRUE), "")</f>
        <v/>
      </c>
      <c r="J250" s="1" t="str">
        <f>IF(Teams[[#This Row],[relevant]], COUNTIFS(Fixtures[userTeam], Teams[[#This Row],[name]], Fixtures[result], "D", Fixtures[APP], TRUE), "")</f>
        <v/>
      </c>
      <c r="K250" s="1" t="str">
        <f>IF(Teams[[#This Row],[relevant]], COUNTIFS(Fixtures[userTeam], Teams[[#This Row],[name]], Fixtures[result], "L", Fixtures[APP], TRUE), "")</f>
        <v/>
      </c>
      <c r="L250" s="1" t="str">
        <f>IF(Teams[[#This Row],[relevant]], SUMIFS(Fixtures[G], Fixtures[userTeam], Teams[[#This Row],[name]]), "")</f>
        <v/>
      </c>
      <c r="M250" s="1" t="str">
        <f>IF(Teams[[#This Row],[relevant]], SUMIFS(Fixtures[A], Fixtures[userTeam], Teams[[#This Row],[name]]), "")</f>
        <v/>
      </c>
      <c r="N250" s="1" t="str">
        <f>IF(Teams[[#This Row],[relevant]], SUMIFS(Fixtures[INV], Fixtures[userTeam], Teams[[#This Row],[name]]), "")</f>
        <v/>
      </c>
      <c r="O250" s="1" t="str">
        <f>IF(Teams[[#This Row],[relevant]], SUMIFS(Fixtures[YC], Fixtures[userTeam], Teams[[#This Row],[name]]), "")</f>
        <v/>
      </c>
      <c r="P250" s="1" t="str">
        <f>IF(Teams[[#This Row],[relevant]], SUMIFS(Fixtures[RC], Fixtures[userTeam], Teams[[#This Row],[name]]), "")</f>
        <v/>
      </c>
      <c r="Q250" s="13" t="str">
        <f>IF(Teams[[#This Row],[relevant]], IF(ISERROR(AVERAGEIFS(Fixtures[MR], Fixtures[userTeam], Teams[[#This Row],[name]])), 0, AVERAGEIFS(Fixtures[MR], Fixtures[userTeam], Teams[[#This Row],[name]])), "")</f>
        <v/>
      </c>
      <c r="R250" s="1" t="str">
        <f>IF(Teams[[#This Row],[relevant]], COUNTIFS(Fixtures[userTeam], Teams[[#This Row],[name]], Fixtures[MOTM], TRUE), "")</f>
        <v/>
      </c>
      <c r="S250" s="1" t="str" cm="1">
        <f t="array" ref="S250">IF(Teams[[#This Row],[relevant]], _xlfn.TEXTJOIN(", ", TRUE, _xlfn._xlws.FILTER(Stats[competition]&amp;" ("&amp;Stats[season]&amp;")",(Stats[team]=Teams[[#This Row],[name]])*(Stats[result]="Winner"),"")), "")</f>
        <v/>
      </c>
    </row>
    <row r="251" spans="1:19" ht="13" hidden="1">
      <c r="A251" s="1" t="s">
        <v>637</v>
      </c>
      <c r="B251" s="1" t="s">
        <v>425</v>
      </c>
      <c r="C251" s="1" t="s">
        <v>391</v>
      </c>
      <c r="D251" s="1" t="str">
        <f>UPPER(_xlfn.CONCAT(LEFT(Teams[[#This Row],[teamType]], 1), "-", LEFT(SUBSTITUTE(Teams[[#This Row],[nation]], "/", ""), 3), "-", SUBSTITUTE(SUBSTITUTE(SUBSTITUTE(Teams[[#This Row],[name]], ".", ""), " ", ""), "-", "")))</f>
        <v>C-NET-FCVOLENDAM</v>
      </c>
      <c r="E251" s="16"/>
      <c r="F251" s="16"/>
      <c r="G251" s="1" t="b">
        <f>COUNTBLANK(Teams[[#This Row],[startDate]:[endDate]]) &lt; 2</f>
        <v>0</v>
      </c>
      <c r="H251" s="1" t="str">
        <f>IF(Teams[[#This Row],[relevant]], COUNTIFS(Fixtures[userTeam], Teams[[#This Row],[name]], Fixtures[APP], TRUE), "")</f>
        <v/>
      </c>
      <c r="I251" s="1" t="str">
        <f>IF(Teams[[#This Row],[relevant]], COUNTIFS(Fixtures[userTeam], Teams[[#This Row],[name]], Fixtures[result], "W", Fixtures[APP], TRUE), "")</f>
        <v/>
      </c>
      <c r="J251" s="1" t="str">
        <f>IF(Teams[[#This Row],[relevant]], COUNTIFS(Fixtures[userTeam], Teams[[#This Row],[name]], Fixtures[result], "D", Fixtures[APP], TRUE), "")</f>
        <v/>
      </c>
      <c r="K251" s="1" t="str">
        <f>IF(Teams[[#This Row],[relevant]], COUNTIFS(Fixtures[userTeam], Teams[[#This Row],[name]], Fixtures[result], "L", Fixtures[APP], TRUE), "")</f>
        <v/>
      </c>
      <c r="L251" s="1" t="str">
        <f>IF(Teams[[#This Row],[relevant]], SUMIFS(Fixtures[G], Fixtures[userTeam], Teams[[#This Row],[name]]), "")</f>
        <v/>
      </c>
      <c r="M251" s="1" t="str">
        <f>IF(Teams[[#This Row],[relevant]], SUMIFS(Fixtures[A], Fixtures[userTeam], Teams[[#This Row],[name]]), "")</f>
        <v/>
      </c>
      <c r="N251" s="1" t="str">
        <f>IF(Teams[[#This Row],[relevant]], SUMIFS(Fixtures[INV], Fixtures[userTeam], Teams[[#This Row],[name]]), "")</f>
        <v/>
      </c>
      <c r="O251" s="1" t="str">
        <f>IF(Teams[[#This Row],[relevant]], SUMIFS(Fixtures[YC], Fixtures[userTeam], Teams[[#This Row],[name]]), "")</f>
        <v/>
      </c>
      <c r="P251" s="1" t="str">
        <f>IF(Teams[[#This Row],[relevant]], SUMIFS(Fixtures[RC], Fixtures[userTeam], Teams[[#This Row],[name]]), "")</f>
        <v/>
      </c>
      <c r="Q251" s="13" t="str">
        <f>IF(Teams[[#This Row],[relevant]], IF(ISERROR(AVERAGEIFS(Fixtures[MR], Fixtures[userTeam], Teams[[#This Row],[name]])), 0, AVERAGEIFS(Fixtures[MR], Fixtures[userTeam], Teams[[#This Row],[name]])), "")</f>
        <v/>
      </c>
      <c r="R251" s="1" t="str">
        <f>IF(Teams[[#This Row],[relevant]], COUNTIFS(Fixtures[userTeam], Teams[[#This Row],[name]], Fixtures[MOTM], TRUE), "")</f>
        <v/>
      </c>
      <c r="S251" s="1" t="str" cm="1">
        <f t="array" ref="S251">IF(Teams[[#This Row],[relevant]], _xlfn.TEXTJOIN(", ", TRUE, _xlfn._xlws.FILTER(Stats[competition]&amp;" ("&amp;Stats[season]&amp;")",(Stats[team]=Teams[[#This Row],[name]])*(Stats[result]="Winner"),"")), "")</f>
        <v/>
      </c>
    </row>
    <row r="252" spans="1:19" ht="13" hidden="1">
      <c r="A252" s="1" t="s">
        <v>638</v>
      </c>
      <c r="B252" s="1" t="s">
        <v>419</v>
      </c>
      <c r="C252" s="1" t="s">
        <v>391</v>
      </c>
      <c r="D252" s="1" t="str">
        <f>UPPER(_xlfn.CONCAT(LEFT(Teams[[#This Row],[teamType]], 1), "-", LEFT(SUBSTITUTE(Teams[[#This Row],[nation]], "/", ""), 3), "-", SUBSTITUTE(SUBSTITUTE(SUBSTITUTE(Teams[[#This Row],[name]], ".", ""), " ", ""), "-", "")))</f>
        <v>C-ROM-FCVOLUNTARI</v>
      </c>
      <c r="E252" s="16"/>
      <c r="F252" s="16"/>
      <c r="G252" s="1" t="b">
        <f>COUNTBLANK(Teams[[#This Row],[startDate]:[endDate]]) &lt; 2</f>
        <v>0</v>
      </c>
      <c r="H252" s="1" t="str">
        <f>IF(Teams[[#This Row],[relevant]], COUNTIFS(Fixtures[userTeam], Teams[[#This Row],[name]], Fixtures[APP], TRUE), "")</f>
        <v/>
      </c>
      <c r="I252" s="1" t="str">
        <f>IF(Teams[[#This Row],[relevant]], COUNTIFS(Fixtures[userTeam], Teams[[#This Row],[name]], Fixtures[result], "W", Fixtures[APP], TRUE), "")</f>
        <v/>
      </c>
      <c r="J252" s="1" t="str">
        <f>IF(Teams[[#This Row],[relevant]], COUNTIFS(Fixtures[userTeam], Teams[[#This Row],[name]], Fixtures[result], "D", Fixtures[APP], TRUE), "")</f>
        <v/>
      </c>
      <c r="K252" s="1" t="str">
        <f>IF(Teams[[#This Row],[relevant]], COUNTIFS(Fixtures[userTeam], Teams[[#This Row],[name]], Fixtures[result], "L", Fixtures[APP], TRUE), "")</f>
        <v/>
      </c>
      <c r="L252" s="1" t="str">
        <f>IF(Teams[[#This Row],[relevant]], SUMIFS(Fixtures[G], Fixtures[userTeam], Teams[[#This Row],[name]]), "")</f>
        <v/>
      </c>
      <c r="M252" s="1" t="str">
        <f>IF(Teams[[#This Row],[relevant]], SUMIFS(Fixtures[A], Fixtures[userTeam], Teams[[#This Row],[name]]), "")</f>
        <v/>
      </c>
      <c r="N252" s="1" t="str">
        <f>IF(Teams[[#This Row],[relevant]], SUMIFS(Fixtures[INV], Fixtures[userTeam], Teams[[#This Row],[name]]), "")</f>
        <v/>
      </c>
      <c r="O252" s="1" t="str">
        <f>IF(Teams[[#This Row],[relevant]], SUMIFS(Fixtures[YC], Fixtures[userTeam], Teams[[#This Row],[name]]), "")</f>
        <v/>
      </c>
      <c r="P252" s="1" t="str">
        <f>IF(Teams[[#This Row],[relevant]], SUMIFS(Fixtures[RC], Fixtures[userTeam], Teams[[#This Row],[name]]), "")</f>
        <v/>
      </c>
      <c r="Q252" s="13" t="str">
        <f>IF(Teams[[#This Row],[relevant]], IF(ISERROR(AVERAGEIFS(Fixtures[MR], Fixtures[userTeam], Teams[[#This Row],[name]])), 0, AVERAGEIFS(Fixtures[MR], Fixtures[userTeam], Teams[[#This Row],[name]])), "")</f>
        <v/>
      </c>
      <c r="R252" s="1" t="str">
        <f>IF(Teams[[#This Row],[relevant]], COUNTIFS(Fixtures[userTeam], Teams[[#This Row],[name]], Fixtures[MOTM], TRUE), "")</f>
        <v/>
      </c>
      <c r="S252" s="1" t="str" cm="1">
        <f t="array" ref="S252">IF(Teams[[#This Row],[relevant]], _xlfn.TEXTJOIN(", ", TRUE, _xlfn._xlws.FILTER(Stats[competition]&amp;" ("&amp;Stats[season]&amp;")",(Stats[team]=Teams[[#This Row],[name]])*(Stats[result]="Winner"),"")), "")</f>
        <v/>
      </c>
    </row>
    <row r="253" spans="1:19" ht="13" hidden="1">
      <c r="A253" s="1" t="s">
        <v>639</v>
      </c>
      <c r="B253" s="1" t="s">
        <v>513</v>
      </c>
      <c r="C253" s="1" t="s">
        <v>391</v>
      </c>
      <c r="D253" s="1" t="str">
        <f>UPPER(_xlfn.CONCAT(LEFT(Teams[[#This Row],[teamType]], 1), "-", LEFT(SUBSTITUTE(Teams[[#This Row],[nation]], "/", ""), 3), "-", SUBSTITUTE(SUBSTITUTE(SUBSTITUTE(Teams[[#This Row],[name]], ".", ""), " ", ""), "-", "")))</f>
        <v>C-SWI-FCWINTERTHUR</v>
      </c>
      <c r="E253" s="16"/>
      <c r="F253" s="16"/>
      <c r="G253" s="1" t="b">
        <f>COUNTBLANK(Teams[[#This Row],[startDate]:[endDate]]) &lt; 2</f>
        <v>0</v>
      </c>
      <c r="H253" s="1" t="str">
        <f>IF(Teams[[#This Row],[relevant]], COUNTIFS(Fixtures[userTeam], Teams[[#This Row],[name]], Fixtures[APP], TRUE), "")</f>
        <v/>
      </c>
      <c r="I253" s="1" t="str">
        <f>IF(Teams[[#This Row],[relevant]], COUNTIFS(Fixtures[userTeam], Teams[[#This Row],[name]], Fixtures[result], "W", Fixtures[APP], TRUE), "")</f>
        <v/>
      </c>
      <c r="J253" s="1" t="str">
        <f>IF(Teams[[#This Row],[relevant]], COUNTIFS(Fixtures[userTeam], Teams[[#This Row],[name]], Fixtures[result], "D", Fixtures[APP], TRUE), "")</f>
        <v/>
      </c>
      <c r="K253" s="1" t="str">
        <f>IF(Teams[[#This Row],[relevant]], COUNTIFS(Fixtures[userTeam], Teams[[#This Row],[name]], Fixtures[result], "L", Fixtures[APP], TRUE), "")</f>
        <v/>
      </c>
      <c r="L253" s="1" t="str">
        <f>IF(Teams[[#This Row],[relevant]], SUMIFS(Fixtures[G], Fixtures[userTeam], Teams[[#This Row],[name]]), "")</f>
        <v/>
      </c>
      <c r="M253" s="1" t="str">
        <f>IF(Teams[[#This Row],[relevant]], SUMIFS(Fixtures[A], Fixtures[userTeam], Teams[[#This Row],[name]]), "")</f>
        <v/>
      </c>
      <c r="N253" s="1" t="str">
        <f>IF(Teams[[#This Row],[relevant]], SUMIFS(Fixtures[INV], Fixtures[userTeam], Teams[[#This Row],[name]]), "")</f>
        <v/>
      </c>
      <c r="O253" s="1" t="str">
        <f>IF(Teams[[#This Row],[relevant]], SUMIFS(Fixtures[YC], Fixtures[userTeam], Teams[[#This Row],[name]]), "")</f>
        <v/>
      </c>
      <c r="P253" s="1" t="str">
        <f>IF(Teams[[#This Row],[relevant]], SUMIFS(Fixtures[RC], Fixtures[userTeam], Teams[[#This Row],[name]]), "")</f>
        <v/>
      </c>
      <c r="Q253" s="13" t="str">
        <f>IF(Teams[[#This Row],[relevant]], IF(ISERROR(AVERAGEIFS(Fixtures[MR], Fixtures[userTeam], Teams[[#This Row],[name]])), 0, AVERAGEIFS(Fixtures[MR], Fixtures[userTeam], Teams[[#This Row],[name]])), "")</f>
        <v/>
      </c>
      <c r="R253" s="1" t="str">
        <f>IF(Teams[[#This Row],[relevant]], COUNTIFS(Fixtures[userTeam], Teams[[#This Row],[name]], Fixtures[MOTM], TRUE), "")</f>
        <v/>
      </c>
      <c r="S253" s="1" t="str" cm="1">
        <f t="array" ref="S253">IF(Teams[[#This Row],[relevant]], _xlfn.TEXTJOIN(", ", TRUE, _xlfn._xlws.FILTER(Stats[competition]&amp;" ("&amp;Stats[season]&amp;")",(Stats[team]=Teams[[#This Row],[name]])*(Stats[result]="Winner"),"")), "")</f>
        <v/>
      </c>
    </row>
    <row r="254" spans="1:19" ht="13" hidden="1">
      <c r="A254" s="1" t="s">
        <v>640</v>
      </c>
      <c r="B254" s="1" t="s">
        <v>513</v>
      </c>
      <c r="C254" s="1" t="s">
        <v>391</v>
      </c>
      <c r="D254" s="1" t="str">
        <f>UPPER(_xlfn.CONCAT(LEFT(Teams[[#This Row],[teamType]], 1), "-", LEFT(SUBSTITUTE(Teams[[#This Row],[nation]], "/", ""), 3), "-", SUBSTITUTE(SUBSTITUTE(SUBSTITUTE(Teams[[#This Row],[name]], ".", ""), " ", ""), "-", "")))</f>
        <v>C-SWI-FCZÜRICH</v>
      </c>
      <c r="E254" s="16"/>
      <c r="F254" s="16"/>
      <c r="G254" s="1" t="b">
        <f>COUNTBLANK(Teams[[#This Row],[startDate]:[endDate]]) &lt; 2</f>
        <v>0</v>
      </c>
      <c r="H254" s="1" t="str">
        <f>IF(Teams[[#This Row],[relevant]], COUNTIFS(Fixtures[userTeam], Teams[[#This Row],[name]], Fixtures[APP], TRUE), "")</f>
        <v/>
      </c>
      <c r="I254" s="1" t="str">
        <f>IF(Teams[[#This Row],[relevant]], COUNTIFS(Fixtures[userTeam], Teams[[#This Row],[name]], Fixtures[result], "W", Fixtures[APP], TRUE), "")</f>
        <v/>
      </c>
      <c r="J254" s="1" t="str">
        <f>IF(Teams[[#This Row],[relevant]], COUNTIFS(Fixtures[userTeam], Teams[[#This Row],[name]], Fixtures[result], "D", Fixtures[APP], TRUE), "")</f>
        <v/>
      </c>
      <c r="K254" s="1" t="str">
        <f>IF(Teams[[#This Row],[relevant]], COUNTIFS(Fixtures[userTeam], Teams[[#This Row],[name]], Fixtures[result], "L", Fixtures[APP], TRUE), "")</f>
        <v/>
      </c>
      <c r="L254" s="1" t="str">
        <f>IF(Teams[[#This Row],[relevant]], SUMIFS(Fixtures[G], Fixtures[userTeam], Teams[[#This Row],[name]]), "")</f>
        <v/>
      </c>
      <c r="M254" s="1" t="str">
        <f>IF(Teams[[#This Row],[relevant]], SUMIFS(Fixtures[A], Fixtures[userTeam], Teams[[#This Row],[name]]), "")</f>
        <v/>
      </c>
      <c r="N254" s="1" t="str">
        <f>IF(Teams[[#This Row],[relevant]], SUMIFS(Fixtures[INV], Fixtures[userTeam], Teams[[#This Row],[name]]), "")</f>
        <v/>
      </c>
      <c r="O254" s="1" t="str">
        <f>IF(Teams[[#This Row],[relevant]], SUMIFS(Fixtures[YC], Fixtures[userTeam], Teams[[#This Row],[name]]), "")</f>
        <v/>
      </c>
      <c r="P254" s="1" t="str">
        <f>IF(Teams[[#This Row],[relevant]], SUMIFS(Fixtures[RC], Fixtures[userTeam], Teams[[#This Row],[name]]), "")</f>
        <v/>
      </c>
      <c r="Q254" s="13" t="str">
        <f>IF(Teams[[#This Row],[relevant]], IF(ISERROR(AVERAGEIFS(Fixtures[MR], Fixtures[userTeam], Teams[[#This Row],[name]])), 0, AVERAGEIFS(Fixtures[MR], Fixtures[userTeam], Teams[[#This Row],[name]])), "")</f>
        <v/>
      </c>
      <c r="R254" s="1" t="str">
        <f>IF(Teams[[#This Row],[relevant]], COUNTIFS(Fixtures[userTeam], Teams[[#This Row],[name]], Fixtures[MOTM], TRUE), "")</f>
        <v/>
      </c>
      <c r="S254" s="1" t="str" cm="1">
        <f t="array" ref="S254">IF(Teams[[#This Row],[relevant]], _xlfn.TEXTJOIN(", ", TRUE, _xlfn._xlws.FILTER(Stats[competition]&amp;" ("&amp;Stats[season]&amp;")",(Stats[team]=Teams[[#This Row],[name]])*(Stats[result]="Winner"),"")), "")</f>
        <v/>
      </c>
    </row>
    <row r="255" spans="1:19" ht="13" hidden="1">
      <c r="A255" s="1" t="s">
        <v>641</v>
      </c>
      <c r="B255" s="1" t="s">
        <v>419</v>
      </c>
      <c r="C255" s="1" t="s">
        <v>391</v>
      </c>
      <c r="D255" s="1" t="str">
        <f>UPPER(_xlfn.CONCAT(LEFT(Teams[[#This Row],[teamType]], 1), "-", LEFT(SUBSTITUTE(Teams[[#This Row],[nation]], "/", ""), 3), "-", SUBSTITUTE(SUBSTITUTE(SUBSTITUTE(Teams[[#This Row],[name]], ".", ""), " ", ""), "-", "")))</f>
        <v>C-ROM-FCSB</v>
      </c>
      <c r="E255" s="16"/>
      <c r="F255" s="16"/>
      <c r="G255" s="1" t="b">
        <f>COUNTBLANK(Teams[[#This Row],[startDate]:[endDate]]) &lt; 2</f>
        <v>0</v>
      </c>
      <c r="H255" s="1" t="str">
        <f>IF(Teams[[#This Row],[relevant]], COUNTIFS(Fixtures[userTeam], Teams[[#This Row],[name]], Fixtures[APP], TRUE), "")</f>
        <v/>
      </c>
      <c r="I255" s="1" t="str">
        <f>IF(Teams[[#This Row],[relevant]], COUNTIFS(Fixtures[userTeam], Teams[[#This Row],[name]], Fixtures[result], "W", Fixtures[APP], TRUE), "")</f>
        <v/>
      </c>
      <c r="J255" s="1" t="str">
        <f>IF(Teams[[#This Row],[relevant]], COUNTIFS(Fixtures[userTeam], Teams[[#This Row],[name]], Fixtures[result], "D", Fixtures[APP], TRUE), "")</f>
        <v/>
      </c>
      <c r="K255" s="1" t="str">
        <f>IF(Teams[[#This Row],[relevant]], COUNTIFS(Fixtures[userTeam], Teams[[#This Row],[name]], Fixtures[result], "L", Fixtures[APP], TRUE), "")</f>
        <v/>
      </c>
      <c r="L255" s="1" t="str">
        <f>IF(Teams[[#This Row],[relevant]], SUMIFS(Fixtures[G], Fixtures[userTeam], Teams[[#This Row],[name]]), "")</f>
        <v/>
      </c>
      <c r="M255" s="1" t="str">
        <f>IF(Teams[[#This Row],[relevant]], SUMIFS(Fixtures[A], Fixtures[userTeam], Teams[[#This Row],[name]]), "")</f>
        <v/>
      </c>
      <c r="N255" s="1" t="str">
        <f>IF(Teams[[#This Row],[relevant]], SUMIFS(Fixtures[INV], Fixtures[userTeam], Teams[[#This Row],[name]]), "")</f>
        <v/>
      </c>
      <c r="O255" s="1" t="str">
        <f>IF(Teams[[#This Row],[relevant]], SUMIFS(Fixtures[YC], Fixtures[userTeam], Teams[[#This Row],[name]]), "")</f>
        <v/>
      </c>
      <c r="P255" s="1" t="str">
        <f>IF(Teams[[#This Row],[relevant]], SUMIFS(Fixtures[RC], Fixtures[userTeam], Teams[[#This Row],[name]]), "")</f>
        <v/>
      </c>
      <c r="Q255" s="13" t="str">
        <f>IF(Teams[[#This Row],[relevant]], IF(ISERROR(AVERAGEIFS(Fixtures[MR], Fixtures[userTeam], Teams[[#This Row],[name]])), 0, AVERAGEIFS(Fixtures[MR], Fixtures[userTeam], Teams[[#This Row],[name]])), "")</f>
        <v/>
      </c>
      <c r="R255" s="1" t="str">
        <f>IF(Teams[[#This Row],[relevant]], COUNTIFS(Fixtures[userTeam], Teams[[#This Row],[name]], Fixtures[MOTM], TRUE), "")</f>
        <v/>
      </c>
      <c r="S255" s="1" t="str" cm="1">
        <f t="array" ref="S255">IF(Teams[[#This Row],[relevant]], _xlfn.TEXTJOIN(", ", TRUE, _xlfn._xlws.FILTER(Stats[competition]&amp;" ("&amp;Stats[season]&amp;")",(Stats[team]=Teams[[#This Row],[name]])*(Stats[result]="Winner"),"")), "")</f>
        <v/>
      </c>
    </row>
    <row r="256" spans="1:19" ht="13" hidden="1">
      <c r="A256" s="1" t="s">
        <v>642</v>
      </c>
      <c r="B256" s="1" t="s">
        <v>339</v>
      </c>
      <c r="C256" s="1" t="s">
        <v>391</v>
      </c>
      <c r="D256" s="1" t="str">
        <f>UPPER(_xlfn.CONCAT(LEFT(Teams[[#This Row],[teamType]], 1), "-", LEFT(SUBSTITUTE(Teams[[#This Row],[nation]], "/", ""), 3), "-", SUBSTITUTE(SUBSTITUTE(SUBSTITUTE(Teams[[#This Row],[name]], ".", ""), " ", ""), "-", "")))</f>
        <v>C-FRA-FCSM</v>
      </c>
      <c r="E256" s="16"/>
      <c r="F256" s="16"/>
      <c r="G256" s="1" t="b">
        <f>COUNTBLANK(Teams[[#This Row],[startDate]:[endDate]]) &lt; 2</f>
        <v>0</v>
      </c>
      <c r="H256" s="1" t="str">
        <f>IF(Teams[[#This Row],[relevant]], COUNTIFS(Fixtures[userTeam], Teams[[#This Row],[name]], Fixtures[APP], TRUE), "")</f>
        <v/>
      </c>
      <c r="I256" s="1" t="str">
        <f>IF(Teams[[#This Row],[relevant]], COUNTIFS(Fixtures[userTeam], Teams[[#This Row],[name]], Fixtures[result], "W", Fixtures[APP], TRUE), "")</f>
        <v/>
      </c>
      <c r="J256" s="1" t="str">
        <f>IF(Teams[[#This Row],[relevant]], COUNTIFS(Fixtures[userTeam], Teams[[#This Row],[name]], Fixtures[result], "D", Fixtures[APP], TRUE), "")</f>
        <v/>
      </c>
      <c r="K256" s="1" t="str">
        <f>IF(Teams[[#This Row],[relevant]], COUNTIFS(Fixtures[userTeam], Teams[[#This Row],[name]], Fixtures[result], "L", Fixtures[APP], TRUE), "")</f>
        <v/>
      </c>
      <c r="L256" s="1" t="str">
        <f>IF(Teams[[#This Row],[relevant]], SUMIFS(Fixtures[G], Fixtures[userTeam], Teams[[#This Row],[name]]), "")</f>
        <v/>
      </c>
      <c r="M256" s="1" t="str">
        <f>IF(Teams[[#This Row],[relevant]], SUMIFS(Fixtures[A], Fixtures[userTeam], Teams[[#This Row],[name]]), "")</f>
        <v/>
      </c>
      <c r="N256" s="1" t="str">
        <f>IF(Teams[[#This Row],[relevant]], SUMIFS(Fixtures[INV], Fixtures[userTeam], Teams[[#This Row],[name]]), "")</f>
        <v/>
      </c>
      <c r="O256" s="1" t="str">
        <f>IF(Teams[[#This Row],[relevant]], SUMIFS(Fixtures[YC], Fixtures[userTeam], Teams[[#This Row],[name]]), "")</f>
        <v/>
      </c>
      <c r="P256" s="1" t="str">
        <f>IF(Teams[[#This Row],[relevant]], SUMIFS(Fixtures[RC], Fixtures[userTeam], Teams[[#This Row],[name]]), "")</f>
        <v/>
      </c>
      <c r="Q256" s="13" t="str">
        <f>IF(Teams[[#This Row],[relevant]], IF(ISERROR(AVERAGEIFS(Fixtures[MR], Fixtures[userTeam], Teams[[#This Row],[name]])), 0, AVERAGEIFS(Fixtures[MR], Fixtures[userTeam], Teams[[#This Row],[name]])), "")</f>
        <v/>
      </c>
      <c r="R256" s="1" t="str">
        <f>IF(Teams[[#This Row],[relevant]], COUNTIFS(Fixtures[userTeam], Teams[[#This Row],[name]], Fixtures[MOTM], TRUE), "")</f>
        <v/>
      </c>
      <c r="S256" s="1" t="str" cm="1">
        <f t="array" ref="S256">IF(Teams[[#This Row],[relevant]], _xlfn.TEXTJOIN(", ", TRUE, _xlfn._xlws.FILTER(Stats[competition]&amp;" ("&amp;Stats[season]&amp;")",(Stats[team]=Teams[[#This Row],[name]])*(Stats[result]="Winner"),"")), "")</f>
        <v/>
      </c>
    </row>
    <row r="257" spans="1:19" ht="13" hidden="1">
      <c r="A257" s="1" t="s">
        <v>643</v>
      </c>
      <c r="B257" s="1" t="s">
        <v>419</v>
      </c>
      <c r="C257" s="1" t="s">
        <v>391</v>
      </c>
      <c r="D257" s="1" t="str">
        <f>UPPER(_xlfn.CONCAT(LEFT(Teams[[#This Row],[teamType]], 1), "-", LEFT(SUBSTITUTE(Teams[[#This Row],[nation]], "/", ""), 3), "-", SUBSTITUTE(SUBSTITUTE(SUBSTITUTE(Teams[[#This Row],[name]], ".", ""), " ", ""), "-", "")))</f>
        <v>C-ROM-FCU1948</v>
      </c>
      <c r="E257" s="16"/>
      <c r="F257" s="16"/>
      <c r="G257" s="1" t="b">
        <f>COUNTBLANK(Teams[[#This Row],[startDate]:[endDate]]) &lt; 2</f>
        <v>0</v>
      </c>
      <c r="H257" s="1" t="str">
        <f>IF(Teams[[#This Row],[relevant]], COUNTIFS(Fixtures[userTeam], Teams[[#This Row],[name]], Fixtures[APP], TRUE), "")</f>
        <v/>
      </c>
      <c r="I257" s="1" t="str">
        <f>IF(Teams[[#This Row],[relevant]], COUNTIFS(Fixtures[userTeam], Teams[[#This Row],[name]], Fixtures[result], "W", Fixtures[APP], TRUE), "")</f>
        <v/>
      </c>
      <c r="J257" s="1" t="str">
        <f>IF(Teams[[#This Row],[relevant]], COUNTIFS(Fixtures[userTeam], Teams[[#This Row],[name]], Fixtures[result], "D", Fixtures[APP], TRUE), "")</f>
        <v/>
      </c>
      <c r="K257" s="1" t="str">
        <f>IF(Teams[[#This Row],[relevant]], COUNTIFS(Fixtures[userTeam], Teams[[#This Row],[name]], Fixtures[result], "L", Fixtures[APP], TRUE), "")</f>
        <v/>
      </c>
      <c r="L257" s="1" t="str">
        <f>IF(Teams[[#This Row],[relevant]], SUMIFS(Fixtures[G], Fixtures[userTeam], Teams[[#This Row],[name]]), "")</f>
        <v/>
      </c>
      <c r="M257" s="1" t="str">
        <f>IF(Teams[[#This Row],[relevant]], SUMIFS(Fixtures[A], Fixtures[userTeam], Teams[[#This Row],[name]]), "")</f>
        <v/>
      </c>
      <c r="N257" s="1" t="str">
        <f>IF(Teams[[#This Row],[relevant]], SUMIFS(Fixtures[INV], Fixtures[userTeam], Teams[[#This Row],[name]]), "")</f>
        <v/>
      </c>
      <c r="O257" s="1" t="str">
        <f>IF(Teams[[#This Row],[relevant]], SUMIFS(Fixtures[YC], Fixtures[userTeam], Teams[[#This Row],[name]]), "")</f>
        <v/>
      </c>
      <c r="P257" s="1" t="str">
        <f>IF(Teams[[#This Row],[relevant]], SUMIFS(Fixtures[RC], Fixtures[userTeam], Teams[[#This Row],[name]]), "")</f>
        <v/>
      </c>
      <c r="Q257" s="13" t="str">
        <f>IF(Teams[[#This Row],[relevant]], IF(ISERROR(AVERAGEIFS(Fixtures[MR], Fixtures[userTeam], Teams[[#This Row],[name]])), 0, AVERAGEIFS(Fixtures[MR], Fixtures[userTeam], Teams[[#This Row],[name]])), "")</f>
        <v/>
      </c>
      <c r="R257" s="1" t="str">
        <f>IF(Teams[[#This Row],[relevant]], COUNTIFS(Fixtures[userTeam], Teams[[#This Row],[name]], Fixtures[MOTM], TRUE), "")</f>
        <v/>
      </c>
      <c r="S257" s="1" t="str" cm="1">
        <f t="array" ref="S257">IF(Teams[[#This Row],[relevant]], _xlfn.TEXTJOIN(", ", TRUE, _xlfn._xlws.FILTER(Stats[competition]&amp;" ("&amp;Stats[season]&amp;")",(Stats[team]=Teams[[#This Row],[name]])*(Stats[result]="Winner"),"")), "")</f>
        <v/>
      </c>
    </row>
    <row r="258" spans="1:19" ht="13" hidden="1">
      <c r="A258" s="1" t="s">
        <v>318</v>
      </c>
      <c r="B258" s="1" t="s">
        <v>408</v>
      </c>
      <c r="C258" s="1" t="s">
        <v>391</v>
      </c>
      <c r="D258" s="1" t="str">
        <f>UPPER(_xlfn.CONCAT(LEFT(Teams[[#This Row],[teamType]], 1), "-", LEFT(SUBSTITUTE(Teams[[#This Row],[nation]], "/", ""), 3), "-", SUBSTITUTE(SUBSTITUTE(SUBSTITUTE(Teams[[#This Row],[name]], ".", ""), " ", ""), "-", "")))</f>
        <v>C-TUR-FENERBAHÇE</v>
      </c>
      <c r="E258" s="16"/>
      <c r="F258" s="16"/>
      <c r="G258" s="1" t="b">
        <f>COUNTBLANK(Teams[[#This Row],[startDate]:[endDate]]) &lt; 2</f>
        <v>0</v>
      </c>
      <c r="H258" s="1" t="str">
        <f>IF(Teams[[#This Row],[relevant]], COUNTIFS(Fixtures[userTeam], Teams[[#This Row],[name]], Fixtures[APP], TRUE), "")</f>
        <v/>
      </c>
      <c r="I258" s="1" t="str">
        <f>IF(Teams[[#This Row],[relevant]], COUNTIFS(Fixtures[userTeam], Teams[[#This Row],[name]], Fixtures[result], "W", Fixtures[APP], TRUE), "")</f>
        <v/>
      </c>
      <c r="J258" s="1" t="str">
        <f>IF(Teams[[#This Row],[relevant]], COUNTIFS(Fixtures[userTeam], Teams[[#This Row],[name]], Fixtures[result], "D", Fixtures[APP], TRUE), "")</f>
        <v/>
      </c>
      <c r="K258" s="1" t="str">
        <f>IF(Teams[[#This Row],[relevant]], COUNTIFS(Fixtures[userTeam], Teams[[#This Row],[name]], Fixtures[result], "L", Fixtures[APP], TRUE), "")</f>
        <v/>
      </c>
      <c r="L258" s="1" t="str">
        <f>IF(Teams[[#This Row],[relevant]], SUMIFS(Fixtures[G], Fixtures[userTeam], Teams[[#This Row],[name]]), "")</f>
        <v/>
      </c>
      <c r="M258" s="1" t="str">
        <f>IF(Teams[[#This Row],[relevant]], SUMIFS(Fixtures[A], Fixtures[userTeam], Teams[[#This Row],[name]]), "")</f>
        <v/>
      </c>
      <c r="N258" s="1" t="str">
        <f>IF(Teams[[#This Row],[relevant]], SUMIFS(Fixtures[INV], Fixtures[userTeam], Teams[[#This Row],[name]]), "")</f>
        <v/>
      </c>
      <c r="O258" s="1" t="str">
        <f>IF(Teams[[#This Row],[relevant]], SUMIFS(Fixtures[YC], Fixtures[userTeam], Teams[[#This Row],[name]]), "")</f>
        <v/>
      </c>
      <c r="P258" s="1" t="str">
        <f>IF(Teams[[#This Row],[relevant]], SUMIFS(Fixtures[RC], Fixtures[userTeam], Teams[[#This Row],[name]]), "")</f>
        <v/>
      </c>
      <c r="Q258" s="13" t="str">
        <f>IF(Teams[[#This Row],[relevant]], IF(ISERROR(AVERAGEIFS(Fixtures[MR], Fixtures[userTeam], Teams[[#This Row],[name]])), 0, AVERAGEIFS(Fixtures[MR], Fixtures[userTeam], Teams[[#This Row],[name]])), "")</f>
        <v/>
      </c>
      <c r="R258" s="1" t="str">
        <f>IF(Teams[[#This Row],[relevant]], COUNTIFS(Fixtures[userTeam], Teams[[#This Row],[name]], Fixtures[MOTM], TRUE), "")</f>
        <v/>
      </c>
      <c r="S258" s="1" t="str" cm="1">
        <f t="array" ref="S258">IF(Teams[[#This Row],[relevant]], _xlfn.TEXTJOIN(", ", TRUE, _xlfn._xlws.FILTER(Stats[competition]&amp;" ("&amp;Stats[season]&amp;")",(Stats[team]=Teams[[#This Row],[name]])*(Stats[result]="Winner"),"")), "")</f>
        <v/>
      </c>
    </row>
    <row r="259" spans="1:19" ht="13" hidden="1">
      <c r="A259" s="1" t="s">
        <v>146</v>
      </c>
      <c r="B259" s="1" t="s">
        <v>335</v>
      </c>
      <c r="C259" s="1" t="s">
        <v>391</v>
      </c>
      <c r="D259" s="1" t="str">
        <f>UPPER(_xlfn.CONCAT(LEFT(Teams[[#This Row],[teamType]], 1), "-", LEFT(SUBSTITUTE(Teams[[#This Row],[nation]], "/", ""), 3), "-", SUBSTITUTE(SUBSTITUTE(SUBSTITUTE(Teams[[#This Row],[name]], ".", ""), " ", ""), "-", "")))</f>
        <v>C-HUN-FERENCVÁROSITC</v>
      </c>
      <c r="E259" s="16"/>
      <c r="F259" s="16"/>
      <c r="G259" s="1" t="b">
        <f>COUNTBLANK(Teams[[#This Row],[startDate]:[endDate]]) &lt; 2</f>
        <v>0</v>
      </c>
      <c r="H259" s="1" t="str">
        <f>IF(Teams[[#This Row],[relevant]], COUNTIFS(Fixtures[userTeam], Teams[[#This Row],[name]], Fixtures[APP], TRUE), "")</f>
        <v/>
      </c>
      <c r="I259" s="1" t="str">
        <f>IF(Teams[[#This Row],[relevant]], COUNTIFS(Fixtures[userTeam], Teams[[#This Row],[name]], Fixtures[result], "W", Fixtures[APP], TRUE), "")</f>
        <v/>
      </c>
      <c r="J259" s="1" t="str">
        <f>IF(Teams[[#This Row],[relevant]], COUNTIFS(Fixtures[userTeam], Teams[[#This Row],[name]], Fixtures[result], "D", Fixtures[APP], TRUE), "")</f>
        <v/>
      </c>
      <c r="K259" s="1" t="str">
        <f>IF(Teams[[#This Row],[relevant]], COUNTIFS(Fixtures[userTeam], Teams[[#This Row],[name]], Fixtures[result], "L", Fixtures[APP], TRUE), "")</f>
        <v/>
      </c>
      <c r="L259" s="1" t="str">
        <f>IF(Teams[[#This Row],[relevant]], SUMIFS(Fixtures[G], Fixtures[userTeam], Teams[[#This Row],[name]]), "")</f>
        <v/>
      </c>
      <c r="M259" s="1" t="str">
        <f>IF(Teams[[#This Row],[relevant]], SUMIFS(Fixtures[A], Fixtures[userTeam], Teams[[#This Row],[name]]), "")</f>
        <v/>
      </c>
      <c r="N259" s="1" t="str">
        <f>IF(Teams[[#This Row],[relevant]], SUMIFS(Fixtures[INV], Fixtures[userTeam], Teams[[#This Row],[name]]), "")</f>
        <v/>
      </c>
      <c r="O259" s="1" t="str">
        <f>IF(Teams[[#This Row],[relevant]], SUMIFS(Fixtures[YC], Fixtures[userTeam], Teams[[#This Row],[name]]), "")</f>
        <v/>
      </c>
      <c r="P259" s="1" t="str">
        <f>IF(Teams[[#This Row],[relevant]], SUMIFS(Fixtures[RC], Fixtures[userTeam], Teams[[#This Row],[name]]), "")</f>
        <v/>
      </c>
      <c r="Q259" s="13" t="str">
        <f>IF(Teams[[#This Row],[relevant]], IF(ISERROR(AVERAGEIFS(Fixtures[MR], Fixtures[userTeam], Teams[[#This Row],[name]])), 0, AVERAGEIFS(Fixtures[MR], Fixtures[userTeam], Teams[[#This Row],[name]])), "")</f>
        <v/>
      </c>
      <c r="R259" s="1" t="str">
        <f>IF(Teams[[#This Row],[relevant]], COUNTIFS(Fixtures[userTeam], Teams[[#This Row],[name]], Fixtures[MOTM], TRUE), "")</f>
        <v/>
      </c>
      <c r="S259" s="1" t="str" cm="1">
        <f t="array" ref="S259">IF(Teams[[#This Row],[relevant]], _xlfn.TEXTJOIN(", ", TRUE, _xlfn._xlws.FILTER(Stats[competition]&amp;" ("&amp;Stats[season]&amp;")",(Stats[team]=Teams[[#This Row],[name]])*(Stats[result]="Winner"),"")), "")</f>
        <v/>
      </c>
    </row>
    <row r="260" spans="1:19" ht="13" hidden="1">
      <c r="A260" s="1" t="s">
        <v>644</v>
      </c>
      <c r="B260" s="1" t="s">
        <v>425</v>
      </c>
      <c r="C260" s="1" t="s">
        <v>391</v>
      </c>
      <c r="D260" s="1" t="str">
        <f>UPPER(_xlfn.CONCAT(LEFT(Teams[[#This Row],[teamType]], 1), "-", LEFT(SUBSTITUTE(Teams[[#This Row],[nation]], "/", ""), 3), "-", SUBSTITUTE(SUBSTITUTE(SUBSTITUTE(Teams[[#This Row],[name]], ".", ""), " ", ""), "-", "")))</f>
        <v>C-NET-FEYENOORD</v>
      </c>
      <c r="E260" s="16"/>
      <c r="F260" s="16"/>
      <c r="G260" s="1" t="b">
        <f>COUNTBLANK(Teams[[#This Row],[startDate]:[endDate]]) &lt; 2</f>
        <v>0</v>
      </c>
      <c r="H260" s="1" t="str">
        <f>IF(Teams[[#This Row],[relevant]], COUNTIFS(Fixtures[userTeam], Teams[[#This Row],[name]], Fixtures[APP], TRUE), "")</f>
        <v/>
      </c>
      <c r="I260" s="1" t="str">
        <f>IF(Teams[[#This Row],[relevant]], COUNTIFS(Fixtures[userTeam], Teams[[#This Row],[name]], Fixtures[result], "W", Fixtures[APP], TRUE), "")</f>
        <v/>
      </c>
      <c r="J260" s="1" t="str">
        <f>IF(Teams[[#This Row],[relevant]], COUNTIFS(Fixtures[userTeam], Teams[[#This Row],[name]], Fixtures[result], "D", Fixtures[APP], TRUE), "")</f>
        <v/>
      </c>
      <c r="K260" s="1" t="str">
        <f>IF(Teams[[#This Row],[relevant]], COUNTIFS(Fixtures[userTeam], Teams[[#This Row],[name]], Fixtures[result], "L", Fixtures[APP], TRUE), "")</f>
        <v/>
      </c>
      <c r="L260" s="1" t="str">
        <f>IF(Teams[[#This Row],[relevant]], SUMIFS(Fixtures[G], Fixtures[userTeam], Teams[[#This Row],[name]]), "")</f>
        <v/>
      </c>
      <c r="M260" s="1" t="str">
        <f>IF(Teams[[#This Row],[relevant]], SUMIFS(Fixtures[A], Fixtures[userTeam], Teams[[#This Row],[name]]), "")</f>
        <v/>
      </c>
      <c r="N260" s="1" t="str">
        <f>IF(Teams[[#This Row],[relevant]], SUMIFS(Fixtures[INV], Fixtures[userTeam], Teams[[#This Row],[name]]), "")</f>
        <v/>
      </c>
      <c r="O260" s="1" t="str">
        <f>IF(Teams[[#This Row],[relevant]], SUMIFS(Fixtures[YC], Fixtures[userTeam], Teams[[#This Row],[name]]), "")</f>
        <v/>
      </c>
      <c r="P260" s="1" t="str">
        <f>IF(Teams[[#This Row],[relevant]], SUMIFS(Fixtures[RC], Fixtures[userTeam], Teams[[#This Row],[name]]), "")</f>
        <v/>
      </c>
      <c r="Q260" s="13" t="str">
        <f>IF(Teams[[#This Row],[relevant]], IF(ISERROR(AVERAGEIFS(Fixtures[MR], Fixtures[userTeam], Teams[[#This Row],[name]])), 0, AVERAGEIFS(Fixtures[MR], Fixtures[userTeam], Teams[[#This Row],[name]])), "")</f>
        <v/>
      </c>
      <c r="R260" s="1" t="str">
        <f>IF(Teams[[#This Row],[relevant]], COUNTIFS(Fixtures[userTeam], Teams[[#This Row],[name]], Fixtures[MOTM], TRUE), "")</f>
        <v/>
      </c>
      <c r="S260" s="1" t="str" cm="1">
        <f t="array" ref="S260">IF(Teams[[#This Row],[relevant]], _xlfn.TEXTJOIN(", ", TRUE, _xlfn._xlws.FILTER(Stats[competition]&amp;" ("&amp;Stats[season]&amp;")",(Stats[team]=Teams[[#This Row],[name]])*(Stats[result]="Winner"),"")), "")</f>
        <v/>
      </c>
    </row>
    <row r="261" spans="1:19" ht="13" hidden="1">
      <c r="A261" s="1" t="s">
        <v>142</v>
      </c>
      <c r="B261" s="1" t="s">
        <v>142</v>
      </c>
      <c r="C261" s="1" t="s">
        <v>459</v>
      </c>
      <c r="D261" s="1" t="str">
        <f>UPPER(_xlfn.CONCAT(LEFT(Teams[[#This Row],[teamType]], 1), "-", LEFT(SUBSTITUTE(Teams[[#This Row],[nation]], "/", ""), 3), "-", SUBSTITUTE(SUBSTITUTE(SUBSTITUTE(Teams[[#This Row],[name]], ".", ""), " ", ""), "-", "")))</f>
        <v>N-FIN-FINLAND</v>
      </c>
      <c r="E261" s="16"/>
      <c r="F261" s="16"/>
      <c r="G261" s="1" t="b">
        <f>COUNTBLANK(Teams[[#This Row],[startDate]:[endDate]]) &lt; 2</f>
        <v>0</v>
      </c>
      <c r="H261" s="1" t="str">
        <f>IF(Teams[[#This Row],[relevant]], COUNTIFS(Fixtures[userTeam], Teams[[#This Row],[name]], Fixtures[APP], TRUE), "")</f>
        <v/>
      </c>
      <c r="I261" s="1" t="str">
        <f>IF(Teams[[#This Row],[relevant]], COUNTIFS(Fixtures[userTeam], Teams[[#This Row],[name]], Fixtures[result], "W", Fixtures[APP], TRUE), "")</f>
        <v/>
      </c>
      <c r="J261" s="1" t="str">
        <f>IF(Teams[[#This Row],[relevant]], COUNTIFS(Fixtures[userTeam], Teams[[#This Row],[name]], Fixtures[result], "D", Fixtures[APP], TRUE), "")</f>
        <v/>
      </c>
      <c r="K261" s="1" t="str">
        <f>IF(Teams[[#This Row],[relevant]], COUNTIFS(Fixtures[userTeam], Teams[[#This Row],[name]], Fixtures[result], "L", Fixtures[APP], TRUE), "")</f>
        <v/>
      </c>
      <c r="L261" s="1" t="str">
        <f>IF(Teams[[#This Row],[relevant]], SUMIFS(Fixtures[G], Fixtures[userTeam], Teams[[#This Row],[name]]), "")</f>
        <v/>
      </c>
      <c r="M261" s="1" t="str">
        <f>IF(Teams[[#This Row],[relevant]], SUMIFS(Fixtures[A], Fixtures[userTeam], Teams[[#This Row],[name]]), "")</f>
        <v/>
      </c>
      <c r="N261" s="1" t="str">
        <f>IF(Teams[[#This Row],[relevant]], SUMIFS(Fixtures[INV], Fixtures[userTeam], Teams[[#This Row],[name]]), "")</f>
        <v/>
      </c>
      <c r="O261" s="1" t="str">
        <f>IF(Teams[[#This Row],[relevant]], SUMIFS(Fixtures[YC], Fixtures[userTeam], Teams[[#This Row],[name]]), "")</f>
        <v/>
      </c>
      <c r="P261" s="1" t="str">
        <f>IF(Teams[[#This Row],[relevant]], SUMIFS(Fixtures[RC], Fixtures[userTeam], Teams[[#This Row],[name]]), "")</f>
        <v/>
      </c>
      <c r="Q261" s="13" t="str">
        <f>IF(Teams[[#This Row],[relevant]], IF(ISERROR(AVERAGEIFS(Fixtures[MR], Fixtures[userTeam], Teams[[#This Row],[name]])), 0, AVERAGEIFS(Fixtures[MR], Fixtures[userTeam], Teams[[#This Row],[name]])), "")</f>
        <v/>
      </c>
      <c r="R261" s="1" t="str">
        <f>IF(Teams[[#This Row],[relevant]], COUNTIFS(Fixtures[userTeam], Teams[[#This Row],[name]], Fixtures[MOTM], TRUE), "")</f>
        <v/>
      </c>
      <c r="S261" s="1" t="str" cm="1">
        <f t="array" ref="S261">IF(Teams[[#This Row],[relevant]], _xlfn.TEXTJOIN(", ", TRUE, _xlfn._xlws.FILTER(Stats[competition]&amp;" ("&amp;Stats[season]&amp;")",(Stats[team]=Teams[[#This Row],[name]])*(Stats[result]="Winner"),"")), "")</f>
        <v/>
      </c>
    </row>
    <row r="262" spans="1:19" ht="13" hidden="1">
      <c r="A262" s="1" t="s">
        <v>645</v>
      </c>
      <c r="B262" s="1" t="s">
        <v>270</v>
      </c>
      <c r="C262" s="1" t="s">
        <v>391</v>
      </c>
      <c r="D262" s="1" t="str">
        <f>UPPER(_xlfn.CONCAT(LEFT(Teams[[#This Row],[teamType]], 1), "-", LEFT(SUBSTITUTE(Teams[[#This Row],[nation]], "/", ""), 3), "-", SUBSTITUTE(SUBSTITUTE(SUBSTITUTE(Teams[[#This Row],[name]], ".", ""), " ", ""), "-", "")))</f>
        <v>C-IRE-FINNHARPS</v>
      </c>
      <c r="E262" s="16"/>
      <c r="F262" s="16"/>
      <c r="G262" s="1" t="b">
        <f>COUNTBLANK(Teams[[#This Row],[startDate]:[endDate]]) &lt; 2</f>
        <v>0</v>
      </c>
      <c r="H262" s="1" t="str">
        <f>IF(Teams[[#This Row],[relevant]], COUNTIFS(Fixtures[userTeam], Teams[[#This Row],[name]], Fixtures[APP], TRUE), "")</f>
        <v/>
      </c>
      <c r="I262" s="1" t="str">
        <f>IF(Teams[[#This Row],[relevant]], COUNTIFS(Fixtures[userTeam], Teams[[#This Row],[name]], Fixtures[result], "W", Fixtures[APP], TRUE), "")</f>
        <v/>
      </c>
      <c r="J262" s="1" t="str">
        <f>IF(Teams[[#This Row],[relevant]], COUNTIFS(Fixtures[userTeam], Teams[[#This Row],[name]], Fixtures[result], "D", Fixtures[APP], TRUE), "")</f>
        <v/>
      </c>
      <c r="K262" s="1" t="str">
        <f>IF(Teams[[#This Row],[relevant]], COUNTIFS(Fixtures[userTeam], Teams[[#This Row],[name]], Fixtures[result], "L", Fixtures[APP], TRUE), "")</f>
        <v/>
      </c>
      <c r="L262" s="1" t="str">
        <f>IF(Teams[[#This Row],[relevant]], SUMIFS(Fixtures[G], Fixtures[userTeam], Teams[[#This Row],[name]]), "")</f>
        <v/>
      </c>
      <c r="M262" s="1" t="str">
        <f>IF(Teams[[#This Row],[relevant]], SUMIFS(Fixtures[A], Fixtures[userTeam], Teams[[#This Row],[name]]), "")</f>
        <v/>
      </c>
      <c r="N262" s="1" t="str">
        <f>IF(Teams[[#This Row],[relevant]], SUMIFS(Fixtures[INV], Fixtures[userTeam], Teams[[#This Row],[name]]), "")</f>
        <v/>
      </c>
      <c r="O262" s="1" t="str">
        <f>IF(Teams[[#This Row],[relevant]], SUMIFS(Fixtures[YC], Fixtures[userTeam], Teams[[#This Row],[name]]), "")</f>
        <v/>
      </c>
      <c r="P262" s="1" t="str">
        <f>IF(Teams[[#This Row],[relevant]], SUMIFS(Fixtures[RC], Fixtures[userTeam], Teams[[#This Row],[name]]), "")</f>
        <v/>
      </c>
      <c r="Q262" s="13" t="str">
        <f>IF(Teams[[#This Row],[relevant]], IF(ISERROR(AVERAGEIFS(Fixtures[MR], Fixtures[userTeam], Teams[[#This Row],[name]])), 0, AVERAGEIFS(Fixtures[MR], Fixtures[userTeam], Teams[[#This Row],[name]])), "")</f>
        <v/>
      </c>
      <c r="R262" s="1" t="str">
        <f>IF(Teams[[#This Row],[relevant]], COUNTIFS(Fixtures[userTeam], Teams[[#This Row],[name]], Fixtures[MOTM], TRUE), "")</f>
        <v/>
      </c>
      <c r="S262" s="1" t="str" cm="1">
        <f t="array" ref="S262">IF(Teams[[#This Row],[relevant]], _xlfn.TEXTJOIN(", ", TRUE, _xlfn._xlws.FILTER(Stats[competition]&amp;" ("&amp;Stats[season]&amp;")",(Stats[team]=Teams[[#This Row],[name]])*(Stats[result]="Winner"),"")), "")</f>
        <v/>
      </c>
    </row>
    <row r="263" spans="1:19" ht="13" hidden="1">
      <c r="A263" s="1" t="s">
        <v>139</v>
      </c>
      <c r="B263" s="1" t="s">
        <v>254</v>
      </c>
      <c r="C263" s="1" t="s">
        <v>391</v>
      </c>
      <c r="D263" s="1" t="str">
        <f>UPPER(_xlfn.CONCAT(LEFT(Teams[[#This Row],[teamType]], 1), "-", LEFT(SUBSTITUTE(Teams[[#This Row],[nation]], "/", ""), 3), "-", SUBSTITUTE(SUBSTITUTE(SUBSTITUTE(Teams[[#This Row],[name]], ".", ""), " ", ""), "-", "")))</f>
        <v>C-ITA-FIORENTINA</v>
      </c>
      <c r="E263" s="16"/>
      <c r="F263" s="16"/>
      <c r="G263" s="1" t="b">
        <f>COUNTBLANK(Teams[[#This Row],[startDate]:[endDate]]) &lt; 2</f>
        <v>0</v>
      </c>
      <c r="H263" s="1" t="str">
        <f>IF(Teams[[#This Row],[relevant]], COUNTIFS(Fixtures[userTeam], Teams[[#This Row],[name]], Fixtures[APP], TRUE), "")</f>
        <v/>
      </c>
      <c r="I263" s="1" t="str">
        <f>IF(Teams[[#This Row],[relevant]], COUNTIFS(Fixtures[userTeam], Teams[[#This Row],[name]], Fixtures[result], "W", Fixtures[APP], TRUE), "")</f>
        <v/>
      </c>
      <c r="J263" s="1" t="str">
        <f>IF(Teams[[#This Row],[relevant]], COUNTIFS(Fixtures[userTeam], Teams[[#This Row],[name]], Fixtures[result], "D", Fixtures[APP], TRUE), "")</f>
        <v/>
      </c>
      <c r="K263" s="1" t="str">
        <f>IF(Teams[[#This Row],[relevant]], COUNTIFS(Fixtures[userTeam], Teams[[#This Row],[name]], Fixtures[result], "L", Fixtures[APP], TRUE), "")</f>
        <v/>
      </c>
      <c r="L263" s="1" t="str">
        <f>IF(Teams[[#This Row],[relevant]], SUMIFS(Fixtures[G], Fixtures[userTeam], Teams[[#This Row],[name]]), "")</f>
        <v/>
      </c>
      <c r="M263" s="1" t="str">
        <f>IF(Teams[[#This Row],[relevant]], SUMIFS(Fixtures[A], Fixtures[userTeam], Teams[[#This Row],[name]]), "")</f>
        <v/>
      </c>
      <c r="N263" s="1" t="str">
        <f>IF(Teams[[#This Row],[relevant]], SUMIFS(Fixtures[INV], Fixtures[userTeam], Teams[[#This Row],[name]]), "")</f>
        <v/>
      </c>
      <c r="O263" s="1" t="str">
        <f>IF(Teams[[#This Row],[relevant]], SUMIFS(Fixtures[YC], Fixtures[userTeam], Teams[[#This Row],[name]]), "")</f>
        <v/>
      </c>
      <c r="P263" s="1" t="str">
        <f>IF(Teams[[#This Row],[relevant]], SUMIFS(Fixtures[RC], Fixtures[userTeam], Teams[[#This Row],[name]]), "")</f>
        <v/>
      </c>
      <c r="Q263" s="13" t="str">
        <f>IF(Teams[[#This Row],[relevant]], IF(ISERROR(AVERAGEIFS(Fixtures[MR], Fixtures[userTeam], Teams[[#This Row],[name]])), 0, AVERAGEIFS(Fixtures[MR], Fixtures[userTeam], Teams[[#This Row],[name]])), "")</f>
        <v/>
      </c>
      <c r="R263" s="1" t="str">
        <f>IF(Teams[[#This Row],[relevant]], COUNTIFS(Fixtures[userTeam], Teams[[#This Row],[name]], Fixtures[MOTM], TRUE), "")</f>
        <v/>
      </c>
      <c r="S263" s="1" t="str" cm="1">
        <f t="array" ref="S263">IF(Teams[[#This Row],[relevant]], _xlfn.TEXTJOIN(", ", TRUE, _xlfn._xlws.FILTER(Stats[competition]&amp;" ("&amp;Stats[season]&amp;")",(Stats[team]=Teams[[#This Row],[name]])*(Stats[result]="Winner"),"")), "")</f>
        <v/>
      </c>
    </row>
    <row r="264" spans="1:19" ht="13" hidden="1">
      <c r="A264" s="1" t="s">
        <v>646</v>
      </c>
      <c r="B264" s="1" t="s">
        <v>414</v>
      </c>
      <c r="C264" s="1" t="s">
        <v>391</v>
      </c>
      <c r="D264" s="1" t="str">
        <f>UPPER(_xlfn.CONCAT(LEFT(Teams[[#This Row],[teamType]], 1), "-", LEFT(SUBSTITUTE(Teams[[#This Row],[nation]], "/", ""), 3), "-", SUBSTITUTE(SUBSTITUTE(SUBSTITUTE(Teams[[#This Row],[name]], ".", ""), " ", ""), "-", "")))</f>
        <v>C-AUS-FKAUSTRIAWIEN</v>
      </c>
      <c r="E264" s="16"/>
      <c r="F264" s="16"/>
      <c r="G264" s="1" t="b">
        <f>COUNTBLANK(Teams[[#This Row],[startDate]:[endDate]]) &lt; 2</f>
        <v>0</v>
      </c>
      <c r="H264" s="1" t="str">
        <f>IF(Teams[[#This Row],[relevant]], COUNTIFS(Fixtures[userTeam], Teams[[#This Row],[name]], Fixtures[APP], TRUE), "")</f>
        <v/>
      </c>
      <c r="I264" s="1" t="str">
        <f>IF(Teams[[#This Row],[relevant]], COUNTIFS(Fixtures[userTeam], Teams[[#This Row],[name]], Fixtures[result], "W", Fixtures[APP], TRUE), "")</f>
        <v/>
      </c>
      <c r="J264" s="1" t="str">
        <f>IF(Teams[[#This Row],[relevant]], COUNTIFS(Fixtures[userTeam], Teams[[#This Row],[name]], Fixtures[result], "D", Fixtures[APP], TRUE), "")</f>
        <v/>
      </c>
      <c r="K264" s="1" t="str">
        <f>IF(Teams[[#This Row],[relevant]], COUNTIFS(Fixtures[userTeam], Teams[[#This Row],[name]], Fixtures[result], "L", Fixtures[APP], TRUE), "")</f>
        <v/>
      </c>
      <c r="L264" s="1" t="str">
        <f>IF(Teams[[#This Row],[relevant]], SUMIFS(Fixtures[G], Fixtures[userTeam], Teams[[#This Row],[name]]), "")</f>
        <v/>
      </c>
      <c r="M264" s="1" t="str">
        <f>IF(Teams[[#This Row],[relevant]], SUMIFS(Fixtures[A], Fixtures[userTeam], Teams[[#This Row],[name]]), "")</f>
        <v/>
      </c>
      <c r="N264" s="1" t="str">
        <f>IF(Teams[[#This Row],[relevant]], SUMIFS(Fixtures[INV], Fixtures[userTeam], Teams[[#This Row],[name]]), "")</f>
        <v/>
      </c>
      <c r="O264" s="1" t="str">
        <f>IF(Teams[[#This Row],[relevant]], SUMIFS(Fixtures[YC], Fixtures[userTeam], Teams[[#This Row],[name]]), "")</f>
        <v/>
      </c>
      <c r="P264" s="1" t="str">
        <f>IF(Teams[[#This Row],[relevant]], SUMIFS(Fixtures[RC], Fixtures[userTeam], Teams[[#This Row],[name]]), "")</f>
        <v/>
      </c>
      <c r="Q264" s="13" t="str">
        <f>IF(Teams[[#This Row],[relevant]], IF(ISERROR(AVERAGEIFS(Fixtures[MR], Fixtures[userTeam], Teams[[#This Row],[name]])), 0, AVERAGEIFS(Fixtures[MR], Fixtures[userTeam], Teams[[#This Row],[name]])), "")</f>
        <v/>
      </c>
      <c r="R264" s="1" t="str">
        <f>IF(Teams[[#This Row],[relevant]], COUNTIFS(Fixtures[userTeam], Teams[[#This Row],[name]], Fixtures[MOTM], TRUE), "")</f>
        <v/>
      </c>
      <c r="S264" s="1" t="str" cm="1">
        <f t="array" ref="S264">IF(Teams[[#This Row],[relevant]], _xlfn.TEXTJOIN(", ", TRUE, _xlfn._xlws.FILTER(Stats[competition]&amp;" ("&amp;Stats[season]&amp;")",(Stats[team]=Teams[[#This Row],[name]])*(Stats[result]="Winner"),"")), "")</f>
        <v/>
      </c>
    </row>
    <row r="265" spans="1:19" ht="13" hidden="1">
      <c r="A265" s="1" t="s">
        <v>647</v>
      </c>
      <c r="B265" s="1" t="s">
        <v>286</v>
      </c>
      <c r="C265" s="1" t="s">
        <v>391</v>
      </c>
      <c r="D265" s="1" t="str">
        <f>UPPER(_xlfn.CONCAT(LEFT(Teams[[#This Row],[teamType]], 1), "-", LEFT(SUBSTITUTE(Teams[[#This Row],[nation]], "/", ""), 3), "-", SUBSTITUTE(SUBSTITUTE(SUBSTITUTE(Teams[[#This Row],[name]], ".", ""), " ", ""), "-", "")))</f>
        <v>C-NOR-FKBODØ/GLIMT</v>
      </c>
      <c r="E265" s="16"/>
      <c r="F265" s="16"/>
      <c r="G265" s="1" t="b">
        <f>COUNTBLANK(Teams[[#This Row],[startDate]:[endDate]]) &lt; 2</f>
        <v>0</v>
      </c>
      <c r="H265" s="1" t="str">
        <f>IF(Teams[[#This Row],[relevant]], COUNTIFS(Fixtures[userTeam], Teams[[#This Row],[name]], Fixtures[APP], TRUE), "")</f>
        <v/>
      </c>
      <c r="I265" s="1" t="str">
        <f>IF(Teams[[#This Row],[relevant]], COUNTIFS(Fixtures[userTeam], Teams[[#This Row],[name]], Fixtures[result], "W", Fixtures[APP], TRUE), "")</f>
        <v/>
      </c>
      <c r="J265" s="1" t="str">
        <f>IF(Teams[[#This Row],[relevant]], COUNTIFS(Fixtures[userTeam], Teams[[#This Row],[name]], Fixtures[result], "D", Fixtures[APP], TRUE), "")</f>
        <v/>
      </c>
      <c r="K265" s="1" t="str">
        <f>IF(Teams[[#This Row],[relevant]], COUNTIFS(Fixtures[userTeam], Teams[[#This Row],[name]], Fixtures[result], "L", Fixtures[APP], TRUE), "")</f>
        <v/>
      </c>
      <c r="L265" s="1" t="str">
        <f>IF(Teams[[#This Row],[relevant]], SUMIFS(Fixtures[G], Fixtures[userTeam], Teams[[#This Row],[name]]), "")</f>
        <v/>
      </c>
      <c r="M265" s="1" t="str">
        <f>IF(Teams[[#This Row],[relevant]], SUMIFS(Fixtures[A], Fixtures[userTeam], Teams[[#This Row],[name]]), "")</f>
        <v/>
      </c>
      <c r="N265" s="1" t="str">
        <f>IF(Teams[[#This Row],[relevant]], SUMIFS(Fixtures[INV], Fixtures[userTeam], Teams[[#This Row],[name]]), "")</f>
        <v/>
      </c>
      <c r="O265" s="1" t="str">
        <f>IF(Teams[[#This Row],[relevant]], SUMIFS(Fixtures[YC], Fixtures[userTeam], Teams[[#This Row],[name]]), "")</f>
        <v/>
      </c>
      <c r="P265" s="1" t="str">
        <f>IF(Teams[[#This Row],[relevant]], SUMIFS(Fixtures[RC], Fixtures[userTeam], Teams[[#This Row],[name]]), "")</f>
        <v/>
      </c>
      <c r="Q265" s="13" t="str">
        <f>IF(Teams[[#This Row],[relevant]], IF(ISERROR(AVERAGEIFS(Fixtures[MR], Fixtures[userTeam], Teams[[#This Row],[name]])), 0, AVERAGEIFS(Fixtures[MR], Fixtures[userTeam], Teams[[#This Row],[name]])), "")</f>
        <v/>
      </c>
      <c r="R265" s="1" t="str">
        <f>IF(Teams[[#This Row],[relevant]], COUNTIFS(Fixtures[userTeam], Teams[[#This Row],[name]], Fixtures[MOTM], TRUE), "")</f>
        <v/>
      </c>
      <c r="S265" s="1" t="str" cm="1">
        <f t="array" ref="S265">IF(Teams[[#This Row],[relevant]], _xlfn.TEXTJOIN(", ", TRUE, _xlfn._xlws.FILTER(Stats[competition]&amp;" ("&amp;Stats[season]&amp;")",(Stats[team]=Teams[[#This Row],[name]])*(Stats[result]="Winner"),"")), "")</f>
        <v/>
      </c>
    </row>
    <row r="266" spans="1:19" ht="13" hidden="1">
      <c r="A266" s="1" t="s">
        <v>648</v>
      </c>
      <c r="B266" s="1" t="s">
        <v>286</v>
      </c>
      <c r="C266" s="1" t="s">
        <v>391</v>
      </c>
      <c r="D266" s="1" t="str">
        <f>UPPER(_xlfn.CONCAT(LEFT(Teams[[#This Row],[teamType]], 1), "-", LEFT(SUBSTITUTE(Teams[[#This Row],[nation]], "/", ""), 3), "-", SUBSTITUTE(SUBSTITUTE(SUBSTITUTE(Teams[[#This Row],[name]], ".", ""), " ", ""), "-", "")))</f>
        <v>C-NOR-FKHAUGESUND</v>
      </c>
      <c r="E266" s="16"/>
      <c r="F266" s="16"/>
      <c r="G266" s="1" t="b">
        <f>COUNTBLANK(Teams[[#This Row],[startDate]:[endDate]]) &lt; 2</f>
        <v>0</v>
      </c>
      <c r="H266" s="1" t="str">
        <f>IF(Teams[[#This Row],[relevant]], COUNTIFS(Fixtures[userTeam], Teams[[#This Row],[name]], Fixtures[APP], TRUE), "")</f>
        <v/>
      </c>
      <c r="I266" s="1" t="str">
        <f>IF(Teams[[#This Row],[relevant]], COUNTIFS(Fixtures[userTeam], Teams[[#This Row],[name]], Fixtures[result], "W", Fixtures[APP], TRUE), "")</f>
        <v/>
      </c>
      <c r="J266" s="1" t="str">
        <f>IF(Teams[[#This Row],[relevant]], COUNTIFS(Fixtures[userTeam], Teams[[#This Row],[name]], Fixtures[result], "D", Fixtures[APP], TRUE), "")</f>
        <v/>
      </c>
      <c r="K266" s="1" t="str">
        <f>IF(Teams[[#This Row],[relevant]], COUNTIFS(Fixtures[userTeam], Teams[[#This Row],[name]], Fixtures[result], "L", Fixtures[APP], TRUE), "")</f>
        <v/>
      </c>
      <c r="L266" s="1" t="str">
        <f>IF(Teams[[#This Row],[relevant]], SUMIFS(Fixtures[G], Fixtures[userTeam], Teams[[#This Row],[name]]), "")</f>
        <v/>
      </c>
      <c r="M266" s="1" t="str">
        <f>IF(Teams[[#This Row],[relevant]], SUMIFS(Fixtures[A], Fixtures[userTeam], Teams[[#This Row],[name]]), "")</f>
        <v/>
      </c>
      <c r="N266" s="1" t="str">
        <f>IF(Teams[[#This Row],[relevant]], SUMIFS(Fixtures[INV], Fixtures[userTeam], Teams[[#This Row],[name]]), "")</f>
        <v/>
      </c>
      <c r="O266" s="1" t="str">
        <f>IF(Teams[[#This Row],[relevant]], SUMIFS(Fixtures[YC], Fixtures[userTeam], Teams[[#This Row],[name]]), "")</f>
        <v/>
      </c>
      <c r="P266" s="1" t="str">
        <f>IF(Teams[[#This Row],[relevant]], SUMIFS(Fixtures[RC], Fixtures[userTeam], Teams[[#This Row],[name]]), "")</f>
        <v/>
      </c>
      <c r="Q266" s="13" t="str">
        <f>IF(Teams[[#This Row],[relevant]], IF(ISERROR(AVERAGEIFS(Fixtures[MR], Fixtures[userTeam], Teams[[#This Row],[name]])), 0, AVERAGEIFS(Fixtures[MR], Fixtures[userTeam], Teams[[#This Row],[name]])), "")</f>
        <v/>
      </c>
      <c r="R266" s="1" t="str">
        <f>IF(Teams[[#This Row],[relevant]], COUNTIFS(Fixtures[userTeam], Teams[[#This Row],[name]], Fixtures[MOTM], TRUE), "")</f>
        <v/>
      </c>
      <c r="S266" s="1" t="str" cm="1">
        <f t="array" ref="S266">IF(Teams[[#This Row],[relevant]], _xlfn.TEXTJOIN(", ", TRUE, _xlfn._xlws.FILTER(Stats[competition]&amp;" ("&amp;Stats[season]&amp;")",(Stats[team]=Teams[[#This Row],[name]])*(Stats[result]="Winner"),"")), "")</f>
        <v/>
      </c>
    </row>
    <row r="267" spans="1:19" ht="13" hidden="1">
      <c r="A267" s="1" t="s">
        <v>649</v>
      </c>
      <c r="B267" s="1" t="s">
        <v>286</v>
      </c>
      <c r="C267" s="1" t="s">
        <v>391</v>
      </c>
      <c r="D267" s="1" t="str">
        <f>UPPER(_xlfn.CONCAT(LEFT(Teams[[#This Row],[teamType]], 1), "-", LEFT(SUBSTITUTE(Teams[[#This Row],[nation]], "/", ""), 3), "-", SUBSTITUTE(SUBSTITUTE(SUBSTITUTE(Teams[[#This Row],[name]], ".", ""), " ", ""), "-", "")))</f>
        <v>C-NOR-FKJERV</v>
      </c>
      <c r="E267" s="16"/>
      <c r="F267" s="16"/>
      <c r="G267" s="1" t="b">
        <f>COUNTBLANK(Teams[[#This Row],[startDate]:[endDate]]) &lt; 2</f>
        <v>0</v>
      </c>
      <c r="H267" s="1" t="str">
        <f>IF(Teams[[#This Row],[relevant]], COUNTIFS(Fixtures[userTeam], Teams[[#This Row],[name]], Fixtures[APP], TRUE), "")</f>
        <v/>
      </c>
      <c r="I267" s="1" t="str">
        <f>IF(Teams[[#This Row],[relevant]], COUNTIFS(Fixtures[userTeam], Teams[[#This Row],[name]], Fixtures[result], "W", Fixtures[APP], TRUE), "")</f>
        <v/>
      </c>
      <c r="J267" s="1" t="str">
        <f>IF(Teams[[#This Row],[relevant]], COUNTIFS(Fixtures[userTeam], Teams[[#This Row],[name]], Fixtures[result], "D", Fixtures[APP], TRUE), "")</f>
        <v/>
      </c>
      <c r="K267" s="1" t="str">
        <f>IF(Teams[[#This Row],[relevant]], COUNTIFS(Fixtures[userTeam], Teams[[#This Row],[name]], Fixtures[result], "L", Fixtures[APP], TRUE), "")</f>
        <v/>
      </c>
      <c r="L267" s="1" t="str">
        <f>IF(Teams[[#This Row],[relevant]], SUMIFS(Fixtures[G], Fixtures[userTeam], Teams[[#This Row],[name]]), "")</f>
        <v/>
      </c>
      <c r="M267" s="1" t="str">
        <f>IF(Teams[[#This Row],[relevant]], SUMIFS(Fixtures[A], Fixtures[userTeam], Teams[[#This Row],[name]]), "")</f>
        <v/>
      </c>
      <c r="N267" s="1" t="str">
        <f>IF(Teams[[#This Row],[relevant]], SUMIFS(Fixtures[INV], Fixtures[userTeam], Teams[[#This Row],[name]]), "")</f>
        <v/>
      </c>
      <c r="O267" s="1" t="str">
        <f>IF(Teams[[#This Row],[relevant]], SUMIFS(Fixtures[YC], Fixtures[userTeam], Teams[[#This Row],[name]]), "")</f>
        <v/>
      </c>
      <c r="P267" s="1" t="str">
        <f>IF(Teams[[#This Row],[relevant]], SUMIFS(Fixtures[RC], Fixtures[userTeam], Teams[[#This Row],[name]]), "")</f>
        <v/>
      </c>
      <c r="Q267" s="13" t="str">
        <f>IF(Teams[[#This Row],[relevant]], IF(ISERROR(AVERAGEIFS(Fixtures[MR], Fixtures[userTeam], Teams[[#This Row],[name]])), 0, AVERAGEIFS(Fixtures[MR], Fixtures[userTeam], Teams[[#This Row],[name]])), "")</f>
        <v/>
      </c>
      <c r="R267" s="1" t="str">
        <f>IF(Teams[[#This Row],[relevant]], COUNTIFS(Fixtures[userTeam], Teams[[#This Row],[name]], Fixtures[MOTM], TRUE), "")</f>
        <v/>
      </c>
      <c r="S267" s="1" t="str" cm="1">
        <f t="array" ref="S267">IF(Teams[[#This Row],[relevant]], _xlfn.TEXTJOIN(", ", TRUE, _xlfn._xlws.FILTER(Stats[competition]&amp;" ("&amp;Stats[season]&amp;")",(Stats[team]=Teams[[#This Row],[name]])*(Stats[result]="Winner"),"")), "")</f>
        <v/>
      </c>
    </row>
    <row r="268" spans="1:19" ht="13" hidden="1">
      <c r="A268" s="1" t="s">
        <v>650</v>
      </c>
      <c r="B268" s="1" t="s">
        <v>451</v>
      </c>
      <c r="C268" s="1" t="s">
        <v>391</v>
      </c>
      <c r="D268" s="1" t="str">
        <f>UPPER(_xlfn.CONCAT(LEFT(Teams[[#This Row],[teamType]], 1), "-", LEFT(SUBSTITUTE(Teams[[#This Row],[nation]], "/", ""), 3), "-", SUBSTITUTE(SUBSTITUTE(SUBSTITUTE(Teams[[#This Row],[name]], ".", ""), " ", ""), "-", "")))</f>
        <v>C-BRA-FLAMENGO</v>
      </c>
      <c r="E268" s="16"/>
      <c r="F268" s="16"/>
      <c r="G268" s="1" t="b">
        <f>COUNTBLANK(Teams[[#This Row],[startDate]:[endDate]]) &lt; 2</f>
        <v>0</v>
      </c>
      <c r="H268" s="1" t="str">
        <f>IF(Teams[[#This Row],[relevant]], COUNTIFS(Fixtures[userTeam], Teams[[#This Row],[name]], Fixtures[APP], TRUE), "")</f>
        <v/>
      </c>
      <c r="I268" s="1" t="str">
        <f>IF(Teams[[#This Row],[relevant]], COUNTIFS(Fixtures[userTeam], Teams[[#This Row],[name]], Fixtures[result], "W", Fixtures[APP], TRUE), "")</f>
        <v/>
      </c>
      <c r="J268" s="1" t="str">
        <f>IF(Teams[[#This Row],[relevant]], COUNTIFS(Fixtures[userTeam], Teams[[#This Row],[name]], Fixtures[result], "D", Fixtures[APP], TRUE), "")</f>
        <v/>
      </c>
      <c r="K268" s="1" t="str">
        <f>IF(Teams[[#This Row],[relevant]], COUNTIFS(Fixtures[userTeam], Teams[[#This Row],[name]], Fixtures[result], "L", Fixtures[APP], TRUE), "")</f>
        <v/>
      </c>
      <c r="L268" s="1" t="str">
        <f>IF(Teams[[#This Row],[relevant]], SUMIFS(Fixtures[G], Fixtures[userTeam], Teams[[#This Row],[name]]), "")</f>
        <v/>
      </c>
      <c r="M268" s="1" t="str">
        <f>IF(Teams[[#This Row],[relevant]], SUMIFS(Fixtures[A], Fixtures[userTeam], Teams[[#This Row],[name]]), "")</f>
        <v/>
      </c>
      <c r="N268" s="1" t="str">
        <f>IF(Teams[[#This Row],[relevant]], SUMIFS(Fixtures[INV], Fixtures[userTeam], Teams[[#This Row],[name]]), "")</f>
        <v/>
      </c>
      <c r="O268" s="1" t="str">
        <f>IF(Teams[[#This Row],[relevant]], SUMIFS(Fixtures[YC], Fixtures[userTeam], Teams[[#This Row],[name]]), "")</f>
        <v/>
      </c>
      <c r="P268" s="1" t="str">
        <f>IF(Teams[[#This Row],[relevant]], SUMIFS(Fixtures[RC], Fixtures[userTeam], Teams[[#This Row],[name]]), "")</f>
        <v/>
      </c>
      <c r="Q268" s="13" t="str">
        <f>IF(Teams[[#This Row],[relevant]], IF(ISERROR(AVERAGEIFS(Fixtures[MR], Fixtures[userTeam], Teams[[#This Row],[name]])), 0, AVERAGEIFS(Fixtures[MR], Fixtures[userTeam], Teams[[#This Row],[name]])), "")</f>
        <v/>
      </c>
      <c r="R268" s="1" t="str">
        <f>IF(Teams[[#This Row],[relevant]], COUNTIFS(Fixtures[userTeam], Teams[[#This Row],[name]], Fixtures[MOTM], TRUE), "")</f>
        <v/>
      </c>
      <c r="S268" s="1" t="str" cm="1">
        <f t="array" ref="S268">IF(Teams[[#This Row],[relevant]], _xlfn.TEXTJOIN(", ", TRUE, _xlfn._xlws.FILTER(Stats[competition]&amp;" ("&amp;Stats[season]&amp;")",(Stats[team]=Teams[[#This Row],[name]])*(Stats[result]="Winner"),"")), "")</f>
        <v/>
      </c>
    </row>
    <row r="269" spans="1:19" ht="13" hidden="1">
      <c r="A269" s="1" t="s">
        <v>218</v>
      </c>
      <c r="B269" s="1" t="s">
        <v>152</v>
      </c>
      <c r="C269" s="1" t="s">
        <v>391</v>
      </c>
      <c r="D269" s="1" t="str">
        <f>UPPER(_xlfn.CONCAT(LEFT(Teams[[#This Row],[teamType]], 1), "-", LEFT(SUBSTITUTE(Teams[[#This Row],[nation]], "/", ""), 3), "-", SUBSTITUTE(SUBSTITUTE(SUBSTITUTE(Teams[[#This Row],[name]], ".", ""), " ", ""), "-", "")))</f>
        <v>C-ENG-FLEETWOODTOWN</v>
      </c>
      <c r="E269" s="16"/>
      <c r="F269" s="16"/>
      <c r="G269" s="1" t="b">
        <f>COUNTBLANK(Teams[[#This Row],[startDate]:[endDate]]) &lt; 2</f>
        <v>0</v>
      </c>
      <c r="H269" s="1" t="str">
        <f>IF(Teams[[#This Row],[relevant]], COUNTIFS(Fixtures[userTeam], Teams[[#This Row],[name]], Fixtures[APP], TRUE), "")</f>
        <v/>
      </c>
      <c r="I269" s="1" t="str">
        <f>IF(Teams[[#This Row],[relevant]], COUNTIFS(Fixtures[userTeam], Teams[[#This Row],[name]], Fixtures[result], "W", Fixtures[APP], TRUE), "")</f>
        <v/>
      </c>
      <c r="J269" s="1" t="str">
        <f>IF(Teams[[#This Row],[relevant]], COUNTIFS(Fixtures[userTeam], Teams[[#This Row],[name]], Fixtures[result], "D", Fixtures[APP], TRUE), "")</f>
        <v/>
      </c>
      <c r="K269" s="1" t="str">
        <f>IF(Teams[[#This Row],[relevant]], COUNTIFS(Fixtures[userTeam], Teams[[#This Row],[name]], Fixtures[result], "L", Fixtures[APP], TRUE), "")</f>
        <v/>
      </c>
      <c r="L269" s="1" t="str">
        <f>IF(Teams[[#This Row],[relevant]], SUMIFS(Fixtures[G], Fixtures[userTeam], Teams[[#This Row],[name]]), "")</f>
        <v/>
      </c>
      <c r="M269" s="1" t="str">
        <f>IF(Teams[[#This Row],[relevant]], SUMIFS(Fixtures[A], Fixtures[userTeam], Teams[[#This Row],[name]]), "")</f>
        <v/>
      </c>
      <c r="N269" s="1" t="str">
        <f>IF(Teams[[#This Row],[relevant]], SUMIFS(Fixtures[INV], Fixtures[userTeam], Teams[[#This Row],[name]]), "")</f>
        <v/>
      </c>
      <c r="O269" s="1" t="str">
        <f>IF(Teams[[#This Row],[relevant]], SUMIFS(Fixtures[YC], Fixtures[userTeam], Teams[[#This Row],[name]]), "")</f>
        <v/>
      </c>
      <c r="P269" s="1" t="str">
        <f>IF(Teams[[#This Row],[relevant]], SUMIFS(Fixtures[RC], Fixtures[userTeam], Teams[[#This Row],[name]]), "")</f>
        <v/>
      </c>
      <c r="Q269" s="13" t="str">
        <f>IF(Teams[[#This Row],[relevant]], IF(ISERROR(AVERAGEIFS(Fixtures[MR], Fixtures[userTeam], Teams[[#This Row],[name]])), 0, AVERAGEIFS(Fixtures[MR], Fixtures[userTeam], Teams[[#This Row],[name]])), "")</f>
        <v/>
      </c>
      <c r="R269" s="1" t="str">
        <f>IF(Teams[[#This Row],[relevant]], COUNTIFS(Fixtures[userTeam], Teams[[#This Row],[name]], Fixtures[MOTM], TRUE), "")</f>
        <v/>
      </c>
      <c r="S269" s="1" t="str" cm="1">
        <f t="array" ref="S269">IF(Teams[[#This Row],[relevant]], _xlfn.TEXTJOIN(", ", TRUE, _xlfn._xlws.FILTER(Stats[competition]&amp;" ("&amp;Stats[season]&amp;")",(Stats[team]=Teams[[#This Row],[name]])*(Stats[result]="Winner"),"")), "")</f>
        <v/>
      </c>
    </row>
    <row r="270" spans="1:19" ht="13" hidden="1">
      <c r="A270" s="1" t="s">
        <v>651</v>
      </c>
      <c r="B270" s="1" t="s">
        <v>451</v>
      </c>
      <c r="C270" s="1" t="s">
        <v>391</v>
      </c>
      <c r="D270" s="1" t="str">
        <f>UPPER(_xlfn.CONCAT(LEFT(Teams[[#This Row],[teamType]], 1), "-", LEFT(SUBSTITUTE(Teams[[#This Row],[nation]], "/", ""), 3), "-", SUBSTITUTE(SUBSTITUTE(SUBSTITUTE(Teams[[#This Row],[name]], ".", ""), " ", ""), "-", "")))</f>
        <v>C-BRA-FLUMINENSE</v>
      </c>
      <c r="E270" s="16"/>
      <c r="F270" s="16"/>
      <c r="G270" s="1" t="b">
        <f>COUNTBLANK(Teams[[#This Row],[startDate]:[endDate]]) &lt; 2</f>
        <v>0</v>
      </c>
      <c r="H270" s="1" t="str">
        <f>IF(Teams[[#This Row],[relevant]], COUNTIFS(Fixtures[userTeam], Teams[[#This Row],[name]], Fixtures[APP], TRUE), "")</f>
        <v/>
      </c>
      <c r="I270" s="1" t="str">
        <f>IF(Teams[[#This Row],[relevant]], COUNTIFS(Fixtures[userTeam], Teams[[#This Row],[name]], Fixtures[result], "W", Fixtures[APP], TRUE), "")</f>
        <v/>
      </c>
      <c r="J270" s="1" t="str">
        <f>IF(Teams[[#This Row],[relevant]], COUNTIFS(Fixtures[userTeam], Teams[[#This Row],[name]], Fixtures[result], "D", Fixtures[APP], TRUE), "")</f>
        <v/>
      </c>
      <c r="K270" s="1" t="str">
        <f>IF(Teams[[#This Row],[relevant]], COUNTIFS(Fixtures[userTeam], Teams[[#This Row],[name]], Fixtures[result], "L", Fixtures[APP], TRUE), "")</f>
        <v/>
      </c>
      <c r="L270" s="1" t="str">
        <f>IF(Teams[[#This Row],[relevant]], SUMIFS(Fixtures[G], Fixtures[userTeam], Teams[[#This Row],[name]]), "")</f>
        <v/>
      </c>
      <c r="M270" s="1" t="str">
        <f>IF(Teams[[#This Row],[relevant]], SUMIFS(Fixtures[A], Fixtures[userTeam], Teams[[#This Row],[name]]), "")</f>
        <v/>
      </c>
      <c r="N270" s="1" t="str">
        <f>IF(Teams[[#This Row],[relevant]], SUMIFS(Fixtures[INV], Fixtures[userTeam], Teams[[#This Row],[name]]), "")</f>
        <v/>
      </c>
      <c r="O270" s="1" t="str">
        <f>IF(Teams[[#This Row],[relevant]], SUMIFS(Fixtures[YC], Fixtures[userTeam], Teams[[#This Row],[name]]), "")</f>
        <v/>
      </c>
      <c r="P270" s="1" t="str">
        <f>IF(Teams[[#This Row],[relevant]], SUMIFS(Fixtures[RC], Fixtures[userTeam], Teams[[#This Row],[name]]), "")</f>
        <v/>
      </c>
      <c r="Q270" s="13" t="str">
        <f>IF(Teams[[#This Row],[relevant]], IF(ISERROR(AVERAGEIFS(Fixtures[MR], Fixtures[userTeam], Teams[[#This Row],[name]])), 0, AVERAGEIFS(Fixtures[MR], Fixtures[userTeam], Teams[[#This Row],[name]])), "")</f>
        <v/>
      </c>
      <c r="R270" s="1" t="str">
        <f>IF(Teams[[#This Row],[relevant]], COUNTIFS(Fixtures[userTeam], Teams[[#This Row],[name]], Fixtures[MOTM], TRUE), "")</f>
        <v/>
      </c>
      <c r="S270" s="1" t="str" cm="1">
        <f t="array" ref="S270">IF(Teams[[#This Row],[relevant]], _xlfn.TEXTJOIN(", ", TRUE, _xlfn._xlws.FILTER(Stats[competition]&amp;" ("&amp;Stats[season]&amp;")",(Stats[team]=Teams[[#This Row],[name]])*(Stats[result]="Winner"),"")), "")</f>
        <v/>
      </c>
    </row>
    <row r="271" spans="1:19" ht="13" hidden="1">
      <c r="A271" s="1" t="s">
        <v>652</v>
      </c>
      <c r="B271" s="1" t="s">
        <v>152</v>
      </c>
      <c r="C271" s="1" t="s">
        <v>391</v>
      </c>
      <c r="D271" s="1" t="str">
        <f>UPPER(_xlfn.CONCAT(LEFT(Teams[[#This Row],[teamType]], 1), "-", LEFT(SUBSTITUTE(Teams[[#This Row],[nation]], "/", ""), 3), "-", SUBSTITUTE(SUBSTITUTE(SUBSTITUTE(Teams[[#This Row],[name]], ".", ""), " ", ""), "-", "")))</f>
        <v>C-ENG-FORESTGREEN</v>
      </c>
      <c r="E271" s="16"/>
      <c r="F271" s="16"/>
      <c r="G271" s="1" t="b">
        <f>COUNTBLANK(Teams[[#This Row],[startDate]:[endDate]]) &lt; 2</f>
        <v>0</v>
      </c>
      <c r="H271" s="1" t="str">
        <f>IF(Teams[[#This Row],[relevant]], COUNTIFS(Fixtures[userTeam], Teams[[#This Row],[name]], Fixtures[APP], TRUE), "")</f>
        <v/>
      </c>
      <c r="I271" s="1" t="str">
        <f>IF(Teams[[#This Row],[relevant]], COUNTIFS(Fixtures[userTeam], Teams[[#This Row],[name]], Fixtures[result], "W", Fixtures[APP], TRUE), "")</f>
        <v/>
      </c>
      <c r="J271" s="1" t="str">
        <f>IF(Teams[[#This Row],[relevant]], COUNTIFS(Fixtures[userTeam], Teams[[#This Row],[name]], Fixtures[result], "D", Fixtures[APP], TRUE), "")</f>
        <v/>
      </c>
      <c r="K271" s="1" t="str">
        <f>IF(Teams[[#This Row],[relevant]], COUNTIFS(Fixtures[userTeam], Teams[[#This Row],[name]], Fixtures[result], "L", Fixtures[APP], TRUE), "")</f>
        <v/>
      </c>
      <c r="L271" s="1" t="str">
        <f>IF(Teams[[#This Row],[relevant]], SUMIFS(Fixtures[G], Fixtures[userTeam], Teams[[#This Row],[name]]), "")</f>
        <v/>
      </c>
      <c r="M271" s="1" t="str">
        <f>IF(Teams[[#This Row],[relevant]], SUMIFS(Fixtures[A], Fixtures[userTeam], Teams[[#This Row],[name]]), "")</f>
        <v/>
      </c>
      <c r="N271" s="1" t="str">
        <f>IF(Teams[[#This Row],[relevant]], SUMIFS(Fixtures[INV], Fixtures[userTeam], Teams[[#This Row],[name]]), "")</f>
        <v/>
      </c>
      <c r="O271" s="1" t="str">
        <f>IF(Teams[[#This Row],[relevant]], SUMIFS(Fixtures[YC], Fixtures[userTeam], Teams[[#This Row],[name]]), "")</f>
        <v/>
      </c>
      <c r="P271" s="1" t="str">
        <f>IF(Teams[[#This Row],[relevant]], SUMIFS(Fixtures[RC], Fixtures[userTeam], Teams[[#This Row],[name]]), "")</f>
        <v/>
      </c>
      <c r="Q271" s="13" t="str">
        <f>IF(Teams[[#This Row],[relevant]], IF(ISERROR(AVERAGEIFS(Fixtures[MR], Fixtures[userTeam], Teams[[#This Row],[name]])), 0, AVERAGEIFS(Fixtures[MR], Fixtures[userTeam], Teams[[#This Row],[name]])), "")</f>
        <v/>
      </c>
      <c r="R271" s="1" t="str">
        <f>IF(Teams[[#This Row],[relevant]], COUNTIFS(Fixtures[userTeam], Teams[[#This Row],[name]], Fixtures[MOTM], TRUE), "")</f>
        <v/>
      </c>
      <c r="S271" s="1" t="str" cm="1">
        <f t="array" ref="S271">IF(Teams[[#This Row],[relevant]], _xlfn.TEXTJOIN(", ", TRUE, _xlfn._xlws.FILTER(Stats[competition]&amp;" ("&amp;Stats[season]&amp;")",(Stats[team]=Teams[[#This Row],[name]])*(Stats[result]="Winner"),"")), "")</f>
        <v/>
      </c>
    </row>
    <row r="272" spans="1:19" ht="13" hidden="1">
      <c r="A272" s="1" t="s">
        <v>653</v>
      </c>
      <c r="B272" s="1" t="s">
        <v>451</v>
      </c>
      <c r="C272" s="1" t="s">
        <v>391</v>
      </c>
      <c r="D272" s="1" t="str">
        <f>UPPER(_xlfn.CONCAT(LEFT(Teams[[#This Row],[teamType]], 1), "-", LEFT(SUBSTITUTE(Teams[[#This Row],[nation]], "/", ""), 3), "-", SUBSTITUTE(SUBSTITUTE(SUBSTITUTE(Teams[[#This Row],[name]], ".", ""), " ", ""), "-", "")))</f>
        <v>C-BRA-FORTALEZA</v>
      </c>
      <c r="E272" s="16"/>
      <c r="F272" s="16"/>
      <c r="G272" s="1" t="b">
        <f>COUNTBLANK(Teams[[#This Row],[startDate]:[endDate]]) &lt; 2</f>
        <v>0</v>
      </c>
      <c r="H272" s="1" t="str">
        <f>IF(Teams[[#This Row],[relevant]], COUNTIFS(Fixtures[userTeam], Teams[[#This Row],[name]], Fixtures[APP], TRUE), "")</f>
        <v/>
      </c>
      <c r="I272" s="1" t="str">
        <f>IF(Teams[[#This Row],[relevant]], COUNTIFS(Fixtures[userTeam], Teams[[#This Row],[name]], Fixtures[result], "W", Fixtures[APP], TRUE), "")</f>
        <v/>
      </c>
      <c r="J272" s="1" t="str">
        <f>IF(Teams[[#This Row],[relevant]], COUNTIFS(Fixtures[userTeam], Teams[[#This Row],[name]], Fixtures[result], "D", Fixtures[APP], TRUE), "")</f>
        <v/>
      </c>
      <c r="K272" s="1" t="str">
        <f>IF(Teams[[#This Row],[relevant]], COUNTIFS(Fixtures[userTeam], Teams[[#This Row],[name]], Fixtures[result], "L", Fixtures[APP], TRUE), "")</f>
        <v/>
      </c>
      <c r="L272" s="1" t="str">
        <f>IF(Teams[[#This Row],[relevant]], SUMIFS(Fixtures[G], Fixtures[userTeam], Teams[[#This Row],[name]]), "")</f>
        <v/>
      </c>
      <c r="M272" s="1" t="str">
        <f>IF(Teams[[#This Row],[relevant]], SUMIFS(Fixtures[A], Fixtures[userTeam], Teams[[#This Row],[name]]), "")</f>
        <v/>
      </c>
      <c r="N272" s="1" t="str">
        <f>IF(Teams[[#This Row],[relevant]], SUMIFS(Fixtures[INV], Fixtures[userTeam], Teams[[#This Row],[name]]), "")</f>
        <v/>
      </c>
      <c r="O272" s="1" t="str">
        <f>IF(Teams[[#This Row],[relevant]], SUMIFS(Fixtures[YC], Fixtures[userTeam], Teams[[#This Row],[name]]), "")</f>
        <v/>
      </c>
      <c r="P272" s="1" t="str">
        <f>IF(Teams[[#This Row],[relevant]], SUMIFS(Fixtures[RC], Fixtures[userTeam], Teams[[#This Row],[name]]), "")</f>
        <v/>
      </c>
      <c r="Q272" s="13" t="str">
        <f>IF(Teams[[#This Row],[relevant]], IF(ISERROR(AVERAGEIFS(Fixtures[MR], Fixtures[userTeam], Teams[[#This Row],[name]])), 0, AVERAGEIFS(Fixtures[MR], Fixtures[userTeam], Teams[[#This Row],[name]])), "")</f>
        <v/>
      </c>
      <c r="R272" s="1" t="str">
        <f>IF(Teams[[#This Row],[relevant]], COUNTIFS(Fixtures[userTeam], Teams[[#This Row],[name]], Fixtures[MOTM], TRUE), "")</f>
        <v/>
      </c>
      <c r="S272" s="1" t="str" cm="1">
        <f t="array" ref="S272">IF(Teams[[#This Row],[relevant]], _xlfn.TEXTJOIN(", ", TRUE, _xlfn._xlws.FILTER(Stats[competition]&amp;" ("&amp;Stats[season]&amp;")",(Stats[team]=Teams[[#This Row],[name]])*(Stats[result]="Winner"),"")), "")</f>
        <v/>
      </c>
    </row>
    <row r="273" spans="1:19" ht="13" hidden="1">
      <c r="A273" s="1" t="s">
        <v>654</v>
      </c>
      <c r="B273" s="1" t="s">
        <v>425</v>
      </c>
      <c r="C273" s="1" t="s">
        <v>391</v>
      </c>
      <c r="D273" s="1" t="str">
        <f>UPPER(_xlfn.CONCAT(LEFT(Teams[[#This Row],[teamType]], 1), "-", LEFT(SUBSTITUTE(Teams[[#This Row],[nation]], "/", ""), 3), "-", SUBSTITUTE(SUBSTITUTE(SUBSTITUTE(Teams[[#This Row],[name]], ".", ""), " ", ""), "-", "")))</f>
        <v>C-NET-FORTUNASITTARD</v>
      </c>
      <c r="E273" s="16"/>
      <c r="F273" s="16"/>
      <c r="G273" s="1" t="b">
        <f>COUNTBLANK(Teams[[#This Row],[startDate]:[endDate]]) &lt; 2</f>
        <v>0</v>
      </c>
      <c r="H273" s="1" t="str">
        <f>IF(Teams[[#This Row],[relevant]], COUNTIFS(Fixtures[userTeam], Teams[[#This Row],[name]], Fixtures[APP], TRUE), "")</f>
        <v/>
      </c>
      <c r="I273" s="1" t="str">
        <f>IF(Teams[[#This Row],[relevant]], COUNTIFS(Fixtures[userTeam], Teams[[#This Row],[name]], Fixtures[result], "W", Fixtures[APP], TRUE), "")</f>
        <v/>
      </c>
      <c r="J273" s="1" t="str">
        <f>IF(Teams[[#This Row],[relevant]], COUNTIFS(Fixtures[userTeam], Teams[[#This Row],[name]], Fixtures[result], "D", Fixtures[APP], TRUE), "")</f>
        <v/>
      </c>
      <c r="K273" s="1" t="str">
        <f>IF(Teams[[#This Row],[relevant]], COUNTIFS(Fixtures[userTeam], Teams[[#This Row],[name]], Fixtures[result], "L", Fixtures[APP], TRUE), "")</f>
        <v/>
      </c>
      <c r="L273" s="1" t="str">
        <f>IF(Teams[[#This Row],[relevant]], SUMIFS(Fixtures[G], Fixtures[userTeam], Teams[[#This Row],[name]]), "")</f>
        <v/>
      </c>
      <c r="M273" s="1" t="str">
        <f>IF(Teams[[#This Row],[relevant]], SUMIFS(Fixtures[A], Fixtures[userTeam], Teams[[#This Row],[name]]), "")</f>
        <v/>
      </c>
      <c r="N273" s="1" t="str">
        <f>IF(Teams[[#This Row],[relevant]], SUMIFS(Fixtures[INV], Fixtures[userTeam], Teams[[#This Row],[name]]), "")</f>
        <v/>
      </c>
      <c r="O273" s="1" t="str">
        <f>IF(Teams[[#This Row],[relevant]], SUMIFS(Fixtures[YC], Fixtures[userTeam], Teams[[#This Row],[name]]), "")</f>
        <v/>
      </c>
      <c r="P273" s="1" t="str">
        <f>IF(Teams[[#This Row],[relevant]], SUMIFS(Fixtures[RC], Fixtures[userTeam], Teams[[#This Row],[name]]), "")</f>
        <v/>
      </c>
      <c r="Q273" s="13" t="str">
        <f>IF(Teams[[#This Row],[relevant]], IF(ISERROR(AVERAGEIFS(Fixtures[MR], Fixtures[userTeam], Teams[[#This Row],[name]])), 0, AVERAGEIFS(Fixtures[MR], Fixtures[userTeam], Teams[[#This Row],[name]])), "")</f>
        <v/>
      </c>
      <c r="R273" s="1" t="str">
        <f>IF(Teams[[#This Row],[relevant]], COUNTIFS(Fixtures[userTeam], Teams[[#This Row],[name]], Fixtures[MOTM], TRUE), "")</f>
        <v/>
      </c>
      <c r="S273" s="1" t="str" cm="1">
        <f t="array" ref="S273">IF(Teams[[#This Row],[relevant]], _xlfn.TEXTJOIN(", ", TRUE, _xlfn._xlws.FILTER(Stats[competition]&amp;" ("&amp;Stats[season]&amp;")",(Stats[team]=Teams[[#This Row],[name]])*(Stats[result]="Winner"),"")), "")</f>
        <v/>
      </c>
    </row>
    <row r="274" spans="1:19" ht="13" hidden="1">
      <c r="A274" s="1" t="s">
        <v>339</v>
      </c>
      <c r="B274" s="1" t="s">
        <v>339</v>
      </c>
      <c r="C274" s="1" t="s">
        <v>459</v>
      </c>
      <c r="D274" s="1" t="str">
        <f>UPPER(_xlfn.CONCAT(LEFT(Teams[[#This Row],[teamType]], 1), "-", LEFT(SUBSTITUTE(Teams[[#This Row],[nation]], "/", ""), 3), "-", SUBSTITUTE(SUBSTITUTE(SUBSTITUTE(Teams[[#This Row],[name]], ".", ""), " ", ""), "-", "")))</f>
        <v>N-FRA-FRANCE</v>
      </c>
      <c r="E274" s="16"/>
      <c r="F274" s="16"/>
      <c r="G274" s="1" t="b">
        <f>COUNTBLANK(Teams[[#This Row],[startDate]:[endDate]]) &lt; 2</f>
        <v>0</v>
      </c>
      <c r="H274" s="1" t="str">
        <f>IF(Teams[[#This Row],[relevant]], COUNTIFS(Fixtures[userTeam], Teams[[#This Row],[name]], Fixtures[APP], TRUE), "")</f>
        <v/>
      </c>
      <c r="I274" s="1" t="str">
        <f>IF(Teams[[#This Row],[relevant]], COUNTIFS(Fixtures[userTeam], Teams[[#This Row],[name]], Fixtures[result], "W", Fixtures[APP], TRUE), "")</f>
        <v/>
      </c>
      <c r="J274" s="1" t="str">
        <f>IF(Teams[[#This Row],[relevant]], COUNTIFS(Fixtures[userTeam], Teams[[#This Row],[name]], Fixtures[result], "D", Fixtures[APP], TRUE), "")</f>
        <v/>
      </c>
      <c r="K274" s="1" t="str">
        <f>IF(Teams[[#This Row],[relevant]], COUNTIFS(Fixtures[userTeam], Teams[[#This Row],[name]], Fixtures[result], "L", Fixtures[APP], TRUE), "")</f>
        <v/>
      </c>
      <c r="L274" s="1" t="str">
        <f>IF(Teams[[#This Row],[relevant]], SUMIFS(Fixtures[G], Fixtures[userTeam], Teams[[#This Row],[name]]), "")</f>
        <v/>
      </c>
      <c r="M274" s="1" t="str">
        <f>IF(Teams[[#This Row],[relevant]], SUMIFS(Fixtures[A], Fixtures[userTeam], Teams[[#This Row],[name]]), "")</f>
        <v/>
      </c>
      <c r="N274" s="1" t="str">
        <f>IF(Teams[[#This Row],[relevant]], SUMIFS(Fixtures[INV], Fixtures[userTeam], Teams[[#This Row],[name]]), "")</f>
        <v/>
      </c>
      <c r="O274" s="1" t="str">
        <f>IF(Teams[[#This Row],[relevant]], SUMIFS(Fixtures[YC], Fixtures[userTeam], Teams[[#This Row],[name]]), "")</f>
        <v/>
      </c>
      <c r="P274" s="1" t="str">
        <f>IF(Teams[[#This Row],[relevant]], SUMIFS(Fixtures[RC], Fixtures[userTeam], Teams[[#This Row],[name]]), "")</f>
        <v/>
      </c>
      <c r="Q274" s="13" t="str">
        <f>IF(Teams[[#This Row],[relevant]], IF(ISERROR(AVERAGEIFS(Fixtures[MR], Fixtures[userTeam], Teams[[#This Row],[name]])), 0, AVERAGEIFS(Fixtures[MR], Fixtures[userTeam], Teams[[#This Row],[name]])), "")</f>
        <v/>
      </c>
      <c r="R274" s="1" t="str">
        <f>IF(Teams[[#This Row],[relevant]], COUNTIFS(Fixtures[userTeam], Teams[[#This Row],[name]], Fixtures[MOTM], TRUE), "")</f>
        <v/>
      </c>
      <c r="S274" s="1" t="str" cm="1">
        <f t="array" ref="S274">IF(Teams[[#This Row],[relevant]], _xlfn.TEXTJOIN(", ", TRUE, _xlfn._xlws.FILTER(Stats[competition]&amp;" ("&amp;Stats[season]&amp;")",(Stats[team]=Teams[[#This Row],[name]])*(Stats[result]="Winner"),"")), "")</f>
        <v/>
      </c>
    </row>
    <row r="275" spans="1:19" ht="13">
      <c r="A275" s="1" t="s">
        <v>287</v>
      </c>
      <c r="B275" s="1" t="s">
        <v>337</v>
      </c>
      <c r="C275" s="1" t="s">
        <v>391</v>
      </c>
      <c r="D275" s="1" t="str">
        <f>UPPER(_xlfn.CONCAT(LEFT(Teams[[#This Row],[teamType]], 1), "-", LEFT(SUBSTITUTE(Teams[[#This Row],[nation]], "/", ""), 3), "-", SUBSTITUTE(SUBSTITUTE(SUBSTITUTE(Teams[[#This Row],[name]], ".", ""), " ", ""), "-", "")))</f>
        <v>C-GER-FRANKFURT</v>
      </c>
      <c r="E275" s="16">
        <v>46204</v>
      </c>
      <c r="F275" s="16"/>
      <c r="G275" s="1" t="b">
        <f>COUNTBLANK(Teams[[#This Row],[startDate]:[endDate]]) &lt; 2</f>
        <v>1</v>
      </c>
      <c r="H275" s="1">
        <f>IF(Teams[[#This Row],[relevant]], COUNTIFS(Fixtures[userTeam], Teams[[#This Row],[name]], Fixtures[APP], TRUE), "")</f>
        <v>0</v>
      </c>
      <c r="I275" s="1">
        <f>IF(Teams[[#This Row],[relevant]], COUNTIFS(Fixtures[userTeam], Teams[[#This Row],[name]], Fixtures[result], "W", Fixtures[APP], TRUE), "")</f>
        <v>0</v>
      </c>
      <c r="J275" s="1">
        <f>IF(Teams[[#This Row],[relevant]], COUNTIFS(Fixtures[userTeam], Teams[[#This Row],[name]], Fixtures[result], "D", Fixtures[APP], TRUE), "")</f>
        <v>0</v>
      </c>
      <c r="K275" s="1">
        <f>IF(Teams[[#This Row],[relevant]], COUNTIFS(Fixtures[userTeam], Teams[[#This Row],[name]], Fixtures[result], "L", Fixtures[APP], TRUE), "")</f>
        <v>0</v>
      </c>
      <c r="L275" s="1">
        <f>IF(Teams[[#This Row],[relevant]], SUMIFS(Fixtures[G], Fixtures[userTeam], Teams[[#This Row],[name]]), "")</f>
        <v>0</v>
      </c>
      <c r="M275" s="1">
        <f>IF(Teams[[#This Row],[relevant]], SUMIFS(Fixtures[A], Fixtures[userTeam], Teams[[#This Row],[name]]), "")</f>
        <v>0</v>
      </c>
      <c r="N275" s="1">
        <f>IF(Teams[[#This Row],[relevant]], SUMIFS(Fixtures[INV], Fixtures[userTeam], Teams[[#This Row],[name]]), "")</f>
        <v>0</v>
      </c>
      <c r="O275" s="1">
        <f>IF(Teams[[#This Row],[relevant]], SUMIFS(Fixtures[YC], Fixtures[userTeam], Teams[[#This Row],[name]]), "")</f>
        <v>0</v>
      </c>
      <c r="P275" s="1">
        <f>IF(Teams[[#This Row],[relevant]], SUMIFS(Fixtures[RC], Fixtures[userTeam], Teams[[#This Row],[name]]), "")</f>
        <v>0</v>
      </c>
      <c r="Q275" s="13">
        <f>IF(Teams[[#This Row],[relevant]], IF(ISERROR(AVERAGEIFS(Fixtures[MR], Fixtures[userTeam], Teams[[#This Row],[name]])), 0, AVERAGEIFS(Fixtures[MR], Fixtures[userTeam], Teams[[#This Row],[name]])), "")</f>
        <v>0</v>
      </c>
      <c r="R275" s="1">
        <f>IF(Teams[[#This Row],[relevant]], COUNTIFS(Fixtures[userTeam], Teams[[#This Row],[name]], Fixtures[MOTM], TRUE), "")</f>
        <v>0</v>
      </c>
      <c r="S275" s="1" t="str" cm="1">
        <f t="array" aca="1" ref="S275" ca="1">IF(Teams[[#This Row],[relevant]], _xlfn.TEXTJOIN(", ", TRUE, _xlfn._xlws.FILTER(Stats[competition]&amp;" ("&amp;Stats[season]&amp;")",(Stats[team]=Teams[[#This Row],[name]])*(Stats[result]="Winner"),"")), "")</f>
        <v/>
      </c>
    </row>
    <row r="276" spans="1:19" ht="13" hidden="1">
      <c r="A276" s="1" t="s">
        <v>655</v>
      </c>
      <c r="B276" s="1" t="s">
        <v>254</v>
      </c>
      <c r="C276" s="1" t="s">
        <v>391</v>
      </c>
      <c r="D276" s="1" t="str">
        <f>UPPER(_xlfn.CONCAT(LEFT(Teams[[#This Row],[teamType]], 1), "-", LEFT(SUBSTITUTE(Teams[[#This Row],[nation]], "/", ""), 3), "-", SUBSTITUTE(SUBSTITUTE(SUBSTITUTE(Teams[[#This Row],[name]], ".", ""), " ", ""), "-", "")))</f>
        <v>C-ITA-FROSINONE</v>
      </c>
      <c r="E276" s="16"/>
      <c r="F276" s="16"/>
      <c r="G276" s="1" t="b">
        <f>COUNTBLANK(Teams[[#This Row],[startDate]:[endDate]]) &lt; 2</f>
        <v>0</v>
      </c>
      <c r="H276" s="1" t="str">
        <f>IF(Teams[[#This Row],[relevant]], COUNTIFS(Fixtures[userTeam], Teams[[#This Row],[name]], Fixtures[APP], TRUE), "")</f>
        <v/>
      </c>
      <c r="I276" s="1" t="str">
        <f>IF(Teams[[#This Row],[relevant]], COUNTIFS(Fixtures[userTeam], Teams[[#This Row],[name]], Fixtures[result], "W", Fixtures[APP], TRUE), "")</f>
        <v/>
      </c>
      <c r="J276" s="1" t="str">
        <f>IF(Teams[[#This Row],[relevant]], COUNTIFS(Fixtures[userTeam], Teams[[#This Row],[name]], Fixtures[result], "D", Fixtures[APP], TRUE), "")</f>
        <v/>
      </c>
      <c r="K276" s="1" t="str">
        <f>IF(Teams[[#This Row],[relevant]], COUNTIFS(Fixtures[userTeam], Teams[[#This Row],[name]], Fixtures[result], "L", Fixtures[APP], TRUE), "")</f>
        <v/>
      </c>
      <c r="L276" s="1" t="str">
        <f>IF(Teams[[#This Row],[relevant]], SUMIFS(Fixtures[G], Fixtures[userTeam], Teams[[#This Row],[name]]), "")</f>
        <v/>
      </c>
      <c r="M276" s="1" t="str">
        <f>IF(Teams[[#This Row],[relevant]], SUMIFS(Fixtures[A], Fixtures[userTeam], Teams[[#This Row],[name]]), "")</f>
        <v/>
      </c>
      <c r="N276" s="1" t="str">
        <f>IF(Teams[[#This Row],[relevant]], SUMIFS(Fixtures[INV], Fixtures[userTeam], Teams[[#This Row],[name]]), "")</f>
        <v/>
      </c>
      <c r="O276" s="1" t="str">
        <f>IF(Teams[[#This Row],[relevant]], SUMIFS(Fixtures[YC], Fixtures[userTeam], Teams[[#This Row],[name]]), "")</f>
        <v/>
      </c>
      <c r="P276" s="1" t="str">
        <f>IF(Teams[[#This Row],[relevant]], SUMIFS(Fixtures[RC], Fixtures[userTeam], Teams[[#This Row],[name]]), "")</f>
        <v/>
      </c>
      <c r="Q276" s="13" t="str">
        <f>IF(Teams[[#This Row],[relevant]], IF(ISERROR(AVERAGEIFS(Fixtures[MR], Fixtures[userTeam], Teams[[#This Row],[name]])), 0, AVERAGEIFS(Fixtures[MR], Fixtures[userTeam], Teams[[#This Row],[name]])), "")</f>
        <v/>
      </c>
      <c r="R276" s="1" t="str">
        <f>IF(Teams[[#This Row],[relevant]], COUNTIFS(Fixtures[userTeam], Teams[[#This Row],[name]], Fixtures[MOTM], TRUE), "")</f>
        <v/>
      </c>
      <c r="S276" s="1" t="str" cm="1">
        <f t="array" ref="S276">IF(Teams[[#This Row],[relevant]], _xlfn.TEXTJOIN(", ", TRUE, _xlfn._xlws.FILTER(Stats[competition]&amp;" ("&amp;Stats[season]&amp;")",(Stats[team]=Teams[[#This Row],[name]])*(Stats[result]="Winner"),"")), "")</f>
        <v/>
      </c>
    </row>
    <row r="277" spans="1:19" ht="13" hidden="1">
      <c r="A277" s="1" t="s">
        <v>656</v>
      </c>
      <c r="B277" s="1" t="s">
        <v>337</v>
      </c>
      <c r="C277" s="1" t="s">
        <v>391</v>
      </c>
      <c r="D277" s="1" t="str">
        <f>UPPER(_xlfn.CONCAT(LEFT(Teams[[#This Row],[teamType]], 1), "-", LEFT(SUBSTITUTE(Teams[[#This Row],[nation]], "/", ""), 3), "-", SUBSTITUTE(SUBSTITUTE(SUBSTITUTE(Teams[[#This Row],[name]], ".", ""), " ", ""), "-", "")))</f>
        <v>C-GER-FSVZWICKAU</v>
      </c>
      <c r="E277" s="16"/>
      <c r="F277" s="16"/>
      <c r="G277" s="1" t="b">
        <f>COUNTBLANK(Teams[[#This Row],[startDate]:[endDate]]) &lt; 2</f>
        <v>0</v>
      </c>
      <c r="H277" s="1" t="str">
        <f>IF(Teams[[#This Row],[relevant]], COUNTIFS(Fixtures[userTeam], Teams[[#This Row],[name]], Fixtures[APP], TRUE), "")</f>
        <v/>
      </c>
      <c r="I277" s="1" t="str">
        <f>IF(Teams[[#This Row],[relevant]], COUNTIFS(Fixtures[userTeam], Teams[[#This Row],[name]], Fixtures[result], "W", Fixtures[APP], TRUE), "")</f>
        <v/>
      </c>
      <c r="J277" s="1" t="str">
        <f>IF(Teams[[#This Row],[relevant]], COUNTIFS(Fixtures[userTeam], Teams[[#This Row],[name]], Fixtures[result], "D", Fixtures[APP], TRUE), "")</f>
        <v/>
      </c>
      <c r="K277" s="1" t="str">
        <f>IF(Teams[[#This Row],[relevant]], COUNTIFS(Fixtures[userTeam], Teams[[#This Row],[name]], Fixtures[result], "L", Fixtures[APP], TRUE), "")</f>
        <v/>
      </c>
      <c r="L277" s="1" t="str">
        <f>IF(Teams[[#This Row],[relevant]], SUMIFS(Fixtures[G], Fixtures[userTeam], Teams[[#This Row],[name]]), "")</f>
        <v/>
      </c>
      <c r="M277" s="1" t="str">
        <f>IF(Teams[[#This Row],[relevant]], SUMIFS(Fixtures[A], Fixtures[userTeam], Teams[[#This Row],[name]]), "")</f>
        <v/>
      </c>
      <c r="N277" s="1" t="str">
        <f>IF(Teams[[#This Row],[relevant]], SUMIFS(Fixtures[INV], Fixtures[userTeam], Teams[[#This Row],[name]]), "")</f>
        <v/>
      </c>
      <c r="O277" s="1" t="str">
        <f>IF(Teams[[#This Row],[relevant]], SUMIFS(Fixtures[YC], Fixtures[userTeam], Teams[[#This Row],[name]]), "")</f>
        <v/>
      </c>
      <c r="P277" s="1" t="str">
        <f>IF(Teams[[#This Row],[relevant]], SUMIFS(Fixtures[RC], Fixtures[userTeam], Teams[[#This Row],[name]]), "")</f>
        <v/>
      </c>
      <c r="Q277" s="13" t="str">
        <f>IF(Teams[[#This Row],[relevant]], IF(ISERROR(AVERAGEIFS(Fixtures[MR], Fixtures[userTeam], Teams[[#This Row],[name]])), 0, AVERAGEIFS(Fixtures[MR], Fixtures[userTeam], Teams[[#This Row],[name]])), "")</f>
        <v/>
      </c>
      <c r="R277" s="1" t="str">
        <f>IF(Teams[[#This Row],[relevant]], COUNTIFS(Fixtures[userTeam], Teams[[#This Row],[name]], Fixtures[MOTM], TRUE), "")</f>
        <v/>
      </c>
      <c r="S277" s="1" t="str" cm="1">
        <f t="array" ref="S277">IF(Teams[[#This Row],[relevant]], _xlfn.TEXTJOIN(", ", TRUE, _xlfn._xlws.FILTER(Stats[competition]&amp;" ("&amp;Stats[season]&amp;")",(Stats[team]=Teams[[#This Row],[name]])*(Stats[result]="Winner"),"")), "")</f>
        <v/>
      </c>
    </row>
    <row r="278" spans="1:19" ht="13" hidden="1">
      <c r="A278" s="1" t="s">
        <v>657</v>
      </c>
      <c r="B278" s="1" t="s">
        <v>152</v>
      </c>
      <c r="C278" s="1" t="s">
        <v>391</v>
      </c>
      <c r="D278" s="1" t="str">
        <f>UPPER(_xlfn.CONCAT(LEFT(Teams[[#This Row],[teamType]], 1), "-", LEFT(SUBSTITUTE(Teams[[#This Row],[nation]], "/", ""), 3), "-", SUBSTITUTE(SUBSTITUTE(SUBSTITUTE(Teams[[#This Row],[name]], ".", ""), " ", ""), "-", "")))</f>
        <v>C-ENG-FULHAM</v>
      </c>
      <c r="E278" s="16"/>
      <c r="F278" s="16"/>
      <c r="G278" s="1" t="b">
        <f>COUNTBLANK(Teams[[#This Row],[startDate]:[endDate]]) &lt; 2</f>
        <v>0</v>
      </c>
      <c r="H278" s="1" t="str">
        <f>IF(Teams[[#This Row],[relevant]], COUNTIFS(Fixtures[userTeam], Teams[[#This Row],[name]], Fixtures[APP], TRUE), "")</f>
        <v/>
      </c>
      <c r="I278" s="1" t="str">
        <f>IF(Teams[[#This Row],[relevant]], COUNTIFS(Fixtures[userTeam], Teams[[#This Row],[name]], Fixtures[result], "W", Fixtures[APP], TRUE), "")</f>
        <v/>
      </c>
      <c r="J278" s="1" t="str">
        <f>IF(Teams[[#This Row],[relevant]], COUNTIFS(Fixtures[userTeam], Teams[[#This Row],[name]], Fixtures[result], "D", Fixtures[APP], TRUE), "")</f>
        <v/>
      </c>
      <c r="K278" s="1" t="str">
        <f>IF(Teams[[#This Row],[relevant]], COUNTIFS(Fixtures[userTeam], Teams[[#This Row],[name]], Fixtures[result], "L", Fixtures[APP], TRUE), "")</f>
        <v/>
      </c>
      <c r="L278" s="1" t="str">
        <f>IF(Teams[[#This Row],[relevant]], SUMIFS(Fixtures[G], Fixtures[userTeam], Teams[[#This Row],[name]]), "")</f>
        <v/>
      </c>
      <c r="M278" s="1" t="str">
        <f>IF(Teams[[#This Row],[relevant]], SUMIFS(Fixtures[A], Fixtures[userTeam], Teams[[#This Row],[name]]), "")</f>
        <v/>
      </c>
      <c r="N278" s="1" t="str">
        <f>IF(Teams[[#This Row],[relevant]], SUMIFS(Fixtures[INV], Fixtures[userTeam], Teams[[#This Row],[name]]), "")</f>
        <v/>
      </c>
      <c r="O278" s="1" t="str">
        <f>IF(Teams[[#This Row],[relevant]], SUMIFS(Fixtures[YC], Fixtures[userTeam], Teams[[#This Row],[name]]), "")</f>
        <v/>
      </c>
      <c r="P278" s="1" t="str">
        <f>IF(Teams[[#This Row],[relevant]], SUMIFS(Fixtures[RC], Fixtures[userTeam], Teams[[#This Row],[name]]), "")</f>
        <v/>
      </c>
      <c r="Q278" s="13" t="str">
        <f>IF(Teams[[#This Row],[relevant]], IF(ISERROR(AVERAGEIFS(Fixtures[MR], Fixtures[userTeam], Teams[[#This Row],[name]])), 0, AVERAGEIFS(Fixtures[MR], Fixtures[userTeam], Teams[[#This Row],[name]])), "")</f>
        <v/>
      </c>
      <c r="R278" s="1" t="str">
        <f>IF(Teams[[#This Row],[relevant]], COUNTIFS(Fixtures[userTeam], Teams[[#This Row],[name]], Fixtures[MOTM], TRUE), "")</f>
        <v/>
      </c>
      <c r="S278" s="1" t="str" cm="1">
        <f t="array" ref="S278">IF(Teams[[#This Row],[relevant]], _xlfn.TEXTJOIN(", ", TRUE, _xlfn._xlws.FILTER(Stats[competition]&amp;" ("&amp;Stats[season]&amp;")",(Stats[team]=Teams[[#This Row],[name]])*(Stats[result]="Winner"),"")), "")</f>
        <v/>
      </c>
    </row>
    <row r="279" spans="1:19" ht="13" hidden="1">
      <c r="A279" s="1" t="s">
        <v>658</v>
      </c>
      <c r="B279" s="1" t="s">
        <v>337</v>
      </c>
      <c r="C279" s="1" t="s">
        <v>391</v>
      </c>
      <c r="D279" s="1" t="str">
        <f>UPPER(_xlfn.CONCAT(LEFT(Teams[[#This Row],[teamType]], 1), "-", LEFT(SUBSTITUTE(Teams[[#This Row],[nation]], "/", ""), 3), "-", SUBSTITUTE(SUBSTITUTE(SUBSTITUTE(Teams[[#This Row],[name]], ".", ""), " ", ""), "-", "")))</f>
        <v>C-GER-FÜRTH </v>
      </c>
      <c r="E279" s="16"/>
      <c r="F279" s="16"/>
      <c r="G279" s="1" t="b">
        <f>COUNTBLANK(Teams[[#This Row],[startDate]:[endDate]]) &lt; 2</f>
        <v>0</v>
      </c>
      <c r="H279" s="1" t="str">
        <f>IF(Teams[[#This Row],[relevant]], COUNTIFS(Fixtures[userTeam], Teams[[#This Row],[name]], Fixtures[APP], TRUE), "")</f>
        <v/>
      </c>
      <c r="I279" s="1" t="str">
        <f>IF(Teams[[#This Row],[relevant]], COUNTIFS(Fixtures[userTeam], Teams[[#This Row],[name]], Fixtures[result], "W", Fixtures[APP], TRUE), "")</f>
        <v/>
      </c>
      <c r="J279" s="1" t="str">
        <f>IF(Teams[[#This Row],[relevant]], COUNTIFS(Fixtures[userTeam], Teams[[#This Row],[name]], Fixtures[result], "D", Fixtures[APP], TRUE), "")</f>
        <v/>
      </c>
      <c r="K279" s="1" t="str">
        <f>IF(Teams[[#This Row],[relevant]], COUNTIFS(Fixtures[userTeam], Teams[[#This Row],[name]], Fixtures[result], "L", Fixtures[APP], TRUE), "")</f>
        <v/>
      </c>
      <c r="L279" s="1" t="str">
        <f>IF(Teams[[#This Row],[relevant]], SUMIFS(Fixtures[G], Fixtures[userTeam], Teams[[#This Row],[name]]), "")</f>
        <v/>
      </c>
      <c r="M279" s="1" t="str">
        <f>IF(Teams[[#This Row],[relevant]], SUMIFS(Fixtures[A], Fixtures[userTeam], Teams[[#This Row],[name]]), "")</f>
        <v/>
      </c>
      <c r="N279" s="1" t="str">
        <f>IF(Teams[[#This Row],[relevant]], SUMIFS(Fixtures[INV], Fixtures[userTeam], Teams[[#This Row],[name]]), "")</f>
        <v/>
      </c>
      <c r="O279" s="1" t="str">
        <f>IF(Teams[[#This Row],[relevant]], SUMIFS(Fixtures[YC], Fixtures[userTeam], Teams[[#This Row],[name]]), "")</f>
        <v/>
      </c>
      <c r="P279" s="1" t="str">
        <f>IF(Teams[[#This Row],[relevant]], SUMIFS(Fixtures[RC], Fixtures[userTeam], Teams[[#This Row],[name]]), "")</f>
        <v/>
      </c>
      <c r="Q279" s="13" t="str">
        <f>IF(Teams[[#This Row],[relevant]], IF(ISERROR(AVERAGEIFS(Fixtures[MR], Fixtures[userTeam], Teams[[#This Row],[name]])), 0, AVERAGEIFS(Fixtures[MR], Fixtures[userTeam], Teams[[#This Row],[name]])), "")</f>
        <v/>
      </c>
      <c r="R279" s="1" t="str">
        <f>IF(Teams[[#This Row],[relevant]], COUNTIFS(Fixtures[userTeam], Teams[[#This Row],[name]], Fixtures[MOTM], TRUE), "")</f>
        <v/>
      </c>
      <c r="S279" s="1" t="str" cm="1">
        <f t="array" ref="S279">IF(Teams[[#This Row],[relevant]], _xlfn.TEXTJOIN(", ", TRUE, _xlfn._xlws.FILTER(Stats[competition]&amp;" ("&amp;Stats[season]&amp;")",(Stats[team]=Teams[[#This Row],[name]])*(Stats[result]="Winner"),"")), "")</f>
        <v/>
      </c>
    </row>
    <row r="280" spans="1:19" ht="13" hidden="1">
      <c r="A280" s="1" t="s">
        <v>659</v>
      </c>
      <c r="B280" s="1" t="s">
        <v>408</v>
      </c>
      <c r="C280" s="1" t="s">
        <v>391</v>
      </c>
      <c r="D280" s="1" t="str">
        <f>UPPER(_xlfn.CONCAT(LEFT(Teams[[#This Row],[teamType]], 1), "-", LEFT(SUBSTITUTE(Teams[[#This Row],[nation]], "/", ""), 3), "-", SUBSTITUTE(SUBSTITUTE(SUBSTITUTE(Teams[[#This Row],[name]], ".", ""), " ", ""), "-", "")))</f>
        <v>C-TUR-GALATASARAY</v>
      </c>
      <c r="E280" s="16"/>
      <c r="F280" s="16"/>
      <c r="G280" s="1" t="b">
        <f>COUNTBLANK(Teams[[#This Row],[startDate]:[endDate]]) &lt; 2</f>
        <v>0</v>
      </c>
      <c r="H280" s="1" t="str">
        <f>IF(Teams[[#This Row],[relevant]], COUNTIFS(Fixtures[userTeam], Teams[[#This Row],[name]], Fixtures[APP], TRUE), "")</f>
        <v/>
      </c>
      <c r="I280" s="1" t="str">
        <f>IF(Teams[[#This Row],[relevant]], COUNTIFS(Fixtures[userTeam], Teams[[#This Row],[name]], Fixtures[result], "W", Fixtures[APP], TRUE), "")</f>
        <v/>
      </c>
      <c r="J280" s="1" t="str">
        <f>IF(Teams[[#This Row],[relevant]], COUNTIFS(Fixtures[userTeam], Teams[[#This Row],[name]], Fixtures[result], "D", Fixtures[APP], TRUE), "")</f>
        <v/>
      </c>
      <c r="K280" s="1" t="str">
        <f>IF(Teams[[#This Row],[relevant]], COUNTIFS(Fixtures[userTeam], Teams[[#This Row],[name]], Fixtures[result], "L", Fixtures[APP], TRUE), "")</f>
        <v/>
      </c>
      <c r="L280" s="1" t="str">
        <f>IF(Teams[[#This Row],[relevant]], SUMIFS(Fixtures[G], Fixtures[userTeam], Teams[[#This Row],[name]]), "")</f>
        <v/>
      </c>
      <c r="M280" s="1" t="str">
        <f>IF(Teams[[#This Row],[relevant]], SUMIFS(Fixtures[A], Fixtures[userTeam], Teams[[#This Row],[name]]), "")</f>
        <v/>
      </c>
      <c r="N280" s="1" t="str">
        <f>IF(Teams[[#This Row],[relevant]], SUMIFS(Fixtures[INV], Fixtures[userTeam], Teams[[#This Row],[name]]), "")</f>
        <v/>
      </c>
      <c r="O280" s="1" t="str">
        <f>IF(Teams[[#This Row],[relevant]], SUMIFS(Fixtures[YC], Fixtures[userTeam], Teams[[#This Row],[name]]), "")</f>
        <v/>
      </c>
      <c r="P280" s="1" t="str">
        <f>IF(Teams[[#This Row],[relevant]], SUMIFS(Fixtures[RC], Fixtures[userTeam], Teams[[#This Row],[name]]), "")</f>
        <v/>
      </c>
      <c r="Q280" s="13" t="str">
        <f>IF(Teams[[#This Row],[relevant]], IF(ISERROR(AVERAGEIFS(Fixtures[MR], Fixtures[userTeam], Teams[[#This Row],[name]])), 0, AVERAGEIFS(Fixtures[MR], Fixtures[userTeam], Teams[[#This Row],[name]])), "")</f>
        <v/>
      </c>
      <c r="R280" s="1" t="str">
        <f>IF(Teams[[#This Row],[relevant]], COUNTIFS(Fixtures[userTeam], Teams[[#This Row],[name]], Fixtures[MOTM], TRUE), "")</f>
        <v/>
      </c>
      <c r="S280" s="1" t="str" cm="1">
        <f t="array" ref="S280">IF(Teams[[#This Row],[relevant]], _xlfn.TEXTJOIN(", ", TRUE, _xlfn._xlws.FILTER(Stats[competition]&amp;" ("&amp;Stats[season]&amp;")",(Stats[team]=Teams[[#This Row],[name]])*(Stats[result]="Winner"),"")), "")</f>
        <v/>
      </c>
    </row>
    <row r="281" spans="1:19" ht="13" hidden="1">
      <c r="A281" s="1" t="s">
        <v>660</v>
      </c>
      <c r="B281" s="1" t="s">
        <v>568</v>
      </c>
      <c r="C281" s="1" t="s">
        <v>391</v>
      </c>
      <c r="D281" s="1" t="str">
        <f>UPPER(_xlfn.CONCAT(LEFT(Teams[[#This Row],[teamType]], 1), "-", LEFT(SUBSTITUTE(Teams[[#This Row],[nation]], "/", ""), 3), "-", SUBSTITUTE(SUBSTITUTE(SUBSTITUTE(Teams[[#This Row],[name]], ".", ""), " ", ""), "-", "")))</f>
        <v>C-KOR-GANGWONFC</v>
      </c>
      <c r="E281" s="16"/>
      <c r="F281" s="16"/>
      <c r="G281" s="1" t="b">
        <f>COUNTBLANK(Teams[[#This Row],[startDate]:[endDate]]) &lt; 2</f>
        <v>0</v>
      </c>
      <c r="H281" s="1" t="str">
        <f>IF(Teams[[#This Row],[relevant]], COUNTIFS(Fixtures[userTeam], Teams[[#This Row],[name]], Fixtures[APP], TRUE), "")</f>
        <v/>
      </c>
      <c r="I281" s="1" t="str">
        <f>IF(Teams[[#This Row],[relevant]], COUNTIFS(Fixtures[userTeam], Teams[[#This Row],[name]], Fixtures[result], "W", Fixtures[APP], TRUE), "")</f>
        <v/>
      </c>
      <c r="J281" s="1" t="str">
        <f>IF(Teams[[#This Row],[relevant]], COUNTIFS(Fixtures[userTeam], Teams[[#This Row],[name]], Fixtures[result], "D", Fixtures[APP], TRUE), "")</f>
        <v/>
      </c>
      <c r="K281" s="1" t="str">
        <f>IF(Teams[[#This Row],[relevant]], COUNTIFS(Fixtures[userTeam], Teams[[#This Row],[name]], Fixtures[result], "L", Fixtures[APP], TRUE), "")</f>
        <v/>
      </c>
      <c r="L281" s="1" t="str">
        <f>IF(Teams[[#This Row],[relevant]], SUMIFS(Fixtures[G], Fixtures[userTeam], Teams[[#This Row],[name]]), "")</f>
        <v/>
      </c>
      <c r="M281" s="1" t="str">
        <f>IF(Teams[[#This Row],[relevant]], SUMIFS(Fixtures[A], Fixtures[userTeam], Teams[[#This Row],[name]]), "")</f>
        <v/>
      </c>
      <c r="N281" s="1" t="str">
        <f>IF(Teams[[#This Row],[relevant]], SUMIFS(Fixtures[INV], Fixtures[userTeam], Teams[[#This Row],[name]]), "")</f>
        <v/>
      </c>
      <c r="O281" s="1" t="str">
        <f>IF(Teams[[#This Row],[relevant]], SUMIFS(Fixtures[YC], Fixtures[userTeam], Teams[[#This Row],[name]]), "")</f>
        <v/>
      </c>
      <c r="P281" s="1" t="str">
        <f>IF(Teams[[#This Row],[relevant]], SUMIFS(Fixtures[RC], Fixtures[userTeam], Teams[[#This Row],[name]]), "")</f>
        <v/>
      </c>
      <c r="Q281" s="13" t="str">
        <f>IF(Teams[[#This Row],[relevant]], IF(ISERROR(AVERAGEIFS(Fixtures[MR], Fixtures[userTeam], Teams[[#This Row],[name]])), 0, AVERAGEIFS(Fixtures[MR], Fixtures[userTeam], Teams[[#This Row],[name]])), "")</f>
        <v/>
      </c>
      <c r="R281" s="1" t="str">
        <f>IF(Teams[[#This Row],[relevant]], COUNTIFS(Fixtures[userTeam], Teams[[#This Row],[name]], Fixtures[MOTM], TRUE), "")</f>
        <v/>
      </c>
      <c r="S281" s="1" t="str" cm="1">
        <f t="array" ref="S281">IF(Teams[[#This Row],[relevant]], _xlfn.TEXTJOIN(", ", TRUE, _xlfn._xlws.FILTER(Stats[competition]&amp;" ("&amp;Stats[season]&amp;")",(Stats[team]=Teams[[#This Row],[name]])*(Stats[result]="Winner"),"")), "")</f>
        <v/>
      </c>
    </row>
    <row r="282" spans="1:19" ht="13" hidden="1">
      <c r="A282" s="1" t="s">
        <v>661</v>
      </c>
      <c r="B282" s="1" t="s">
        <v>408</v>
      </c>
      <c r="C282" s="1" t="s">
        <v>391</v>
      </c>
      <c r="D282" s="1" t="str">
        <f>UPPER(_xlfn.CONCAT(LEFT(Teams[[#This Row],[teamType]], 1), "-", LEFT(SUBSTITUTE(Teams[[#This Row],[nation]], "/", ""), 3), "-", SUBSTITUTE(SUBSTITUTE(SUBSTITUTE(Teams[[#This Row],[name]], ".", ""), " ", ""), "-", "")))</f>
        <v>C-TUR-GAZIANTEP</v>
      </c>
      <c r="E282" s="16"/>
      <c r="F282" s="16"/>
      <c r="G282" s="1" t="b">
        <f>COUNTBLANK(Teams[[#This Row],[startDate]:[endDate]]) &lt; 2</f>
        <v>0</v>
      </c>
      <c r="H282" s="1" t="str">
        <f>IF(Teams[[#This Row],[relevant]], COUNTIFS(Fixtures[userTeam], Teams[[#This Row],[name]], Fixtures[APP], TRUE), "")</f>
        <v/>
      </c>
      <c r="I282" s="1" t="str">
        <f>IF(Teams[[#This Row],[relevant]], COUNTIFS(Fixtures[userTeam], Teams[[#This Row],[name]], Fixtures[result], "W", Fixtures[APP], TRUE), "")</f>
        <v/>
      </c>
      <c r="J282" s="1" t="str">
        <f>IF(Teams[[#This Row],[relevant]], COUNTIFS(Fixtures[userTeam], Teams[[#This Row],[name]], Fixtures[result], "D", Fixtures[APP], TRUE), "")</f>
        <v/>
      </c>
      <c r="K282" s="1" t="str">
        <f>IF(Teams[[#This Row],[relevant]], COUNTIFS(Fixtures[userTeam], Teams[[#This Row],[name]], Fixtures[result], "L", Fixtures[APP], TRUE), "")</f>
        <v/>
      </c>
      <c r="L282" s="1" t="str">
        <f>IF(Teams[[#This Row],[relevant]], SUMIFS(Fixtures[G], Fixtures[userTeam], Teams[[#This Row],[name]]), "")</f>
        <v/>
      </c>
      <c r="M282" s="1" t="str">
        <f>IF(Teams[[#This Row],[relevant]], SUMIFS(Fixtures[A], Fixtures[userTeam], Teams[[#This Row],[name]]), "")</f>
        <v/>
      </c>
      <c r="N282" s="1" t="str">
        <f>IF(Teams[[#This Row],[relevant]], SUMIFS(Fixtures[INV], Fixtures[userTeam], Teams[[#This Row],[name]]), "")</f>
        <v/>
      </c>
      <c r="O282" s="1" t="str">
        <f>IF(Teams[[#This Row],[relevant]], SUMIFS(Fixtures[YC], Fixtures[userTeam], Teams[[#This Row],[name]]), "")</f>
        <v/>
      </c>
      <c r="P282" s="1" t="str">
        <f>IF(Teams[[#This Row],[relevant]], SUMIFS(Fixtures[RC], Fixtures[userTeam], Teams[[#This Row],[name]]), "")</f>
        <v/>
      </c>
      <c r="Q282" s="13" t="str">
        <f>IF(Teams[[#This Row],[relevant]], IF(ISERROR(AVERAGEIFS(Fixtures[MR], Fixtures[userTeam], Teams[[#This Row],[name]])), 0, AVERAGEIFS(Fixtures[MR], Fixtures[userTeam], Teams[[#This Row],[name]])), "")</f>
        <v/>
      </c>
      <c r="R282" s="1" t="str">
        <f>IF(Teams[[#This Row],[relevant]], COUNTIFS(Fixtures[userTeam], Teams[[#This Row],[name]], Fixtures[MOTM], TRUE), "")</f>
        <v/>
      </c>
      <c r="S282" s="1" t="str" cm="1">
        <f t="array" ref="S282">IF(Teams[[#This Row],[relevant]], _xlfn.TEXTJOIN(", ", TRUE, _xlfn._xlws.FILTER(Stats[competition]&amp;" ("&amp;Stats[season]&amp;")",(Stats[team]=Teams[[#This Row],[name]])*(Stats[result]="Winner"),"")), "")</f>
        <v/>
      </c>
    </row>
    <row r="283" spans="1:19" ht="13" hidden="1">
      <c r="A283" s="1" t="s">
        <v>662</v>
      </c>
      <c r="B283" s="1" t="s">
        <v>463</v>
      </c>
      <c r="C283" s="1" t="s">
        <v>391</v>
      </c>
      <c r="D283" s="1" t="str">
        <f>UPPER(_xlfn.CONCAT(LEFT(Teams[[#This Row],[teamType]], 1), "-", LEFT(SUBSTITUTE(Teams[[#This Row],[nation]], "/", ""), 3), "-", SUBSTITUTE(SUBSTITUTE(SUBSTITUTE(Teams[[#This Row],[name]], ".", ""), " ", ""), "-", "")))</f>
        <v>C-POR-GDCHAVES</v>
      </c>
      <c r="E283" s="16"/>
      <c r="F283" s="16"/>
      <c r="G283" s="1" t="b">
        <f>COUNTBLANK(Teams[[#This Row],[startDate]:[endDate]]) &lt; 2</f>
        <v>0</v>
      </c>
      <c r="H283" s="1" t="str">
        <f>IF(Teams[[#This Row],[relevant]], COUNTIFS(Fixtures[userTeam], Teams[[#This Row],[name]], Fixtures[APP], TRUE), "")</f>
        <v/>
      </c>
      <c r="I283" s="1" t="str">
        <f>IF(Teams[[#This Row],[relevant]], COUNTIFS(Fixtures[userTeam], Teams[[#This Row],[name]], Fixtures[result], "W", Fixtures[APP], TRUE), "")</f>
        <v/>
      </c>
      <c r="J283" s="1" t="str">
        <f>IF(Teams[[#This Row],[relevant]], COUNTIFS(Fixtures[userTeam], Teams[[#This Row],[name]], Fixtures[result], "D", Fixtures[APP], TRUE), "")</f>
        <v/>
      </c>
      <c r="K283" s="1" t="str">
        <f>IF(Teams[[#This Row],[relevant]], COUNTIFS(Fixtures[userTeam], Teams[[#This Row],[name]], Fixtures[result], "L", Fixtures[APP], TRUE), "")</f>
        <v/>
      </c>
      <c r="L283" s="1" t="str">
        <f>IF(Teams[[#This Row],[relevant]], SUMIFS(Fixtures[G], Fixtures[userTeam], Teams[[#This Row],[name]]), "")</f>
        <v/>
      </c>
      <c r="M283" s="1" t="str">
        <f>IF(Teams[[#This Row],[relevant]], SUMIFS(Fixtures[A], Fixtures[userTeam], Teams[[#This Row],[name]]), "")</f>
        <v/>
      </c>
      <c r="N283" s="1" t="str">
        <f>IF(Teams[[#This Row],[relevant]], SUMIFS(Fixtures[INV], Fixtures[userTeam], Teams[[#This Row],[name]]), "")</f>
        <v/>
      </c>
      <c r="O283" s="1" t="str">
        <f>IF(Teams[[#This Row],[relevant]], SUMIFS(Fixtures[YC], Fixtures[userTeam], Teams[[#This Row],[name]]), "")</f>
        <v/>
      </c>
      <c r="P283" s="1" t="str">
        <f>IF(Teams[[#This Row],[relevant]], SUMIFS(Fixtures[RC], Fixtures[userTeam], Teams[[#This Row],[name]]), "")</f>
        <v/>
      </c>
      <c r="Q283" s="13" t="str">
        <f>IF(Teams[[#This Row],[relevant]], IF(ISERROR(AVERAGEIFS(Fixtures[MR], Fixtures[userTeam], Teams[[#This Row],[name]])), 0, AVERAGEIFS(Fixtures[MR], Fixtures[userTeam], Teams[[#This Row],[name]])), "")</f>
        <v/>
      </c>
      <c r="R283" s="1" t="str">
        <f>IF(Teams[[#This Row],[relevant]], COUNTIFS(Fixtures[userTeam], Teams[[#This Row],[name]], Fixtures[MOTM], TRUE), "")</f>
        <v/>
      </c>
      <c r="S283" s="1" t="str" cm="1">
        <f t="array" ref="S283">IF(Teams[[#This Row],[relevant]], _xlfn.TEXTJOIN(", ", TRUE, _xlfn._xlws.FILTER(Stats[competition]&amp;" ("&amp;Stats[season]&amp;")",(Stats[team]=Teams[[#This Row],[name]])*(Stats[result]="Winner"),"")), "")</f>
        <v/>
      </c>
    </row>
    <row r="284" spans="1:19" ht="13" hidden="1">
      <c r="A284" s="1" t="s">
        <v>111</v>
      </c>
      <c r="B284" s="1" t="s">
        <v>254</v>
      </c>
      <c r="C284" s="1" t="s">
        <v>391</v>
      </c>
      <c r="D284" s="1" t="str">
        <f>UPPER(_xlfn.CONCAT(LEFT(Teams[[#This Row],[teamType]], 1), "-", LEFT(SUBSTITUTE(Teams[[#This Row],[nation]], "/", ""), 3), "-", SUBSTITUTE(SUBSTITUTE(SUBSTITUTE(Teams[[#This Row],[name]], ".", ""), " ", ""), "-", "")))</f>
        <v>C-ITA-GENOA</v>
      </c>
      <c r="E284" s="16"/>
      <c r="F284" s="16"/>
      <c r="G284" s="1" t="b">
        <f>COUNTBLANK(Teams[[#This Row],[startDate]:[endDate]]) &lt; 2</f>
        <v>0</v>
      </c>
      <c r="H284" s="1" t="str">
        <f>IF(Teams[[#This Row],[relevant]], COUNTIFS(Fixtures[userTeam], Teams[[#This Row],[name]], Fixtures[APP], TRUE), "")</f>
        <v/>
      </c>
      <c r="I284" s="1" t="str">
        <f>IF(Teams[[#This Row],[relevant]], COUNTIFS(Fixtures[userTeam], Teams[[#This Row],[name]], Fixtures[result], "W", Fixtures[APP], TRUE), "")</f>
        <v/>
      </c>
      <c r="J284" s="1" t="str">
        <f>IF(Teams[[#This Row],[relevant]], COUNTIFS(Fixtures[userTeam], Teams[[#This Row],[name]], Fixtures[result], "D", Fixtures[APP], TRUE), "")</f>
        <v/>
      </c>
      <c r="K284" s="1" t="str">
        <f>IF(Teams[[#This Row],[relevant]], COUNTIFS(Fixtures[userTeam], Teams[[#This Row],[name]], Fixtures[result], "L", Fixtures[APP], TRUE), "")</f>
        <v/>
      </c>
      <c r="L284" s="1" t="str">
        <f>IF(Teams[[#This Row],[relevant]], SUMIFS(Fixtures[G], Fixtures[userTeam], Teams[[#This Row],[name]]), "")</f>
        <v/>
      </c>
      <c r="M284" s="1" t="str">
        <f>IF(Teams[[#This Row],[relevant]], SUMIFS(Fixtures[A], Fixtures[userTeam], Teams[[#This Row],[name]]), "")</f>
        <v/>
      </c>
      <c r="N284" s="1" t="str">
        <f>IF(Teams[[#This Row],[relevant]], SUMIFS(Fixtures[INV], Fixtures[userTeam], Teams[[#This Row],[name]]), "")</f>
        <v/>
      </c>
      <c r="O284" s="1" t="str">
        <f>IF(Teams[[#This Row],[relevant]], SUMIFS(Fixtures[YC], Fixtures[userTeam], Teams[[#This Row],[name]]), "")</f>
        <v/>
      </c>
      <c r="P284" s="1" t="str">
        <f>IF(Teams[[#This Row],[relevant]], SUMIFS(Fixtures[RC], Fixtures[userTeam], Teams[[#This Row],[name]]), "")</f>
        <v/>
      </c>
      <c r="Q284" s="13" t="str">
        <f>IF(Teams[[#This Row],[relevant]], IF(ISERROR(AVERAGEIFS(Fixtures[MR], Fixtures[userTeam], Teams[[#This Row],[name]])), 0, AVERAGEIFS(Fixtures[MR], Fixtures[userTeam], Teams[[#This Row],[name]])), "")</f>
        <v/>
      </c>
      <c r="R284" s="1" t="str">
        <f>IF(Teams[[#This Row],[relevant]], COUNTIFS(Fixtures[userTeam], Teams[[#This Row],[name]], Fixtures[MOTM], TRUE), "")</f>
        <v/>
      </c>
      <c r="S284" s="1" t="str" cm="1">
        <f t="array" ref="S284">IF(Teams[[#This Row],[relevant]], _xlfn.TEXTJOIN(", ", TRUE, _xlfn._xlws.FILTER(Stats[competition]&amp;" ("&amp;Stats[season]&amp;")",(Stats[team]=Teams[[#This Row],[name]])*(Stats[result]="Winner"),"")), "")</f>
        <v/>
      </c>
    </row>
    <row r="285" spans="1:19" ht="13" hidden="1">
      <c r="A285" s="1" t="s">
        <v>337</v>
      </c>
      <c r="B285" s="1" t="s">
        <v>337</v>
      </c>
      <c r="C285" s="1" t="s">
        <v>459</v>
      </c>
      <c r="D285" s="1" t="str">
        <f>UPPER(_xlfn.CONCAT(LEFT(Teams[[#This Row],[teamType]], 1), "-", LEFT(SUBSTITUTE(Teams[[#This Row],[nation]], "/", ""), 3), "-", SUBSTITUTE(SUBSTITUTE(SUBSTITUTE(Teams[[#This Row],[name]], ".", ""), " ", ""), "-", "")))</f>
        <v>N-GER-GERMANY</v>
      </c>
      <c r="E285" s="16"/>
      <c r="F285" s="16"/>
      <c r="G285" s="1" t="b">
        <f>COUNTBLANK(Teams[[#This Row],[startDate]:[endDate]]) &lt; 2</f>
        <v>0</v>
      </c>
      <c r="H285" s="1" t="str">
        <f>IF(Teams[[#This Row],[relevant]], COUNTIFS(Fixtures[userTeam], Teams[[#This Row],[name]], Fixtures[APP], TRUE), "")</f>
        <v/>
      </c>
      <c r="I285" s="1" t="str">
        <f>IF(Teams[[#This Row],[relevant]], COUNTIFS(Fixtures[userTeam], Teams[[#This Row],[name]], Fixtures[result], "W", Fixtures[APP], TRUE), "")</f>
        <v/>
      </c>
      <c r="J285" s="1" t="str">
        <f>IF(Teams[[#This Row],[relevant]], COUNTIFS(Fixtures[userTeam], Teams[[#This Row],[name]], Fixtures[result], "D", Fixtures[APP], TRUE), "")</f>
        <v/>
      </c>
      <c r="K285" s="1" t="str">
        <f>IF(Teams[[#This Row],[relevant]], COUNTIFS(Fixtures[userTeam], Teams[[#This Row],[name]], Fixtures[result], "L", Fixtures[APP], TRUE), "")</f>
        <v/>
      </c>
      <c r="L285" s="1" t="str">
        <f>IF(Teams[[#This Row],[relevant]], SUMIFS(Fixtures[G], Fixtures[userTeam], Teams[[#This Row],[name]]), "")</f>
        <v/>
      </c>
      <c r="M285" s="1" t="str">
        <f>IF(Teams[[#This Row],[relevant]], SUMIFS(Fixtures[A], Fixtures[userTeam], Teams[[#This Row],[name]]), "")</f>
        <v/>
      </c>
      <c r="N285" s="1" t="str">
        <f>IF(Teams[[#This Row],[relevant]], SUMIFS(Fixtures[INV], Fixtures[userTeam], Teams[[#This Row],[name]]), "")</f>
        <v/>
      </c>
      <c r="O285" s="1" t="str">
        <f>IF(Teams[[#This Row],[relevant]], SUMIFS(Fixtures[YC], Fixtures[userTeam], Teams[[#This Row],[name]]), "")</f>
        <v/>
      </c>
      <c r="P285" s="1" t="str">
        <f>IF(Teams[[#This Row],[relevant]], SUMIFS(Fixtures[RC], Fixtures[userTeam], Teams[[#This Row],[name]]), "")</f>
        <v/>
      </c>
      <c r="Q285" s="13" t="str">
        <f>IF(Teams[[#This Row],[relevant]], IF(ISERROR(AVERAGEIFS(Fixtures[MR], Fixtures[userTeam], Teams[[#This Row],[name]])), 0, AVERAGEIFS(Fixtures[MR], Fixtures[userTeam], Teams[[#This Row],[name]])), "")</f>
        <v/>
      </c>
      <c r="R285" s="1" t="str">
        <f>IF(Teams[[#This Row],[relevant]], COUNTIFS(Fixtures[userTeam], Teams[[#This Row],[name]], Fixtures[MOTM], TRUE), "")</f>
        <v/>
      </c>
      <c r="S285" s="1" t="str" cm="1">
        <f t="array" ref="S285">IF(Teams[[#This Row],[relevant]], _xlfn.TEXTJOIN(", ", TRUE, _xlfn._xlws.FILTER(Stats[competition]&amp;" ("&amp;Stats[season]&amp;")",(Stats[team]=Teams[[#This Row],[name]])*(Stats[result]="Winner"),"")), "")</f>
        <v/>
      </c>
    </row>
    <row r="286" spans="1:19" ht="13" hidden="1">
      <c r="A286" s="1" t="s">
        <v>663</v>
      </c>
      <c r="B286" s="1" t="s">
        <v>163</v>
      </c>
      <c r="C286" s="1" t="s">
        <v>391</v>
      </c>
      <c r="D286" s="1" t="str">
        <f>UPPER(_xlfn.CONCAT(LEFT(Teams[[#This Row],[teamType]], 1), "-", LEFT(SUBSTITUTE(Teams[[#This Row],[nation]], "/", ""), 3), "-", SUBSTITUTE(SUBSTITUTE(SUBSTITUTE(Teams[[#This Row],[name]], ".", ""), " ", ""), "-", "")))</f>
        <v>C-SPA-GETAFECF</v>
      </c>
      <c r="E286" s="16"/>
      <c r="F286" s="16"/>
      <c r="G286" s="1" t="b">
        <f>COUNTBLANK(Teams[[#This Row],[startDate]:[endDate]]) &lt; 2</f>
        <v>0</v>
      </c>
      <c r="H286" s="1" t="str">
        <f>IF(Teams[[#This Row],[relevant]], COUNTIFS(Fixtures[userTeam], Teams[[#This Row],[name]], Fixtures[APP], TRUE), "")</f>
        <v/>
      </c>
      <c r="I286" s="1" t="str">
        <f>IF(Teams[[#This Row],[relevant]], COUNTIFS(Fixtures[userTeam], Teams[[#This Row],[name]], Fixtures[result], "W", Fixtures[APP], TRUE), "")</f>
        <v/>
      </c>
      <c r="J286" s="1" t="str">
        <f>IF(Teams[[#This Row],[relevant]], COUNTIFS(Fixtures[userTeam], Teams[[#This Row],[name]], Fixtures[result], "D", Fixtures[APP], TRUE), "")</f>
        <v/>
      </c>
      <c r="K286" s="1" t="str">
        <f>IF(Teams[[#This Row],[relevant]], COUNTIFS(Fixtures[userTeam], Teams[[#This Row],[name]], Fixtures[result], "L", Fixtures[APP], TRUE), "")</f>
        <v/>
      </c>
      <c r="L286" s="1" t="str">
        <f>IF(Teams[[#This Row],[relevant]], SUMIFS(Fixtures[G], Fixtures[userTeam], Teams[[#This Row],[name]]), "")</f>
        <v/>
      </c>
      <c r="M286" s="1" t="str">
        <f>IF(Teams[[#This Row],[relevant]], SUMIFS(Fixtures[A], Fixtures[userTeam], Teams[[#This Row],[name]]), "")</f>
        <v/>
      </c>
      <c r="N286" s="1" t="str">
        <f>IF(Teams[[#This Row],[relevant]], SUMIFS(Fixtures[INV], Fixtures[userTeam], Teams[[#This Row],[name]]), "")</f>
        <v/>
      </c>
      <c r="O286" s="1" t="str">
        <f>IF(Teams[[#This Row],[relevant]], SUMIFS(Fixtures[YC], Fixtures[userTeam], Teams[[#This Row],[name]]), "")</f>
        <v/>
      </c>
      <c r="P286" s="1" t="str">
        <f>IF(Teams[[#This Row],[relevant]], SUMIFS(Fixtures[RC], Fixtures[userTeam], Teams[[#This Row],[name]]), "")</f>
        <v/>
      </c>
      <c r="Q286" s="13" t="str">
        <f>IF(Teams[[#This Row],[relevant]], IF(ISERROR(AVERAGEIFS(Fixtures[MR], Fixtures[userTeam], Teams[[#This Row],[name]])), 0, AVERAGEIFS(Fixtures[MR], Fixtures[userTeam], Teams[[#This Row],[name]])), "")</f>
        <v/>
      </c>
      <c r="R286" s="1" t="str">
        <f>IF(Teams[[#This Row],[relevant]], COUNTIFS(Fixtures[userTeam], Teams[[#This Row],[name]], Fixtures[MOTM], TRUE), "")</f>
        <v/>
      </c>
      <c r="S286" s="1" t="str" cm="1">
        <f t="array" ref="S286">IF(Teams[[#This Row],[relevant]], _xlfn.TEXTJOIN(", ", TRUE, _xlfn._xlws.FILTER(Stats[competition]&amp;" ("&amp;Stats[season]&amp;")",(Stats[team]=Teams[[#This Row],[name]])*(Stats[result]="Winner"),"")), "")</f>
        <v/>
      </c>
    </row>
    <row r="287" spans="1:19" ht="13" hidden="1">
      <c r="A287" s="1" t="s">
        <v>154</v>
      </c>
      <c r="B287" s="1" t="s">
        <v>154</v>
      </c>
      <c r="C287" s="1" t="s">
        <v>459</v>
      </c>
      <c r="D287" s="1" t="str">
        <f>UPPER(_xlfn.CONCAT(LEFT(Teams[[#This Row],[teamType]], 1), "-", LEFT(SUBSTITUTE(Teams[[#This Row],[nation]], "/", ""), 3), "-", SUBSTITUTE(SUBSTITUTE(SUBSTITUTE(Teams[[#This Row],[name]], ".", ""), " ", ""), "-", "")))</f>
        <v>N-GHA-GHANA</v>
      </c>
      <c r="E287" s="16"/>
      <c r="F287" s="16"/>
      <c r="G287" s="1" t="b">
        <f>COUNTBLANK(Teams[[#This Row],[startDate]:[endDate]]) &lt; 2</f>
        <v>0</v>
      </c>
      <c r="H287" s="1" t="str">
        <f>IF(Teams[[#This Row],[relevant]], COUNTIFS(Fixtures[userTeam], Teams[[#This Row],[name]], Fixtures[APP], TRUE), "")</f>
        <v/>
      </c>
      <c r="I287" s="1" t="str">
        <f>IF(Teams[[#This Row],[relevant]], COUNTIFS(Fixtures[userTeam], Teams[[#This Row],[name]], Fixtures[result], "W", Fixtures[APP], TRUE), "")</f>
        <v/>
      </c>
      <c r="J287" s="1" t="str">
        <f>IF(Teams[[#This Row],[relevant]], COUNTIFS(Fixtures[userTeam], Teams[[#This Row],[name]], Fixtures[result], "D", Fixtures[APP], TRUE), "")</f>
        <v/>
      </c>
      <c r="K287" s="1" t="str">
        <f>IF(Teams[[#This Row],[relevant]], COUNTIFS(Fixtures[userTeam], Teams[[#This Row],[name]], Fixtures[result], "L", Fixtures[APP], TRUE), "")</f>
        <v/>
      </c>
      <c r="L287" s="1" t="str">
        <f>IF(Teams[[#This Row],[relevant]], SUMIFS(Fixtures[G], Fixtures[userTeam], Teams[[#This Row],[name]]), "")</f>
        <v/>
      </c>
      <c r="M287" s="1" t="str">
        <f>IF(Teams[[#This Row],[relevant]], SUMIFS(Fixtures[A], Fixtures[userTeam], Teams[[#This Row],[name]]), "")</f>
        <v/>
      </c>
      <c r="N287" s="1" t="str">
        <f>IF(Teams[[#This Row],[relevant]], SUMIFS(Fixtures[INV], Fixtures[userTeam], Teams[[#This Row],[name]]), "")</f>
        <v/>
      </c>
      <c r="O287" s="1" t="str">
        <f>IF(Teams[[#This Row],[relevant]], SUMIFS(Fixtures[YC], Fixtures[userTeam], Teams[[#This Row],[name]]), "")</f>
        <v/>
      </c>
      <c r="P287" s="1" t="str">
        <f>IF(Teams[[#This Row],[relevant]], SUMIFS(Fixtures[RC], Fixtures[userTeam], Teams[[#This Row],[name]]), "")</f>
        <v/>
      </c>
      <c r="Q287" s="13" t="str">
        <f>IF(Teams[[#This Row],[relevant]], IF(ISERROR(AVERAGEIFS(Fixtures[MR], Fixtures[userTeam], Teams[[#This Row],[name]])), 0, AVERAGEIFS(Fixtures[MR], Fixtures[userTeam], Teams[[#This Row],[name]])), "")</f>
        <v/>
      </c>
      <c r="R287" s="1" t="str">
        <f>IF(Teams[[#This Row],[relevant]], COUNTIFS(Fixtures[userTeam], Teams[[#This Row],[name]], Fixtures[MOTM], TRUE), "")</f>
        <v/>
      </c>
      <c r="S287" s="1" t="str" cm="1">
        <f t="array" ref="S287">IF(Teams[[#This Row],[relevant]], _xlfn.TEXTJOIN(", ", TRUE, _xlfn._xlws.FILTER(Stats[competition]&amp;" ("&amp;Stats[season]&amp;")",(Stats[team]=Teams[[#This Row],[name]])*(Stats[result]="Winner"),"")), "")</f>
        <v/>
      </c>
    </row>
    <row r="288" spans="1:19" ht="13" hidden="1">
      <c r="A288" s="1" t="s">
        <v>664</v>
      </c>
      <c r="B288" s="1" t="s">
        <v>284</v>
      </c>
      <c r="C288" s="1" t="s">
        <v>391</v>
      </c>
      <c r="D288" s="1" t="str">
        <f>UPPER(_xlfn.CONCAT(LEFT(Teams[[#This Row],[teamType]], 1), "-", LEFT(SUBSTITUTE(Teams[[#This Row],[nation]], "/", ""), 3), "-", SUBSTITUTE(SUBSTITUTE(SUBSTITUTE(Teams[[#This Row],[name]], ".", ""), " ", ""), "-", "")))</f>
        <v>C-SWE-GIFSUNDSVALL</v>
      </c>
      <c r="E288" s="16"/>
      <c r="F288" s="16"/>
      <c r="G288" s="1" t="b">
        <f>COUNTBLANK(Teams[[#This Row],[startDate]:[endDate]]) &lt; 2</f>
        <v>0</v>
      </c>
      <c r="H288" s="1" t="str">
        <f>IF(Teams[[#This Row],[relevant]], COUNTIFS(Fixtures[userTeam], Teams[[#This Row],[name]], Fixtures[APP], TRUE), "")</f>
        <v/>
      </c>
      <c r="I288" s="1" t="str">
        <f>IF(Teams[[#This Row],[relevant]], COUNTIFS(Fixtures[userTeam], Teams[[#This Row],[name]], Fixtures[result], "W", Fixtures[APP], TRUE), "")</f>
        <v/>
      </c>
      <c r="J288" s="1" t="str">
        <f>IF(Teams[[#This Row],[relevant]], COUNTIFS(Fixtures[userTeam], Teams[[#This Row],[name]], Fixtures[result], "D", Fixtures[APP], TRUE), "")</f>
        <v/>
      </c>
      <c r="K288" s="1" t="str">
        <f>IF(Teams[[#This Row],[relevant]], COUNTIFS(Fixtures[userTeam], Teams[[#This Row],[name]], Fixtures[result], "L", Fixtures[APP], TRUE), "")</f>
        <v/>
      </c>
      <c r="L288" s="1" t="str">
        <f>IF(Teams[[#This Row],[relevant]], SUMIFS(Fixtures[G], Fixtures[userTeam], Teams[[#This Row],[name]]), "")</f>
        <v/>
      </c>
      <c r="M288" s="1" t="str">
        <f>IF(Teams[[#This Row],[relevant]], SUMIFS(Fixtures[A], Fixtures[userTeam], Teams[[#This Row],[name]]), "")</f>
        <v/>
      </c>
      <c r="N288" s="1" t="str">
        <f>IF(Teams[[#This Row],[relevant]], SUMIFS(Fixtures[INV], Fixtures[userTeam], Teams[[#This Row],[name]]), "")</f>
        <v/>
      </c>
      <c r="O288" s="1" t="str">
        <f>IF(Teams[[#This Row],[relevant]], SUMIFS(Fixtures[YC], Fixtures[userTeam], Teams[[#This Row],[name]]), "")</f>
        <v/>
      </c>
      <c r="P288" s="1" t="str">
        <f>IF(Teams[[#This Row],[relevant]], SUMIFS(Fixtures[RC], Fixtures[userTeam], Teams[[#This Row],[name]]), "")</f>
        <v/>
      </c>
      <c r="Q288" s="13" t="str">
        <f>IF(Teams[[#This Row],[relevant]], IF(ISERROR(AVERAGEIFS(Fixtures[MR], Fixtures[userTeam], Teams[[#This Row],[name]])), 0, AVERAGEIFS(Fixtures[MR], Fixtures[userTeam], Teams[[#This Row],[name]])), "")</f>
        <v/>
      </c>
      <c r="R288" s="1" t="str">
        <f>IF(Teams[[#This Row],[relevant]], COUNTIFS(Fixtures[userTeam], Teams[[#This Row],[name]], Fixtures[MOTM], TRUE), "")</f>
        <v/>
      </c>
      <c r="S288" s="1" t="str" cm="1">
        <f t="array" ref="S288">IF(Teams[[#This Row],[relevant]], _xlfn.TEXTJOIN(", ", TRUE, _xlfn._xlws.FILTER(Stats[competition]&amp;" ("&amp;Stats[season]&amp;")",(Stats[team]=Teams[[#This Row],[name]])*(Stats[result]="Winner"),"")), "")</f>
        <v/>
      </c>
    </row>
    <row r="289" spans="1:19" ht="13" hidden="1">
      <c r="A289" s="1" t="s">
        <v>665</v>
      </c>
      <c r="B289" s="1" t="s">
        <v>463</v>
      </c>
      <c r="C289" s="1" t="s">
        <v>391</v>
      </c>
      <c r="D289" s="1" t="str">
        <f>UPPER(_xlfn.CONCAT(LEFT(Teams[[#This Row],[teamType]], 1), "-", LEFT(SUBSTITUTE(Teams[[#This Row],[nation]], "/", ""), 3), "-", SUBSTITUTE(SUBSTITUTE(SUBSTITUTE(Teams[[#This Row],[name]], ".", ""), " ", ""), "-", "")))</f>
        <v>C-POR-GILVICENTE</v>
      </c>
      <c r="E289" s="16"/>
      <c r="F289" s="16"/>
      <c r="G289" s="1" t="b">
        <f>COUNTBLANK(Teams[[#This Row],[startDate]:[endDate]]) &lt; 2</f>
        <v>0</v>
      </c>
      <c r="H289" s="1" t="str">
        <f>IF(Teams[[#This Row],[relevant]], COUNTIFS(Fixtures[userTeam], Teams[[#This Row],[name]], Fixtures[APP], TRUE), "")</f>
        <v/>
      </c>
      <c r="I289" s="1" t="str">
        <f>IF(Teams[[#This Row],[relevant]], COUNTIFS(Fixtures[userTeam], Teams[[#This Row],[name]], Fixtures[result], "W", Fixtures[APP], TRUE), "")</f>
        <v/>
      </c>
      <c r="J289" s="1" t="str">
        <f>IF(Teams[[#This Row],[relevant]], COUNTIFS(Fixtures[userTeam], Teams[[#This Row],[name]], Fixtures[result], "D", Fixtures[APP], TRUE), "")</f>
        <v/>
      </c>
      <c r="K289" s="1" t="str">
        <f>IF(Teams[[#This Row],[relevant]], COUNTIFS(Fixtures[userTeam], Teams[[#This Row],[name]], Fixtures[result], "L", Fixtures[APP], TRUE), "")</f>
        <v/>
      </c>
      <c r="L289" s="1" t="str">
        <f>IF(Teams[[#This Row],[relevant]], SUMIFS(Fixtures[G], Fixtures[userTeam], Teams[[#This Row],[name]]), "")</f>
        <v/>
      </c>
      <c r="M289" s="1" t="str">
        <f>IF(Teams[[#This Row],[relevant]], SUMIFS(Fixtures[A], Fixtures[userTeam], Teams[[#This Row],[name]]), "")</f>
        <v/>
      </c>
      <c r="N289" s="1" t="str">
        <f>IF(Teams[[#This Row],[relevant]], SUMIFS(Fixtures[INV], Fixtures[userTeam], Teams[[#This Row],[name]]), "")</f>
        <v/>
      </c>
      <c r="O289" s="1" t="str">
        <f>IF(Teams[[#This Row],[relevant]], SUMIFS(Fixtures[YC], Fixtures[userTeam], Teams[[#This Row],[name]]), "")</f>
        <v/>
      </c>
      <c r="P289" s="1" t="str">
        <f>IF(Teams[[#This Row],[relevant]], SUMIFS(Fixtures[RC], Fixtures[userTeam], Teams[[#This Row],[name]]), "")</f>
        <v/>
      </c>
      <c r="Q289" s="13" t="str">
        <f>IF(Teams[[#This Row],[relevant]], IF(ISERROR(AVERAGEIFS(Fixtures[MR], Fixtures[userTeam], Teams[[#This Row],[name]])), 0, AVERAGEIFS(Fixtures[MR], Fixtures[userTeam], Teams[[#This Row],[name]])), "")</f>
        <v/>
      </c>
      <c r="R289" s="1" t="str">
        <f>IF(Teams[[#This Row],[relevant]], COUNTIFS(Fixtures[userTeam], Teams[[#This Row],[name]], Fixtures[MOTM], TRUE), "")</f>
        <v/>
      </c>
      <c r="S289" s="1" t="str" cm="1">
        <f t="array" ref="S289">IF(Teams[[#This Row],[relevant]], _xlfn.TEXTJOIN(", ", TRUE, _xlfn._xlws.FILTER(Stats[competition]&amp;" ("&amp;Stats[season]&amp;")",(Stats[team]=Teams[[#This Row],[name]])*(Stats[result]="Winner"),"")), "")</f>
        <v/>
      </c>
    </row>
    <row r="290" spans="1:19" ht="13" hidden="1">
      <c r="A290" s="1" t="s">
        <v>666</v>
      </c>
      <c r="B290" s="1" t="s">
        <v>152</v>
      </c>
      <c r="C290" s="1" t="s">
        <v>391</v>
      </c>
      <c r="D290" s="1" t="str">
        <f>UPPER(_xlfn.CONCAT(LEFT(Teams[[#This Row],[teamType]], 1), "-", LEFT(SUBSTITUTE(Teams[[#This Row],[nation]], "/", ""), 3), "-", SUBSTITUTE(SUBSTITUTE(SUBSTITUTE(Teams[[#This Row],[name]], ".", ""), " ", ""), "-", "")))</f>
        <v>C-ENG-GILLINGHAM</v>
      </c>
      <c r="E290" s="16"/>
      <c r="F290" s="16"/>
      <c r="G290" s="1" t="b">
        <f>COUNTBLANK(Teams[[#This Row],[startDate]:[endDate]]) &lt; 2</f>
        <v>0</v>
      </c>
      <c r="H290" s="1" t="str">
        <f>IF(Teams[[#This Row],[relevant]], COUNTIFS(Fixtures[userTeam], Teams[[#This Row],[name]], Fixtures[APP], TRUE), "")</f>
        <v/>
      </c>
      <c r="I290" s="1" t="str">
        <f>IF(Teams[[#This Row],[relevant]], COUNTIFS(Fixtures[userTeam], Teams[[#This Row],[name]], Fixtures[result], "W", Fixtures[APP], TRUE), "")</f>
        <v/>
      </c>
      <c r="J290" s="1" t="str">
        <f>IF(Teams[[#This Row],[relevant]], COUNTIFS(Fixtures[userTeam], Teams[[#This Row],[name]], Fixtures[result], "D", Fixtures[APP], TRUE), "")</f>
        <v/>
      </c>
      <c r="K290" s="1" t="str">
        <f>IF(Teams[[#This Row],[relevant]], COUNTIFS(Fixtures[userTeam], Teams[[#This Row],[name]], Fixtures[result], "L", Fixtures[APP], TRUE), "")</f>
        <v/>
      </c>
      <c r="L290" s="1" t="str">
        <f>IF(Teams[[#This Row],[relevant]], SUMIFS(Fixtures[G], Fixtures[userTeam], Teams[[#This Row],[name]]), "")</f>
        <v/>
      </c>
      <c r="M290" s="1" t="str">
        <f>IF(Teams[[#This Row],[relevant]], SUMIFS(Fixtures[A], Fixtures[userTeam], Teams[[#This Row],[name]]), "")</f>
        <v/>
      </c>
      <c r="N290" s="1" t="str">
        <f>IF(Teams[[#This Row],[relevant]], SUMIFS(Fixtures[INV], Fixtures[userTeam], Teams[[#This Row],[name]]), "")</f>
        <v/>
      </c>
      <c r="O290" s="1" t="str">
        <f>IF(Teams[[#This Row],[relevant]], SUMIFS(Fixtures[YC], Fixtures[userTeam], Teams[[#This Row],[name]]), "")</f>
        <v/>
      </c>
      <c r="P290" s="1" t="str">
        <f>IF(Teams[[#This Row],[relevant]], SUMIFS(Fixtures[RC], Fixtures[userTeam], Teams[[#This Row],[name]]), "")</f>
        <v/>
      </c>
      <c r="Q290" s="13" t="str">
        <f>IF(Teams[[#This Row],[relevant]], IF(ISERROR(AVERAGEIFS(Fixtures[MR], Fixtures[userTeam], Teams[[#This Row],[name]])), 0, AVERAGEIFS(Fixtures[MR], Fixtures[userTeam], Teams[[#This Row],[name]])), "")</f>
        <v/>
      </c>
      <c r="R290" s="1" t="str">
        <f>IF(Teams[[#This Row],[relevant]], COUNTIFS(Fixtures[userTeam], Teams[[#This Row],[name]], Fixtures[MOTM], TRUE), "")</f>
        <v/>
      </c>
      <c r="S290" s="1" t="str" cm="1">
        <f t="array" ref="S290">IF(Teams[[#This Row],[relevant]], _xlfn.TEXTJOIN(", ", TRUE, _xlfn._xlws.FILTER(Stats[competition]&amp;" ("&amp;Stats[season]&amp;")",(Stats[team]=Teams[[#This Row],[name]])*(Stats[result]="Winner"),"")), "")</f>
        <v/>
      </c>
    </row>
    <row r="291" spans="1:19" ht="13" hidden="1">
      <c r="A291" s="1" t="s">
        <v>667</v>
      </c>
      <c r="B291" s="1" t="s">
        <v>568</v>
      </c>
      <c r="C291" s="1" t="s">
        <v>391</v>
      </c>
      <c r="D291" s="1" t="str">
        <f>UPPER(_xlfn.CONCAT(LEFT(Teams[[#This Row],[teamType]], 1), "-", LEFT(SUBSTITUTE(Teams[[#This Row],[nation]], "/", ""), 3), "-", SUBSTITUTE(SUBSTITUTE(SUBSTITUTE(Teams[[#This Row],[name]], ".", ""), " ", ""), "-", "")))</f>
        <v>C-KOR-GIMCHEONSANGMU</v>
      </c>
      <c r="E291" s="16"/>
      <c r="F291" s="16"/>
      <c r="G291" s="1" t="b">
        <f>COUNTBLANK(Teams[[#This Row],[startDate]:[endDate]]) &lt; 2</f>
        <v>0</v>
      </c>
      <c r="H291" s="1" t="str">
        <f>IF(Teams[[#This Row],[relevant]], COUNTIFS(Fixtures[userTeam], Teams[[#This Row],[name]], Fixtures[APP], TRUE), "")</f>
        <v/>
      </c>
      <c r="I291" s="1" t="str">
        <f>IF(Teams[[#This Row],[relevant]], COUNTIFS(Fixtures[userTeam], Teams[[#This Row],[name]], Fixtures[result], "W", Fixtures[APP], TRUE), "")</f>
        <v/>
      </c>
      <c r="J291" s="1" t="str">
        <f>IF(Teams[[#This Row],[relevant]], COUNTIFS(Fixtures[userTeam], Teams[[#This Row],[name]], Fixtures[result], "D", Fixtures[APP], TRUE), "")</f>
        <v/>
      </c>
      <c r="K291" s="1" t="str">
        <f>IF(Teams[[#This Row],[relevant]], COUNTIFS(Fixtures[userTeam], Teams[[#This Row],[name]], Fixtures[result], "L", Fixtures[APP], TRUE), "")</f>
        <v/>
      </c>
      <c r="L291" s="1" t="str">
        <f>IF(Teams[[#This Row],[relevant]], SUMIFS(Fixtures[G], Fixtures[userTeam], Teams[[#This Row],[name]]), "")</f>
        <v/>
      </c>
      <c r="M291" s="1" t="str">
        <f>IF(Teams[[#This Row],[relevant]], SUMIFS(Fixtures[A], Fixtures[userTeam], Teams[[#This Row],[name]]), "")</f>
        <v/>
      </c>
      <c r="N291" s="1" t="str">
        <f>IF(Teams[[#This Row],[relevant]], SUMIFS(Fixtures[INV], Fixtures[userTeam], Teams[[#This Row],[name]]), "")</f>
        <v/>
      </c>
      <c r="O291" s="1" t="str">
        <f>IF(Teams[[#This Row],[relevant]], SUMIFS(Fixtures[YC], Fixtures[userTeam], Teams[[#This Row],[name]]), "")</f>
        <v/>
      </c>
      <c r="P291" s="1" t="str">
        <f>IF(Teams[[#This Row],[relevant]], SUMIFS(Fixtures[RC], Fixtures[userTeam], Teams[[#This Row],[name]]), "")</f>
        <v/>
      </c>
      <c r="Q291" s="13" t="str">
        <f>IF(Teams[[#This Row],[relevant]], IF(ISERROR(AVERAGEIFS(Fixtures[MR], Fixtures[userTeam], Teams[[#This Row],[name]])), 0, AVERAGEIFS(Fixtures[MR], Fixtures[userTeam], Teams[[#This Row],[name]])), "")</f>
        <v/>
      </c>
      <c r="R291" s="1" t="str">
        <f>IF(Teams[[#This Row],[relevant]], COUNTIFS(Fixtures[userTeam], Teams[[#This Row],[name]], Fixtures[MOTM], TRUE), "")</f>
        <v/>
      </c>
      <c r="S291" s="1" t="str" cm="1">
        <f t="array" ref="S291">IF(Teams[[#This Row],[relevant]], _xlfn.TEXTJOIN(", ", TRUE, _xlfn._xlws.FILTER(Stats[competition]&amp;" ("&amp;Stats[season]&amp;")",(Stats[team]=Teams[[#This Row],[name]])*(Stats[result]="Winner"),"")), "")</f>
        <v/>
      </c>
    </row>
    <row r="292" spans="1:19" ht="13" hidden="1">
      <c r="A292" s="1" t="s">
        <v>668</v>
      </c>
      <c r="B292" s="1" t="s">
        <v>131</v>
      </c>
      <c r="C292" s="1" t="s">
        <v>391</v>
      </c>
      <c r="D292" s="1" t="str">
        <f>UPPER(_xlfn.CONCAT(LEFT(Teams[[#This Row],[teamType]], 1), "-", LEFT(SUBSTITUTE(Teams[[#This Row],[nation]], "/", ""), 3), "-", SUBSTITUTE(SUBSTITUTE(SUBSTITUTE(Teams[[#This Row],[name]], ".", ""), " ", ""), "-", "")))</f>
        <v>C-ARG-GIMNASIA</v>
      </c>
      <c r="E292" s="16"/>
      <c r="F292" s="16"/>
      <c r="G292" s="1" t="b">
        <f>COUNTBLANK(Teams[[#This Row],[startDate]:[endDate]]) &lt; 2</f>
        <v>0</v>
      </c>
      <c r="H292" s="1" t="str">
        <f>IF(Teams[[#This Row],[relevant]], COUNTIFS(Fixtures[userTeam], Teams[[#This Row],[name]], Fixtures[APP], TRUE), "")</f>
        <v/>
      </c>
      <c r="I292" s="1" t="str">
        <f>IF(Teams[[#This Row],[relevant]], COUNTIFS(Fixtures[userTeam], Teams[[#This Row],[name]], Fixtures[result], "W", Fixtures[APP], TRUE), "")</f>
        <v/>
      </c>
      <c r="J292" s="1" t="str">
        <f>IF(Teams[[#This Row],[relevant]], COUNTIFS(Fixtures[userTeam], Teams[[#This Row],[name]], Fixtures[result], "D", Fixtures[APP], TRUE), "")</f>
        <v/>
      </c>
      <c r="K292" s="1" t="str">
        <f>IF(Teams[[#This Row],[relevant]], COUNTIFS(Fixtures[userTeam], Teams[[#This Row],[name]], Fixtures[result], "L", Fixtures[APP], TRUE), "")</f>
        <v/>
      </c>
      <c r="L292" s="1" t="str">
        <f>IF(Teams[[#This Row],[relevant]], SUMIFS(Fixtures[G], Fixtures[userTeam], Teams[[#This Row],[name]]), "")</f>
        <v/>
      </c>
      <c r="M292" s="1" t="str">
        <f>IF(Teams[[#This Row],[relevant]], SUMIFS(Fixtures[A], Fixtures[userTeam], Teams[[#This Row],[name]]), "")</f>
        <v/>
      </c>
      <c r="N292" s="1" t="str">
        <f>IF(Teams[[#This Row],[relevant]], SUMIFS(Fixtures[INV], Fixtures[userTeam], Teams[[#This Row],[name]]), "")</f>
        <v/>
      </c>
      <c r="O292" s="1" t="str">
        <f>IF(Teams[[#This Row],[relevant]], SUMIFS(Fixtures[YC], Fixtures[userTeam], Teams[[#This Row],[name]]), "")</f>
        <v/>
      </c>
      <c r="P292" s="1" t="str">
        <f>IF(Teams[[#This Row],[relevant]], SUMIFS(Fixtures[RC], Fixtures[userTeam], Teams[[#This Row],[name]]), "")</f>
        <v/>
      </c>
      <c r="Q292" s="13" t="str">
        <f>IF(Teams[[#This Row],[relevant]], IF(ISERROR(AVERAGEIFS(Fixtures[MR], Fixtures[userTeam], Teams[[#This Row],[name]])), 0, AVERAGEIFS(Fixtures[MR], Fixtures[userTeam], Teams[[#This Row],[name]])), "")</f>
        <v/>
      </c>
      <c r="R292" s="1" t="str">
        <f>IF(Teams[[#This Row],[relevant]], COUNTIFS(Fixtures[userTeam], Teams[[#This Row],[name]], Fixtures[MOTM], TRUE), "")</f>
        <v/>
      </c>
      <c r="S292" s="1" t="str" cm="1">
        <f t="array" ref="S292">IF(Teams[[#This Row],[relevant]], _xlfn.TEXTJOIN(", ", TRUE, _xlfn._xlws.FILTER(Stats[competition]&amp;" ("&amp;Stats[season]&amp;")",(Stats[team]=Teams[[#This Row],[name]])*(Stats[result]="Winner"),"")), "")</f>
        <v/>
      </c>
    </row>
    <row r="293" spans="1:19" ht="13" hidden="1">
      <c r="A293" s="1" t="s">
        <v>669</v>
      </c>
      <c r="B293" s="1" t="s">
        <v>408</v>
      </c>
      <c r="C293" s="1" t="s">
        <v>391</v>
      </c>
      <c r="D293" s="1" t="str">
        <f>UPPER(_xlfn.CONCAT(LEFT(Teams[[#This Row],[teamType]], 1), "-", LEFT(SUBSTITUTE(Teams[[#This Row],[nation]], "/", ""), 3), "-", SUBSTITUTE(SUBSTITUTE(SUBSTITUTE(Teams[[#This Row],[name]], ".", ""), " ", ""), "-", "")))</f>
        <v>C-TUR-GIRESUNSPOR</v>
      </c>
      <c r="E293" s="16"/>
      <c r="F293" s="16"/>
      <c r="G293" s="1" t="b">
        <f>COUNTBLANK(Teams[[#This Row],[startDate]:[endDate]]) &lt; 2</f>
        <v>0</v>
      </c>
      <c r="H293" s="1" t="str">
        <f>IF(Teams[[#This Row],[relevant]], COUNTIFS(Fixtures[userTeam], Teams[[#This Row],[name]], Fixtures[APP], TRUE), "")</f>
        <v/>
      </c>
      <c r="I293" s="1" t="str">
        <f>IF(Teams[[#This Row],[relevant]], COUNTIFS(Fixtures[userTeam], Teams[[#This Row],[name]], Fixtures[result], "W", Fixtures[APP], TRUE), "")</f>
        <v/>
      </c>
      <c r="J293" s="1" t="str">
        <f>IF(Teams[[#This Row],[relevant]], COUNTIFS(Fixtures[userTeam], Teams[[#This Row],[name]], Fixtures[result], "D", Fixtures[APP], TRUE), "")</f>
        <v/>
      </c>
      <c r="K293" s="1" t="str">
        <f>IF(Teams[[#This Row],[relevant]], COUNTIFS(Fixtures[userTeam], Teams[[#This Row],[name]], Fixtures[result], "L", Fixtures[APP], TRUE), "")</f>
        <v/>
      </c>
      <c r="L293" s="1" t="str">
        <f>IF(Teams[[#This Row],[relevant]], SUMIFS(Fixtures[G], Fixtures[userTeam], Teams[[#This Row],[name]]), "")</f>
        <v/>
      </c>
      <c r="M293" s="1" t="str">
        <f>IF(Teams[[#This Row],[relevant]], SUMIFS(Fixtures[A], Fixtures[userTeam], Teams[[#This Row],[name]]), "")</f>
        <v/>
      </c>
      <c r="N293" s="1" t="str">
        <f>IF(Teams[[#This Row],[relevant]], SUMIFS(Fixtures[INV], Fixtures[userTeam], Teams[[#This Row],[name]]), "")</f>
        <v/>
      </c>
      <c r="O293" s="1" t="str">
        <f>IF(Teams[[#This Row],[relevant]], SUMIFS(Fixtures[YC], Fixtures[userTeam], Teams[[#This Row],[name]]), "")</f>
        <v/>
      </c>
      <c r="P293" s="1" t="str">
        <f>IF(Teams[[#This Row],[relevant]], SUMIFS(Fixtures[RC], Fixtures[userTeam], Teams[[#This Row],[name]]), "")</f>
        <v/>
      </c>
      <c r="Q293" s="13" t="str">
        <f>IF(Teams[[#This Row],[relevant]], IF(ISERROR(AVERAGEIFS(Fixtures[MR], Fixtures[userTeam], Teams[[#This Row],[name]])), 0, AVERAGEIFS(Fixtures[MR], Fixtures[userTeam], Teams[[#This Row],[name]])), "")</f>
        <v/>
      </c>
      <c r="R293" s="1" t="str">
        <f>IF(Teams[[#This Row],[relevant]], COUNTIFS(Fixtures[userTeam], Teams[[#This Row],[name]], Fixtures[MOTM], TRUE), "")</f>
        <v/>
      </c>
      <c r="S293" s="1" t="str" cm="1">
        <f t="array" ref="S293">IF(Teams[[#This Row],[relevant]], _xlfn.TEXTJOIN(", ", TRUE, _xlfn._xlws.FILTER(Stats[competition]&amp;" ("&amp;Stats[season]&amp;")",(Stats[team]=Teams[[#This Row],[name]])*(Stats[result]="Winner"),"")), "")</f>
        <v/>
      </c>
    </row>
    <row r="294" spans="1:19" ht="13" hidden="1">
      <c r="A294" s="1" t="s">
        <v>670</v>
      </c>
      <c r="B294" s="1" t="s">
        <v>163</v>
      </c>
      <c r="C294" s="1" t="s">
        <v>391</v>
      </c>
      <c r="D294" s="1" t="str">
        <f>UPPER(_xlfn.CONCAT(LEFT(Teams[[#This Row],[teamType]], 1), "-", LEFT(SUBSTITUTE(Teams[[#This Row],[nation]], "/", ""), 3), "-", SUBSTITUTE(SUBSTITUTE(SUBSTITUTE(Teams[[#This Row],[name]], ".", ""), " ", ""), "-", "")))</f>
        <v>C-SPA-GIRONAFC</v>
      </c>
      <c r="E294" s="16"/>
      <c r="F294" s="16"/>
      <c r="G294" s="1" t="b">
        <f>COUNTBLANK(Teams[[#This Row],[startDate]:[endDate]]) &lt; 2</f>
        <v>0</v>
      </c>
      <c r="H294" s="1" t="str">
        <f>IF(Teams[[#This Row],[relevant]], COUNTIFS(Fixtures[userTeam], Teams[[#This Row],[name]], Fixtures[APP], TRUE), "")</f>
        <v/>
      </c>
      <c r="I294" s="1" t="str">
        <f>IF(Teams[[#This Row],[relevant]], COUNTIFS(Fixtures[userTeam], Teams[[#This Row],[name]], Fixtures[result], "W", Fixtures[APP], TRUE), "")</f>
        <v/>
      </c>
      <c r="J294" s="1" t="str">
        <f>IF(Teams[[#This Row],[relevant]], COUNTIFS(Fixtures[userTeam], Teams[[#This Row],[name]], Fixtures[result], "D", Fixtures[APP], TRUE), "")</f>
        <v/>
      </c>
      <c r="K294" s="1" t="str">
        <f>IF(Teams[[#This Row],[relevant]], COUNTIFS(Fixtures[userTeam], Teams[[#This Row],[name]], Fixtures[result], "L", Fixtures[APP], TRUE), "")</f>
        <v/>
      </c>
      <c r="L294" s="1" t="str">
        <f>IF(Teams[[#This Row],[relevant]], SUMIFS(Fixtures[G], Fixtures[userTeam], Teams[[#This Row],[name]]), "")</f>
        <v/>
      </c>
      <c r="M294" s="1" t="str">
        <f>IF(Teams[[#This Row],[relevant]], SUMIFS(Fixtures[A], Fixtures[userTeam], Teams[[#This Row],[name]]), "")</f>
        <v/>
      </c>
      <c r="N294" s="1" t="str">
        <f>IF(Teams[[#This Row],[relevant]], SUMIFS(Fixtures[INV], Fixtures[userTeam], Teams[[#This Row],[name]]), "")</f>
        <v/>
      </c>
      <c r="O294" s="1" t="str">
        <f>IF(Teams[[#This Row],[relevant]], SUMIFS(Fixtures[YC], Fixtures[userTeam], Teams[[#This Row],[name]]), "")</f>
        <v/>
      </c>
      <c r="P294" s="1" t="str">
        <f>IF(Teams[[#This Row],[relevant]], SUMIFS(Fixtures[RC], Fixtures[userTeam], Teams[[#This Row],[name]]), "")</f>
        <v/>
      </c>
      <c r="Q294" s="13" t="str">
        <f>IF(Teams[[#This Row],[relevant]], IF(ISERROR(AVERAGEIFS(Fixtures[MR], Fixtures[userTeam], Teams[[#This Row],[name]])), 0, AVERAGEIFS(Fixtures[MR], Fixtures[userTeam], Teams[[#This Row],[name]])), "")</f>
        <v/>
      </c>
      <c r="R294" s="1" t="str">
        <f>IF(Teams[[#This Row],[relevant]], COUNTIFS(Fixtures[userTeam], Teams[[#This Row],[name]], Fixtures[MOTM], TRUE), "")</f>
        <v/>
      </c>
      <c r="S294" s="1" t="str" cm="1">
        <f t="array" ref="S294">IF(Teams[[#This Row],[relevant]], _xlfn.TEXTJOIN(", ", TRUE, _xlfn._xlws.FILTER(Stats[competition]&amp;" ("&amp;Stats[season]&amp;")",(Stats[team]=Teams[[#This Row],[name]])*(Stats[result]="Winner"),"")), "")</f>
        <v/>
      </c>
    </row>
    <row r="295" spans="1:19" ht="13" hidden="1">
      <c r="A295" s="1" t="s">
        <v>671</v>
      </c>
      <c r="B295" s="1" t="s">
        <v>425</v>
      </c>
      <c r="C295" s="1" t="s">
        <v>391</v>
      </c>
      <c r="D295" s="1" t="str">
        <f>UPPER(_xlfn.CONCAT(LEFT(Teams[[#This Row],[teamType]], 1), "-", LEFT(SUBSTITUTE(Teams[[#This Row],[nation]], "/", ""), 3), "-", SUBSTITUTE(SUBSTITUTE(SUBSTITUTE(Teams[[#This Row],[name]], ".", ""), " ", ""), "-", "")))</f>
        <v>C-NET-GOAHEADEAGLES</v>
      </c>
      <c r="E295" s="16"/>
      <c r="F295" s="16"/>
      <c r="G295" s="1" t="b">
        <f>COUNTBLANK(Teams[[#This Row],[startDate]:[endDate]]) &lt; 2</f>
        <v>0</v>
      </c>
      <c r="H295" s="1" t="str">
        <f>IF(Teams[[#This Row],[relevant]], COUNTIFS(Fixtures[userTeam], Teams[[#This Row],[name]], Fixtures[APP], TRUE), "")</f>
        <v/>
      </c>
      <c r="I295" s="1" t="str">
        <f>IF(Teams[[#This Row],[relevant]], COUNTIFS(Fixtures[userTeam], Teams[[#This Row],[name]], Fixtures[result], "W", Fixtures[APP], TRUE), "")</f>
        <v/>
      </c>
      <c r="J295" s="1" t="str">
        <f>IF(Teams[[#This Row],[relevant]], COUNTIFS(Fixtures[userTeam], Teams[[#This Row],[name]], Fixtures[result], "D", Fixtures[APP], TRUE), "")</f>
        <v/>
      </c>
      <c r="K295" s="1" t="str">
        <f>IF(Teams[[#This Row],[relevant]], COUNTIFS(Fixtures[userTeam], Teams[[#This Row],[name]], Fixtures[result], "L", Fixtures[APP], TRUE), "")</f>
        <v/>
      </c>
      <c r="L295" s="1" t="str">
        <f>IF(Teams[[#This Row],[relevant]], SUMIFS(Fixtures[G], Fixtures[userTeam], Teams[[#This Row],[name]]), "")</f>
        <v/>
      </c>
      <c r="M295" s="1" t="str">
        <f>IF(Teams[[#This Row],[relevant]], SUMIFS(Fixtures[A], Fixtures[userTeam], Teams[[#This Row],[name]]), "")</f>
        <v/>
      </c>
      <c r="N295" s="1" t="str">
        <f>IF(Teams[[#This Row],[relevant]], SUMIFS(Fixtures[INV], Fixtures[userTeam], Teams[[#This Row],[name]]), "")</f>
        <v/>
      </c>
      <c r="O295" s="1" t="str">
        <f>IF(Teams[[#This Row],[relevant]], SUMIFS(Fixtures[YC], Fixtures[userTeam], Teams[[#This Row],[name]]), "")</f>
        <v/>
      </c>
      <c r="P295" s="1" t="str">
        <f>IF(Teams[[#This Row],[relevant]], SUMIFS(Fixtures[RC], Fixtures[userTeam], Teams[[#This Row],[name]]), "")</f>
        <v/>
      </c>
      <c r="Q295" s="13" t="str">
        <f>IF(Teams[[#This Row],[relevant]], IF(ISERROR(AVERAGEIFS(Fixtures[MR], Fixtures[userTeam], Teams[[#This Row],[name]])), 0, AVERAGEIFS(Fixtures[MR], Fixtures[userTeam], Teams[[#This Row],[name]])), "")</f>
        <v/>
      </c>
      <c r="R295" s="1" t="str">
        <f>IF(Teams[[#This Row],[relevant]], COUNTIFS(Fixtures[userTeam], Teams[[#This Row],[name]], Fixtures[MOTM], TRUE), "")</f>
        <v/>
      </c>
      <c r="S295" s="1" t="str" cm="1">
        <f t="array" ref="S295">IF(Teams[[#This Row],[relevant]], _xlfn.TEXTJOIN(", ", TRUE, _xlfn._xlws.FILTER(Stats[competition]&amp;" ("&amp;Stats[season]&amp;")",(Stats[team]=Teams[[#This Row],[name]])*(Stats[result]="Winner"),"")), "")</f>
        <v/>
      </c>
    </row>
    <row r="296" spans="1:19" ht="13" hidden="1">
      <c r="A296" s="1" t="s">
        <v>672</v>
      </c>
      <c r="B296" s="1" t="s">
        <v>131</v>
      </c>
      <c r="C296" s="1" t="s">
        <v>391</v>
      </c>
      <c r="D296" s="1" t="str">
        <f>UPPER(_xlfn.CONCAT(LEFT(Teams[[#This Row],[teamType]], 1), "-", LEFT(SUBSTITUTE(Teams[[#This Row],[nation]], "/", ""), 3), "-", SUBSTITUTE(SUBSTITUTE(SUBSTITUTE(Teams[[#This Row],[name]], ".", ""), " ", ""), "-", "")))</f>
        <v>C-ARG-GODOYCRUZ</v>
      </c>
      <c r="E296" s="16"/>
      <c r="F296" s="16"/>
      <c r="G296" s="1" t="b">
        <f>COUNTBLANK(Teams[[#This Row],[startDate]:[endDate]]) &lt; 2</f>
        <v>0</v>
      </c>
      <c r="H296" s="1" t="str">
        <f>IF(Teams[[#This Row],[relevant]], COUNTIFS(Fixtures[userTeam], Teams[[#This Row],[name]], Fixtures[APP], TRUE), "")</f>
        <v/>
      </c>
      <c r="I296" s="1" t="str">
        <f>IF(Teams[[#This Row],[relevant]], COUNTIFS(Fixtures[userTeam], Teams[[#This Row],[name]], Fixtures[result], "W", Fixtures[APP], TRUE), "")</f>
        <v/>
      </c>
      <c r="J296" s="1" t="str">
        <f>IF(Teams[[#This Row],[relevant]], COUNTIFS(Fixtures[userTeam], Teams[[#This Row],[name]], Fixtures[result], "D", Fixtures[APP], TRUE), "")</f>
        <v/>
      </c>
      <c r="K296" s="1" t="str">
        <f>IF(Teams[[#This Row],[relevant]], COUNTIFS(Fixtures[userTeam], Teams[[#This Row],[name]], Fixtures[result], "L", Fixtures[APP], TRUE), "")</f>
        <v/>
      </c>
      <c r="L296" s="1" t="str">
        <f>IF(Teams[[#This Row],[relevant]], SUMIFS(Fixtures[G], Fixtures[userTeam], Teams[[#This Row],[name]]), "")</f>
        <v/>
      </c>
      <c r="M296" s="1" t="str">
        <f>IF(Teams[[#This Row],[relevant]], SUMIFS(Fixtures[A], Fixtures[userTeam], Teams[[#This Row],[name]]), "")</f>
        <v/>
      </c>
      <c r="N296" s="1" t="str">
        <f>IF(Teams[[#This Row],[relevant]], SUMIFS(Fixtures[INV], Fixtures[userTeam], Teams[[#This Row],[name]]), "")</f>
        <v/>
      </c>
      <c r="O296" s="1" t="str">
        <f>IF(Teams[[#This Row],[relevant]], SUMIFS(Fixtures[YC], Fixtures[userTeam], Teams[[#This Row],[name]]), "")</f>
        <v/>
      </c>
      <c r="P296" s="1" t="str">
        <f>IF(Teams[[#This Row],[relevant]], SUMIFS(Fixtures[RC], Fixtures[userTeam], Teams[[#This Row],[name]]), "")</f>
        <v/>
      </c>
      <c r="Q296" s="13" t="str">
        <f>IF(Teams[[#This Row],[relevant]], IF(ISERROR(AVERAGEIFS(Fixtures[MR], Fixtures[userTeam], Teams[[#This Row],[name]])), 0, AVERAGEIFS(Fixtures[MR], Fixtures[userTeam], Teams[[#This Row],[name]])), "")</f>
        <v/>
      </c>
      <c r="R296" s="1" t="str">
        <f>IF(Teams[[#This Row],[relevant]], COUNTIFS(Fixtures[userTeam], Teams[[#This Row],[name]], Fixtures[MOTM], TRUE), "")</f>
        <v/>
      </c>
      <c r="S296" s="1" t="str" cm="1">
        <f t="array" ref="S296">IF(Teams[[#This Row],[relevant]], _xlfn.TEXTJOIN(", ", TRUE, _xlfn._xlws.FILTER(Stats[competition]&amp;" ("&amp;Stats[season]&amp;")",(Stats[team]=Teams[[#This Row],[name]])*(Stats[result]="Winner"),"")), "")</f>
        <v/>
      </c>
    </row>
    <row r="297" spans="1:19" ht="13" hidden="1">
      <c r="A297" s="1" t="s">
        <v>673</v>
      </c>
      <c r="B297" s="1" t="s">
        <v>213</v>
      </c>
      <c r="C297" s="1" t="s">
        <v>391</v>
      </c>
      <c r="D297" s="1" t="str">
        <f>UPPER(_xlfn.CONCAT(LEFT(Teams[[#This Row],[teamType]], 1), "-", LEFT(SUBSTITUTE(Teams[[#This Row],[nation]], "/", ""), 3), "-", SUBSTITUTE(SUBSTITUTE(SUBSTITUTE(Teams[[#This Row],[name]], ".", ""), " ", ""), "-", "")))</f>
        <v>C-POL-GÓRNIKZABRZE</v>
      </c>
      <c r="E297" s="16"/>
      <c r="F297" s="16"/>
      <c r="G297" s="1" t="b">
        <f>COUNTBLANK(Teams[[#This Row],[startDate]:[endDate]]) &lt; 2</f>
        <v>0</v>
      </c>
      <c r="H297" s="1" t="str">
        <f>IF(Teams[[#This Row],[relevant]], COUNTIFS(Fixtures[userTeam], Teams[[#This Row],[name]], Fixtures[APP], TRUE), "")</f>
        <v/>
      </c>
      <c r="I297" s="1" t="str">
        <f>IF(Teams[[#This Row],[relevant]], COUNTIFS(Fixtures[userTeam], Teams[[#This Row],[name]], Fixtures[result], "W", Fixtures[APP], TRUE), "")</f>
        <v/>
      </c>
      <c r="J297" s="1" t="str">
        <f>IF(Teams[[#This Row],[relevant]], COUNTIFS(Fixtures[userTeam], Teams[[#This Row],[name]], Fixtures[result], "D", Fixtures[APP], TRUE), "")</f>
        <v/>
      </c>
      <c r="K297" s="1" t="str">
        <f>IF(Teams[[#This Row],[relevant]], COUNTIFS(Fixtures[userTeam], Teams[[#This Row],[name]], Fixtures[result], "L", Fixtures[APP], TRUE), "")</f>
        <v/>
      </c>
      <c r="L297" s="1" t="str">
        <f>IF(Teams[[#This Row],[relevant]], SUMIFS(Fixtures[G], Fixtures[userTeam], Teams[[#This Row],[name]]), "")</f>
        <v/>
      </c>
      <c r="M297" s="1" t="str">
        <f>IF(Teams[[#This Row],[relevant]], SUMIFS(Fixtures[A], Fixtures[userTeam], Teams[[#This Row],[name]]), "")</f>
        <v/>
      </c>
      <c r="N297" s="1" t="str">
        <f>IF(Teams[[#This Row],[relevant]], SUMIFS(Fixtures[INV], Fixtures[userTeam], Teams[[#This Row],[name]]), "")</f>
        <v/>
      </c>
      <c r="O297" s="1" t="str">
        <f>IF(Teams[[#This Row],[relevant]], SUMIFS(Fixtures[YC], Fixtures[userTeam], Teams[[#This Row],[name]]), "")</f>
        <v/>
      </c>
      <c r="P297" s="1" t="str">
        <f>IF(Teams[[#This Row],[relevant]], SUMIFS(Fixtures[RC], Fixtures[userTeam], Teams[[#This Row],[name]]), "")</f>
        <v/>
      </c>
      <c r="Q297" s="13" t="str">
        <f>IF(Teams[[#This Row],[relevant]], IF(ISERROR(AVERAGEIFS(Fixtures[MR], Fixtures[userTeam], Teams[[#This Row],[name]])), 0, AVERAGEIFS(Fixtures[MR], Fixtures[userTeam], Teams[[#This Row],[name]])), "")</f>
        <v/>
      </c>
      <c r="R297" s="1" t="str">
        <f>IF(Teams[[#This Row],[relevant]], COUNTIFS(Fixtures[userTeam], Teams[[#This Row],[name]], Fixtures[MOTM], TRUE), "")</f>
        <v/>
      </c>
      <c r="S297" s="1" t="str" cm="1">
        <f t="array" ref="S297">IF(Teams[[#This Row],[relevant]], _xlfn.TEXTJOIN(", ", TRUE, _xlfn._xlws.FILTER(Stats[competition]&amp;" ("&amp;Stats[season]&amp;")",(Stats[team]=Teams[[#This Row],[name]])*(Stats[result]="Winner"),"")), "")</f>
        <v/>
      </c>
    </row>
    <row r="298" spans="1:19" ht="13" hidden="1">
      <c r="A298" s="1" t="s">
        <v>674</v>
      </c>
      <c r="B298" s="1" t="s">
        <v>536</v>
      </c>
      <c r="C298" s="1" t="s">
        <v>391</v>
      </c>
      <c r="D298" s="1" t="str">
        <f>UPPER(_xlfn.CONCAT(LEFT(Teams[[#This Row],[teamType]], 1), "-", LEFT(SUBSTITUTE(Teams[[#This Row],[nation]], "/", ""), 3), "-", SUBSTITUTE(SUBSTITUTE(SUBSTITUTE(Teams[[#This Row],[name]], ".", ""), " ", ""), "-", "")))</f>
        <v>C-PAR-GRALCABALLERO</v>
      </c>
      <c r="E298" s="16"/>
      <c r="F298" s="16"/>
      <c r="G298" s="1" t="b">
        <f>COUNTBLANK(Teams[[#This Row],[startDate]:[endDate]]) &lt; 2</f>
        <v>0</v>
      </c>
      <c r="H298" s="1" t="str">
        <f>IF(Teams[[#This Row],[relevant]], COUNTIFS(Fixtures[userTeam], Teams[[#This Row],[name]], Fixtures[APP], TRUE), "")</f>
        <v/>
      </c>
      <c r="I298" s="1" t="str">
        <f>IF(Teams[[#This Row],[relevant]], COUNTIFS(Fixtures[userTeam], Teams[[#This Row],[name]], Fixtures[result], "W", Fixtures[APP], TRUE), "")</f>
        <v/>
      </c>
      <c r="J298" s="1" t="str">
        <f>IF(Teams[[#This Row],[relevant]], COUNTIFS(Fixtures[userTeam], Teams[[#This Row],[name]], Fixtures[result], "D", Fixtures[APP], TRUE), "")</f>
        <v/>
      </c>
      <c r="K298" s="1" t="str">
        <f>IF(Teams[[#This Row],[relevant]], COUNTIFS(Fixtures[userTeam], Teams[[#This Row],[name]], Fixtures[result], "L", Fixtures[APP], TRUE), "")</f>
        <v/>
      </c>
      <c r="L298" s="1" t="str">
        <f>IF(Teams[[#This Row],[relevant]], SUMIFS(Fixtures[G], Fixtures[userTeam], Teams[[#This Row],[name]]), "")</f>
        <v/>
      </c>
      <c r="M298" s="1" t="str">
        <f>IF(Teams[[#This Row],[relevant]], SUMIFS(Fixtures[A], Fixtures[userTeam], Teams[[#This Row],[name]]), "")</f>
        <v/>
      </c>
      <c r="N298" s="1" t="str">
        <f>IF(Teams[[#This Row],[relevant]], SUMIFS(Fixtures[INV], Fixtures[userTeam], Teams[[#This Row],[name]]), "")</f>
        <v/>
      </c>
      <c r="O298" s="1" t="str">
        <f>IF(Teams[[#This Row],[relevant]], SUMIFS(Fixtures[YC], Fixtures[userTeam], Teams[[#This Row],[name]]), "")</f>
        <v/>
      </c>
      <c r="P298" s="1" t="str">
        <f>IF(Teams[[#This Row],[relevant]], SUMIFS(Fixtures[RC], Fixtures[userTeam], Teams[[#This Row],[name]]), "")</f>
        <v/>
      </c>
      <c r="Q298" s="13" t="str">
        <f>IF(Teams[[#This Row],[relevant]], IF(ISERROR(AVERAGEIFS(Fixtures[MR], Fixtures[userTeam], Teams[[#This Row],[name]])), 0, AVERAGEIFS(Fixtures[MR], Fixtures[userTeam], Teams[[#This Row],[name]])), "")</f>
        <v/>
      </c>
      <c r="R298" s="1" t="str">
        <f>IF(Teams[[#This Row],[relevant]], COUNTIFS(Fixtures[userTeam], Teams[[#This Row],[name]], Fixtures[MOTM], TRUE), "")</f>
        <v/>
      </c>
      <c r="S298" s="1" t="str" cm="1">
        <f t="array" ref="S298">IF(Teams[[#This Row],[relevant]], _xlfn.TEXTJOIN(", ", TRUE, _xlfn._xlws.FILTER(Stats[competition]&amp;" ("&amp;Stats[season]&amp;")",(Stats[team]=Teams[[#This Row],[name]])*(Stats[result]="Winner"),"")), "")</f>
        <v/>
      </c>
    </row>
    <row r="299" spans="1:19" ht="13" hidden="1">
      <c r="A299" s="1" t="s">
        <v>675</v>
      </c>
      <c r="B299" s="1" t="s">
        <v>163</v>
      </c>
      <c r="C299" s="1" t="s">
        <v>391</v>
      </c>
      <c r="D299" s="1" t="str">
        <f>UPPER(_xlfn.CONCAT(LEFT(Teams[[#This Row],[teamType]], 1), "-", LEFT(SUBSTITUTE(Teams[[#This Row],[nation]], "/", ""), 3), "-", SUBSTITUTE(SUBSTITUTE(SUBSTITUTE(Teams[[#This Row],[name]], ".", ""), " ", ""), "-", "")))</f>
        <v>C-SPA-GRANADACF</v>
      </c>
      <c r="E299" s="16"/>
      <c r="F299" s="16"/>
      <c r="G299" s="1" t="b">
        <f>COUNTBLANK(Teams[[#This Row],[startDate]:[endDate]]) &lt; 2</f>
        <v>0</v>
      </c>
      <c r="H299" s="1" t="str">
        <f>IF(Teams[[#This Row],[relevant]], COUNTIFS(Fixtures[userTeam], Teams[[#This Row],[name]], Fixtures[APP], TRUE), "")</f>
        <v/>
      </c>
      <c r="I299" s="1" t="str">
        <f>IF(Teams[[#This Row],[relevant]], COUNTIFS(Fixtures[userTeam], Teams[[#This Row],[name]], Fixtures[result], "W", Fixtures[APP], TRUE), "")</f>
        <v/>
      </c>
      <c r="J299" s="1" t="str">
        <f>IF(Teams[[#This Row],[relevant]], COUNTIFS(Fixtures[userTeam], Teams[[#This Row],[name]], Fixtures[result], "D", Fixtures[APP], TRUE), "")</f>
        <v/>
      </c>
      <c r="K299" s="1" t="str">
        <f>IF(Teams[[#This Row],[relevant]], COUNTIFS(Fixtures[userTeam], Teams[[#This Row],[name]], Fixtures[result], "L", Fixtures[APP], TRUE), "")</f>
        <v/>
      </c>
      <c r="L299" s="1" t="str">
        <f>IF(Teams[[#This Row],[relevant]], SUMIFS(Fixtures[G], Fixtures[userTeam], Teams[[#This Row],[name]]), "")</f>
        <v/>
      </c>
      <c r="M299" s="1" t="str">
        <f>IF(Teams[[#This Row],[relevant]], SUMIFS(Fixtures[A], Fixtures[userTeam], Teams[[#This Row],[name]]), "")</f>
        <v/>
      </c>
      <c r="N299" s="1" t="str">
        <f>IF(Teams[[#This Row],[relevant]], SUMIFS(Fixtures[INV], Fixtures[userTeam], Teams[[#This Row],[name]]), "")</f>
        <v/>
      </c>
      <c r="O299" s="1" t="str">
        <f>IF(Teams[[#This Row],[relevant]], SUMIFS(Fixtures[YC], Fixtures[userTeam], Teams[[#This Row],[name]]), "")</f>
        <v/>
      </c>
      <c r="P299" s="1" t="str">
        <f>IF(Teams[[#This Row],[relevant]], SUMIFS(Fixtures[RC], Fixtures[userTeam], Teams[[#This Row],[name]]), "")</f>
        <v/>
      </c>
      <c r="Q299" s="13" t="str">
        <f>IF(Teams[[#This Row],[relevant]], IF(ISERROR(AVERAGEIFS(Fixtures[MR], Fixtures[userTeam], Teams[[#This Row],[name]])), 0, AVERAGEIFS(Fixtures[MR], Fixtures[userTeam], Teams[[#This Row],[name]])), "")</f>
        <v/>
      </c>
      <c r="R299" s="1" t="str">
        <f>IF(Teams[[#This Row],[relevant]], COUNTIFS(Fixtures[userTeam], Teams[[#This Row],[name]], Fixtures[MOTM], TRUE), "")</f>
        <v/>
      </c>
      <c r="S299" s="1" t="str" cm="1">
        <f t="array" ref="S299">IF(Teams[[#This Row],[relevant]], _xlfn.TEXTJOIN(", ", TRUE, _xlfn._xlws.FILTER(Stats[competition]&amp;" ("&amp;Stats[season]&amp;")",(Stats[team]=Teams[[#This Row],[name]])*(Stats[result]="Winner"),"")), "")</f>
        <v/>
      </c>
    </row>
    <row r="300" spans="1:19" ht="13" hidden="1">
      <c r="A300" s="1" t="s">
        <v>676</v>
      </c>
      <c r="B300" s="1" t="s">
        <v>513</v>
      </c>
      <c r="C300" s="1" t="s">
        <v>391</v>
      </c>
      <c r="D300" s="1" t="str">
        <f>UPPER(_xlfn.CONCAT(LEFT(Teams[[#This Row],[teamType]], 1), "-", LEFT(SUBSTITUTE(Teams[[#This Row],[nation]], "/", ""), 3), "-", SUBSTITUTE(SUBSTITUTE(SUBSTITUTE(Teams[[#This Row],[name]], ".", ""), " ", ""), "-", "")))</f>
        <v>C-SWI-GRASSHOPPERCLUB</v>
      </c>
      <c r="E300" s="16"/>
      <c r="F300" s="16"/>
      <c r="G300" s="1" t="b">
        <f>COUNTBLANK(Teams[[#This Row],[startDate]:[endDate]]) &lt; 2</f>
        <v>0</v>
      </c>
      <c r="H300" s="1" t="str">
        <f>IF(Teams[[#This Row],[relevant]], COUNTIFS(Fixtures[userTeam], Teams[[#This Row],[name]], Fixtures[APP], TRUE), "")</f>
        <v/>
      </c>
      <c r="I300" s="1" t="str">
        <f>IF(Teams[[#This Row],[relevant]], COUNTIFS(Fixtures[userTeam], Teams[[#This Row],[name]], Fixtures[result], "W", Fixtures[APP], TRUE), "")</f>
        <v/>
      </c>
      <c r="J300" s="1" t="str">
        <f>IF(Teams[[#This Row],[relevant]], COUNTIFS(Fixtures[userTeam], Teams[[#This Row],[name]], Fixtures[result], "D", Fixtures[APP], TRUE), "")</f>
        <v/>
      </c>
      <c r="K300" s="1" t="str">
        <f>IF(Teams[[#This Row],[relevant]], COUNTIFS(Fixtures[userTeam], Teams[[#This Row],[name]], Fixtures[result], "L", Fixtures[APP], TRUE), "")</f>
        <v/>
      </c>
      <c r="L300" s="1" t="str">
        <f>IF(Teams[[#This Row],[relevant]], SUMIFS(Fixtures[G], Fixtures[userTeam], Teams[[#This Row],[name]]), "")</f>
        <v/>
      </c>
      <c r="M300" s="1" t="str">
        <f>IF(Teams[[#This Row],[relevant]], SUMIFS(Fixtures[A], Fixtures[userTeam], Teams[[#This Row],[name]]), "")</f>
        <v/>
      </c>
      <c r="N300" s="1" t="str">
        <f>IF(Teams[[#This Row],[relevant]], SUMIFS(Fixtures[INV], Fixtures[userTeam], Teams[[#This Row],[name]]), "")</f>
        <v/>
      </c>
      <c r="O300" s="1" t="str">
        <f>IF(Teams[[#This Row],[relevant]], SUMIFS(Fixtures[YC], Fixtures[userTeam], Teams[[#This Row],[name]]), "")</f>
        <v/>
      </c>
      <c r="P300" s="1" t="str">
        <f>IF(Teams[[#This Row],[relevant]], SUMIFS(Fixtures[RC], Fixtures[userTeam], Teams[[#This Row],[name]]), "")</f>
        <v/>
      </c>
      <c r="Q300" s="13" t="str">
        <f>IF(Teams[[#This Row],[relevant]], IF(ISERROR(AVERAGEIFS(Fixtures[MR], Fixtures[userTeam], Teams[[#This Row],[name]])), 0, AVERAGEIFS(Fixtures[MR], Fixtures[userTeam], Teams[[#This Row],[name]])), "")</f>
        <v/>
      </c>
      <c r="R300" s="1" t="str">
        <f>IF(Teams[[#This Row],[relevant]], COUNTIFS(Fixtures[userTeam], Teams[[#This Row],[name]], Fixtures[MOTM], TRUE), "")</f>
        <v/>
      </c>
      <c r="S300" s="1" t="str" cm="1">
        <f t="array" ref="S300">IF(Teams[[#This Row],[relevant]], _xlfn.TEXTJOIN(", ", TRUE, _xlfn._xlws.FILTER(Stats[competition]&amp;" ("&amp;Stats[season]&amp;")",(Stats[team]=Teams[[#This Row],[name]])*(Stats[result]="Winner"),"")), "")</f>
        <v/>
      </c>
    </row>
    <row r="301" spans="1:19" ht="13" hidden="1">
      <c r="A301" s="1" t="s">
        <v>677</v>
      </c>
      <c r="B301" s="1" t="s">
        <v>339</v>
      </c>
      <c r="C301" s="1" t="s">
        <v>391</v>
      </c>
      <c r="D301" s="1" t="str">
        <f>UPPER(_xlfn.CONCAT(LEFT(Teams[[#This Row],[teamType]], 1), "-", LEFT(SUBSTITUTE(Teams[[#This Row],[nation]], "/", ""), 3), "-", SUBSTITUTE(SUBSTITUTE(SUBSTITUTE(Teams[[#This Row],[name]], ".", ""), " ", ""), "-", "")))</f>
        <v>C-FRA-GRENOBLEFOOT38</v>
      </c>
      <c r="E301" s="16"/>
      <c r="F301" s="16"/>
      <c r="G301" s="1" t="b">
        <f>COUNTBLANK(Teams[[#This Row],[startDate]:[endDate]]) &lt; 2</f>
        <v>0</v>
      </c>
      <c r="H301" s="1" t="str">
        <f>IF(Teams[[#This Row],[relevant]], COUNTIFS(Fixtures[userTeam], Teams[[#This Row],[name]], Fixtures[APP], TRUE), "")</f>
        <v/>
      </c>
      <c r="I301" s="1" t="str">
        <f>IF(Teams[[#This Row],[relevant]], COUNTIFS(Fixtures[userTeam], Teams[[#This Row],[name]], Fixtures[result], "W", Fixtures[APP], TRUE), "")</f>
        <v/>
      </c>
      <c r="J301" s="1" t="str">
        <f>IF(Teams[[#This Row],[relevant]], COUNTIFS(Fixtures[userTeam], Teams[[#This Row],[name]], Fixtures[result], "D", Fixtures[APP], TRUE), "")</f>
        <v/>
      </c>
      <c r="K301" s="1" t="str">
        <f>IF(Teams[[#This Row],[relevant]], COUNTIFS(Fixtures[userTeam], Teams[[#This Row],[name]], Fixtures[result], "L", Fixtures[APP], TRUE), "")</f>
        <v/>
      </c>
      <c r="L301" s="1" t="str">
        <f>IF(Teams[[#This Row],[relevant]], SUMIFS(Fixtures[G], Fixtures[userTeam], Teams[[#This Row],[name]]), "")</f>
        <v/>
      </c>
      <c r="M301" s="1" t="str">
        <f>IF(Teams[[#This Row],[relevant]], SUMIFS(Fixtures[A], Fixtures[userTeam], Teams[[#This Row],[name]]), "")</f>
        <v/>
      </c>
      <c r="N301" s="1" t="str">
        <f>IF(Teams[[#This Row],[relevant]], SUMIFS(Fixtures[INV], Fixtures[userTeam], Teams[[#This Row],[name]]), "")</f>
        <v/>
      </c>
      <c r="O301" s="1" t="str">
        <f>IF(Teams[[#This Row],[relevant]], SUMIFS(Fixtures[YC], Fixtures[userTeam], Teams[[#This Row],[name]]), "")</f>
        <v/>
      </c>
      <c r="P301" s="1" t="str">
        <f>IF(Teams[[#This Row],[relevant]], SUMIFS(Fixtures[RC], Fixtures[userTeam], Teams[[#This Row],[name]]), "")</f>
        <v/>
      </c>
      <c r="Q301" s="13" t="str">
        <f>IF(Teams[[#This Row],[relevant]], IF(ISERROR(AVERAGEIFS(Fixtures[MR], Fixtures[userTeam], Teams[[#This Row],[name]])), 0, AVERAGEIFS(Fixtures[MR], Fixtures[userTeam], Teams[[#This Row],[name]])), "")</f>
        <v/>
      </c>
      <c r="R301" s="1" t="str">
        <f>IF(Teams[[#This Row],[relevant]], COUNTIFS(Fixtures[userTeam], Teams[[#This Row],[name]], Fixtures[MOTM], TRUE), "")</f>
        <v/>
      </c>
      <c r="S301" s="1" t="str" cm="1">
        <f t="array" ref="S301">IF(Teams[[#This Row],[relevant]], _xlfn.TEXTJOIN(", ", TRUE, _xlfn._xlws.FILTER(Stats[competition]&amp;" ("&amp;Stats[season]&amp;")",(Stats[team]=Teams[[#This Row],[name]])*(Stats[result]="Winner"),"")), "")</f>
        <v/>
      </c>
    </row>
    <row r="302" spans="1:19" ht="13" hidden="1">
      <c r="A302" s="1" t="s">
        <v>678</v>
      </c>
      <c r="B302" s="1" t="s">
        <v>152</v>
      </c>
      <c r="C302" s="1" t="s">
        <v>391</v>
      </c>
      <c r="D302" s="1" t="str">
        <f>UPPER(_xlfn.CONCAT(LEFT(Teams[[#This Row],[teamType]], 1), "-", LEFT(SUBSTITUTE(Teams[[#This Row],[nation]], "/", ""), 3), "-", SUBSTITUTE(SUBSTITUTE(SUBSTITUTE(Teams[[#This Row],[name]], ".", ""), " ", ""), "-", "")))</f>
        <v>C-ENG-GRIMSBYTOWN</v>
      </c>
      <c r="E302" s="16"/>
      <c r="F302" s="16"/>
      <c r="G302" s="1" t="b">
        <f>COUNTBLANK(Teams[[#This Row],[startDate]:[endDate]]) &lt; 2</f>
        <v>0</v>
      </c>
      <c r="H302" s="1" t="str">
        <f>IF(Teams[[#This Row],[relevant]], COUNTIFS(Fixtures[userTeam], Teams[[#This Row],[name]], Fixtures[APP], TRUE), "")</f>
        <v/>
      </c>
      <c r="I302" s="1" t="str">
        <f>IF(Teams[[#This Row],[relevant]], COUNTIFS(Fixtures[userTeam], Teams[[#This Row],[name]], Fixtures[result], "W", Fixtures[APP], TRUE), "")</f>
        <v/>
      </c>
      <c r="J302" s="1" t="str">
        <f>IF(Teams[[#This Row],[relevant]], COUNTIFS(Fixtures[userTeam], Teams[[#This Row],[name]], Fixtures[result], "D", Fixtures[APP], TRUE), "")</f>
        <v/>
      </c>
      <c r="K302" s="1" t="str">
        <f>IF(Teams[[#This Row],[relevant]], COUNTIFS(Fixtures[userTeam], Teams[[#This Row],[name]], Fixtures[result], "L", Fixtures[APP], TRUE), "")</f>
        <v/>
      </c>
      <c r="L302" s="1" t="str">
        <f>IF(Teams[[#This Row],[relevant]], SUMIFS(Fixtures[G], Fixtures[userTeam], Teams[[#This Row],[name]]), "")</f>
        <v/>
      </c>
      <c r="M302" s="1" t="str">
        <f>IF(Teams[[#This Row],[relevant]], SUMIFS(Fixtures[A], Fixtures[userTeam], Teams[[#This Row],[name]]), "")</f>
        <v/>
      </c>
      <c r="N302" s="1" t="str">
        <f>IF(Teams[[#This Row],[relevant]], SUMIFS(Fixtures[INV], Fixtures[userTeam], Teams[[#This Row],[name]]), "")</f>
        <v/>
      </c>
      <c r="O302" s="1" t="str">
        <f>IF(Teams[[#This Row],[relevant]], SUMIFS(Fixtures[YC], Fixtures[userTeam], Teams[[#This Row],[name]]), "")</f>
        <v/>
      </c>
      <c r="P302" s="1" t="str">
        <f>IF(Teams[[#This Row],[relevant]], SUMIFS(Fixtures[RC], Fixtures[userTeam], Teams[[#This Row],[name]]), "")</f>
        <v/>
      </c>
      <c r="Q302" s="13" t="str">
        <f>IF(Teams[[#This Row],[relevant]], IF(ISERROR(AVERAGEIFS(Fixtures[MR], Fixtures[userTeam], Teams[[#This Row],[name]])), 0, AVERAGEIFS(Fixtures[MR], Fixtures[userTeam], Teams[[#This Row],[name]])), "")</f>
        <v/>
      </c>
      <c r="R302" s="1" t="str">
        <f>IF(Teams[[#This Row],[relevant]], COUNTIFS(Fixtures[userTeam], Teams[[#This Row],[name]], Fixtures[MOTM], TRUE), "")</f>
        <v/>
      </c>
      <c r="S302" s="1" t="str" cm="1">
        <f t="array" ref="S302">IF(Teams[[#This Row],[relevant]], _xlfn.TEXTJOIN(", ", TRUE, _xlfn._xlws.FILTER(Stats[competition]&amp;" ("&amp;Stats[season]&amp;")",(Stats[team]=Teams[[#This Row],[name]])*(Stats[result]="Winner"),"")), "")</f>
        <v/>
      </c>
    </row>
    <row r="303" spans="1:19" ht="13" hidden="1">
      <c r="A303" s="1" t="s">
        <v>679</v>
      </c>
      <c r="B303" s="1" t="s">
        <v>447</v>
      </c>
      <c r="C303" s="1" t="s">
        <v>391</v>
      </c>
      <c r="D303" s="1" t="str">
        <f>UPPER(_xlfn.CONCAT(LEFT(Teams[[#This Row],[teamType]], 1), "-", LEFT(SUBSTITUTE(Teams[[#This Row],[nation]], "/", ""), 3), "-", SUBSTITUTE(SUBSTITUTE(SUBSTITUTE(Teams[[#This Row],[name]], ".", ""), " ", ""), "-", "")))</f>
        <v>C-BOL-GUABIRÁ</v>
      </c>
      <c r="E303" s="16"/>
      <c r="F303" s="16"/>
      <c r="G303" s="1" t="b">
        <f>COUNTBLANK(Teams[[#This Row],[startDate]:[endDate]]) &lt; 2</f>
        <v>0</v>
      </c>
      <c r="H303" s="1" t="str">
        <f>IF(Teams[[#This Row],[relevant]], COUNTIFS(Fixtures[userTeam], Teams[[#This Row],[name]], Fixtures[APP], TRUE), "")</f>
        <v/>
      </c>
      <c r="I303" s="1" t="str">
        <f>IF(Teams[[#This Row],[relevant]], COUNTIFS(Fixtures[userTeam], Teams[[#This Row],[name]], Fixtures[result], "W", Fixtures[APP], TRUE), "")</f>
        <v/>
      </c>
      <c r="J303" s="1" t="str">
        <f>IF(Teams[[#This Row],[relevant]], COUNTIFS(Fixtures[userTeam], Teams[[#This Row],[name]], Fixtures[result], "D", Fixtures[APP], TRUE), "")</f>
        <v/>
      </c>
      <c r="K303" s="1" t="str">
        <f>IF(Teams[[#This Row],[relevant]], COUNTIFS(Fixtures[userTeam], Teams[[#This Row],[name]], Fixtures[result], "L", Fixtures[APP], TRUE), "")</f>
        <v/>
      </c>
      <c r="L303" s="1" t="str">
        <f>IF(Teams[[#This Row],[relevant]], SUMIFS(Fixtures[G], Fixtures[userTeam], Teams[[#This Row],[name]]), "")</f>
        <v/>
      </c>
      <c r="M303" s="1" t="str">
        <f>IF(Teams[[#This Row],[relevant]], SUMIFS(Fixtures[A], Fixtures[userTeam], Teams[[#This Row],[name]]), "")</f>
        <v/>
      </c>
      <c r="N303" s="1" t="str">
        <f>IF(Teams[[#This Row],[relevant]], SUMIFS(Fixtures[INV], Fixtures[userTeam], Teams[[#This Row],[name]]), "")</f>
        <v/>
      </c>
      <c r="O303" s="1" t="str">
        <f>IF(Teams[[#This Row],[relevant]], SUMIFS(Fixtures[YC], Fixtures[userTeam], Teams[[#This Row],[name]]), "")</f>
        <v/>
      </c>
      <c r="P303" s="1" t="str">
        <f>IF(Teams[[#This Row],[relevant]], SUMIFS(Fixtures[RC], Fixtures[userTeam], Teams[[#This Row],[name]]), "")</f>
        <v/>
      </c>
      <c r="Q303" s="13" t="str">
        <f>IF(Teams[[#This Row],[relevant]], IF(ISERROR(AVERAGEIFS(Fixtures[MR], Fixtures[userTeam], Teams[[#This Row],[name]])), 0, AVERAGEIFS(Fixtures[MR], Fixtures[userTeam], Teams[[#This Row],[name]])), "")</f>
        <v/>
      </c>
      <c r="R303" s="1" t="str">
        <f>IF(Teams[[#This Row],[relevant]], COUNTIFS(Fixtures[userTeam], Teams[[#This Row],[name]], Fixtures[MOTM], TRUE), "")</f>
        <v/>
      </c>
      <c r="S303" s="1" t="str" cm="1">
        <f t="array" ref="S303">IF(Teams[[#This Row],[relevant]], _xlfn.TEXTJOIN(", ", TRUE, _xlfn._xlws.FILTER(Stats[competition]&amp;" ("&amp;Stats[season]&amp;")",(Stats[team]=Teams[[#This Row],[name]])*(Stats[result]="Winner"),"")), "")</f>
        <v/>
      </c>
    </row>
    <row r="304" spans="1:19" ht="13" hidden="1">
      <c r="A304" s="1" t="s">
        <v>680</v>
      </c>
      <c r="B304" s="1" t="s">
        <v>536</v>
      </c>
      <c r="C304" s="1" t="s">
        <v>391</v>
      </c>
      <c r="D304" s="1" t="str">
        <f>UPPER(_xlfn.CONCAT(LEFT(Teams[[#This Row],[teamType]], 1), "-", LEFT(SUBSTITUTE(Teams[[#This Row],[nation]], "/", ""), 3), "-", SUBSTITUTE(SUBSTITUTE(SUBSTITUTE(Teams[[#This Row],[name]], ".", ""), " ", ""), "-", "")))</f>
        <v>C-PAR-GUAIREÑA</v>
      </c>
      <c r="E304" s="16"/>
      <c r="F304" s="16"/>
      <c r="G304" s="1" t="b">
        <f>COUNTBLANK(Teams[[#This Row],[startDate]:[endDate]]) &lt; 2</f>
        <v>0</v>
      </c>
      <c r="H304" s="1" t="str">
        <f>IF(Teams[[#This Row],[relevant]], COUNTIFS(Fixtures[userTeam], Teams[[#This Row],[name]], Fixtures[APP], TRUE), "")</f>
        <v/>
      </c>
      <c r="I304" s="1" t="str">
        <f>IF(Teams[[#This Row],[relevant]], COUNTIFS(Fixtures[userTeam], Teams[[#This Row],[name]], Fixtures[result], "W", Fixtures[APP], TRUE), "")</f>
        <v/>
      </c>
      <c r="J304" s="1" t="str">
        <f>IF(Teams[[#This Row],[relevant]], COUNTIFS(Fixtures[userTeam], Teams[[#This Row],[name]], Fixtures[result], "D", Fixtures[APP], TRUE), "")</f>
        <v/>
      </c>
      <c r="K304" s="1" t="str">
        <f>IF(Teams[[#This Row],[relevant]], COUNTIFS(Fixtures[userTeam], Teams[[#This Row],[name]], Fixtures[result], "L", Fixtures[APP], TRUE), "")</f>
        <v/>
      </c>
      <c r="L304" s="1" t="str">
        <f>IF(Teams[[#This Row],[relevant]], SUMIFS(Fixtures[G], Fixtures[userTeam], Teams[[#This Row],[name]]), "")</f>
        <v/>
      </c>
      <c r="M304" s="1" t="str">
        <f>IF(Teams[[#This Row],[relevant]], SUMIFS(Fixtures[A], Fixtures[userTeam], Teams[[#This Row],[name]]), "")</f>
        <v/>
      </c>
      <c r="N304" s="1" t="str">
        <f>IF(Teams[[#This Row],[relevant]], SUMIFS(Fixtures[INV], Fixtures[userTeam], Teams[[#This Row],[name]]), "")</f>
        <v/>
      </c>
      <c r="O304" s="1" t="str">
        <f>IF(Teams[[#This Row],[relevant]], SUMIFS(Fixtures[YC], Fixtures[userTeam], Teams[[#This Row],[name]]), "")</f>
        <v/>
      </c>
      <c r="P304" s="1" t="str">
        <f>IF(Teams[[#This Row],[relevant]], SUMIFS(Fixtures[RC], Fixtures[userTeam], Teams[[#This Row],[name]]), "")</f>
        <v/>
      </c>
      <c r="Q304" s="13" t="str">
        <f>IF(Teams[[#This Row],[relevant]], IF(ISERROR(AVERAGEIFS(Fixtures[MR], Fixtures[userTeam], Teams[[#This Row],[name]])), 0, AVERAGEIFS(Fixtures[MR], Fixtures[userTeam], Teams[[#This Row],[name]])), "")</f>
        <v/>
      </c>
      <c r="R304" s="1" t="str">
        <f>IF(Teams[[#This Row],[relevant]], COUNTIFS(Fixtures[userTeam], Teams[[#This Row],[name]], Fixtures[MOTM], TRUE), "")</f>
        <v/>
      </c>
      <c r="S304" s="1" t="str" cm="1">
        <f t="array" ref="S304">IF(Teams[[#This Row],[relevant]], _xlfn.TEXTJOIN(", ", TRUE, _xlfn._xlws.FILTER(Stats[competition]&amp;" ("&amp;Stats[season]&amp;")",(Stats[team]=Teams[[#This Row],[name]])*(Stats[result]="Winner"),"")), "")</f>
        <v/>
      </c>
    </row>
    <row r="305" spans="1:19" ht="13" hidden="1">
      <c r="A305" s="1" t="s">
        <v>681</v>
      </c>
      <c r="B305" s="1" t="s">
        <v>493</v>
      </c>
      <c r="C305" s="1" t="s">
        <v>391</v>
      </c>
      <c r="D305" s="1" t="str">
        <f>UPPER(_xlfn.CONCAT(LEFT(Teams[[#This Row],[teamType]], 1), "-", LEFT(SUBSTITUTE(Teams[[#This Row],[nation]], "/", ""), 3), "-", SUBSTITUTE(SUBSTITUTE(SUBSTITUTE(Teams[[#This Row],[name]], ".", ""), " ", ""), "-", "")))</f>
        <v>C-CHI-GUANGZHOUCITY</v>
      </c>
      <c r="E305" s="16"/>
      <c r="F305" s="16"/>
      <c r="G305" s="1" t="b">
        <f>COUNTBLANK(Teams[[#This Row],[startDate]:[endDate]]) &lt; 2</f>
        <v>0</v>
      </c>
      <c r="H305" s="1" t="str">
        <f>IF(Teams[[#This Row],[relevant]], COUNTIFS(Fixtures[userTeam], Teams[[#This Row],[name]], Fixtures[APP], TRUE), "")</f>
        <v/>
      </c>
      <c r="I305" s="1" t="str">
        <f>IF(Teams[[#This Row],[relevant]], COUNTIFS(Fixtures[userTeam], Teams[[#This Row],[name]], Fixtures[result], "W", Fixtures[APP], TRUE), "")</f>
        <v/>
      </c>
      <c r="J305" s="1" t="str">
        <f>IF(Teams[[#This Row],[relevant]], COUNTIFS(Fixtures[userTeam], Teams[[#This Row],[name]], Fixtures[result], "D", Fixtures[APP], TRUE), "")</f>
        <v/>
      </c>
      <c r="K305" s="1" t="str">
        <f>IF(Teams[[#This Row],[relevant]], COUNTIFS(Fixtures[userTeam], Teams[[#This Row],[name]], Fixtures[result], "L", Fixtures[APP], TRUE), "")</f>
        <v/>
      </c>
      <c r="L305" s="1" t="str">
        <f>IF(Teams[[#This Row],[relevant]], SUMIFS(Fixtures[G], Fixtures[userTeam], Teams[[#This Row],[name]]), "")</f>
        <v/>
      </c>
      <c r="M305" s="1" t="str">
        <f>IF(Teams[[#This Row],[relevant]], SUMIFS(Fixtures[A], Fixtures[userTeam], Teams[[#This Row],[name]]), "")</f>
        <v/>
      </c>
      <c r="N305" s="1" t="str">
        <f>IF(Teams[[#This Row],[relevant]], SUMIFS(Fixtures[INV], Fixtures[userTeam], Teams[[#This Row],[name]]), "")</f>
        <v/>
      </c>
      <c r="O305" s="1" t="str">
        <f>IF(Teams[[#This Row],[relevant]], SUMIFS(Fixtures[YC], Fixtures[userTeam], Teams[[#This Row],[name]]), "")</f>
        <v/>
      </c>
      <c r="P305" s="1" t="str">
        <f>IF(Teams[[#This Row],[relevant]], SUMIFS(Fixtures[RC], Fixtures[userTeam], Teams[[#This Row],[name]]), "")</f>
        <v/>
      </c>
      <c r="Q305" s="13" t="str">
        <f>IF(Teams[[#This Row],[relevant]], IF(ISERROR(AVERAGEIFS(Fixtures[MR], Fixtures[userTeam], Teams[[#This Row],[name]])), 0, AVERAGEIFS(Fixtures[MR], Fixtures[userTeam], Teams[[#This Row],[name]])), "")</f>
        <v/>
      </c>
      <c r="R305" s="1" t="str">
        <f>IF(Teams[[#This Row],[relevant]], COUNTIFS(Fixtures[userTeam], Teams[[#This Row],[name]], Fixtures[MOTM], TRUE), "")</f>
        <v/>
      </c>
      <c r="S305" s="1" t="str" cm="1">
        <f t="array" ref="S305">IF(Teams[[#This Row],[relevant]], _xlfn.TEXTJOIN(", ", TRUE, _xlfn._xlws.FILTER(Stats[competition]&amp;" ("&amp;Stats[season]&amp;")",(Stats[team]=Teams[[#This Row],[name]])*(Stats[result]="Winner"),"")), "")</f>
        <v/>
      </c>
    </row>
    <row r="306" spans="1:19" ht="13" hidden="1">
      <c r="A306" s="1" t="s">
        <v>682</v>
      </c>
      <c r="B306" s="1" t="s">
        <v>493</v>
      </c>
      <c r="C306" s="1" t="s">
        <v>391</v>
      </c>
      <c r="D306" s="1" t="str">
        <f>UPPER(_xlfn.CONCAT(LEFT(Teams[[#This Row],[teamType]], 1), "-", LEFT(SUBSTITUTE(Teams[[#This Row],[nation]], "/", ""), 3), "-", SUBSTITUTE(SUBSTITUTE(SUBSTITUTE(Teams[[#This Row],[name]], ".", ""), " ", ""), "-", "")))</f>
        <v>C-CHI-GUANGZHOUFC</v>
      </c>
      <c r="E306" s="16"/>
      <c r="F306" s="16"/>
      <c r="G306" s="1" t="b">
        <f>COUNTBLANK(Teams[[#This Row],[startDate]:[endDate]]) &lt; 2</f>
        <v>0</v>
      </c>
      <c r="H306" s="1" t="str">
        <f>IF(Teams[[#This Row],[relevant]], COUNTIFS(Fixtures[userTeam], Teams[[#This Row],[name]], Fixtures[APP], TRUE), "")</f>
        <v/>
      </c>
      <c r="I306" s="1" t="str">
        <f>IF(Teams[[#This Row],[relevant]], COUNTIFS(Fixtures[userTeam], Teams[[#This Row],[name]], Fixtures[result], "W", Fixtures[APP], TRUE), "")</f>
        <v/>
      </c>
      <c r="J306" s="1" t="str">
        <f>IF(Teams[[#This Row],[relevant]], COUNTIFS(Fixtures[userTeam], Teams[[#This Row],[name]], Fixtures[result], "D", Fixtures[APP], TRUE), "")</f>
        <v/>
      </c>
      <c r="K306" s="1" t="str">
        <f>IF(Teams[[#This Row],[relevant]], COUNTIFS(Fixtures[userTeam], Teams[[#This Row],[name]], Fixtures[result], "L", Fixtures[APP], TRUE), "")</f>
        <v/>
      </c>
      <c r="L306" s="1" t="str">
        <f>IF(Teams[[#This Row],[relevant]], SUMIFS(Fixtures[G], Fixtures[userTeam], Teams[[#This Row],[name]]), "")</f>
        <v/>
      </c>
      <c r="M306" s="1" t="str">
        <f>IF(Teams[[#This Row],[relevant]], SUMIFS(Fixtures[A], Fixtures[userTeam], Teams[[#This Row],[name]]), "")</f>
        <v/>
      </c>
      <c r="N306" s="1" t="str">
        <f>IF(Teams[[#This Row],[relevant]], SUMIFS(Fixtures[INV], Fixtures[userTeam], Teams[[#This Row],[name]]), "")</f>
        <v/>
      </c>
      <c r="O306" s="1" t="str">
        <f>IF(Teams[[#This Row],[relevant]], SUMIFS(Fixtures[YC], Fixtures[userTeam], Teams[[#This Row],[name]]), "")</f>
        <v/>
      </c>
      <c r="P306" s="1" t="str">
        <f>IF(Teams[[#This Row],[relevant]], SUMIFS(Fixtures[RC], Fixtures[userTeam], Teams[[#This Row],[name]]), "")</f>
        <v/>
      </c>
      <c r="Q306" s="13" t="str">
        <f>IF(Teams[[#This Row],[relevant]], IF(ISERROR(AVERAGEIFS(Fixtures[MR], Fixtures[userTeam], Teams[[#This Row],[name]])), 0, AVERAGEIFS(Fixtures[MR], Fixtures[userTeam], Teams[[#This Row],[name]])), "")</f>
        <v/>
      </c>
      <c r="R306" s="1" t="str">
        <f>IF(Teams[[#This Row],[relevant]], COUNTIFS(Fixtures[userTeam], Teams[[#This Row],[name]], Fixtures[MOTM], TRUE), "")</f>
        <v/>
      </c>
      <c r="S306" s="1" t="str" cm="1">
        <f t="array" ref="S306">IF(Teams[[#This Row],[relevant]], _xlfn.TEXTJOIN(", ", TRUE, _xlfn._xlws.FILTER(Stats[competition]&amp;" ("&amp;Stats[season]&amp;")",(Stats[team]=Teams[[#This Row],[name]])*(Stats[result]="Winner"),"")), "")</f>
        <v/>
      </c>
    </row>
    <row r="307" spans="1:19" ht="13" hidden="1">
      <c r="A307" s="1" t="s">
        <v>683</v>
      </c>
      <c r="B307" s="1" t="s">
        <v>224</v>
      </c>
      <c r="C307" s="1" t="s">
        <v>391</v>
      </c>
      <c r="D307" s="1" t="str">
        <f>UPPER(_xlfn.CONCAT(LEFT(Teams[[#This Row],[teamType]], 1), "-", LEFT(SUBSTITUTE(Teams[[#This Row],[nation]], "/", ""), 3), "-", SUBSTITUTE(SUBSTITUTE(SUBSTITUTE(Teams[[#This Row],[name]], ".", ""), " ", ""), "-", "")))</f>
        <v>C-CRO-HAJDUKSPLIT</v>
      </c>
      <c r="E307" s="16"/>
      <c r="F307" s="16"/>
      <c r="G307" s="1" t="b">
        <f>COUNTBLANK(Teams[[#This Row],[startDate]:[endDate]]) &lt; 2</f>
        <v>0</v>
      </c>
      <c r="H307" s="1" t="str">
        <f>IF(Teams[[#This Row],[relevant]], COUNTIFS(Fixtures[userTeam], Teams[[#This Row],[name]], Fixtures[APP], TRUE), "")</f>
        <v/>
      </c>
      <c r="I307" s="1" t="str">
        <f>IF(Teams[[#This Row],[relevant]], COUNTIFS(Fixtures[userTeam], Teams[[#This Row],[name]], Fixtures[result], "W", Fixtures[APP], TRUE), "")</f>
        <v/>
      </c>
      <c r="J307" s="1" t="str">
        <f>IF(Teams[[#This Row],[relevant]], COUNTIFS(Fixtures[userTeam], Teams[[#This Row],[name]], Fixtures[result], "D", Fixtures[APP], TRUE), "")</f>
        <v/>
      </c>
      <c r="K307" s="1" t="str">
        <f>IF(Teams[[#This Row],[relevant]], COUNTIFS(Fixtures[userTeam], Teams[[#This Row],[name]], Fixtures[result], "L", Fixtures[APP], TRUE), "")</f>
        <v/>
      </c>
      <c r="L307" s="1" t="str">
        <f>IF(Teams[[#This Row],[relevant]], SUMIFS(Fixtures[G], Fixtures[userTeam], Teams[[#This Row],[name]]), "")</f>
        <v/>
      </c>
      <c r="M307" s="1" t="str">
        <f>IF(Teams[[#This Row],[relevant]], SUMIFS(Fixtures[A], Fixtures[userTeam], Teams[[#This Row],[name]]), "")</f>
        <v/>
      </c>
      <c r="N307" s="1" t="str">
        <f>IF(Teams[[#This Row],[relevant]], SUMIFS(Fixtures[INV], Fixtures[userTeam], Teams[[#This Row],[name]]), "")</f>
        <v/>
      </c>
      <c r="O307" s="1" t="str">
        <f>IF(Teams[[#This Row],[relevant]], SUMIFS(Fixtures[YC], Fixtures[userTeam], Teams[[#This Row],[name]]), "")</f>
        <v/>
      </c>
      <c r="P307" s="1" t="str">
        <f>IF(Teams[[#This Row],[relevant]], SUMIFS(Fixtures[RC], Fixtures[userTeam], Teams[[#This Row],[name]]), "")</f>
        <v/>
      </c>
      <c r="Q307" s="13" t="str">
        <f>IF(Teams[[#This Row],[relevant]], IF(ISERROR(AVERAGEIFS(Fixtures[MR], Fixtures[userTeam], Teams[[#This Row],[name]])), 0, AVERAGEIFS(Fixtures[MR], Fixtures[userTeam], Teams[[#This Row],[name]])), "")</f>
        <v/>
      </c>
      <c r="R307" s="1" t="str">
        <f>IF(Teams[[#This Row],[relevant]], COUNTIFS(Fixtures[userTeam], Teams[[#This Row],[name]], Fixtures[MOTM], TRUE), "")</f>
        <v/>
      </c>
      <c r="S307" s="1" t="str" cm="1">
        <f t="array" ref="S307">IF(Teams[[#This Row],[relevant]], _xlfn.TEXTJOIN(", ", TRUE, _xlfn._xlws.FILTER(Stats[competition]&amp;" ("&amp;Stats[season]&amp;")",(Stats[team]=Teams[[#This Row],[name]])*(Stats[result]="Winner"),"")), "")</f>
        <v/>
      </c>
    </row>
    <row r="308" spans="1:19" ht="13" hidden="1">
      <c r="A308" s="1" t="s">
        <v>684</v>
      </c>
      <c r="B308" s="1" t="s">
        <v>337</v>
      </c>
      <c r="C308" s="1" t="s">
        <v>391</v>
      </c>
      <c r="D308" s="1" t="str">
        <f>UPPER(_xlfn.CONCAT(LEFT(Teams[[#This Row],[teamType]], 1), "-", LEFT(SUBSTITUTE(Teams[[#This Row],[nation]], "/", ""), 3), "-", SUBSTITUTE(SUBSTITUTE(SUBSTITUTE(Teams[[#This Row],[name]], ".", ""), " ", ""), "-", "")))</f>
        <v>C-GER-HALLESCHERFC</v>
      </c>
      <c r="E308" s="16"/>
      <c r="F308" s="16"/>
      <c r="G308" s="1" t="b">
        <f>COUNTBLANK(Teams[[#This Row],[startDate]:[endDate]]) &lt; 2</f>
        <v>0</v>
      </c>
      <c r="H308" s="1" t="str">
        <f>IF(Teams[[#This Row],[relevant]], COUNTIFS(Fixtures[userTeam], Teams[[#This Row],[name]], Fixtures[APP], TRUE), "")</f>
        <v/>
      </c>
      <c r="I308" s="1" t="str">
        <f>IF(Teams[[#This Row],[relevant]], COUNTIFS(Fixtures[userTeam], Teams[[#This Row],[name]], Fixtures[result], "W", Fixtures[APP], TRUE), "")</f>
        <v/>
      </c>
      <c r="J308" s="1" t="str">
        <f>IF(Teams[[#This Row],[relevant]], COUNTIFS(Fixtures[userTeam], Teams[[#This Row],[name]], Fixtures[result], "D", Fixtures[APP], TRUE), "")</f>
        <v/>
      </c>
      <c r="K308" s="1" t="str">
        <f>IF(Teams[[#This Row],[relevant]], COUNTIFS(Fixtures[userTeam], Teams[[#This Row],[name]], Fixtures[result], "L", Fixtures[APP], TRUE), "")</f>
        <v/>
      </c>
      <c r="L308" s="1" t="str">
        <f>IF(Teams[[#This Row],[relevant]], SUMIFS(Fixtures[G], Fixtures[userTeam], Teams[[#This Row],[name]]), "")</f>
        <v/>
      </c>
      <c r="M308" s="1" t="str">
        <f>IF(Teams[[#This Row],[relevant]], SUMIFS(Fixtures[A], Fixtures[userTeam], Teams[[#This Row],[name]]), "")</f>
        <v/>
      </c>
      <c r="N308" s="1" t="str">
        <f>IF(Teams[[#This Row],[relevant]], SUMIFS(Fixtures[INV], Fixtures[userTeam], Teams[[#This Row],[name]]), "")</f>
        <v/>
      </c>
      <c r="O308" s="1" t="str">
        <f>IF(Teams[[#This Row],[relevant]], SUMIFS(Fixtures[YC], Fixtures[userTeam], Teams[[#This Row],[name]]), "")</f>
        <v/>
      </c>
      <c r="P308" s="1" t="str">
        <f>IF(Teams[[#This Row],[relevant]], SUMIFS(Fixtures[RC], Fixtures[userTeam], Teams[[#This Row],[name]]), "")</f>
        <v/>
      </c>
      <c r="Q308" s="13" t="str">
        <f>IF(Teams[[#This Row],[relevant]], IF(ISERROR(AVERAGEIFS(Fixtures[MR], Fixtures[userTeam], Teams[[#This Row],[name]])), 0, AVERAGEIFS(Fixtures[MR], Fixtures[userTeam], Teams[[#This Row],[name]])), "")</f>
        <v/>
      </c>
      <c r="R308" s="1" t="str">
        <f>IF(Teams[[#This Row],[relevant]], COUNTIFS(Fixtures[userTeam], Teams[[#This Row],[name]], Fixtures[MOTM], TRUE), "")</f>
        <v/>
      </c>
      <c r="S308" s="1" t="str" cm="1">
        <f t="array" ref="S308">IF(Teams[[#This Row],[relevant]], _xlfn.TEXTJOIN(", ", TRUE, _xlfn._xlws.FILTER(Stats[competition]&amp;" ("&amp;Stats[season]&amp;")",(Stats[team]=Teams[[#This Row],[name]])*(Stats[result]="Winner"),"")), "")</f>
        <v/>
      </c>
    </row>
    <row r="309" spans="1:19" ht="13" hidden="1">
      <c r="A309" s="1" t="s">
        <v>303</v>
      </c>
      <c r="B309" s="1" t="s">
        <v>337</v>
      </c>
      <c r="C309" s="1" t="s">
        <v>391</v>
      </c>
      <c r="D309" s="1" t="str">
        <f>UPPER(_xlfn.CONCAT(LEFT(Teams[[#This Row],[teamType]], 1), "-", LEFT(SUBSTITUTE(Teams[[#This Row],[nation]], "/", ""), 3), "-", SUBSTITUTE(SUBSTITUTE(SUBSTITUTE(Teams[[#This Row],[name]], ".", ""), " ", ""), "-", "")))</f>
        <v>C-GER-HAMBURGERSV</v>
      </c>
      <c r="E309" s="16"/>
      <c r="F309" s="16"/>
      <c r="G309" s="1" t="b">
        <f>COUNTBLANK(Teams[[#This Row],[startDate]:[endDate]]) &lt; 2</f>
        <v>0</v>
      </c>
      <c r="H309" s="1" t="str">
        <f>IF(Teams[[#This Row],[relevant]], COUNTIFS(Fixtures[userTeam], Teams[[#This Row],[name]], Fixtures[APP], TRUE), "")</f>
        <v/>
      </c>
      <c r="I309" s="1" t="str">
        <f>IF(Teams[[#This Row],[relevant]], COUNTIFS(Fixtures[userTeam], Teams[[#This Row],[name]], Fixtures[result], "W", Fixtures[APP], TRUE), "")</f>
        <v/>
      </c>
      <c r="J309" s="1" t="str">
        <f>IF(Teams[[#This Row],[relevant]], COUNTIFS(Fixtures[userTeam], Teams[[#This Row],[name]], Fixtures[result], "D", Fixtures[APP], TRUE), "")</f>
        <v/>
      </c>
      <c r="K309" s="1" t="str">
        <f>IF(Teams[[#This Row],[relevant]], COUNTIFS(Fixtures[userTeam], Teams[[#This Row],[name]], Fixtures[result], "L", Fixtures[APP], TRUE), "")</f>
        <v/>
      </c>
      <c r="L309" s="1" t="str">
        <f>IF(Teams[[#This Row],[relevant]], SUMIFS(Fixtures[G], Fixtures[userTeam], Teams[[#This Row],[name]]), "")</f>
        <v/>
      </c>
      <c r="M309" s="1" t="str">
        <f>IF(Teams[[#This Row],[relevant]], SUMIFS(Fixtures[A], Fixtures[userTeam], Teams[[#This Row],[name]]), "")</f>
        <v/>
      </c>
      <c r="N309" s="1" t="str">
        <f>IF(Teams[[#This Row],[relevant]], SUMIFS(Fixtures[INV], Fixtures[userTeam], Teams[[#This Row],[name]]), "")</f>
        <v/>
      </c>
      <c r="O309" s="1" t="str">
        <f>IF(Teams[[#This Row],[relevant]], SUMIFS(Fixtures[YC], Fixtures[userTeam], Teams[[#This Row],[name]]), "")</f>
        <v/>
      </c>
      <c r="P309" s="1" t="str">
        <f>IF(Teams[[#This Row],[relevant]], SUMIFS(Fixtures[RC], Fixtures[userTeam], Teams[[#This Row],[name]]), "")</f>
        <v/>
      </c>
      <c r="Q309" s="13" t="str">
        <f>IF(Teams[[#This Row],[relevant]], IF(ISERROR(AVERAGEIFS(Fixtures[MR], Fixtures[userTeam], Teams[[#This Row],[name]])), 0, AVERAGEIFS(Fixtures[MR], Fixtures[userTeam], Teams[[#This Row],[name]])), "")</f>
        <v/>
      </c>
      <c r="R309" s="1" t="str">
        <f>IF(Teams[[#This Row],[relevant]], COUNTIFS(Fixtures[userTeam], Teams[[#This Row],[name]], Fixtures[MOTM], TRUE), "")</f>
        <v/>
      </c>
      <c r="S309" s="1" t="str" cm="1">
        <f t="array" ref="S309">IF(Teams[[#This Row],[relevant]], _xlfn.TEXTJOIN(", ", TRUE, _xlfn._xlws.FILTER(Stats[competition]&amp;" ("&amp;Stats[season]&amp;")",(Stats[team]=Teams[[#This Row],[name]])*(Stats[result]="Winner"),"")), "")</f>
        <v/>
      </c>
    </row>
    <row r="310" spans="1:19" ht="13" hidden="1">
      <c r="A310" s="1" t="s">
        <v>685</v>
      </c>
      <c r="B310" s="1" t="s">
        <v>286</v>
      </c>
      <c r="C310" s="1" t="s">
        <v>391</v>
      </c>
      <c r="D310" s="1" t="str">
        <f>UPPER(_xlfn.CONCAT(LEFT(Teams[[#This Row],[teamType]], 1), "-", LEFT(SUBSTITUTE(Teams[[#This Row],[nation]], "/", ""), 3), "-", SUBSTITUTE(SUBSTITUTE(SUBSTITUTE(Teams[[#This Row],[name]], ".", ""), " ", ""), "-", "")))</f>
        <v>C-NOR-HAMKAMFOTBALL</v>
      </c>
      <c r="E310" s="16"/>
      <c r="F310" s="16"/>
      <c r="G310" s="1" t="b">
        <f>COUNTBLANK(Teams[[#This Row],[startDate]:[endDate]]) &lt; 2</f>
        <v>0</v>
      </c>
      <c r="H310" s="1" t="str">
        <f>IF(Teams[[#This Row],[relevant]], COUNTIFS(Fixtures[userTeam], Teams[[#This Row],[name]], Fixtures[APP], TRUE), "")</f>
        <v/>
      </c>
      <c r="I310" s="1" t="str">
        <f>IF(Teams[[#This Row],[relevant]], COUNTIFS(Fixtures[userTeam], Teams[[#This Row],[name]], Fixtures[result], "W", Fixtures[APP], TRUE), "")</f>
        <v/>
      </c>
      <c r="J310" s="1" t="str">
        <f>IF(Teams[[#This Row],[relevant]], COUNTIFS(Fixtures[userTeam], Teams[[#This Row],[name]], Fixtures[result], "D", Fixtures[APP], TRUE), "")</f>
        <v/>
      </c>
      <c r="K310" s="1" t="str">
        <f>IF(Teams[[#This Row],[relevant]], COUNTIFS(Fixtures[userTeam], Teams[[#This Row],[name]], Fixtures[result], "L", Fixtures[APP], TRUE), "")</f>
        <v/>
      </c>
      <c r="L310" s="1" t="str">
        <f>IF(Teams[[#This Row],[relevant]], SUMIFS(Fixtures[G], Fixtures[userTeam], Teams[[#This Row],[name]]), "")</f>
        <v/>
      </c>
      <c r="M310" s="1" t="str">
        <f>IF(Teams[[#This Row],[relevant]], SUMIFS(Fixtures[A], Fixtures[userTeam], Teams[[#This Row],[name]]), "")</f>
        <v/>
      </c>
      <c r="N310" s="1" t="str">
        <f>IF(Teams[[#This Row],[relevant]], SUMIFS(Fixtures[INV], Fixtures[userTeam], Teams[[#This Row],[name]]), "")</f>
        <v/>
      </c>
      <c r="O310" s="1" t="str">
        <f>IF(Teams[[#This Row],[relevant]], SUMIFS(Fixtures[YC], Fixtures[userTeam], Teams[[#This Row],[name]]), "")</f>
        <v/>
      </c>
      <c r="P310" s="1" t="str">
        <f>IF(Teams[[#This Row],[relevant]], SUMIFS(Fixtures[RC], Fixtures[userTeam], Teams[[#This Row],[name]]), "")</f>
        <v/>
      </c>
      <c r="Q310" s="13" t="str">
        <f>IF(Teams[[#This Row],[relevant]], IF(ISERROR(AVERAGEIFS(Fixtures[MR], Fixtures[userTeam], Teams[[#This Row],[name]])), 0, AVERAGEIFS(Fixtures[MR], Fixtures[userTeam], Teams[[#This Row],[name]])), "")</f>
        <v/>
      </c>
      <c r="R310" s="1" t="str">
        <f>IF(Teams[[#This Row],[relevant]], COUNTIFS(Fixtures[userTeam], Teams[[#This Row],[name]], Fixtures[MOTM], TRUE), "")</f>
        <v/>
      </c>
      <c r="S310" s="1" t="str" cm="1">
        <f t="array" ref="S310">IF(Teams[[#This Row],[relevant]], _xlfn.TEXTJOIN(", ", TRUE, _xlfn._xlws.FILTER(Stats[competition]&amp;" ("&amp;Stats[season]&amp;")",(Stats[team]=Teams[[#This Row],[name]])*(Stats[result]="Winner"),"")), "")</f>
        <v/>
      </c>
    </row>
    <row r="311" spans="1:19" ht="13" hidden="1">
      <c r="A311" s="1" t="s">
        <v>686</v>
      </c>
      <c r="B311" s="1" t="s">
        <v>284</v>
      </c>
      <c r="C311" s="1" t="s">
        <v>391</v>
      </c>
      <c r="D311" s="1" t="str">
        <f>UPPER(_xlfn.CONCAT(LEFT(Teams[[#This Row],[teamType]], 1), "-", LEFT(SUBSTITUTE(Teams[[#This Row],[nation]], "/", ""), 3), "-", SUBSTITUTE(SUBSTITUTE(SUBSTITUTE(Teams[[#This Row],[name]], ".", ""), " ", ""), "-", "")))</f>
        <v>C-SWE-HAMMARBYIF</v>
      </c>
      <c r="E311" s="16"/>
      <c r="F311" s="16"/>
      <c r="G311" s="1" t="b">
        <f>COUNTBLANK(Teams[[#This Row],[startDate]:[endDate]]) &lt; 2</f>
        <v>0</v>
      </c>
      <c r="H311" s="1" t="str">
        <f>IF(Teams[[#This Row],[relevant]], COUNTIFS(Fixtures[userTeam], Teams[[#This Row],[name]], Fixtures[APP], TRUE), "")</f>
        <v/>
      </c>
      <c r="I311" s="1" t="str">
        <f>IF(Teams[[#This Row],[relevant]], COUNTIFS(Fixtures[userTeam], Teams[[#This Row],[name]], Fixtures[result], "W", Fixtures[APP], TRUE), "")</f>
        <v/>
      </c>
      <c r="J311" s="1" t="str">
        <f>IF(Teams[[#This Row],[relevant]], COUNTIFS(Fixtures[userTeam], Teams[[#This Row],[name]], Fixtures[result], "D", Fixtures[APP], TRUE), "")</f>
        <v/>
      </c>
      <c r="K311" s="1" t="str">
        <f>IF(Teams[[#This Row],[relevant]], COUNTIFS(Fixtures[userTeam], Teams[[#This Row],[name]], Fixtures[result], "L", Fixtures[APP], TRUE), "")</f>
        <v/>
      </c>
      <c r="L311" s="1" t="str">
        <f>IF(Teams[[#This Row],[relevant]], SUMIFS(Fixtures[G], Fixtures[userTeam], Teams[[#This Row],[name]]), "")</f>
        <v/>
      </c>
      <c r="M311" s="1" t="str">
        <f>IF(Teams[[#This Row],[relevant]], SUMIFS(Fixtures[A], Fixtures[userTeam], Teams[[#This Row],[name]]), "")</f>
        <v/>
      </c>
      <c r="N311" s="1" t="str">
        <f>IF(Teams[[#This Row],[relevant]], SUMIFS(Fixtures[INV], Fixtures[userTeam], Teams[[#This Row],[name]]), "")</f>
        <v/>
      </c>
      <c r="O311" s="1" t="str">
        <f>IF(Teams[[#This Row],[relevant]], SUMIFS(Fixtures[YC], Fixtures[userTeam], Teams[[#This Row],[name]]), "")</f>
        <v/>
      </c>
      <c r="P311" s="1" t="str">
        <f>IF(Teams[[#This Row],[relevant]], SUMIFS(Fixtures[RC], Fixtures[userTeam], Teams[[#This Row],[name]]), "")</f>
        <v/>
      </c>
      <c r="Q311" s="13" t="str">
        <f>IF(Teams[[#This Row],[relevant]], IF(ISERROR(AVERAGEIFS(Fixtures[MR], Fixtures[userTeam], Teams[[#This Row],[name]])), 0, AVERAGEIFS(Fixtures[MR], Fixtures[userTeam], Teams[[#This Row],[name]])), "")</f>
        <v/>
      </c>
      <c r="R311" s="1" t="str">
        <f>IF(Teams[[#This Row],[relevant]], COUNTIFS(Fixtures[userTeam], Teams[[#This Row],[name]], Fixtures[MOTM], TRUE), "")</f>
        <v/>
      </c>
      <c r="S311" s="1" t="str" cm="1">
        <f t="array" ref="S311">IF(Teams[[#This Row],[relevant]], _xlfn.TEXTJOIN(", ", TRUE, _xlfn._xlws.FILTER(Stats[competition]&amp;" ("&amp;Stats[season]&amp;")",(Stats[team]=Teams[[#This Row],[name]])*(Stats[result]="Winner"),"")), "")</f>
        <v/>
      </c>
    </row>
    <row r="312" spans="1:19" ht="13" hidden="1">
      <c r="A312" s="1" t="s">
        <v>349</v>
      </c>
      <c r="B312" s="1" t="s">
        <v>337</v>
      </c>
      <c r="C312" s="1" t="s">
        <v>391</v>
      </c>
      <c r="D312" s="1" t="str">
        <f>UPPER(_xlfn.CONCAT(LEFT(Teams[[#This Row],[teamType]], 1), "-", LEFT(SUBSTITUTE(Teams[[#This Row],[nation]], "/", ""), 3), "-", SUBSTITUTE(SUBSTITUTE(SUBSTITUTE(Teams[[#This Row],[name]], ".", ""), " ", ""), "-", "")))</f>
        <v>C-GER-HANNOVER96</v>
      </c>
      <c r="E312" s="16"/>
      <c r="F312" s="16"/>
      <c r="G312" s="1" t="b">
        <f>COUNTBLANK(Teams[[#This Row],[startDate]:[endDate]]) &lt; 2</f>
        <v>0</v>
      </c>
      <c r="H312" s="1" t="str">
        <f>IF(Teams[[#This Row],[relevant]], COUNTIFS(Fixtures[userTeam], Teams[[#This Row],[name]], Fixtures[APP], TRUE), "")</f>
        <v/>
      </c>
      <c r="I312" s="1" t="str">
        <f>IF(Teams[[#This Row],[relevant]], COUNTIFS(Fixtures[userTeam], Teams[[#This Row],[name]], Fixtures[result], "W", Fixtures[APP], TRUE), "")</f>
        <v/>
      </c>
      <c r="J312" s="1" t="str">
        <f>IF(Teams[[#This Row],[relevant]], COUNTIFS(Fixtures[userTeam], Teams[[#This Row],[name]], Fixtures[result], "D", Fixtures[APP], TRUE), "")</f>
        <v/>
      </c>
      <c r="K312" s="1" t="str">
        <f>IF(Teams[[#This Row],[relevant]], COUNTIFS(Fixtures[userTeam], Teams[[#This Row],[name]], Fixtures[result], "L", Fixtures[APP], TRUE), "")</f>
        <v/>
      </c>
      <c r="L312" s="1" t="str">
        <f>IF(Teams[[#This Row],[relevant]], SUMIFS(Fixtures[G], Fixtures[userTeam], Teams[[#This Row],[name]]), "")</f>
        <v/>
      </c>
      <c r="M312" s="1" t="str">
        <f>IF(Teams[[#This Row],[relevant]], SUMIFS(Fixtures[A], Fixtures[userTeam], Teams[[#This Row],[name]]), "")</f>
        <v/>
      </c>
      <c r="N312" s="1" t="str">
        <f>IF(Teams[[#This Row],[relevant]], SUMIFS(Fixtures[INV], Fixtures[userTeam], Teams[[#This Row],[name]]), "")</f>
        <v/>
      </c>
      <c r="O312" s="1" t="str">
        <f>IF(Teams[[#This Row],[relevant]], SUMIFS(Fixtures[YC], Fixtures[userTeam], Teams[[#This Row],[name]]), "")</f>
        <v/>
      </c>
      <c r="P312" s="1" t="str">
        <f>IF(Teams[[#This Row],[relevant]], SUMIFS(Fixtures[RC], Fixtures[userTeam], Teams[[#This Row],[name]]), "")</f>
        <v/>
      </c>
      <c r="Q312" s="13" t="str">
        <f>IF(Teams[[#This Row],[relevant]], IF(ISERROR(AVERAGEIFS(Fixtures[MR], Fixtures[userTeam], Teams[[#This Row],[name]])), 0, AVERAGEIFS(Fixtures[MR], Fixtures[userTeam], Teams[[#This Row],[name]])), "")</f>
        <v/>
      </c>
      <c r="R312" s="1" t="str">
        <f>IF(Teams[[#This Row],[relevant]], COUNTIFS(Fixtures[userTeam], Teams[[#This Row],[name]], Fixtures[MOTM], TRUE), "")</f>
        <v/>
      </c>
      <c r="S312" s="1" t="str" cm="1">
        <f t="array" ref="S312">IF(Teams[[#This Row],[relevant]], _xlfn.TEXTJOIN(", ", TRUE, _xlfn._xlws.FILTER(Stats[competition]&amp;" ("&amp;Stats[season]&amp;")",(Stats[team]=Teams[[#This Row],[name]])*(Stats[result]="Winner"),"")), "")</f>
        <v/>
      </c>
    </row>
    <row r="313" spans="1:19" ht="13" hidden="1">
      <c r="A313" s="1" t="s">
        <v>687</v>
      </c>
      <c r="B313" s="1" t="s">
        <v>337</v>
      </c>
      <c r="C313" s="1" t="s">
        <v>391</v>
      </c>
      <c r="D313" s="1" t="str">
        <f>UPPER(_xlfn.CONCAT(LEFT(Teams[[#This Row],[teamType]], 1), "-", LEFT(SUBSTITUTE(Teams[[#This Row],[nation]], "/", ""), 3), "-", SUBSTITUTE(SUBSTITUTE(SUBSTITUTE(Teams[[#This Row],[name]], ".", ""), " ", ""), "-", "")))</f>
        <v>C-GER-HANSAROSTOCK</v>
      </c>
      <c r="E313" s="16"/>
      <c r="F313" s="16"/>
      <c r="G313" s="1" t="b">
        <f>COUNTBLANK(Teams[[#This Row],[startDate]:[endDate]]) &lt; 2</f>
        <v>0</v>
      </c>
      <c r="H313" s="1" t="str">
        <f>IF(Teams[[#This Row],[relevant]], COUNTIFS(Fixtures[userTeam], Teams[[#This Row],[name]], Fixtures[APP], TRUE), "")</f>
        <v/>
      </c>
      <c r="I313" s="1" t="str">
        <f>IF(Teams[[#This Row],[relevant]], COUNTIFS(Fixtures[userTeam], Teams[[#This Row],[name]], Fixtures[result], "W", Fixtures[APP], TRUE), "")</f>
        <v/>
      </c>
      <c r="J313" s="1" t="str">
        <f>IF(Teams[[#This Row],[relevant]], COUNTIFS(Fixtures[userTeam], Teams[[#This Row],[name]], Fixtures[result], "D", Fixtures[APP], TRUE), "")</f>
        <v/>
      </c>
      <c r="K313" s="1" t="str">
        <f>IF(Teams[[#This Row],[relevant]], COUNTIFS(Fixtures[userTeam], Teams[[#This Row],[name]], Fixtures[result], "L", Fixtures[APP], TRUE), "")</f>
        <v/>
      </c>
      <c r="L313" s="1" t="str">
        <f>IF(Teams[[#This Row],[relevant]], SUMIFS(Fixtures[G], Fixtures[userTeam], Teams[[#This Row],[name]]), "")</f>
        <v/>
      </c>
      <c r="M313" s="1" t="str">
        <f>IF(Teams[[#This Row],[relevant]], SUMIFS(Fixtures[A], Fixtures[userTeam], Teams[[#This Row],[name]]), "")</f>
        <v/>
      </c>
      <c r="N313" s="1" t="str">
        <f>IF(Teams[[#This Row],[relevant]], SUMIFS(Fixtures[INV], Fixtures[userTeam], Teams[[#This Row],[name]]), "")</f>
        <v/>
      </c>
      <c r="O313" s="1" t="str">
        <f>IF(Teams[[#This Row],[relevant]], SUMIFS(Fixtures[YC], Fixtures[userTeam], Teams[[#This Row],[name]]), "")</f>
        <v/>
      </c>
      <c r="P313" s="1" t="str">
        <f>IF(Teams[[#This Row],[relevant]], SUMIFS(Fixtures[RC], Fixtures[userTeam], Teams[[#This Row],[name]]), "")</f>
        <v/>
      </c>
      <c r="Q313" s="13" t="str">
        <f>IF(Teams[[#This Row],[relevant]], IF(ISERROR(AVERAGEIFS(Fixtures[MR], Fixtures[userTeam], Teams[[#This Row],[name]])), 0, AVERAGEIFS(Fixtures[MR], Fixtures[userTeam], Teams[[#This Row],[name]])), "")</f>
        <v/>
      </c>
      <c r="R313" s="1" t="str">
        <f>IF(Teams[[#This Row],[relevant]], COUNTIFS(Fixtures[userTeam], Teams[[#This Row],[name]], Fixtures[MOTM], TRUE), "")</f>
        <v/>
      </c>
      <c r="S313" s="1" t="str" cm="1">
        <f t="array" ref="S313">IF(Teams[[#This Row],[relevant]], _xlfn.TEXTJOIN(", ", TRUE, _xlfn._xlws.FILTER(Stats[competition]&amp;" ("&amp;Stats[season]&amp;")",(Stats[team]=Teams[[#This Row],[name]])*(Stats[result]="Winner"),"")), "")</f>
        <v/>
      </c>
    </row>
    <row r="314" spans="1:19" ht="13" hidden="1">
      <c r="A314" s="1" t="s">
        <v>688</v>
      </c>
      <c r="B314" s="1" t="s">
        <v>152</v>
      </c>
      <c r="C314" s="1" t="s">
        <v>391</v>
      </c>
      <c r="D314" s="1" t="str">
        <f>UPPER(_xlfn.CONCAT(LEFT(Teams[[#This Row],[teamType]], 1), "-", LEFT(SUBSTITUTE(Teams[[#This Row],[nation]], "/", ""), 3), "-", SUBSTITUTE(SUBSTITUTE(SUBSTITUTE(Teams[[#This Row],[name]], ".", ""), " ", ""), "-", "")))</f>
        <v>C-ENG-HARROGATETOWN</v>
      </c>
      <c r="E314" s="16"/>
      <c r="F314" s="16"/>
      <c r="G314" s="1" t="b">
        <f>COUNTBLANK(Teams[[#This Row],[startDate]:[endDate]]) &lt; 2</f>
        <v>0</v>
      </c>
      <c r="H314" s="1" t="str">
        <f>IF(Teams[[#This Row],[relevant]], COUNTIFS(Fixtures[userTeam], Teams[[#This Row],[name]], Fixtures[APP], TRUE), "")</f>
        <v/>
      </c>
      <c r="I314" s="1" t="str">
        <f>IF(Teams[[#This Row],[relevant]], COUNTIFS(Fixtures[userTeam], Teams[[#This Row],[name]], Fixtures[result], "W", Fixtures[APP], TRUE), "")</f>
        <v/>
      </c>
      <c r="J314" s="1" t="str">
        <f>IF(Teams[[#This Row],[relevant]], COUNTIFS(Fixtures[userTeam], Teams[[#This Row],[name]], Fixtures[result], "D", Fixtures[APP], TRUE), "")</f>
        <v/>
      </c>
      <c r="K314" s="1" t="str">
        <f>IF(Teams[[#This Row],[relevant]], COUNTIFS(Fixtures[userTeam], Teams[[#This Row],[name]], Fixtures[result], "L", Fixtures[APP], TRUE), "")</f>
        <v/>
      </c>
      <c r="L314" s="1" t="str">
        <f>IF(Teams[[#This Row],[relevant]], SUMIFS(Fixtures[G], Fixtures[userTeam], Teams[[#This Row],[name]]), "")</f>
        <v/>
      </c>
      <c r="M314" s="1" t="str">
        <f>IF(Teams[[#This Row],[relevant]], SUMIFS(Fixtures[A], Fixtures[userTeam], Teams[[#This Row],[name]]), "")</f>
        <v/>
      </c>
      <c r="N314" s="1" t="str">
        <f>IF(Teams[[#This Row],[relevant]], SUMIFS(Fixtures[INV], Fixtures[userTeam], Teams[[#This Row],[name]]), "")</f>
        <v/>
      </c>
      <c r="O314" s="1" t="str">
        <f>IF(Teams[[#This Row],[relevant]], SUMIFS(Fixtures[YC], Fixtures[userTeam], Teams[[#This Row],[name]]), "")</f>
        <v/>
      </c>
      <c r="P314" s="1" t="str">
        <f>IF(Teams[[#This Row],[relevant]], SUMIFS(Fixtures[RC], Fixtures[userTeam], Teams[[#This Row],[name]]), "")</f>
        <v/>
      </c>
      <c r="Q314" s="13" t="str">
        <f>IF(Teams[[#This Row],[relevant]], IF(ISERROR(AVERAGEIFS(Fixtures[MR], Fixtures[userTeam], Teams[[#This Row],[name]])), 0, AVERAGEIFS(Fixtures[MR], Fixtures[userTeam], Teams[[#This Row],[name]])), "")</f>
        <v/>
      </c>
      <c r="R314" s="1" t="str">
        <f>IF(Teams[[#This Row],[relevant]], COUNTIFS(Fixtures[userTeam], Teams[[#This Row],[name]], Fixtures[MOTM], TRUE), "")</f>
        <v/>
      </c>
      <c r="S314" s="1" t="str" cm="1">
        <f t="array" ref="S314">IF(Teams[[#This Row],[relevant]], _xlfn.TEXTJOIN(", ", TRUE, _xlfn._xlws.FILTER(Stats[competition]&amp;" ("&amp;Stats[season]&amp;")",(Stats[team]=Teams[[#This Row],[name]])*(Stats[result]="Winner"),"")), "")</f>
        <v/>
      </c>
    </row>
    <row r="315" spans="1:19" ht="13" hidden="1">
      <c r="A315" s="1" t="s">
        <v>689</v>
      </c>
      <c r="B315" s="1" t="s">
        <v>152</v>
      </c>
      <c r="C315" s="1" t="s">
        <v>391</v>
      </c>
      <c r="D315" s="1" t="str">
        <f>UPPER(_xlfn.CONCAT(LEFT(Teams[[#This Row],[teamType]], 1), "-", LEFT(SUBSTITUTE(Teams[[#This Row],[nation]], "/", ""), 3), "-", SUBSTITUTE(SUBSTITUTE(SUBSTITUTE(Teams[[#This Row],[name]], ".", ""), " ", ""), "-", "")))</f>
        <v>C-ENG-HARTLEPOOL</v>
      </c>
      <c r="E315" s="16"/>
      <c r="F315" s="16"/>
      <c r="G315" s="1" t="b">
        <f>COUNTBLANK(Teams[[#This Row],[startDate]:[endDate]]) &lt; 2</f>
        <v>0</v>
      </c>
      <c r="H315" s="1" t="str">
        <f>IF(Teams[[#This Row],[relevant]], COUNTIFS(Fixtures[userTeam], Teams[[#This Row],[name]], Fixtures[APP], TRUE), "")</f>
        <v/>
      </c>
      <c r="I315" s="1" t="str">
        <f>IF(Teams[[#This Row],[relevant]], COUNTIFS(Fixtures[userTeam], Teams[[#This Row],[name]], Fixtures[result], "W", Fixtures[APP], TRUE), "")</f>
        <v/>
      </c>
      <c r="J315" s="1" t="str">
        <f>IF(Teams[[#This Row],[relevant]], COUNTIFS(Fixtures[userTeam], Teams[[#This Row],[name]], Fixtures[result], "D", Fixtures[APP], TRUE), "")</f>
        <v/>
      </c>
      <c r="K315" s="1" t="str">
        <f>IF(Teams[[#This Row],[relevant]], COUNTIFS(Fixtures[userTeam], Teams[[#This Row],[name]], Fixtures[result], "L", Fixtures[APP], TRUE), "")</f>
        <v/>
      </c>
      <c r="L315" s="1" t="str">
        <f>IF(Teams[[#This Row],[relevant]], SUMIFS(Fixtures[G], Fixtures[userTeam], Teams[[#This Row],[name]]), "")</f>
        <v/>
      </c>
      <c r="M315" s="1" t="str">
        <f>IF(Teams[[#This Row],[relevant]], SUMIFS(Fixtures[A], Fixtures[userTeam], Teams[[#This Row],[name]]), "")</f>
        <v/>
      </c>
      <c r="N315" s="1" t="str">
        <f>IF(Teams[[#This Row],[relevant]], SUMIFS(Fixtures[INV], Fixtures[userTeam], Teams[[#This Row],[name]]), "")</f>
        <v/>
      </c>
      <c r="O315" s="1" t="str">
        <f>IF(Teams[[#This Row],[relevant]], SUMIFS(Fixtures[YC], Fixtures[userTeam], Teams[[#This Row],[name]]), "")</f>
        <v/>
      </c>
      <c r="P315" s="1" t="str">
        <f>IF(Teams[[#This Row],[relevant]], SUMIFS(Fixtures[RC], Fixtures[userTeam], Teams[[#This Row],[name]]), "")</f>
        <v/>
      </c>
      <c r="Q315" s="13" t="str">
        <f>IF(Teams[[#This Row],[relevant]], IF(ISERROR(AVERAGEIFS(Fixtures[MR], Fixtures[userTeam], Teams[[#This Row],[name]])), 0, AVERAGEIFS(Fixtures[MR], Fixtures[userTeam], Teams[[#This Row],[name]])), "")</f>
        <v/>
      </c>
      <c r="R315" s="1" t="str">
        <f>IF(Teams[[#This Row],[relevant]], COUNTIFS(Fixtures[userTeam], Teams[[#This Row],[name]], Fixtures[MOTM], TRUE), "")</f>
        <v/>
      </c>
      <c r="S315" s="1" t="str" cm="1">
        <f t="array" ref="S315">IF(Teams[[#This Row],[relevant]], _xlfn.TEXTJOIN(", ", TRUE, _xlfn._xlws.FILTER(Stats[competition]&amp;" ("&amp;Stats[season]&amp;")",(Stats[team]=Teams[[#This Row],[name]])*(Stats[result]="Winner"),"")), "")</f>
        <v/>
      </c>
    </row>
    <row r="316" spans="1:19" ht="13" hidden="1">
      <c r="A316" s="1" t="s">
        <v>690</v>
      </c>
      <c r="B316" s="1" t="s">
        <v>408</v>
      </c>
      <c r="C316" s="1" t="s">
        <v>391</v>
      </c>
      <c r="D316" s="1" t="str">
        <f>UPPER(_xlfn.CONCAT(LEFT(Teams[[#This Row],[teamType]], 1), "-", LEFT(SUBSTITUTE(Teams[[#This Row],[nation]], "/", ""), 3), "-", SUBSTITUTE(SUBSTITUTE(SUBSTITUTE(Teams[[#This Row],[name]], ".", ""), " ", ""), "-", "")))</f>
        <v>C-TUR-HATAYSPOR</v>
      </c>
      <c r="E316" s="16"/>
      <c r="F316" s="16"/>
      <c r="G316" s="1" t="b">
        <f>COUNTBLANK(Teams[[#This Row],[startDate]:[endDate]]) &lt; 2</f>
        <v>0</v>
      </c>
      <c r="H316" s="1" t="str">
        <f>IF(Teams[[#This Row],[relevant]], COUNTIFS(Fixtures[userTeam], Teams[[#This Row],[name]], Fixtures[APP], TRUE), "")</f>
        <v/>
      </c>
      <c r="I316" s="1" t="str">
        <f>IF(Teams[[#This Row],[relevant]], COUNTIFS(Fixtures[userTeam], Teams[[#This Row],[name]], Fixtures[result], "W", Fixtures[APP], TRUE), "")</f>
        <v/>
      </c>
      <c r="J316" s="1" t="str">
        <f>IF(Teams[[#This Row],[relevant]], COUNTIFS(Fixtures[userTeam], Teams[[#This Row],[name]], Fixtures[result], "D", Fixtures[APP], TRUE), "")</f>
        <v/>
      </c>
      <c r="K316" s="1" t="str">
        <f>IF(Teams[[#This Row],[relevant]], COUNTIFS(Fixtures[userTeam], Teams[[#This Row],[name]], Fixtures[result], "L", Fixtures[APP], TRUE), "")</f>
        <v/>
      </c>
      <c r="L316" s="1" t="str">
        <f>IF(Teams[[#This Row],[relevant]], SUMIFS(Fixtures[G], Fixtures[userTeam], Teams[[#This Row],[name]]), "")</f>
        <v/>
      </c>
      <c r="M316" s="1" t="str">
        <f>IF(Teams[[#This Row],[relevant]], SUMIFS(Fixtures[A], Fixtures[userTeam], Teams[[#This Row],[name]]), "")</f>
        <v/>
      </c>
      <c r="N316" s="1" t="str">
        <f>IF(Teams[[#This Row],[relevant]], SUMIFS(Fixtures[INV], Fixtures[userTeam], Teams[[#This Row],[name]]), "")</f>
        <v/>
      </c>
      <c r="O316" s="1" t="str">
        <f>IF(Teams[[#This Row],[relevant]], SUMIFS(Fixtures[YC], Fixtures[userTeam], Teams[[#This Row],[name]]), "")</f>
        <v/>
      </c>
      <c r="P316" s="1" t="str">
        <f>IF(Teams[[#This Row],[relevant]], SUMIFS(Fixtures[RC], Fixtures[userTeam], Teams[[#This Row],[name]]), "")</f>
        <v/>
      </c>
      <c r="Q316" s="13" t="str">
        <f>IF(Teams[[#This Row],[relevant]], IF(ISERROR(AVERAGEIFS(Fixtures[MR], Fixtures[userTeam], Teams[[#This Row],[name]])), 0, AVERAGEIFS(Fixtures[MR], Fixtures[userTeam], Teams[[#This Row],[name]])), "")</f>
        <v/>
      </c>
      <c r="R316" s="1" t="str">
        <f>IF(Teams[[#This Row],[relevant]], COUNTIFS(Fixtures[userTeam], Teams[[#This Row],[name]], Fixtures[MOTM], TRUE), "")</f>
        <v/>
      </c>
      <c r="S316" s="1" t="str" cm="1">
        <f t="array" ref="S316">IF(Teams[[#This Row],[relevant]], _xlfn.TEXTJOIN(", ", TRUE, _xlfn._xlws.FILTER(Stats[competition]&amp;" ("&amp;Stats[season]&amp;")",(Stats[team]=Teams[[#This Row],[name]])*(Stats[result]="Winner"),"")), "")</f>
        <v/>
      </c>
    </row>
    <row r="317" spans="1:19" ht="13" hidden="1">
      <c r="A317" s="1" t="s">
        <v>691</v>
      </c>
      <c r="B317" s="1" t="s">
        <v>339</v>
      </c>
      <c r="C317" s="1" t="s">
        <v>391</v>
      </c>
      <c r="D317" s="1" t="str">
        <f>UPPER(_xlfn.CONCAT(LEFT(Teams[[#This Row],[teamType]], 1), "-", LEFT(SUBSTITUTE(Teams[[#This Row],[nation]], "/", ""), 3), "-", SUBSTITUTE(SUBSTITUTE(SUBSTITUTE(Teams[[#This Row],[name]], ".", ""), " ", ""), "-", "")))</f>
        <v>C-FRA-HAVREAC</v>
      </c>
      <c r="E317" s="16"/>
      <c r="F317" s="16"/>
      <c r="G317" s="1" t="b">
        <f>COUNTBLANK(Teams[[#This Row],[startDate]:[endDate]]) &lt; 2</f>
        <v>0</v>
      </c>
      <c r="H317" s="1" t="str">
        <f>IF(Teams[[#This Row],[relevant]], COUNTIFS(Fixtures[userTeam], Teams[[#This Row],[name]], Fixtures[APP], TRUE), "")</f>
        <v/>
      </c>
      <c r="I317" s="1" t="str">
        <f>IF(Teams[[#This Row],[relevant]], COUNTIFS(Fixtures[userTeam], Teams[[#This Row],[name]], Fixtures[result], "W", Fixtures[APP], TRUE), "")</f>
        <v/>
      </c>
      <c r="J317" s="1" t="str">
        <f>IF(Teams[[#This Row],[relevant]], COUNTIFS(Fixtures[userTeam], Teams[[#This Row],[name]], Fixtures[result], "D", Fixtures[APP], TRUE), "")</f>
        <v/>
      </c>
      <c r="K317" s="1" t="str">
        <f>IF(Teams[[#This Row],[relevant]], COUNTIFS(Fixtures[userTeam], Teams[[#This Row],[name]], Fixtures[result], "L", Fixtures[APP], TRUE), "")</f>
        <v/>
      </c>
      <c r="L317" s="1" t="str">
        <f>IF(Teams[[#This Row],[relevant]], SUMIFS(Fixtures[G], Fixtures[userTeam], Teams[[#This Row],[name]]), "")</f>
        <v/>
      </c>
      <c r="M317" s="1" t="str">
        <f>IF(Teams[[#This Row],[relevant]], SUMIFS(Fixtures[A], Fixtures[userTeam], Teams[[#This Row],[name]]), "")</f>
        <v/>
      </c>
      <c r="N317" s="1" t="str">
        <f>IF(Teams[[#This Row],[relevant]], SUMIFS(Fixtures[INV], Fixtures[userTeam], Teams[[#This Row],[name]]), "")</f>
        <v/>
      </c>
      <c r="O317" s="1" t="str">
        <f>IF(Teams[[#This Row],[relevant]], SUMIFS(Fixtures[YC], Fixtures[userTeam], Teams[[#This Row],[name]]), "")</f>
        <v/>
      </c>
      <c r="P317" s="1" t="str">
        <f>IF(Teams[[#This Row],[relevant]], SUMIFS(Fixtures[RC], Fixtures[userTeam], Teams[[#This Row],[name]]), "")</f>
        <v/>
      </c>
      <c r="Q317" s="13" t="str">
        <f>IF(Teams[[#This Row],[relevant]], IF(ISERROR(AVERAGEIFS(Fixtures[MR], Fixtures[userTeam], Teams[[#This Row],[name]])), 0, AVERAGEIFS(Fixtures[MR], Fixtures[userTeam], Teams[[#This Row],[name]])), "")</f>
        <v/>
      </c>
      <c r="R317" s="1" t="str">
        <f>IF(Teams[[#This Row],[relevant]], COUNTIFS(Fixtures[userTeam], Teams[[#This Row],[name]], Fixtures[MOTM], TRUE), "")</f>
        <v/>
      </c>
      <c r="S317" s="1" t="str" cm="1">
        <f t="array" ref="S317">IF(Teams[[#This Row],[relevant]], _xlfn.TEXTJOIN(", ", TRUE, _xlfn._xlws.FILTER(Stats[competition]&amp;" ("&amp;Stats[season]&amp;")",(Stats[team]=Teams[[#This Row],[name]])*(Stats[result]="Winner"),"")), "")</f>
        <v/>
      </c>
    </row>
    <row r="318" spans="1:19" ht="13" hidden="1">
      <c r="A318" s="1" t="s">
        <v>692</v>
      </c>
      <c r="B318" s="1" t="s">
        <v>401</v>
      </c>
      <c r="C318" s="1" t="s">
        <v>391</v>
      </c>
      <c r="D318" s="1" t="str">
        <f>UPPER(_xlfn.CONCAT(LEFT(Teams[[#This Row],[teamType]], 1), "-", LEFT(SUBSTITUTE(Teams[[#This Row],[nation]], "/", ""), 3), "-", SUBSTITUTE(SUBSTITUTE(SUBSTITUTE(Teams[[#This Row],[name]], ".", ""), " ", ""), "-", "")))</f>
        <v>C-SCO-HEARTS</v>
      </c>
      <c r="E318" s="16"/>
      <c r="F318" s="16"/>
      <c r="G318" s="1" t="b">
        <f>COUNTBLANK(Teams[[#This Row],[startDate]:[endDate]]) &lt; 2</f>
        <v>0</v>
      </c>
      <c r="H318" s="1" t="str">
        <f>IF(Teams[[#This Row],[relevant]], COUNTIFS(Fixtures[userTeam], Teams[[#This Row],[name]], Fixtures[APP], TRUE), "")</f>
        <v/>
      </c>
      <c r="I318" s="1" t="str">
        <f>IF(Teams[[#This Row],[relevant]], COUNTIFS(Fixtures[userTeam], Teams[[#This Row],[name]], Fixtures[result], "W", Fixtures[APP], TRUE), "")</f>
        <v/>
      </c>
      <c r="J318" s="1" t="str">
        <f>IF(Teams[[#This Row],[relevant]], COUNTIFS(Fixtures[userTeam], Teams[[#This Row],[name]], Fixtures[result], "D", Fixtures[APP], TRUE), "")</f>
        <v/>
      </c>
      <c r="K318" s="1" t="str">
        <f>IF(Teams[[#This Row],[relevant]], COUNTIFS(Fixtures[userTeam], Teams[[#This Row],[name]], Fixtures[result], "L", Fixtures[APP], TRUE), "")</f>
        <v/>
      </c>
      <c r="L318" s="1" t="str">
        <f>IF(Teams[[#This Row],[relevant]], SUMIFS(Fixtures[G], Fixtures[userTeam], Teams[[#This Row],[name]]), "")</f>
        <v/>
      </c>
      <c r="M318" s="1" t="str">
        <f>IF(Teams[[#This Row],[relevant]], SUMIFS(Fixtures[A], Fixtures[userTeam], Teams[[#This Row],[name]]), "")</f>
        <v/>
      </c>
      <c r="N318" s="1" t="str">
        <f>IF(Teams[[#This Row],[relevant]], SUMIFS(Fixtures[INV], Fixtures[userTeam], Teams[[#This Row],[name]]), "")</f>
        <v/>
      </c>
      <c r="O318" s="1" t="str">
        <f>IF(Teams[[#This Row],[relevant]], SUMIFS(Fixtures[YC], Fixtures[userTeam], Teams[[#This Row],[name]]), "")</f>
        <v/>
      </c>
      <c r="P318" s="1" t="str">
        <f>IF(Teams[[#This Row],[relevant]], SUMIFS(Fixtures[RC], Fixtures[userTeam], Teams[[#This Row],[name]]), "")</f>
        <v/>
      </c>
      <c r="Q318" s="13" t="str">
        <f>IF(Teams[[#This Row],[relevant]], IF(ISERROR(AVERAGEIFS(Fixtures[MR], Fixtures[userTeam], Teams[[#This Row],[name]])), 0, AVERAGEIFS(Fixtures[MR], Fixtures[userTeam], Teams[[#This Row],[name]])), "")</f>
        <v/>
      </c>
      <c r="R318" s="1" t="str">
        <f>IF(Teams[[#This Row],[relevant]], COUNTIFS(Fixtures[userTeam], Teams[[#This Row],[name]], Fixtures[MOTM], TRUE), "")</f>
        <v/>
      </c>
      <c r="S318" s="1" t="str" cm="1">
        <f t="array" ref="S318">IF(Teams[[#This Row],[relevant]], _xlfn.TEXTJOIN(", ", TRUE, _xlfn._xlws.FILTER(Stats[competition]&amp;" ("&amp;Stats[season]&amp;")",(Stats[team]=Teams[[#This Row],[name]])*(Stats[result]="Winner"),"")), "")</f>
        <v/>
      </c>
    </row>
    <row r="319" spans="1:19" ht="13" hidden="1">
      <c r="A319" s="1" t="s">
        <v>693</v>
      </c>
      <c r="B319" s="1" t="s">
        <v>493</v>
      </c>
      <c r="C319" s="1" t="s">
        <v>391</v>
      </c>
      <c r="D319" s="1" t="str">
        <f>UPPER(_xlfn.CONCAT(LEFT(Teams[[#This Row],[teamType]], 1), "-", LEFT(SUBSTITUTE(Teams[[#This Row],[nation]], "/", ""), 3), "-", SUBSTITUTE(SUBSTITUTE(SUBSTITUTE(Teams[[#This Row],[name]], ".", ""), " ", ""), "-", "")))</f>
        <v>C-CHI-HEBEIFC</v>
      </c>
      <c r="E319" s="16"/>
      <c r="F319" s="16"/>
      <c r="G319" s="1" t="b">
        <f>COUNTBLANK(Teams[[#This Row],[startDate]:[endDate]]) &lt; 2</f>
        <v>0</v>
      </c>
      <c r="H319" s="1" t="str">
        <f>IF(Teams[[#This Row],[relevant]], COUNTIFS(Fixtures[userTeam], Teams[[#This Row],[name]], Fixtures[APP], TRUE), "")</f>
        <v/>
      </c>
      <c r="I319" s="1" t="str">
        <f>IF(Teams[[#This Row],[relevant]], COUNTIFS(Fixtures[userTeam], Teams[[#This Row],[name]], Fixtures[result], "W", Fixtures[APP], TRUE), "")</f>
        <v/>
      </c>
      <c r="J319" s="1" t="str">
        <f>IF(Teams[[#This Row],[relevant]], COUNTIFS(Fixtures[userTeam], Teams[[#This Row],[name]], Fixtures[result], "D", Fixtures[APP], TRUE), "")</f>
        <v/>
      </c>
      <c r="K319" s="1" t="str">
        <f>IF(Teams[[#This Row],[relevant]], COUNTIFS(Fixtures[userTeam], Teams[[#This Row],[name]], Fixtures[result], "L", Fixtures[APP], TRUE), "")</f>
        <v/>
      </c>
      <c r="L319" s="1" t="str">
        <f>IF(Teams[[#This Row],[relevant]], SUMIFS(Fixtures[G], Fixtures[userTeam], Teams[[#This Row],[name]]), "")</f>
        <v/>
      </c>
      <c r="M319" s="1" t="str">
        <f>IF(Teams[[#This Row],[relevant]], SUMIFS(Fixtures[A], Fixtures[userTeam], Teams[[#This Row],[name]]), "")</f>
        <v/>
      </c>
      <c r="N319" s="1" t="str">
        <f>IF(Teams[[#This Row],[relevant]], SUMIFS(Fixtures[INV], Fixtures[userTeam], Teams[[#This Row],[name]]), "")</f>
        <v/>
      </c>
      <c r="O319" s="1" t="str">
        <f>IF(Teams[[#This Row],[relevant]], SUMIFS(Fixtures[YC], Fixtures[userTeam], Teams[[#This Row],[name]]), "")</f>
        <v/>
      </c>
      <c r="P319" s="1" t="str">
        <f>IF(Teams[[#This Row],[relevant]], SUMIFS(Fixtures[RC], Fixtures[userTeam], Teams[[#This Row],[name]]), "")</f>
        <v/>
      </c>
      <c r="Q319" s="13" t="str">
        <f>IF(Teams[[#This Row],[relevant]], IF(ISERROR(AVERAGEIFS(Fixtures[MR], Fixtures[userTeam], Teams[[#This Row],[name]])), 0, AVERAGEIFS(Fixtures[MR], Fixtures[userTeam], Teams[[#This Row],[name]])), "")</f>
        <v/>
      </c>
      <c r="R319" s="1" t="str">
        <f>IF(Teams[[#This Row],[relevant]], COUNTIFS(Fixtures[userTeam], Teams[[#This Row],[name]], Fixtures[MOTM], TRUE), "")</f>
        <v/>
      </c>
      <c r="S319" s="1" t="str" cm="1">
        <f t="array" ref="S319">IF(Teams[[#This Row],[relevant]], _xlfn.TEXTJOIN(", ", TRUE, _xlfn._xlws.FILTER(Stats[competition]&amp;" ("&amp;Stats[season]&amp;")",(Stats[team]=Teams[[#This Row],[name]])*(Stats[result]="Winner"),"")), "")</f>
        <v/>
      </c>
    </row>
    <row r="320" spans="1:19" ht="13" hidden="1">
      <c r="A320" s="1" t="s">
        <v>694</v>
      </c>
      <c r="B320" s="1" t="s">
        <v>337</v>
      </c>
      <c r="C320" s="1" t="s">
        <v>391</v>
      </c>
      <c r="D320" s="1" t="str">
        <f>UPPER(_xlfn.CONCAT(LEFT(Teams[[#This Row],[teamType]], 1), "-", LEFT(SUBSTITUTE(Teams[[#This Row],[nation]], "/", ""), 3), "-", SUBSTITUTE(SUBSTITUTE(SUBSTITUTE(Teams[[#This Row],[name]], ".", ""), " ", ""), "-", "")))</f>
        <v>C-GER-HEIDENHEIM</v>
      </c>
      <c r="E320" s="16"/>
      <c r="F320" s="16"/>
      <c r="G320" s="1" t="b">
        <f>COUNTBLANK(Teams[[#This Row],[startDate]:[endDate]]) &lt; 2</f>
        <v>0</v>
      </c>
      <c r="H320" s="1" t="str">
        <f>IF(Teams[[#This Row],[relevant]], COUNTIFS(Fixtures[userTeam], Teams[[#This Row],[name]], Fixtures[APP], TRUE), "")</f>
        <v/>
      </c>
      <c r="I320" s="1" t="str">
        <f>IF(Teams[[#This Row],[relevant]], COUNTIFS(Fixtures[userTeam], Teams[[#This Row],[name]], Fixtures[result], "W", Fixtures[APP], TRUE), "")</f>
        <v/>
      </c>
      <c r="J320" s="1" t="str">
        <f>IF(Teams[[#This Row],[relevant]], COUNTIFS(Fixtures[userTeam], Teams[[#This Row],[name]], Fixtures[result], "D", Fixtures[APP], TRUE), "")</f>
        <v/>
      </c>
      <c r="K320" s="1" t="str">
        <f>IF(Teams[[#This Row],[relevant]], COUNTIFS(Fixtures[userTeam], Teams[[#This Row],[name]], Fixtures[result], "L", Fixtures[APP], TRUE), "")</f>
        <v/>
      </c>
      <c r="L320" s="1" t="str">
        <f>IF(Teams[[#This Row],[relevant]], SUMIFS(Fixtures[G], Fixtures[userTeam], Teams[[#This Row],[name]]), "")</f>
        <v/>
      </c>
      <c r="M320" s="1" t="str">
        <f>IF(Teams[[#This Row],[relevant]], SUMIFS(Fixtures[A], Fixtures[userTeam], Teams[[#This Row],[name]]), "")</f>
        <v/>
      </c>
      <c r="N320" s="1" t="str">
        <f>IF(Teams[[#This Row],[relevant]], SUMIFS(Fixtures[INV], Fixtures[userTeam], Teams[[#This Row],[name]]), "")</f>
        <v/>
      </c>
      <c r="O320" s="1" t="str">
        <f>IF(Teams[[#This Row],[relevant]], SUMIFS(Fixtures[YC], Fixtures[userTeam], Teams[[#This Row],[name]]), "")</f>
        <v/>
      </c>
      <c r="P320" s="1" t="str">
        <f>IF(Teams[[#This Row],[relevant]], SUMIFS(Fixtures[RC], Fixtures[userTeam], Teams[[#This Row],[name]]), "")</f>
        <v/>
      </c>
      <c r="Q320" s="13" t="str">
        <f>IF(Teams[[#This Row],[relevant]], IF(ISERROR(AVERAGEIFS(Fixtures[MR], Fixtures[userTeam], Teams[[#This Row],[name]])), 0, AVERAGEIFS(Fixtures[MR], Fixtures[userTeam], Teams[[#This Row],[name]])), "")</f>
        <v/>
      </c>
      <c r="R320" s="1" t="str">
        <f>IF(Teams[[#This Row],[relevant]], COUNTIFS(Fixtures[userTeam], Teams[[#This Row],[name]], Fixtures[MOTM], TRUE), "")</f>
        <v/>
      </c>
      <c r="S320" s="1" t="str" cm="1">
        <f t="array" ref="S320">IF(Teams[[#This Row],[relevant]], _xlfn.TEXTJOIN(", ", TRUE, _xlfn._xlws.FILTER(Stats[competition]&amp;" ("&amp;Stats[season]&amp;")",(Stats[team]=Teams[[#This Row],[name]])*(Stats[result]="Winner"),"")), "")</f>
        <v/>
      </c>
    </row>
    <row r="321" spans="1:19" ht="13" hidden="1">
      <c r="A321" s="1" t="s">
        <v>695</v>
      </c>
      <c r="B321" s="1" t="s">
        <v>254</v>
      </c>
      <c r="C321" s="1" t="s">
        <v>391</v>
      </c>
      <c r="D321" s="1" t="str">
        <f>UPPER(_xlfn.CONCAT(LEFT(Teams[[#This Row],[teamType]], 1), "-", LEFT(SUBSTITUTE(Teams[[#This Row],[nation]], "/", ""), 3), "-", SUBSTITUTE(SUBSTITUTE(SUBSTITUTE(Teams[[#This Row],[name]], ".", ""), " ", ""), "-", "")))</f>
        <v>C-ITA-HELLASVERONA</v>
      </c>
      <c r="E321" s="16"/>
      <c r="F321" s="16"/>
      <c r="G321" s="1" t="b">
        <f>COUNTBLANK(Teams[[#This Row],[startDate]:[endDate]]) &lt; 2</f>
        <v>0</v>
      </c>
      <c r="H321" s="1" t="str">
        <f>IF(Teams[[#This Row],[relevant]], COUNTIFS(Fixtures[userTeam], Teams[[#This Row],[name]], Fixtures[APP], TRUE), "")</f>
        <v/>
      </c>
      <c r="I321" s="1" t="str">
        <f>IF(Teams[[#This Row],[relevant]], COUNTIFS(Fixtures[userTeam], Teams[[#This Row],[name]], Fixtures[result], "W", Fixtures[APP], TRUE), "")</f>
        <v/>
      </c>
      <c r="J321" s="1" t="str">
        <f>IF(Teams[[#This Row],[relevant]], COUNTIFS(Fixtures[userTeam], Teams[[#This Row],[name]], Fixtures[result], "D", Fixtures[APP], TRUE), "")</f>
        <v/>
      </c>
      <c r="K321" s="1" t="str">
        <f>IF(Teams[[#This Row],[relevant]], COUNTIFS(Fixtures[userTeam], Teams[[#This Row],[name]], Fixtures[result], "L", Fixtures[APP], TRUE), "")</f>
        <v/>
      </c>
      <c r="L321" s="1" t="str">
        <f>IF(Teams[[#This Row],[relevant]], SUMIFS(Fixtures[G], Fixtures[userTeam], Teams[[#This Row],[name]]), "")</f>
        <v/>
      </c>
      <c r="M321" s="1" t="str">
        <f>IF(Teams[[#This Row],[relevant]], SUMIFS(Fixtures[A], Fixtures[userTeam], Teams[[#This Row],[name]]), "")</f>
        <v/>
      </c>
      <c r="N321" s="1" t="str">
        <f>IF(Teams[[#This Row],[relevant]], SUMIFS(Fixtures[INV], Fixtures[userTeam], Teams[[#This Row],[name]]), "")</f>
        <v/>
      </c>
      <c r="O321" s="1" t="str">
        <f>IF(Teams[[#This Row],[relevant]], SUMIFS(Fixtures[YC], Fixtures[userTeam], Teams[[#This Row],[name]]), "")</f>
        <v/>
      </c>
      <c r="P321" s="1" t="str">
        <f>IF(Teams[[#This Row],[relevant]], SUMIFS(Fixtures[RC], Fixtures[userTeam], Teams[[#This Row],[name]]), "")</f>
        <v/>
      </c>
      <c r="Q321" s="13" t="str">
        <f>IF(Teams[[#This Row],[relevant]], IF(ISERROR(AVERAGEIFS(Fixtures[MR], Fixtures[userTeam], Teams[[#This Row],[name]])), 0, AVERAGEIFS(Fixtures[MR], Fixtures[userTeam], Teams[[#This Row],[name]])), "")</f>
        <v/>
      </c>
      <c r="R321" s="1" t="str">
        <f>IF(Teams[[#This Row],[relevant]], COUNTIFS(Fixtures[userTeam], Teams[[#This Row],[name]], Fixtures[MOTM], TRUE), "")</f>
        <v/>
      </c>
      <c r="S321" s="1" t="str" cm="1">
        <f t="array" ref="S321">IF(Teams[[#This Row],[relevant]], _xlfn.TEXTJOIN(", ", TRUE, _xlfn._xlws.FILTER(Stats[competition]&amp;" ("&amp;Stats[season]&amp;")",(Stats[team]=Teams[[#This Row],[name]])*(Stats[result]="Winner"),"")), "")</f>
        <v/>
      </c>
    </row>
    <row r="322" spans="1:19" ht="13" hidden="1">
      <c r="A322" s="1" t="s">
        <v>696</v>
      </c>
      <c r="B322" s="1" t="s">
        <v>284</v>
      </c>
      <c r="C322" s="1" t="s">
        <v>391</v>
      </c>
      <c r="D322" s="1" t="str">
        <f>UPPER(_xlfn.CONCAT(LEFT(Teams[[#This Row],[teamType]], 1), "-", LEFT(SUBSTITUTE(Teams[[#This Row],[nation]], "/", ""), 3), "-", SUBSTITUTE(SUBSTITUTE(SUBSTITUTE(Teams[[#This Row],[name]], ".", ""), " ", ""), "-", "")))</f>
        <v>C-SWE-HELSINGBORGSIF</v>
      </c>
      <c r="E322" s="16"/>
      <c r="F322" s="16"/>
      <c r="G322" s="1" t="b">
        <f>COUNTBLANK(Teams[[#This Row],[startDate]:[endDate]]) &lt; 2</f>
        <v>0</v>
      </c>
      <c r="H322" s="1" t="str">
        <f>IF(Teams[[#This Row],[relevant]], COUNTIFS(Fixtures[userTeam], Teams[[#This Row],[name]], Fixtures[APP], TRUE), "")</f>
        <v/>
      </c>
      <c r="I322" s="1" t="str">
        <f>IF(Teams[[#This Row],[relevant]], COUNTIFS(Fixtures[userTeam], Teams[[#This Row],[name]], Fixtures[result], "W", Fixtures[APP], TRUE), "")</f>
        <v/>
      </c>
      <c r="J322" s="1" t="str">
        <f>IF(Teams[[#This Row],[relevant]], COUNTIFS(Fixtures[userTeam], Teams[[#This Row],[name]], Fixtures[result], "D", Fixtures[APP], TRUE), "")</f>
        <v/>
      </c>
      <c r="K322" s="1" t="str">
        <f>IF(Teams[[#This Row],[relevant]], COUNTIFS(Fixtures[userTeam], Teams[[#This Row],[name]], Fixtures[result], "L", Fixtures[APP], TRUE), "")</f>
        <v/>
      </c>
      <c r="L322" s="1" t="str">
        <f>IF(Teams[[#This Row],[relevant]], SUMIFS(Fixtures[G], Fixtures[userTeam], Teams[[#This Row],[name]]), "")</f>
        <v/>
      </c>
      <c r="M322" s="1" t="str">
        <f>IF(Teams[[#This Row],[relevant]], SUMIFS(Fixtures[A], Fixtures[userTeam], Teams[[#This Row],[name]]), "")</f>
        <v/>
      </c>
      <c r="N322" s="1" t="str">
        <f>IF(Teams[[#This Row],[relevant]], SUMIFS(Fixtures[INV], Fixtures[userTeam], Teams[[#This Row],[name]]), "")</f>
        <v/>
      </c>
      <c r="O322" s="1" t="str">
        <f>IF(Teams[[#This Row],[relevant]], SUMIFS(Fixtures[YC], Fixtures[userTeam], Teams[[#This Row],[name]]), "")</f>
        <v/>
      </c>
      <c r="P322" s="1" t="str">
        <f>IF(Teams[[#This Row],[relevant]], SUMIFS(Fixtures[RC], Fixtures[userTeam], Teams[[#This Row],[name]]), "")</f>
        <v/>
      </c>
      <c r="Q322" s="13" t="str">
        <f>IF(Teams[[#This Row],[relevant]], IF(ISERROR(AVERAGEIFS(Fixtures[MR], Fixtures[userTeam], Teams[[#This Row],[name]])), 0, AVERAGEIFS(Fixtures[MR], Fixtures[userTeam], Teams[[#This Row],[name]])), "")</f>
        <v/>
      </c>
      <c r="R322" s="1" t="str">
        <f>IF(Teams[[#This Row],[relevant]], COUNTIFS(Fixtures[userTeam], Teams[[#This Row],[name]], Fixtures[MOTM], TRUE), "")</f>
        <v/>
      </c>
      <c r="S322" s="1" t="str" cm="1">
        <f t="array" ref="S322">IF(Teams[[#This Row],[relevant]], _xlfn.TEXTJOIN(", ", TRUE, _xlfn._xlws.FILTER(Stats[competition]&amp;" ("&amp;Stats[season]&amp;")",(Stats[team]=Teams[[#This Row],[name]])*(Stats[result]="Winner"),"")), "")</f>
        <v/>
      </c>
    </row>
    <row r="323" spans="1:19" ht="13" hidden="1">
      <c r="A323" s="1" t="s">
        <v>697</v>
      </c>
      <c r="B323" s="1" t="s">
        <v>493</v>
      </c>
      <c r="C323" s="1" t="s">
        <v>391</v>
      </c>
      <c r="D323" s="1" t="str">
        <f>UPPER(_xlfn.CONCAT(LEFT(Teams[[#This Row],[teamType]], 1), "-", LEFT(SUBSTITUTE(Teams[[#This Row],[nation]], "/", ""), 3), "-", SUBSTITUTE(SUBSTITUTE(SUBSTITUTE(Teams[[#This Row],[name]], ".", ""), " ", ""), "-", "")))</f>
        <v>C-CHI-HENANSSLMFC</v>
      </c>
      <c r="E323" s="16"/>
      <c r="F323" s="16"/>
      <c r="G323" s="1" t="b">
        <f>COUNTBLANK(Teams[[#This Row],[startDate]:[endDate]]) &lt; 2</f>
        <v>0</v>
      </c>
      <c r="H323" s="1" t="str">
        <f>IF(Teams[[#This Row],[relevant]], COUNTIFS(Fixtures[userTeam], Teams[[#This Row],[name]], Fixtures[APP], TRUE), "")</f>
        <v/>
      </c>
      <c r="I323" s="1" t="str">
        <f>IF(Teams[[#This Row],[relevant]], COUNTIFS(Fixtures[userTeam], Teams[[#This Row],[name]], Fixtures[result], "W", Fixtures[APP], TRUE), "")</f>
        <v/>
      </c>
      <c r="J323" s="1" t="str">
        <f>IF(Teams[[#This Row],[relevant]], COUNTIFS(Fixtures[userTeam], Teams[[#This Row],[name]], Fixtures[result], "D", Fixtures[APP], TRUE), "")</f>
        <v/>
      </c>
      <c r="K323" s="1" t="str">
        <f>IF(Teams[[#This Row],[relevant]], COUNTIFS(Fixtures[userTeam], Teams[[#This Row],[name]], Fixtures[result], "L", Fixtures[APP], TRUE), "")</f>
        <v/>
      </c>
      <c r="L323" s="1" t="str">
        <f>IF(Teams[[#This Row],[relevant]], SUMIFS(Fixtures[G], Fixtures[userTeam], Teams[[#This Row],[name]]), "")</f>
        <v/>
      </c>
      <c r="M323" s="1" t="str">
        <f>IF(Teams[[#This Row],[relevant]], SUMIFS(Fixtures[A], Fixtures[userTeam], Teams[[#This Row],[name]]), "")</f>
        <v/>
      </c>
      <c r="N323" s="1" t="str">
        <f>IF(Teams[[#This Row],[relevant]], SUMIFS(Fixtures[INV], Fixtures[userTeam], Teams[[#This Row],[name]]), "")</f>
        <v/>
      </c>
      <c r="O323" s="1" t="str">
        <f>IF(Teams[[#This Row],[relevant]], SUMIFS(Fixtures[YC], Fixtures[userTeam], Teams[[#This Row],[name]]), "")</f>
        <v/>
      </c>
      <c r="P323" s="1" t="str">
        <f>IF(Teams[[#This Row],[relevant]], SUMIFS(Fixtures[RC], Fixtures[userTeam], Teams[[#This Row],[name]]), "")</f>
        <v/>
      </c>
      <c r="Q323" s="13" t="str">
        <f>IF(Teams[[#This Row],[relevant]], IF(ISERROR(AVERAGEIFS(Fixtures[MR], Fixtures[userTeam], Teams[[#This Row],[name]])), 0, AVERAGEIFS(Fixtures[MR], Fixtures[userTeam], Teams[[#This Row],[name]])), "")</f>
        <v/>
      </c>
      <c r="R323" s="1" t="str">
        <f>IF(Teams[[#This Row],[relevant]], COUNTIFS(Fixtures[userTeam], Teams[[#This Row],[name]], Fixtures[MOTM], TRUE), "")</f>
        <v/>
      </c>
      <c r="S323" s="1" t="str" cm="1">
        <f t="array" ref="S323">IF(Teams[[#This Row],[relevant]], _xlfn.TEXTJOIN(", ", TRUE, _xlfn._xlws.FILTER(Stats[competition]&amp;" ("&amp;Stats[season]&amp;")",(Stats[team]=Teams[[#This Row],[name]])*(Stats[result]="Winner"),"")), "")</f>
        <v/>
      </c>
    </row>
    <row r="324" spans="1:19" ht="13" hidden="1">
      <c r="A324" s="1" t="s">
        <v>279</v>
      </c>
      <c r="B324" s="1" t="s">
        <v>337</v>
      </c>
      <c r="C324" s="1" t="s">
        <v>391</v>
      </c>
      <c r="D324" s="1" t="str">
        <f>UPPER(_xlfn.CONCAT(LEFT(Teams[[#This Row],[teamType]], 1), "-", LEFT(SUBSTITUTE(Teams[[#This Row],[nation]], "/", ""), 3), "-", SUBSTITUTE(SUBSTITUTE(SUBSTITUTE(Teams[[#This Row],[name]], ".", ""), " ", ""), "-", "")))</f>
        <v>C-GER-HERTHABERLIN</v>
      </c>
      <c r="E324" s="16"/>
      <c r="F324" s="16"/>
      <c r="G324" s="1" t="b">
        <f>COUNTBLANK(Teams[[#This Row],[startDate]:[endDate]]) &lt; 2</f>
        <v>0</v>
      </c>
      <c r="H324" s="1" t="str">
        <f>IF(Teams[[#This Row],[relevant]], COUNTIFS(Fixtures[userTeam], Teams[[#This Row],[name]], Fixtures[APP], TRUE), "")</f>
        <v/>
      </c>
      <c r="I324" s="1" t="str">
        <f>IF(Teams[[#This Row],[relevant]], COUNTIFS(Fixtures[userTeam], Teams[[#This Row],[name]], Fixtures[result], "W", Fixtures[APP], TRUE), "")</f>
        <v/>
      </c>
      <c r="J324" s="1" t="str">
        <f>IF(Teams[[#This Row],[relevant]], COUNTIFS(Fixtures[userTeam], Teams[[#This Row],[name]], Fixtures[result], "D", Fixtures[APP], TRUE), "")</f>
        <v/>
      </c>
      <c r="K324" s="1" t="str">
        <f>IF(Teams[[#This Row],[relevant]], COUNTIFS(Fixtures[userTeam], Teams[[#This Row],[name]], Fixtures[result], "L", Fixtures[APP], TRUE), "")</f>
        <v/>
      </c>
      <c r="L324" s="1" t="str">
        <f>IF(Teams[[#This Row],[relevant]], SUMIFS(Fixtures[G], Fixtures[userTeam], Teams[[#This Row],[name]]), "")</f>
        <v/>
      </c>
      <c r="M324" s="1" t="str">
        <f>IF(Teams[[#This Row],[relevant]], SUMIFS(Fixtures[A], Fixtures[userTeam], Teams[[#This Row],[name]]), "")</f>
        <v/>
      </c>
      <c r="N324" s="1" t="str">
        <f>IF(Teams[[#This Row],[relevant]], SUMIFS(Fixtures[INV], Fixtures[userTeam], Teams[[#This Row],[name]]), "")</f>
        <v/>
      </c>
      <c r="O324" s="1" t="str">
        <f>IF(Teams[[#This Row],[relevant]], SUMIFS(Fixtures[YC], Fixtures[userTeam], Teams[[#This Row],[name]]), "")</f>
        <v/>
      </c>
      <c r="P324" s="1" t="str">
        <f>IF(Teams[[#This Row],[relevant]], SUMIFS(Fixtures[RC], Fixtures[userTeam], Teams[[#This Row],[name]]), "")</f>
        <v/>
      </c>
      <c r="Q324" s="13" t="str">
        <f>IF(Teams[[#This Row],[relevant]], IF(ISERROR(AVERAGEIFS(Fixtures[MR], Fixtures[userTeam], Teams[[#This Row],[name]])), 0, AVERAGEIFS(Fixtures[MR], Fixtures[userTeam], Teams[[#This Row],[name]])), "")</f>
        <v/>
      </c>
      <c r="R324" s="1" t="str">
        <f>IF(Teams[[#This Row],[relevant]], COUNTIFS(Fixtures[userTeam], Teams[[#This Row],[name]], Fixtures[MOTM], TRUE), "")</f>
        <v/>
      </c>
      <c r="S324" s="1" t="str" cm="1">
        <f t="array" ref="S324">IF(Teams[[#This Row],[relevant]], _xlfn.TEXTJOIN(", ", TRUE, _xlfn._xlws.FILTER(Stats[competition]&amp;" ("&amp;Stats[season]&amp;")",(Stats[team]=Teams[[#This Row],[name]])*(Stats[result]="Winner"),"")), "")</f>
        <v/>
      </c>
    </row>
    <row r="325" spans="1:19" ht="13" hidden="1">
      <c r="A325" s="1" t="s">
        <v>698</v>
      </c>
      <c r="B325" s="1" t="s">
        <v>401</v>
      </c>
      <c r="C325" s="1" t="s">
        <v>391</v>
      </c>
      <c r="D325" s="1" t="str">
        <f>UPPER(_xlfn.CONCAT(LEFT(Teams[[#This Row],[teamType]], 1), "-", LEFT(SUBSTITUTE(Teams[[#This Row],[nation]], "/", ""), 3), "-", SUBSTITUTE(SUBSTITUTE(SUBSTITUTE(Teams[[#This Row],[name]], ".", ""), " ", ""), "-", "")))</f>
        <v>C-SCO-HIBERNIAN</v>
      </c>
      <c r="E325" s="16"/>
      <c r="F325" s="16"/>
      <c r="G325" s="1" t="b">
        <f>COUNTBLANK(Teams[[#This Row],[startDate]:[endDate]]) &lt; 2</f>
        <v>0</v>
      </c>
      <c r="H325" s="1" t="str">
        <f>IF(Teams[[#This Row],[relevant]], COUNTIFS(Fixtures[userTeam], Teams[[#This Row],[name]], Fixtures[APP], TRUE), "")</f>
        <v/>
      </c>
      <c r="I325" s="1" t="str">
        <f>IF(Teams[[#This Row],[relevant]], COUNTIFS(Fixtures[userTeam], Teams[[#This Row],[name]], Fixtures[result], "W", Fixtures[APP], TRUE), "")</f>
        <v/>
      </c>
      <c r="J325" s="1" t="str">
        <f>IF(Teams[[#This Row],[relevant]], COUNTIFS(Fixtures[userTeam], Teams[[#This Row],[name]], Fixtures[result], "D", Fixtures[APP], TRUE), "")</f>
        <v/>
      </c>
      <c r="K325" s="1" t="str">
        <f>IF(Teams[[#This Row],[relevant]], COUNTIFS(Fixtures[userTeam], Teams[[#This Row],[name]], Fixtures[result], "L", Fixtures[APP], TRUE), "")</f>
        <v/>
      </c>
      <c r="L325" s="1" t="str">
        <f>IF(Teams[[#This Row],[relevant]], SUMIFS(Fixtures[G], Fixtures[userTeam], Teams[[#This Row],[name]]), "")</f>
        <v/>
      </c>
      <c r="M325" s="1" t="str">
        <f>IF(Teams[[#This Row],[relevant]], SUMIFS(Fixtures[A], Fixtures[userTeam], Teams[[#This Row],[name]]), "")</f>
        <v/>
      </c>
      <c r="N325" s="1" t="str">
        <f>IF(Teams[[#This Row],[relevant]], SUMIFS(Fixtures[INV], Fixtures[userTeam], Teams[[#This Row],[name]]), "")</f>
        <v/>
      </c>
      <c r="O325" s="1" t="str">
        <f>IF(Teams[[#This Row],[relevant]], SUMIFS(Fixtures[YC], Fixtures[userTeam], Teams[[#This Row],[name]]), "")</f>
        <v/>
      </c>
      <c r="P325" s="1" t="str">
        <f>IF(Teams[[#This Row],[relevant]], SUMIFS(Fixtures[RC], Fixtures[userTeam], Teams[[#This Row],[name]]), "")</f>
        <v/>
      </c>
      <c r="Q325" s="13" t="str">
        <f>IF(Teams[[#This Row],[relevant]], IF(ISERROR(AVERAGEIFS(Fixtures[MR], Fixtures[userTeam], Teams[[#This Row],[name]])), 0, AVERAGEIFS(Fixtures[MR], Fixtures[userTeam], Teams[[#This Row],[name]])), "")</f>
        <v/>
      </c>
      <c r="R325" s="1" t="str">
        <f>IF(Teams[[#This Row],[relevant]], COUNTIFS(Fixtures[userTeam], Teams[[#This Row],[name]], Fixtures[MOTM], TRUE), "")</f>
        <v/>
      </c>
      <c r="S325" s="1" t="str" cm="1">
        <f t="array" ref="S325">IF(Teams[[#This Row],[relevant]], _xlfn.TEXTJOIN(", ", TRUE, _xlfn._xlws.FILTER(Stats[competition]&amp;" ("&amp;Stats[season]&amp;")",(Stats[team]=Teams[[#This Row],[name]])*(Stats[result]="Winner"),"")), "")</f>
        <v/>
      </c>
    </row>
    <row r="326" spans="1:19" ht="13" hidden="1">
      <c r="A326" s="1" t="s">
        <v>699</v>
      </c>
      <c r="B326" s="1" t="s">
        <v>142</v>
      </c>
      <c r="C326" s="1" t="s">
        <v>391</v>
      </c>
      <c r="D326" s="1" t="str">
        <f>UPPER(_xlfn.CONCAT(LEFT(Teams[[#This Row],[teamType]], 1), "-", LEFT(SUBSTITUTE(Teams[[#This Row],[nation]], "/", ""), 3), "-", SUBSTITUTE(SUBSTITUTE(SUBSTITUTE(Teams[[#This Row],[name]], ".", ""), " ", ""), "-", "")))</f>
        <v>C-FIN-HJKHELSINKI</v>
      </c>
      <c r="E326" s="16"/>
      <c r="F326" s="16"/>
      <c r="G326" s="1" t="b">
        <f>COUNTBLANK(Teams[[#This Row],[startDate]:[endDate]]) &lt; 2</f>
        <v>0</v>
      </c>
      <c r="H326" s="1" t="str">
        <f>IF(Teams[[#This Row],[relevant]], COUNTIFS(Fixtures[userTeam], Teams[[#This Row],[name]], Fixtures[APP], TRUE), "")</f>
        <v/>
      </c>
      <c r="I326" s="1" t="str">
        <f>IF(Teams[[#This Row],[relevant]], COUNTIFS(Fixtures[userTeam], Teams[[#This Row],[name]], Fixtures[result], "W", Fixtures[APP], TRUE), "")</f>
        <v/>
      </c>
      <c r="J326" s="1" t="str">
        <f>IF(Teams[[#This Row],[relevant]], COUNTIFS(Fixtures[userTeam], Teams[[#This Row],[name]], Fixtures[result], "D", Fixtures[APP], TRUE), "")</f>
        <v/>
      </c>
      <c r="K326" s="1" t="str">
        <f>IF(Teams[[#This Row],[relevant]], COUNTIFS(Fixtures[userTeam], Teams[[#This Row],[name]], Fixtures[result], "L", Fixtures[APP], TRUE), "")</f>
        <v/>
      </c>
      <c r="L326" s="1" t="str">
        <f>IF(Teams[[#This Row],[relevant]], SUMIFS(Fixtures[G], Fixtures[userTeam], Teams[[#This Row],[name]]), "")</f>
        <v/>
      </c>
      <c r="M326" s="1" t="str">
        <f>IF(Teams[[#This Row],[relevant]], SUMIFS(Fixtures[A], Fixtures[userTeam], Teams[[#This Row],[name]]), "")</f>
        <v/>
      </c>
      <c r="N326" s="1" t="str">
        <f>IF(Teams[[#This Row],[relevant]], SUMIFS(Fixtures[INV], Fixtures[userTeam], Teams[[#This Row],[name]]), "")</f>
        <v/>
      </c>
      <c r="O326" s="1" t="str">
        <f>IF(Teams[[#This Row],[relevant]], SUMIFS(Fixtures[YC], Fixtures[userTeam], Teams[[#This Row],[name]]), "")</f>
        <v/>
      </c>
      <c r="P326" s="1" t="str">
        <f>IF(Teams[[#This Row],[relevant]], SUMIFS(Fixtures[RC], Fixtures[userTeam], Teams[[#This Row],[name]]), "")</f>
        <v/>
      </c>
      <c r="Q326" s="13" t="str">
        <f>IF(Teams[[#This Row],[relevant]], IF(ISERROR(AVERAGEIFS(Fixtures[MR], Fixtures[userTeam], Teams[[#This Row],[name]])), 0, AVERAGEIFS(Fixtures[MR], Fixtures[userTeam], Teams[[#This Row],[name]])), "")</f>
        <v/>
      </c>
      <c r="R326" s="1" t="str">
        <f>IF(Teams[[#This Row],[relevant]], COUNTIFS(Fixtures[userTeam], Teams[[#This Row],[name]], Fixtures[MOTM], TRUE), "")</f>
        <v/>
      </c>
      <c r="S326" s="1" t="str" cm="1">
        <f t="array" ref="S326">IF(Teams[[#This Row],[relevant]], _xlfn.TEXTJOIN(", ", TRUE, _xlfn._xlws.FILTER(Stats[competition]&amp;" ("&amp;Stats[season]&amp;")",(Stats[team]=Teams[[#This Row],[name]])*(Stats[result]="Winner"),"")), "")</f>
        <v/>
      </c>
    </row>
    <row r="327" spans="1:19" ht="13" hidden="1">
      <c r="A327" s="1" t="s">
        <v>700</v>
      </c>
      <c r="B327" s="1" t="s">
        <v>522</v>
      </c>
      <c r="C327" s="1" t="s">
        <v>391</v>
      </c>
      <c r="D327" s="1" t="str">
        <f>UPPER(_xlfn.CONCAT(LEFT(Teams[[#This Row],[teamType]], 1), "-", LEFT(SUBSTITUTE(Teams[[#This Row],[nation]], "/", ""), 3), "-", SUBSTITUTE(SUBSTITUTE(SUBSTITUTE(Teams[[#This Row],[name]], ".", ""), " ", ""), "-", "")))</f>
        <v>C-VEN-HNOSCOLMENÁREZ</v>
      </c>
      <c r="E327" s="16"/>
      <c r="F327" s="16"/>
      <c r="G327" s="1" t="b">
        <f>COUNTBLANK(Teams[[#This Row],[startDate]:[endDate]]) &lt; 2</f>
        <v>0</v>
      </c>
      <c r="H327" s="1" t="str">
        <f>IF(Teams[[#This Row],[relevant]], COUNTIFS(Fixtures[userTeam], Teams[[#This Row],[name]], Fixtures[APP], TRUE), "")</f>
        <v/>
      </c>
      <c r="I327" s="1" t="str">
        <f>IF(Teams[[#This Row],[relevant]], COUNTIFS(Fixtures[userTeam], Teams[[#This Row],[name]], Fixtures[result], "W", Fixtures[APP], TRUE), "")</f>
        <v/>
      </c>
      <c r="J327" s="1" t="str">
        <f>IF(Teams[[#This Row],[relevant]], COUNTIFS(Fixtures[userTeam], Teams[[#This Row],[name]], Fixtures[result], "D", Fixtures[APP], TRUE), "")</f>
        <v/>
      </c>
      <c r="K327" s="1" t="str">
        <f>IF(Teams[[#This Row],[relevant]], COUNTIFS(Fixtures[userTeam], Teams[[#This Row],[name]], Fixtures[result], "L", Fixtures[APP], TRUE), "")</f>
        <v/>
      </c>
      <c r="L327" s="1" t="str">
        <f>IF(Teams[[#This Row],[relevant]], SUMIFS(Fixtures[G], Fixtures[userTeam], Teams[[#This Row],[name]]), "")</f>
        <v/>
      </c>
      <c r="M327" s="1" t="str">
        <f>IF(Teams[[#This Row],[relevant]], SUMIFS(Fixtures[A], Fixtures[userTeam], Teams[[#This Row],[name]]), "")</f>
        <v/>
      </c>
      <c r="N327" s="1" t="str">
        <f>IF(Teams[[#This Row],[relevant]], SUMIFS(Fixtures[INV], Fixtures[userTeam], Teams[[#This Row],[name]]), "")</f>
        <v/>
      </c>
      <c r="O327" s="1" t="str">
        <f>IF(Teams[[#This Row],[relevant]], SUMIFS(Fixtures[YC], Fixtures[userTeam], Teams[[#This Row],[name]]), "")</f>
        <v/>
      </c>
      <c r="P327" s="1" t="str">
        <f>IF(Teams[[#This Row],[relevant]], SUMIFS(Fixtures[RC], Fixtures[userTeam], Teams[[#This Row],[name]]), "")</f>
        <v/>
      </c>
      <c r="Q327" s="13" t="str">
        <f>IF(Teams[[#This Row],[relevant]], IF(ISERROR(AVERAGEIFS(Fixtures[MR], Fixtures[userTeam], Teams[[#This Row],[name]])), 0, AVERAGEIFS(Fixtures[MR], Fixtures[userTeam], Teams[[#This Row],[name]])), "")</f>
        <v/>
      </c>
      <c r="R327" s="1" t="str">
        <f>IF(Teams[[#This Row],[relevant]], COUNTIFS(Fixtures[userTeam], Teams[[#This Row],[name]], Fixtures[MOTM], TRUE), "")</f>
        <v/>
      </c>
      <c r="S327" s="1" t="str" cm="1">
        <f t="array" ref="S327">IF(Teams[[#This Row],[relevant]], _xlfn.TEXTJOIN(", ", TRUE, _xlfn._xlws.FILTER(Stats[competition]&amp;" ("&amp;Stats[season]&amp;")",(Stats[team]=Teams[[#This Row],[name]])*(Stats[result]="Winner"),"")), "")</f>
        <v/>
      </c>
    </row>
    <row r="328" spans="1:19" ht="13" hidden="1">
      <c r="A328" s="1" t="s">
        <v>278</v>
      </c>
      <c r="B328" s="1" t="s">
        <v>337</v>
      </c>
      <c r="C328" s="1" t="s">
        <v>391</v>
      </c>
      <c r="D328" s="1" t="str">
        <f>UPPER(_xlfn.CONCAT(LEFT(Teams[[#This Row],[teamType]], 1), "-", LEFT(SUBSTITUTE(Teams[[#This Row],[nation]], "/", ""), 3), "-", SUBSTITUTE(SUBSTITUTE(SUBSTITUTE(Teams[[#This Row],[name]], ".", ""), " ", ""), "-", "")))</f>
        <v>C-GER-HOLSTEINKIEL</v>
      </c>
      <c r="E328" s="16"/>
      <c r="F328" s="16"/>
      <c r="G328" s="1" t="b">
        <f>COUNTBLANK(Teams[[#This Row],[startDate]:[endDate]]) &lt; 2</f>
        <v>0</v>
      </c>
      <c r="H328" s="1" t="str">
        <f>IF(Teams[[#This Row],[relevant]], COUNTIFS(Fixtures[userTeam], Teams[[#This Row],[name]], Fixtures[APP], TRUE), "")</f>
        <v/>
      </c>
      <c r="I328" s="1" t="str">
        <f>IF(Teams[[#This Row],[relevant]], COUNTIFS(Fixtures[userTeam], Teams[[#This Row],[name]], Fixtures[result], "W", Fixtures[APP], TRUE), "")</f>
        <v/>
      </c>
      <c r="J328" s="1" t="str">
        <f>IF(Teams[[#This Row],[relevant]], COUNTIFS(Fixtures[userTeam], Teams[[#This Row],[name]], Fixtures[result], "D", Fixtures[APP], TRUE), "")</f>
        <v/>
      </c>
      <c r="K328" s="1" t="str">
        <f>IF(Teams[[#This Row],[relevant]], COUNTIFS(Fixtures[userTeam], Teams[[#This Row],[name]], Fixtures[result], "L", Fixtures[APP], TRUE), "")</f>
        <v/>
      </c>
      <c r="L328" s="1" t="str">
        <f>IF(Teams[[#This Row],[relevant]], SUMIFS(Fixtures[G], Fixtures[userTeam], Teams[[#This Row],[name]]), "")</f>
        <v/>
      </c>
      <c r="M328" s="1" t="str">
        <f>IF(Teams[[#This Row],[relevant]], SUMIFS(Fixtures[A], Fixtures[userTeam], Teams[[#This Row],[name]]), "")</f>
        <v/>
      </c>
      <c r="N328" s="1" t="str">
        <f>IF(Teams[[#This Row],[relevant]], SUMIFS(Fixtures[INV], Fixtures[userTeam], Teams[[#This Row],[name]]), "")</f>
        <v/>
      </c>
      <c r="O328" s="1" t="str">
        <f>IF(Teams[[#This Row],[relevant]], SUMIFS(Fixtures[YC], Fixtures[userTeam], Teams[[#This Row],[name]]), "")</f>
        <v/>
      </c>
      <c r="P328" s="1" t="str">
        <f>IF(Teams[[#This Row],[relevant]], SUMIFS(Fixtures[RC], Fixtures[userTeam], Teams[[#This Row],[name]]), "")</f>
        <v/>
      </c>
      <c r="Q328" s="13" t="str">
        <f>IF(Teams[[#This Row],[relevant]], IF(ISERROR(AVERAGEIFS(Fixtures[MR], Fixtures[userTeam], Teams[[#This Row],[name]])), 0, AVERAGEIFS(Fixtures[MR], Fixtures[userTeam], Teams[[#This Row],[name]])), "")</f>
        <v/>
      </c>
      <c r="R328" s="1" t="str">
        <f>IF(Teams[[#This Row],[relevant]], COUNTIFS(Fixtures[userTeam], Teams[[#This Row],[name]], Fixtures[MOTM], TRUE), "")</f>
        <v/>
      </c>
      <c r="S328" s="1" t="str" cm="1">
        <f t="array" ref="S328">IF(Teams[[#This Row],[relevant]], _xlfn.TEXTJOIN(", ", TRUE, _xlfn._xlws.FILTER(Stats[competition]&amp;" ("&amp;Stats[season]&amp;")",(Stats[team]=Teams[[#This Row],[name]])*(Stats[result]="Winner"),"")), "")</f>
        <v/>
      </c>
    </row>
    <row r="329" spans="1:19" ht="13" hidden="1">
      <c r="A329" s="1" t="s">
        <v>701</v>
      </c>
      <c r="B329" s="1" t="s">
        <v>16</v>
      </c>
      <c r="C329" s="1" t="s">
        <v>391</v>
      </c>
      <c r="D329" s="1" t="str">
        <f>UPPER(_xlfn.CONCAT(LEFT(Teams[[#This Row],[teamType]], 1), "-", LEFT(SUBSTITUTE(Teams[[#This Row],[nation]], "/", ""), 3), "-", SUBSTITUTE(SUBSTITUTE(SUBSTITUTE(Teams[[#This Row],[name]], ".", ""), " ", ""), "-", "")))</f>
        <v>C-UNI-HOUSTONDYNAMO</v>
      </c>
      <c r="E329" s="16"/>
      <c r="F329" s="16"/>
      <c r="G329" s="16" t="b">
        <f>COUNTBLANK(Teams[[#This Row],[startDate]:[endDate]]) &lt; 2</f>
        <v>0</v>
      </c>
      <c r="H329" s="1" t="str">
        <f>IF(Teams[[#This Row],[relevant]], COUNTIFS(Fixtures[userTeam], Teams[[#This Row],[name]], Fixtures[APP], TRUE), "")</f>
        <v/>
      </c>
      <c r="I329" s="1" t="str">
        <f>IF(Teams[[#This Row],[relevant]], COUNTIFS(Fixtures[userTeam], Teams[[#This Row],[name]], Fixtures[result], "W", Fixtures[APP], TRUE), "")</f>
        <v/>
      </c>
      <c r="J329" s="1" t="str">
        <f>IF(Teams[[#This Row],[relevant]], COUNTIFS(Fixtures[userTeam], Teams[[#This Row],[name]], Fixtures[result], "D", Fixtures[APP], TRUE), "")</f>
        <v/>
      </c>
      <c r="K329" s="1" t="str">
        <f>IF(Teams[[#This Row],[relevant]], COUNTIFS(Fixtures[userTeam], Teams[[#This Row],[name]], Fixtures[result], "L", Fixtures[APP], TRUE), "")</f>
        <v/>
      </c>
      <c r="L329" s="1" t="str">
        <f>IF(Teams[[#This Row],[relevant]], SUMIFS(Fixtures[G], Fixtures[userTeam], Teams[[#This Row],[name]]), "")</f>
        <v/>
      </c>
      <c r="M329" s="1" t="str">
        <f>IF(Teams[[#This Row],[relevant]], SUMIFS(Fixtures[A], Fixtures[userTeam], Teams[[#This Row],[name]]), "")</f>
        <v/>
      </c>
      <c r="N329" s="1" t="str">
        <f>IF(Teams[[#This Row],[relevant]], SUMIFS(Fixtures[INV], Fixtures[userTeam], Teams[[#This Row],[name]]), "")</f>
        <v/>
      </c>
      <c r="O329" s="1" t="str">
        <f>IF(Teams[[#This Row],[relevant]], SUMIFS(Fixtures[YC], Fixtures[userTeam], Teams[[#This Row],[name]]), "")</f>
        <v/>
      </c>
      <c r="P329" s="1" t="str">
        <f>IF(Teams[[#This Row],[relevant]], SUMIFS(Fixtures[RC], Fixtures[userTeam], Teams[[#This Row],[name]]), "")</f>
        <v/>
      </c>
      <c r="Q329" s="13" t="str">
        <f>IF(Teams[[#This Row],[relevant]], IF(ISERROR(AVERAGEIFS(Fixtures[MR], Fixtures[userTeam], Teams[[#This Row],[name]])), 0, AVERAGEIFS(Fixtures[MR], Fixtures[userTeam], Teams[[#This Row],[name]])), "")</f>
        <v/>
      </c>
      <c r="R329" s="1" t="str">
        <f>IF(Teams[[#This Row],[relevant]], COUNTIFS(Fixtures[userTeam], Teams[[#This Row],[name]], Fixtures[MOTM], TRUE), "")</f>
        <v/>
      </c>
      <c r="S329" s="1" t="str" cm="1">
        <f t="array" ref="S329">IF(Teams[[#This Row],[relevant]], _xlfn.TEXTJOIN(", ", TRUE, _xlfn._xlws.FILTER(Stats[competition]&amp;" ("&amp;Stats[season]&amp;")",(Stats[team]=Teams[[#This Row],[name]])*(Stats[result]="Winner"),"")), "")</f>
        <v/>
      </c>
    </row>
    <row r="330" spans="1:19" ht="13" hidden="1">
      <c r="A330" s="1" t="s">
        <v>232</v>
      </c>
      <c r="B330" s="1" t="s">
        <v>152</v>
      </c>
      <c r="C330" s="1" t="s">
        <v>391</v>
      </c>
      <c r="D330" s="1" t="str">
        <f>UPPER(_xlfn.CONCAT(LEFT(Teams[[#This Row],[teamType]], 1), "-", LEFT(SUBSTITUTE(Teams[[#This Row],[nation]], "/", ""), 3), "-", SUBSTITUTE(SUBSTITUTE(SUBSTITUTE(Teams[[#This Row],[name]], ".", ""), " ", ""), "-", "")))</f>
        <v>C-ENG-HUDDERSFIELD</v>
      </c>
      <c r="E330" s="16"/>
      <c r="F330" s="16"/>
      <c r="G330" s="1" t="b">
        <f>COUNTBLANK(Teams[[#This Row],[startDate]:[endDate]]) &lt; 2</f>
        <v>0</v>
      </c>
      <c r="H330" s="1" t="str">
        <f>IF(Teams[[#This Row],[relevant]], COUNTIFS(Fixtures[userTeam], Teams[[#This Row],[name]], Fixtures[APP], TRUE), "")</f>
        <v/>
      </c>
      <c r="I330" s="1" t="str">
        <f>IF(Teams[[#This Row],[relevant]], COUNTIFS(Fixtures[userTeam], Teams[[#This Row],[name]], Fixtures[result], "W", Fixtures[APP], TRUE), "")</f>
        <v/>
      </c>
      <c r="J330" s="1" t="str">
        <f>IF(Teams[[#This Row],[relevant]], COUNTIFS(Fixtures[userTeam], Teams[[#This Row],[name]], Fixtures[result], "D", Fixtures[APP], TRUE), "")</f>
        <v/>
      </c>
      <c r="K330" s="1" t="str">
        <f>IF(Teams[[#This Row],[relevant]], COUNTIFS(Fixtures[userTeam], Teams[[#This Row],[name]], Fixtures[result], "L", Fixtures[APP], TRUE), "")</f>
        <v/>
      </c>
      <c r="L330" s="1" t="str">
        <f>IF(Teams[[#This Row],[relevant]], SUMIFS(Fixtures[G], Fixtures[userTeam], Teams[[#This Row],[name]]), "")</f>
        <v/>
      </c>
      <c r="M330" s="1" t="str">
        <f>IF(Teams[[#This Row],[relevant]], SUMIFS(Fixtures[A], Fixtures[userTeam], Teams[[#This Row],[name]]), "")</f>
        <v/>
      </c>
      <c r="N330" s="1" t="str">
        <f>IF(Teams[[#This Row],[relevant]], SUMIFS(Fixtures[INV], Fixtures[userTeam], Teams[[#This Row],[name]]), "")</f>
        <v/>
      </c>
      <c r="O330" s="1" t="str">
        <f>IF(Teams[[#This Row],[relevant]], SUMIFS(Fixtures[YC], Fixtures[userTeam], Teams[[#This Row],[name]]), "")</f>
        <v/>
      </c>
      <c r="P330" s="1" t="str">
        <f>IF(Teams[[#This Row],[relevant]], SUMIFS(Fixtures[RC], Fixtures[userTeam], Teams[[#This Row],[name]]), "")</f>
        <v/>
      </c>
      <c r="Q330" s="13" t="str">
        <f>IF(Teams[[#This Row],[relevant]], IF(ISERROR(AVERAGEIFS(Fixtures[MR], Fixtures[userTeam], Teams[[#This Row],[name]])), 0, AVERAGEIFS(Fixtures[MR], Fixtures[userTeam], Teams[[#This Row],[name]])), "")</f>
        <v/>
      </c>
      <c r="R330" s="1" t="str">
        <f>IF(Teams[[#This Row],[relevant]], COUNTIFS(Fixtures[userTeam], Teams[[#This Row],[name]], Fixtures[MOTM], TRUE), "")</f>
        <v/>
      </c>
      <c r="S330" s="1" t="str" cm="1">
        <f t="array" ref="S330">IF(Teams[[#This Row],[relevant]], _xlfn.TEXTJOIN(", ", TRUE, _xlfn._xlws.FILTER(Stats[competition]&amp;" ("&amp;Stats[season]&amp;")",(Stats[team]=Teams[[#This Row],[name]])*(Stats[result]="Winner"),"")), "")</f>
        <v/>
      </c>
    </row>
    <row r="331" spans="1:19" ht="13" hidden="1">
      <c r="A331" s="1" t="s">
        <v>197</v>
      </c>
      <c r="B331" s="1" t="s">
        <v>152</v>
      </c>
      <c r="C331" s="1" t="s">
        <v>391</v>
      </c>
      <c r="D331" s="1" t="str">
        <f>UPPER(_xlfn.CONCAT(LEFT(Teams[[#This Row],[teamType]], 1), "-", LEFT(SUBSTITUTE(Teams[[#This Row],[nation]], "/", ""), 3), "-", SUBSTITUTE(SUBSTITUTE(SUBSTITUTE(Teams[[#This Row],[name]], ".", ""), " ", ""), "-", "")))</f>
        <v>C-ENG-HULLCITY</v>
      </c>
      <c r="E331" s="16"/>
      <c r="F331" s="16"/>
      <c r="G331" s="1" t="b">
        <f>COUNTBLANK(Teams[[#This Row],[startDate]:[endDate]]) &lt; 2</f>
        <v>0</v>
      </c>
      <c r="H331" s="1" t="str">
        <f>IF(Teams[[#This Row],[relevant]], COUNTIFS(Fixtures[userTeam], Teams[[#This Row],[name]], Fixtures[APP], TRUE), "")</f>
        <v/>
      </c>
      <c r="I331" s="1" t="str">
        <f>IF(Teams[[#This Row],[relevant]], COUNTIFS(Fixtures[userTeam], Teams[[#This Row],[name]], Fixtures[result], "W", Fixtures[APP], TRUE), "")</f>
        <v/>
      </c>
      <c r="J331" s="1" t="str">
        <f>IF(Teams[[#This Row],[relevant]], COUNTIFS(Fixtures[userTeam], Teams[[#This Row],[name]], Fixtures[result], "D", Fixtures[APP], TRUE), "")</f>
        <v/>
      </c>
      <c r="K331" s="1" t="str">
        <f>IF(Teams[[#This Row],[relevant]], COUNTIFS(Fixtures[userTeam], Teams[[#This Row],[name]], Fixtures[result], "L", Fixtures[APP], TRUE), "")</f>
        <v/>
      </c>
      <c r="L331" s="1" t="str">
        <f>IF(Teams[[#This Row],[relevant]], SUMIFS(Fixtures[G], Fixtures[userTeam], Teams[[#This Row],[name]]), "")</f>
        <v/>
      </c>
      <c r="M331" s="1" t="str">
        <f>IF(Teams[[#This Row],[relevant]], SUMIFS(Fixtures[A], Fixtures[userTeam], Teams[[#This Row],[name]]), "")</f>
        <v/>
      </c>
      <c r="N331" s="1" t="str">
        <f>IF(Teams[[#This Row],[relevant]], SUMIFS(Fixtures[INV], Fixtures[userTeam], Teams[[#This Row],[name]]), "")</f>
        <v/>
      </c>
      <c r="O331" s="1" t="str">
        <f>IF(Teams[[#This Row],[relevant]], SUMIFS(Fixtures[YC], Fixtures[userTeam], Teams[[#This Row],[name]]), "")</f>
        <v/>
      </c>
      <c r="P331" s="1" t="str">
        <f>IF(Teams[[#This Row],[relevant]], SUMIFS(Fixtures[RC], Fixtures[userTeam], Teams[[#This Row],[name]]), "")</f>
        <v/>
      </c>
      <c r="Q331" s="13" t="str">
        <f>IF(Teams[[#This Row],[relevant]], IF(ISERROR(AVERAGEIFS(Fixtures[MR], Fixtures[userTeam], Teams[[#This Row],[name]])), 0, AVERAGEIFS(Fixtures[MR], Fixtures[userTeam], Teams[[#This Row],[name]])), "")</f>
        <v/>
      </c>
      <c r="R331" s="1" t="str">
        <f>IF(Teams[[#This Row],[relevant]], COUNTIFS(Fixtures[userTeam], Teams[[#This Row],[name]], Fixtures[MOTM], TRUE), "")</f>
        <v/>
      </c>
      <c r="S331" s="1" t="str" cm="1">
        <f t="array" ref="S331">IF(Teams[[#This Row],[relevant]], _xlfn.TEXTJOIN(", ", TRUE, _xlfn._xlws.FILTER(Stats[competition]&amp;" ("&amp;Stats[season]&amp;")",(Stats[team]=Teams[[#This Row],[name]])*(Stats[result]="Winner"),"")), "")</f>
        <v/>
      </c>
    </row>
    <row r="332" spans="1:19" ht="13" hidden="1">
      <c r="A332" s="1" t="s">
        <v>335</v>
      </c>
      <c r="B332" s="1" t="s">
        <v>335</v>
      </c>
      <c r="C332" s="1" t="s">
        <v>459</v>
      </c>
      <c r="D332" s="1" t="str">
        <f>UPPER(_xlfn.CONCAT(LEFT(Teams[[#This Row],[teamType]], 1), "-", LEFT(SUBSTITUTE(Teams[[#This Row],[nation]], "/", ""), 3), "-", SUBSTITUTE(SUBSTITUTE(SUBSTITUTE(Teams[[#This Row],[name]], ".", ""), " ", ""), "-", "")))</f>
        <v>N-HUN-HUNGARY</v>
      </c>
      <c r="E332" s="16"/>
      <c r="F332" s="16"/>
      <c r="G332" s="1" t="b">
        <f>COUNTBLANK(Teams[[#This Row],[startDate]:[endDate]]) &lt; 2</f>
        <v>0</v>
      </c>
      <c r="H332" s="1" t="str">
        <f>IF(Teams[[#This Row],[relevant]], COUNTIFS(Fixtures[userTeam], Teams[[#This Row],[name]], Fixtures[APP], TRUE), "")</f>
        <v/>
      </c>
      <c r="I332" s="1" t="str">
        <f>IF(Teams[[#This Row],[relevant]], COUNTIFS(Fixtures[userTeam], Teams[[#This Row],[name]], Fixtures[result], "W", Fixtures[APP], TRUE), "")</f>
        <v/>
      </c>
      <c r="J332" s="1" t="str">
        <f>IF(Teams[[#This Row],[relevant]], COUNTIFS(Fixtures[userTeam], Teams[[#This Row],[name]], Fixtures[result], "D", Fixtures[APP], TRUE), "")</f>
        <v/>
      </c>
      <c r="K332" s="1" t="str">
        <f>IF(Teams[[#This Row],[relevant]], COUNTIFS(Fixtures[userTeam], Teams[[#This Row],[name]], Fixtures[result], "L", Fixtures[APP], TRUE), "")</f>
        <v/>
      </c>
      <c r="L332" s="1" t="str">
        <f>IF(Teams[[#This Row],[relevant]], SUMIFS(Fixtures[G], Fixtures[userTeam], Teams[[#This Row],[name]]), "")</f>
        <v/>
      </c>
      <c r="M332" s="1" t="str">
        <f>IF(Teams[[#This Row],[relevant]], SUMIFS(Fixtures[A], Fixtures[userTeam], Teams[[#This Row],[name]]), "")</f>
        <v/>
      </c>
      <c r="N332" s="1" t="str">
        <f>IF(Teams[[#This Row],[relevant]], SUMIFS(Fixtures[INV], Fixtures[userTeam], Teams[[#This Row],[name]]), "")</f>
        <v/>
      </c>
      <c r="O332" s="1" t="str">
        <f>IF(Teams[[#This Row],[relevant]], SUMIFS(Fixtures[YC], Fixtures[userTeam], Teams[[#This Row],[name]]), "")</f>
        <v/>
      </c>
      <c r="P332" s="1" t="str">
        <f>IF(Teams[[#This Row],[relevant]], SUMIFS(Fixtures[RC], Fixtures[userTeam], Teams[[#This Row],[name]]), "")</f>
        <v/>
      </c>
      <c r="Q332" s="13" t="str">
        <f>IF(Teams[[#This Row],[relevant]], IF(ISERROR(AVERAGEIFS(Fixtures[MR], Fixtures[userTeam], Teams[[#This Row],[name]])), 0, AVERAGEIFS(Fixtures[MR], Fixtures[userTeam], Teams[[#This Row],[name]])), "")</f>
        <v/>
      </c>
      <c r="R332" s="1" t="str">
        <f>IF(Teams[[#This Row],[relevant]], COUNTIFS(Fixtures[userTeam], Teams[[#This Row],[name]], Fixtures[MOTM], TRUE), "")</f>
        <v/>
      </c>
      <c r="S332" s="1" t="str" cm="1">
        <f t="array" ref="S332">IF(Teams[[#This Row],[relevant]], _xlfn.TEXTJOIN(", ", TRUE, _xlfn._xlws.FILTER(Stats[competition]&amp;" ("&amp;Stats[season]&amp;")",(Stats[team]=Teams[[#This Row],[name]])*(Stats[result]="Winner"),"")), "")</f>
        <v/>
      </c>
    </row>
    <row r="333" spans="1:19" ht="13" hidden="1">
      <c r="A333" s="1" t="s">
        <v>702</v>
      </c>
      <c r="B333" s="1" t="s">
        <v>131</v>
      </c>
      <c r="C333" s="1" t="s">
        <v>391</v>
      </c>
      <c r="D333" s="1" t="str">
        <f>UPPER(_xlfn.CONCAT(LEFT(Teams[[#This Row],[teamType]], 1), "-", LEFT(SUBSTITUTE(Teams[[#This Row],[nation]], "/", ""), 3), "-", SUBSTITUTE(SUBSTITUTE(SUBSTITUTE(Teams[[#This Row],[name]], ".", ""), " ", ""), "-", "")))</f>
        <v>C-ARG-HURACÁN</v>
      </c>
      <c r="E333" s="16"/>
      <c r="F333" s="16"/>
      <c r="G333" s="1" t="b">
        <f>COUNTBLANK(Teams[[#This Row],[startDate]:[endDate]]) &lt; 2</f>
        <v>0</v>
      </c>
      <c r="H333" s="1" t="str">
        <f>IF(Teams[[#This Row],[relevant]], COUNTIFS(Fixtures[userTeam], Teams[[#This Row],[name]], Fixtures[APP], TRUE), "")</f>
        <v/>
      </c>
      <c r="I333" s="1" t="str">
        <f>IF(Teams[[#This Row],[relevant]], COUNTIFS(Fixtures[userTeam], Teams[[#This Row],[name]], Fixtures[result], "W", Fixtures[APP], TRUE), "")</f>
        <v/>
      </c>
      <c r="J333" s="1" t="str">
        <f>IF(Teams[[#This Row],[relevant]], COUNTIFS(Fixtures[userTeam], Teams[[#This Row],[name]], Fixtures[result], "D", Fixtures[APP], TRUE), "")</f>
        <v/>
      </c>
      <c r="K333" s="1" t="str">
        <f>IF(Teams[[#This Row],[relevant]], COUNTIFS(Fixtures[userTeam], Teams[[#This Row],[name]], Fixtures[result], "L", Fixtures[APP], TRUE), "")</f>
        <v/>
      </c>
      <c r="L333" s="1" t="str">
        <f>IF(Teams[[#This Row],[relevant]], SUMIFS(Fixtures[G], Fixtures[userTeam], Teams[[#This Row],[name]]), "")</f>
        <v/>
      </c>
      <c r="M333" s="1" t="str">
        <f>IF(Teams[[#This Row],[relevant]], SUMIFS(Fixtures[A], Fixtures[userTeam], Teams[[#This Row],[name]]), "")</f>
        <v/>
      </c>
      <c r="N333" s="1" t="str">
        <f>IF(Teams[[#This Row],[relevant]], SUMIFS(Fixtures[INV], Fixtures[userTeam], Teams[[#This Row],[name]]), "")</f>
        <v/>
      </c>
      <c r="O333" s="1" t="str">
        <f>IF(Teams[[#This Row],[relevant]], SUMIFS(Fixtures[YC], Fixtures[userTeam], Teams[[#This Row],[name]]), "")</f>
        <v/>
      </c>
      <c r="P333" s="1" t="str">
        <f>IF(Teams[[#This Row],[relevant]], SUMIFS(Fixtures[RC], Fixtures[userTeam], Teams[[#This Row],[name]]), "")</f>
        <v/>
      </c>
      <c r="Q333" s="13" t="str">
        <f>IF(Teams[[#This Row],[relevant]], IF(ISERROR(AVERAGEIFS(Fixtures[MR], Fixtures[userTeam], Teams[[#This Row],[name]])), 0, AVERAGEIFS(Fixtures[MR], Fixtures[userTeam], Teams[[#This Row],[name]])), "")</f>
        <v/>
      </c>
      <c r="R333" s="1" t="str">
        <f>IF(Teams[[#This Row],[relevant]], COUNTIFS(Fixtures[userTeam], Teams[[#This Row],[name]], Fixtures[MOTM], TRUE), "")</f>
        <v/>
      </c>
      <c r="S333" s="1" t="str" cm="1">
        <f t="array" ref="S333">IF(Teams[[#This Row],[relevant]], _xlfn.TEXTJOIN(", ", TRUE, _xlfn._xlws.FILTER(Stats[competition]&amp;" ("&amp;Stats[season]&amp;")",(Stats[team]=Teams[[#This Row],[name]])*(Stats[result]="Winner"),"")), "")</f>
        <v/>
      </c>
    </row>
    <row r="334" spans="1:19" ht="13" hidden="1">
      <c r="A334" s="1" t="s">
        <v>703</v>
      </c>
      <c r="B334" s="1" t="s">
        <v>473</v>
      </c>
      <c r="C334" s="1" t="s">
        <v>391</v>
      </c>
      <c r="D334" s="1" t="str">
        <f>UPPER(_xlfn.CONCAT(LEFT(Teams[[#This Row],[teamType]], 1), "-", LEFT(SUBSTITUTE(Teams[[#This Row],[nation]], "/", ""), 3), "-", SUBSTITUTE(SUBSTITUTE(SUBSTITUTE(Teams[[#This Row],[name]], ".", ""), " ", ""), "-", "")))</f>
        <v>C-IND-HYDERABADFC</v>
      </c>
      <c r="E334" s="16"/>
      <c r="F334" s="16"/>
      <c r="G334" s="1" t="b">
        <f>COUNTBLANK(Teams[[#This Row],[startDate]:[endDate]]) &lt; 2</f>
        <v>0</v>
      </c>
      <c r="H334" s="1" t="str">
        <f>IF(Teams[[#This Row],[relevant]], COUNTIFS(Fixtures[userTeam], Teams[[#This Row],[name]], Fixtures[APP], TRUE), "")</f>
        <v/>
      </c>
      <c r="I334" s="1" t="str">
        <f>IF(Teams[[#This Row],[relevant]], COUNTIFS(Fixtures[userTeam], Teams[[#This Row],[name]], Fixtures[result], "W", Fixtures[APP], TRUE), "")</f>
        <v/>
      </c>
      <c r="J334" s="1" t="str">
        <f>IF(Teams[[#This Row],[relevant]], COUNTIFS(Fixtures[userTeam], Teams[[#This Row],[name]], Fixtures[result], "D", Fixtures[APP], TRUE), "")</f>
        <v/>
      </c>
      <c r="K334" s="1" t="str">
        <f>IF(Teams[[#This Row],[relevant]], COUNTIFS(Fixtures[userTeam], Teams[[#This Row],[name]], Fixtures[result], "L", Fixtures[APP], TRUE), "")</f>
        <v/>
      </c>
      <c r="L334" s="1" t="str">
        <f>IF(Teams[[#This Row],[relevant]], SUMIFS(Fixtures[G], Fixtures[userTeam], Teams[[#This Row],[name]]), "")</f>
        <v/>
      </c>
      <c r="M334" s="1" t="str">
        <f>IF(Teams[[#This Row],[relevant]], SUMIFS(Fixtures[A], Fixtures[userTeam], Teams[[#This Row],[name]]), "")</f>
        <v/>
      </c>
      <c r="N334" s="1" t="str">
        <f>IF(Teams[[#This Row],[relevant]], SUMIFS(Fixtures[INV], Fixtures[userTeam], Teams[[#This Row],[name]]), "")</f>
        <v/>
      </c>
      <c r="O334" s="1" t="str">
        <f>IF(Teams[[#This Row],[relevant]], SUMIFS(Fixtures[YC], Fixtures[userTeam], Teams[[#This Row],[name]]), "")</f>
        <v/>
      </c>
      <c r="P334" s="1" t="str">
        <f>IF(Teams[[#This Row],[relevant]], SUMIFS(Fixtures[RC], Fixtures[userTeam], Teams[[#This Row],[name]]), "")</f>
        <v/>
      </c>
      <c r="Q334" s="13" t="str">
        <f>IF(Teams[[#This Row],[relevant]], IF(ISERROR(AVERAGEIFS(Fixtures[MR], Fixtures[userTeam], Teams[[#This Row],[name]])), 0, AVERAGEIFS(Fixtures[MR], Fixtures[userTeam], Teams[[#This Row],[name]])), "")</f>
        <v/>
      </c>
      <c r="R334" s="1" t="str">
        <f>IF(Teams[[#This Row],[relevant]], COUNTIFS(Fixtures[userTeam], Teams[[#This Row],[name]], Fixtures[MOTM], TRUE), "")</f>
        <v/>
      </c>
      <c r="S334" s="1" t="str" cm="1">
        <f t="array" ref="S334">IF(Teams[[#This Row],[relevant]], _xlfn.TEXTJOIN(", ", TRUE, _xlfn._xlws.FILTER(Stats[competition]&amp;" ("&amp;Stats[season]&amp;")",(Stats[team]=Teams[[#This Row],[name]])*(Stats[result]="Winner"),"")), "")</f>
        <v/>
      </c>
    </row>
    <row r="335" spans="1:19" ht="13" hidden="1">
      <c r="A335" s="1" t="s">
        <v>704</v>
      </c>
      <c r="B335" s="1" t="s">
        <v>704</v>
      </c>
      <c r="C335" s="1" t="s">
        <v>459</v>
      </c>
      <c r="D335" s="1" t="str">
        <f>UPPER(_xlfn.CONCAT(LEFT(Teams[[#This Row],[teamType]], 1), "-", LEFT(SUBSTITUTE(Teams[[#This Row],[nation]], "/", ""), 3), "-", SUBSTITUTE(SUBSTITUTE(SUBSTITUTE(Teams[[#This Row],[name]], ".", ""), " ", ""), "-", "")))</f>
        <v>N-ICE-ICELAND</v>
      </c>
      <c r="E335" s="16"/>
      <c r="F335" s="16"/>
      <c r="G335" s="1" t="b">
        <f>COUNTBLANK(Teams[[#This Row],[startDate]:[endDate]]) &lt; 2</f>
        <v>0</v>
      </c>
      <c r="H335" s="1" t="str">
        <f>IF(Teams[[#This Row],[relevant]], COUNTIFS(Fixtures[userTeam], Teams[[#This Row],[name]], Fixtures[APP], TRUE), "")</f>
        <v/>
      </c>
      <c r="I335" s="1" t="str">
        <f>IF(Teams[[#This Row],[relevant]], COUNTIFS(Fixtures[userTeam], Teams[[#This Row],[name]], Fixtures[result], "W", Fixtures[APP], TRUE), "")</f>
        <v/>
      </c>
      <c r="J335" s="1" t="str">
        <f>IF(Teams[[#This Row],[relevant]], COUNTIFS(Fixtures[userTeam], Teams[[#This Row],[name]], Fixtures[result], "D", Fixtures[APP], TRUE), "")</f>
        <v/>
      </c>
      <c r="K335" s="1" t="str">
        <f>IF(Teams[[#This Row],[relevant]], COUNTIFS(Fixtures[userTeam], Teams[[#This Row],[name]], Fixtures[result], "L", Fixtures[APP], TRUE), "")</f>
        <v/>
      </c>
      <c r="L335" s="1" t="str">
        <f>IF(Teams[[#This Row],[relevant]], SUMIFS(Fixtures[G], Fixtures[userTeam], Teams[[#This Row],[name]]), "")</f>
        <v/>
      </c>
      <c r="M335" s="1" t="str">
        <f>IF(Teams[[#This Row],[relevant]], SUMIFS(Fixtures[A], Fixtures[userTeam], Teams[[#This Row],[name]]), "")</f>
        <v/>
      </c>
      <c r="N335" s="1" t="str">
        <f>IF(Teams[[#This Row],[relevant]], SUMIFS(Fixtures[INV], Fixtures[userTeam], Teams[[#This Row],[name]]), "")</f>
        <v/>
      </c>
      <c r="O335" s="1" t="str">
        <f>IF(Teams[[#This Row],[relevant]], SUMIFS(Fixtures[YC], Fixtures[userTeam], Teams[[#This Row],[name]]), "")</f>
        <v/>
      </c>
      <c r="P335" s="1" t="str">
        <f>IF(Teams[[#This Row],[relevant]], SUMIFS(Fixtures[RC], Fixtures[userTeam], Teams[[#This Row],[name]]), "")</f>
        <v/>
      </c>
      <c r="Q335" s="13" t="str">
        <f>IF(Teams[[#This Row],[relevant]], IF(ISERROR(AVERAGEIFS(Fixtures[MR], Fixtures[userTeam], Teams[[#This Row],[name]])), 0, AVERAGEIFS(Fixtures[MR], Fixtures[userTeam], Teams[[#This Row],[name]])), "")</f>
        <v/>
      </c>
      <c r="R335" s="1" t="str">
        <f>IF(Teams[[#This Row],[relevant]], COUNTIFS(Fixtures[userTeam], Teams[[#This Row],[name]], Fixtures[MOTM], TRUE), "")</f>
        <v/>
      </c>
      <c r="S335" s="1" t="str" cm="1">
        <f t="array" ref="S335">IF(Teams[[#This Row],[relevant]], _xlfn.TEXTJOIN(", ", TRUE, _xlfn._xlws.FILTER(Stats[competition]&amp;" ("&amp;Stats[season]&amp;")",(Stats[team]=Teams[[#This Row],[name]])*(Stats[result]="Winner"),"")), "")</f>
        <v/>
      </c>
    </row>
    <row r="336" spans="1:19" ht="13" hidden="1">
      <c r="A336" s="1" t="s">
        <v>705</v>
      </c>
      <c r="B336" s="1" t="s">
        <v>284</v>
      </c>
      <c r="C336" s="1" t="s">
        <v>391</v>
      </c>
      <c r="D336" s="1" t="str">
        <f>UPPER(_xlfn.CONCAT(LEFT(Teams[[#This Row],[teamType]], 1), "-", LEFT(SUBSTITUTE(Teams[[#This Row],[nation]], "/", ""), 3), "-", SUBSTITUTE(SUBSTITUTE(SUBSTITUTE(Teams[[#This Row],[name]], ".", ""), " ", ""), "-", "")))</f>
        <v>C-SWE-IFELFSBORG</v>
      </c>
      <c r="E336" s="16"/>
      <c r="F336" s="16"/>
      <c r="G336" s="1" t="b">
        <f>COUNTBLANK(Teams[[#This Row],[startDate]:[endDate]]) &lt; 2</f>
        <v>0</v>
      </c>
      <c r="H336" s="1" t="str">
        <f>IF(Teams[[#This Row],[relevant]], COUNTIFS(Fixtures[userTeam], Teams[[#This Row],[name]], Fixtures[APP], TRUE), "")</f>
        <v/>
      </c>
      <c r="I336" s="1" t="str">
        <f>IF(Teams[[#This Row],[relevant]], COUNTIFS(Fixtures[userTeam], Teams[[#This Row],[name]], Fixtures[result], "W", Fixtures[APP], TRUE), "")</f>
        <v/>
      </c>
      <c r="J336" s="1" t="str">
        <f>IF(Teams[[#This Row],[relevant]], COUNTIFS(Fixtures[userTeam], Teams[[#This Row],[name]], Fixtures[result], "D", Fixtures[APP], TRUE), "")</f>
        <v/>
      </c>
      <c r="K336" s="1" t="str">
        <f>IF(Teams[[#This Row],[relevant]], COUNTIFS(Fixtures[userTeam], Teams[[#This Row],[name]], Fixtures[result], "L", Fixtures[APP], TRUE), "")</f>
        <v/>
      </c>
      <c r="L336" s="1" t="str">
        <f>IF(Teams[[#This Row],[relevant]], SUMIFS(Fixtures[G], Fixtures[userTeam], Teams[[#This Row],[name]]), "")</f>
        <v/>
      </c>
      <c r="M336" s="1" t="str">
        <f>IF(Teams[[#This Row],[relevant]], SUMIFS(Fixtures[A], Fixtures[userTeam], Teams[[#This Row],[name]]), "")</f>
        <v/>
      </c>
      <c r="N336" s="1" t="str">
        <f>IF(Teams[[#This Row],[relevant]], SUMIFS(Fixtures[INV], Fixtures[userTeam], Teams[[#This Row],[name]]), "")</f>
        <v/>
      </c>
      <c r="O336" s="1" t="str">
        <f>IF(Teams[[#This Row],[relevant]], SUMIFS(Fixtures[YC], Fixtures[userTeam], Teams[[#This Row],[name]]), "")</f>
        <v/>
      </c>
      <c r="P336" s="1" t="str">
        <f>IF(Teams[[#This Row],[relevant]], SUMIFS(Fixtures[RC], Fixtures[userTeam], Teams[[#This Row],[name]]), "")</f>
        <v/>
      </c>
      <c r="Q336" s="13" t="str">
        <f>IF(Teams[[#This Row],[relevant]], IF(ISERROR(AVERAGEIFS(Fixtures[MR], Fixtures[userTeam], Teams[[#This Row],[name]])), 0, AVERAGEIFS(Fixtures[MR], Fixtures[userTeam], Teams[[#This Row],[name]])), "")</f>
        <v/>
      </c>
      <c r="R336" s="1" t="str">
        <f>IF(Teams[[#This Row],[relevant]], COUNTIFS(Fixtures[userTeam], Teams[[#This Row],[name]], Fixtures[MOTM], TRUE), "")</f>
        <v/>
      </c>
      <c r="S336" s="1" t="str" cm="1">
        <f t="array" ref="S336">IF(Teams[[#This Row],[relevant]], _xlfn.TEXTJOIN(", ", TRUE, _xlfn._xlws.FILTER(Stats[competition]&amp;" ("&amp;Stats[season]&amp;")",(Stats[team]=Teams[[#This Row],[name]])*(Stats[result]="Winner"),"")), "")</f>
        <v/>
      </c>
    </row>
    <row r="337" spans="1:19" ht="13" hidden="1">
      <c r="A337" s="1" t="s">
        <v>706</v>
      </c>
      <c r="B337" s="1" t="s">
        <v>284</v>
      </c>
      <c r="C337" s="1" t="s">
        <v>391</v>
      </c>
      <c r="D337" s="1" t="str">
        <f>UPPER(_xlfn.CONCAT(LEFT(Teams[[#This Row],[teamType]], 1), "-", LEFT(SUBSTITUTE(Teams[[#This Row],[nation]], "/", ""), 3), "-", SUBSTITUTE(SUBSTITUTE(SUBSTITUTE(Teams[[#This Row],[name]], ".", ""), " ", ""), "-", "")))</f>
        <v>C-SWE-IFKGÖTEBORG</v>
      </c>
      <c r="E337" s="16"/>
      <c r="F337" s="16"/>
      <c r="G337" s="1" t="b">
        <f>COUNTBLANK(Teams[[#This Row],[startDate]:[endDate]]) &lt; 2</f>
        <v>0</v>
      </c>
      <c r="H337" s="1" t="str">
        <f>IF(Teams[[#This Row],[relevant]], COUNTIFS(Fixtures[userTeam], Teams[[#This Row],[name]], Fixtures[APP], TRUE), "")</f>
        <v/>
      </c>
      <c r="I337" s="1" t="str">
        <f>IF(Teams[[#This Row],[relevant]], COUNTIFS(Fixtures[userTeam], Teams[[#This Row],[name]], Fixtures[result], "W", Fixtures[APP], TRUE), "")</f>
        <v/>
      </c>
      <c r="J337" s="1" t="str">
        <f>IF(Teams[[#This Row],[relevant]], COUNTIFS(Fixtures[userTeam], Teams[[#This Row],[name]], Fixtures[result], "D", Fixtures[APP], TRUE), "")</f>
        <v/>
      </c>
      <c r="K337" s="1" t="str">
        <f>IF(Teams[[#This Row],[relevant]], COUNTIFS(Fixtures[userTeam], Teams[[#This Row],[name]], Fixtures[result], "L", Fixtures[APP], TRUE), "")</f>
        <v/>
      </c>
      <c r="L337" s="1" t="str">
        <f>IF(Teams[[#This Row],[relevant]], SUMIFS(Fixtures[G], Fixtures[userTeam], Teams[[#This Row],[name]]), "")</f>
        <v/>
      </c>
      <c r="M337" s="1" t="str">
        <f>IF(Teams[[#This Row],[relevant]], SUMIFS(Fixtures[A], Fixtures[userTeam], Teams[[#This Row],[name]]), "")</f>
        <v/>
      </c>
      <c r="N337" s="1" t="str">
        <f>IF(Teams[[#This Row],[relevant]], SUMIFS(Fixtures[INV], Fixtures[userTeam], Teams[[#This Row],[name]]), "")</f>
        <v/>
      </c>
      <c r="O337" s="1" t="str">
        <f>IF(Teams[[#This Row],[relevant]], SUMIFS(Fixtures[YC], Fixtures[userTeam], Teams[[#This Row],[name]]), "")</f>
        <v/>
      </c>
      <c r="P337" s="1" t="str">
        <f>IF(Teams[[#This Row],[relevant]], SUMIFS(Fixtures[RC], Fixtures[userTeam], Teams[[#This Row],[name]]), "")</f>
        <v/>
      </c>
      <c r="Q337" s="13" t="str">
        <f>IF(Teams[[#This Row],[relevant]], IF(ISERROR(AVERAGEIFS(Fixtures[MR], Fixtures[userTeam], Teams[[#This Row],[name]])), 0, AVERAGEIFS(Fixtures[MR], Fixtures[userTeam], Teams[[#This Row],[name]])), "")</f>
        <v/>
      </c>
      <c r="R337" s="1" t="str">
        <f>IF(Teams[[#This Row],[relevant]], COUNTIFS(Fixtures[userTeam], Teams[[#This Row],[name]], Fixtures[MOTM], TRUE), "")</f>
        <v/>
      </c>
      <c r="S337" s="1" t="str" cm="1">
        <f t="array" ref="S337">IF(Teams[[#This Row],[relevant]], _xlfn.TEXTJOIN(", ", TRUE, _xlfn._xlws.FILTER(Stats[competition]&amp;" ("&amp;Stats[season]&amp;")",(Stats[team]=Teams[[#This Row],[name]])*(Stats[result]="Winner"),"")), "")</f>
        <v/>
      </c>
    </row>
    <row r="338" spans="1:19" ht="13" hidden="1">
      <c r="A338" s="1" t="s">
        <v>707</v>
      </c>
      <c r="B338" s="1" t="s">
        <v>284</v>
      </c>
      <c r="C338" s="1" t="s">
        <v>391</v>
      </c>
      <c r="D338" s="1" t="str">
        <f>UPPER(_xlfn.CONCAT(LEFT(Teams[[#This Row],[teamType]], 1), "-", LEFT(SUBSTITUTE(Teams[[#This Row],[nation]], "/", ""), 3), "-", SUBSTITUTE(SUBSTITUTE(SUBSTITUTE(Teams[[#This Row],[name]], ".", ""), " ", ""), "-", "")))</f>
        <v>C-SWE-IFKNORRKÖPING</v>
      </c>
      <c r="E338" s="16"/>
      <c r="F338" s="16"/>
      <c r="G338" s="1" t="b">
        <f>COUNTBLANK(Teams[[#This Row],[startDate]:[endDate]]) &lt; 2</f>
        <v>0</v>
      </c>
      <c r="H338" s="1" t="str">
        <f>IF(Teams[[#This Row],[relevant]], COUNTIFS(Fixtures[userTeam], Teams[[#This Row],[name]], Fixtures[APP], TRUE), "")</f>
        <v/>
      </c>
      <c r="I338" s="1" t="str">
        <f>IF(Teams[[#This Row],[relevant]], COUNTIFS(Fixtures[userTeam], Teams[[#This Row],[name]], Fixtures[result], "W", Fixtures[APP], TRUE), "")</f>
        <v/>
      </c>
      <c r="J338" s="1" t="str">
        <f>IF(Teams[[#This Row],[relevant]], COUNTIFS(Fixtures[userTeam], Teams[[#This Row],[name]], Fixtures[result], "D", Fixtures[APP], TRUE), "")</f>
        <v/>
      </c>
      <c r="K338" s="1" t="str">
        <f>IF(Teams[[#This Row],[relevant]], COUNTIFS(Fixtures[userTeam], Teams[[#This Row],[name]], Fixtures[result], "L", Fixtures[APP], TRUE), "")</f>
        <v/>
      </c>
      <c r="L338" s="1" t="str">
        <f>IF(Teams[[#This Row],[relevant]], SUMIFS(Fixtures[G], Fixtures[userTeam], Teams[[#This Row],[name]]), "")</f>
        <v/>
      </c>
      <c r="M338" s="1" t="str">
        <f>IF(Teams[[#This Row],[relevant]], SUMIFS(Fixtures[A], Fixtures[userTeam], Teams[[#This Row],[name]]), "")</f>
        <v/>
      </c>
      <c r="N338" s="1" t="str">
        <f>IF(Teams[[#This Row],[relevant]], SUMIFS(Fixtures[INV], Fixtures[userTeam], Teams[[#This Row],[name]]), "")</f>
        <v/>
      </c>
      <c r="O338" s="1" t="str">
        <f>IF(Teams[[#This Row],[relevant]], SUMIFS(Fixtures[YC], Fixtures[userTeam], Teams[[#This Row],[name]]), "")</f>
        <v/>
      </c>
      <c r="P338" s="1" t="str">
        <f>IF(Teams[[#This Row],[relevant]], SUMIFS(Fixtures[RC], Fixtures[userTeam], Teams[[#This Row],[name]]), "")</f>
        <v/>
      </c>
      <c r="Q338" s="13" t="str">
        <f>IF(Teams[[#This Row],[relevant]], IF(ISERROR(AVERAGEIFS(Fixtures[MR], Fixtures[userTeam], Teams[[#This Row],[name]])), 0, AVERAGEIFS(Fixtures[MR], Fixtures[userTeam], Teams[[#This Row],[name]])), "")</f>
        <v/>
      </c>
      <c r="R338" s="1" t="str">
        <f>IF(Teams[[#This Row],[relevant]], COUNTIFS(Fixtures[userTeam], Teams[[#This Row],[name]], Fixtures[MOTM], TRUE), "")</f>
        <v/>
      </c>
      <c r="S338" s="1" t="str" cm="1">
        <f t="array" ref="S338">IF(Teams[[#This Row],[relevant]], _xlfn.TEXTJOIN(", ", TRUE, _xlfn._xlws.FILTER(Stats[competition]&amp;" ("&amp;Stats[season]&amp;")",(Stats[team]=Teams[[#This Row],[name]])*(Stats[result]="Winner"),"")), "")</f>
        <v/>
      </c>
    </row>
    <row r="339" spans="1:19" ht="13" hidden="1">
      <c r="A339" s="1" t="s">
        <v>708</v>
      </c>
      <c r="B339" s="1" t="s">
        <v>284</v>
      </c>
      <c r="C339" s="1" t="s">
        <v>391</v>
      </c>
      <c r="D339" s="1" t="str">
        <f>UPPER(_xlfn.CONCAT(LEFT(Teams[[#This Row],[teamType]], 1), "-", LEFT(SUBSTITUTE(Teams[[#This Row],[nation]], "/", ""), 3), "-", SUBSTITUTE(SUBSTITUTE(SUBSTITUTE(Teams[[#This Row],[name]], ".", ""), " ", ""), "-", "")))</f>
        <v>C-SWE-IFKVÄRNAMO</v>
      </c>
      <c r="E339" s="16"/>
      <c r="F339" s="16"/>
      <c r="G339" s="1" t="b">
        <f>COUNTBLANK(Teams[[#This Row],[startDate]:[endDate]]) &lt; 2</f>
        <v>0</v>
      </c>
      <c r="H339" s="1" t="str">
        <f>IF(Teams[[#This Row],[relevant]], COUNTIFS(Fixtures[userTeam], Teams[[#This Row],[name]], Fixtures[APP], TRUE), "")</f>
        <v/>
      </c>
      <c r="I339" s="1" t="str">
        <f>IF(Teams[[#This Row],[relevant]], COUNTIFS(Fixtures[userTeam], Teams[[#This Row],[name]], Fixtures[result], "W", Fixtures[APP], TRUE), "")</f>
        <v/>
      </c>
      <c r="J339" s="1" t="str">
        <f>IF(Teams[[#This Row],[relevant]], COUNTIFS(Fixtures[userTeam], Teams[[#This Row],[name]], Fixtures[result], "D", Fixtures[APP], TRUE), "")</f>
        <v/>
      </c>
      <c r="K339" s="1" t="str">
        <f>IF(Teams[[#This Row],[relevant]], COUNTIFS(Fixtures[userTeam], Teams[[#This Row],[name]], Fixtures[result], "L", Fixtures[APP], TRUE), "")</f>
        <v/>
      </c>
      <c r="L339" s="1" t="str">
        <f>IF(Teams[[#This Row],[relevant]], SUMIFS(Fixtures[G], Fixtures[userTeam], Teams[[#This Row],[name]]), "")</f>
        <v/>
      </c>
      <c r="M339" s="1" t="str">
        <f>IF(Teams[[#This Row],[relevant]], SUMIFS(Fixtures[A], Fixtures[userTeam], Teams[[#This Row],[name]]), "")</f>
        <v/>
      </c>
      <c r="N339" s="1" t="str">
        <f>IF(Teams[[#This Row],[relevant]], SUMIFS(Fixtures[INV], Fixtures[userTeam], Teams[[#This Row],[name]]), "")</f>
        <v/>
      </c>
      <c r="O339" s="1" t="str">
        <f>IF(Teams[[#This Row],[relevant]], SUMIFS(Fixtures[YC], Fixtures[userTeam], Teams[[#This Row],[name]]), "")</f>
        <v/>
      </c>
      <c r="P339" s="1" t="str">
        <f>IF(Teams[[#This Row],[relevant]], SUMIFS(Fixtures[RC], Fixtures[userTeam], Teams[[#This Row],[name]]), "")</f>
        <v/>
      </c>
      <c r="Q339" s="13" t="str">
        <f>IF(Teams[[#This Row],[relevant]], IF(ISERROR(AVERAGEIFS(Fixtures[MR], Fixtures[userTeam], Teams[[#This Row],[name]])), 0, AVERAGEIFS(Fixtures[MR], Fixtures[userTeam], Teams[[#This Row],[name]])), "")</f>
        <v/>
      </c>
      <c r="R339" s="1" t="str">
        <f>IF(Teams[[#This Row],[relevant]], COUNTIFS(Fixtures[userTeam], Teams[[#This Row],[name]], Fixtures[MOTM], TRUE), "")</f>
        <v/>
      </c>
      <c r="S339" s="1" t="str" cm="1">
        <f t="array" ref="S339">IF(Teams[[#This Row],[relevant]], _xlfn.TEXTJOIN(", ", TRUE, _xlfn._xlws.FILTER(Stats[competition]&amp;" ("&amp;Stats[season]&amp;")",(Stats[team]=Teams[[#This Row],[name]])*(Stats[result]="Winner"),"")), "")</f>
        <v/>
      </c>
    </row>
    <row r="340" spans="1:19" ht="13" hidden="1">
      <c r="A340" s="1" t="s">
        <v>709</v>
      </c>
      <c r="B340" s="1" t="s">
        <v>284</v>
      </c>
      <c r="C340" s="1" t="s">
        <v>391</v>
      </c>
      <c r="D340" s="1" t="str">
        <f>UPPER(_xlfn.CONCAT(LEFT(Teams[[#This Row],[teamType]], 1), "-", LEFT(SUBSTITUTE(Teams[[#This Row],[nation]], "/", ""), 3), "-", SUBSTITUTE(SUBSTITUTE(SUBSTITUTE(Teams[[#This Row],[name]], ".", ""), " ", ""), "-", "")))</f>
        <v>C-SWE-IKSIRIUS</v>
      </c>
      <c r="E340" s="16"/>
      <c r="F340" s="16"/>
      <c r="G340" s="1" t="b">
        <f>COUNTBLANK(Teams[[#This Row],[startDate]:[endDate]]) &lt; 2</f>
        <v>0</v>
      </c>
      <c r="H340" s="1" t="str">
        <f>IF(Teams[[#This Row],[relevant]], COUNTIFS(Fixtures[userTeam], Teams[[#This Row],[name]], Fixtures[APP], TRUE), "")</f>
        <v/>
      </c>
      <c r="I340" s="1" t="str">
        <f>IF(Teams[[#This Row],[relevant]], COUNTIFS(Fixtures[userTeam], Teams[[#This Row],[name]], Fixtures[result], "W", Fixtures[APP], TRUE), "")</f>
        <v/>
      </c>
      <c r="J340" s="1" t="str">
        <f>IF(Teams[[#This Row],[relevant]], COUNTIFS(Fixtures[userTeam], Teams[[#This Row],[name]], Fixtures[result], "D", Fixtures[APP], TRUE), "")</f>
        <v/>
      </c>
      <c r="K340" s="1" t="str">
        <f>IF(Teams[[#This Row],[relevant]], COUNTIFS(Fixtures[userTeam], Teams[[#This Row],[name]], Fixtures[result], "L", Fixtures[APP], TRUE), "")</f>
        <v/>
      </c>
      <c r="L340" s="1" t="str">
        <f>IF(Teams[[#This Row],[relevant]], SUMIFS(Fixtures[G], Fixtures[userTeam], Teams[[#This Row],[name]]), "")</f>
        <v/>
      </c>
      <c r="M340" s="1" t="str">
        <f>IF(Teams[[#This Row],[relevant]], SUMIFS(Fixtures[A], Fixtures[userTeam], Teams[[#This Row],[name]]), "")</f>
        <v/>
      </c>
      <c r="N340" s="1" t="str">
        <f>IF(Teams[[#This Row],[relevant]], SUMIFS(Fixtures[INV], Fixtures[userTeam], Teams[[#This Row],[name]]), "")</f>
        <v/>
      </c>
      <c r="O340" s="1" t="str">
        <f>IF(Teams[[#This Row],[relevant]], SUMIFS(Fixtures[YC], Fixtures[userTeam], Teams[[#This Row],[name]]), "")</f>
        <v/>
      </c>
      <c r="P340" s="1" t="str">
        <f>IF(Teams[[#This Row],[relevant]], SUMIFS(Fixtures[RC], Fixtures[userTeam], Teams[[#This Row],[name]]), "")</f>
        <v/>
      </c>
      <c r="Q340" s="13" t="str">
        <f>IF(Teams[[#This Row],[relevant]], IF(ISERROR(AVERAGEIFS(Fixtures[MR], Fixtures[userTeam], Teams[[#This Row],[name]])), 0, AVERAGEIFS(Fixtures[MR], Fixtures[userTeam], Teams[[#This Row],[name]])), "")</f>
        <v/>
      </c>
      <c r="R340" s="1" t="str">
        <f>IF(Teams[[#This Row],[relevant]], COUNTIFS(Fixtures[userTeam], Teams[[#This Row],[name]], Fixtures[MOTM], TRUE), "")</f>
        <v/>
      </c>
      <c r="S340" s="1" t="str" cm="1">
        <f t="array" ref="S340">IF(Teams[[#This Row],[relevant]], _xlfn.TEXTJOIN(", ", TRUE, _xlfn._xlws.FILTER(Stats[competition]&amp;" ("&amp;Stats[season]&amp;")",(Stats[team]=Teams[[#This Row],[name]])*(Stats[result]="Winner"),"")), "")</f>
        <v/>
      </c>
    </row>
    <row r="341" spans="1:19" ht="13" hidden="1">
      <c r="A341" s="1" t="s">
        <v>710</v>
      </c>
      <c r="B341" s="1" t="s">
        <v>568</v>
      </c>
      <c r="C341" s="1" t="s">
        <v>391</v>
      </c>
      <c r="D341" s="1" t="str">
        <f>UPPER(_xlfn.CONCAT(LEFT(Teams[[#This Row],[teamType]], 1), "-", LEFT(SUBSTITUTE(Teams[[#This Row],[nation]], "/", ""), 3), "-", SUBSTITUTE(SUBSTITUTE(SUBSTITUTE(Teams[[#This Row],[name]], ".", ""), " ", ""), "-", "")))</f>
        <v>C-KOR-INCHEONUNITED</v>
      </c>
      <c r="E341" s="16"/>
      <c r="F341" s="16"/>
      <c r="G341" s="1" t="b">
        <f>COUNTBLANK(Teams[[#This Row],[startDate]:[endDate]]) &lt; 2</f>
        <v>0</v>
      </c>
      <c r="H341" s="1" t="str">
        <f>IF(Teams[[#This Row],[relevant]], COUNTIFS(Fixtures[userTeam], Teams[[#This Row],[name]], Fixtures[APP], TRUE), "")</f>
        <v/>
      </c>
      <c r="I341" s="1" t="str">
        <f>IF(Teams[[#This Row],[relevant]], COUNTIFS(Fixtures[userTeam], Teams[[#This Row],[name]], Fixtures[result], "W", Fixtures[APP], TRUE), "")</f>
        <v/>
      </c>
      <c r="J341" s="1" t="str">
        <f>IF(Teams[[#This Row],[relevant]], COUNTIFS(Fixtures[userTeam], Teams[[#This Row],[name]], Fixtures[result], "D", Fixtures[APP], TRUE), "")</f>
        <v/>
      </c>
      <c r="K341" s="1" t="str">
        <f>IF(Teams[[#This Row],[relevant]], COUNTIFS(Fixtures[userTeam], Teams[[#This Row],[name]], Fixtures[result], "L", Fixtures[APP], TRUE), "")</f>
        <v/>
      </c>
      <c r="L341" s="1" t="str">
        <f>IF(Teams[[#This Row],[relevant]], SUMIFS(Fixtures[G], Fixtures[userTeam], Teams[[#This Row],[name]]), "")</f>
        <v/>
      </c>
      <c r="M341" s="1" t="str">
        <f>IF(Teams[[#This Row],[relevant]], SUMIFS(Fixtures[A], Fixtures[userTeam], Teams[[#This Row],[name]]), "")</f>
        <v/>
      </c>
      <c r="N341" s="1" t="str">
        <f>IF(Teams[[#This Row],[relevant]], SUMIFS(Fixtures[INV], Fixtures[userTeam], Teams[[#This Row],[name]]), "")</f>
        <v/>
      </c>
      <c r="O341" s="1" t="str">
        <f>IF(Teams[[#This Row],[relevant]], SUMIFS(Fixtures[YC], Fixtures[userTeam], Teams[[#This Row],[name]]), "")</f>
        <v/>
      </c>
      <c r="P341" s="1" t="str">
        <f>IF(Teams[[#This Row],[relevant]], SUMIFS(Fixtures[RC], Fixtures[userTeam], Teams[[#This Row],[name]]), "")</f>
        <v/>
      </c>
      <c r="Q341" s="13" t="str">
        <f>IF(Teams[[#This Row],[relevant]], IF(ISERROR(AVERAGEIFS(Fixtures[MR], Fixtures[userTeam], Teams[[#This Row],[name]])), 0, AVERAGEIFS(Fixtures[MR], Fixtures[userTeam], Teams[[#This Row],[name]])), "")</f>
        <v/>
      </c>
      <c r="R341" s="1" t="str">
        <f>IF(Teams[[#This Row],[relevant]], COUNTIFS(Fixtures[userTeam], Teams[[#This Row],[name]], Fixtures[MOTM], TRUE), "")</f>
        <v/>
      </c>
      <c r="S341" s="1" t="str" cm="1">
        <f t="array" ref="S341">IF(Teams[[#This Row],[relevant]], _xlfn.TEXTJOIN(", ", TRUE, _xlfn._xlws.FILTER(Stats[competition]&amp;" ("&amp;Stats[season]&amp;")",(Stats[team]=Teams[[#This Row],[name]])*(Stats[result]="Winner"),"")), "")</f>
        <v/>
      </c>
    </row>
    <row r="342" spans="1:19" ht="13" hidden="1">
      <c r="A342" s="1" t="s">
        <v>711</v>
      </c>
      <c r="B342" s="1" t="s">
        <v>447</v>
      </c>
      <c r="C342" s="1" t="s">
        <v>391</v>
      </c>
      <c r="D342" s="1" t="str">
        <f>UPPER(_xlfn.CONCAT(LEFT(Teams[[#This Row],[teamType]], 1), "-", LEFT(SUBSTITUTE(Teams[[#This Row],[nation]], "/", ""), 3), "-", SUBSTITUTE(SUBSTITUTE(SUBSTITUTE(Teams[[#This Row],[name]], ".", ""), " ", ""), "-", "")))</f>
        <v>C-BOL-INDPETROLERO</v>
      </c>
      <c r="E342" s="16"/>
      <c r="F342" s="16"/>
      <c r="G342" s="1" t="b">
        <f>COUNTBLANK(Teams[[#This Row],[startDate]:[endDate]]) &lt; 2</f>
        <v>0</v>
      </c>
      <c r="H342" s="1" t="str">
        <f>IF(Teams[[#This Row],[relevant]], COUNTIFS(Fixtures[userTeam], Teams[[#This Row],[name]], Fixtures[APP], TRUE), "")</f>
        <v/>
      </c>
      <c r="I342" s="1" t="str">
        <f>IF(Teams[[#This Row],[relevant]], COUNTIFS(Fixtures[userTeam], Teams[[#This Row],[name]], Fixtures[result], "W", Fixtures[APP], TRUE), "")</f>
        <v/>
      </c>
      <c r="J342" s="1" t="str">
        <f>IF(Teams[[#This Row],[relevant]], COUNTIFS(Fixtures[userTeam], Teams[[#This Row],[name]], Fixtures[result], "D", Fixtures[APP], TRUE), "")</f>
        <v/>
      </c>
      <c r="K342" s="1" t="str">
        <f>IF(Teams[[#This Row],[relevant]], COUNTIFS(Fixtures[userTeam], Teams[[#This Row],[name]], Fixtures[result], "L", Fixtures[APP], TRUE), "")</f>
        <v/>
      </c>
      <c r="L342" s="1" t="str">
        <f>IF(Teams[[#This Row],[relevant]], SUMIFS(Fixtures[G], Fixtures[userTeam], Teams[[#This Row],[name]]), "")</f>
        <v/>
      </c>
      <c r="M342" s="1" t="str">
        <f>IF(Teams[[#This Row],[relevant]], SUMIFS(Fixtures[A], Fixtures[userTeam], Teams[[#This Row],[name]]), "")</f>
        <v/>
      </c>
      <c r="N342" s="1" t="str">
        <f>IF(Teams[[#This Row],[relevant]], SUMIFS(Fixtures[INV], Fixtures[userTeam], Teams[[#This Row],[name]]), "")</f>
        <v/>
      </c>
      <c r="O342" s="1" t="str">
        <f>IF(Teams[[#This Row],[relevant]], SUMIFS(Fixtures[YC], Fixtures[userTeam], Teams[[#This Row],[name]]), "")</f>
        <v/>
      </c>
      <c r="P342" s="1" t="str">
        <f>IF(Teams[[#This Row],[relevant]], SUMIFS(Fixtures[RC], Fixtures[userTeam], Teams[[#This Row],[name]]), "")</f>
        <v/>
      </c>
      <c r="Q342" s="13" t="str">
        <f>IF(Teams[[#This Row],[relevant]], IF(ISERROR(AVERAGEIFS(Fixtures[MR], Fixtures[userTeam], Teams[[#This Row],[name]])), 0, AVERAGEIFS(Fixtures[MR], Fixtures[userTeam], Teams[[#This Row],[name]])), "")</f>
        <v/>
      </c>
      <c r="R342" s="1" t="str">
        <f>IF(Teams[[#This Row],[relevant]], COUNTIFS(Fixtures[userTeam], Teams[[#This Row],[name]], Fixtures[MOTM], TRUE), "")</f>
        <v/>
      </c>
      <c r="S342" s="1" t="str" cm="1">
        <f t="array" ref="S342">IF(Teams[[#This Row],[relevant]], _xlfn.TEXTJOIN(", ", TRUE, _xlfn._xlws.FILTER(Stats[competition]&amp;" ("&amp;Stats[season]&amp;")",(Stats[team]=Teams[[#This Row],[name]])*(Stats[result]="Winner"),"")), "")</f>
        <v/>
      </c>
    </row>
    <row r="343" spans="1:19" ht="13" hidden="1">
      <c r="A343" s="1" t="s">
        <v>712</v>
      </c>
      <c r="B343" s="1" t="s">
        <v>449</v>
      </c>
      <c r="C343" s="1" t="s">
        <v>391</v>
      </c>
      <c r="D343" s="1" t="str">
        <f>UPPER(_xlfn.CONCAT(LEFT(Teams[[#This Row],[teamType]], 1), "-", LEFT(SUBSTITUTE(Teams[[#This Row],[nation]], "/", ""), 3), "-", SUBSTITUTE(SUBSTITUTE(SUBSTITUTE(Teams[[#This Row],[name]], ".", ""), " ", ""), "-", "")))</f>
        <v>C-COL-INDEPMEDELLÍN</v>
      </c>
      <c r="E343" s="16"/>
      <c r="F343" s="16"/>
      <c r="G343" s="1" t="b">
        <f>COUNTBLANK(Teams[[#This Row],[startDate]:[endDate]]) &lt; 2</f>
        <v>0</v>
      </c>
      <c r="H343" s="1" t="str">
        <f>IF(Teams[[#This Row],[relevant]], COUNTIFS(Fixtures[userTeam], Teams[[#This Row],[name]], Fixtures[APP], TRUE), "")</f>
        <v/>
      </c>
      <c r="I343" s="1" t="str">
        <f>IF(Teams[[#This Row],[relevant]], COUNTIFS(Fixtures[userTeam], Teams[[#This Row],[name]], Fixtures[result], "W", Fixtures[APP], TRUE), "")</f>
        <v/>
      </c>
      <c r="J343" s="1" t="str">
        <f>IF(Teams[[#This Row],[relevant]], COUNTIFS(Fixtures[userTeam], Teams[[#This Row],[name]], Fixtures[result], "D", Fixtures[APP], TRUE), "")</f>
        <v/>
      </c>
      <c r="K343" s="1" t="str">
        <f>IF(Teams[[#This Row],[relevant]], COUNTIFS(Fixtures[userTeam], Teams[[#This Row],[name]], Fixtures[result], "L", Fixtures[APP], TRUE), "")</f>
        <v/>
      </c>
      <c r="L343" s="1" t="str">
        <f>IF(Teams[[#This Row],[relevant]], SUMIFS(Fixtures[G], Fixtures[userTeam], Teams[[#This Row],[name]]), "")</f>
        <v/>
      </c>
      <c r="M343" s="1" t="str">
        <f>IF(Teams[[#This Row],[relevant]], SUMIFS(Fixtures[A], Fixtures[userTeam], Teams[[#This Row],[name]]), "")</f>
        <v/>
      </c>
      <c r="N343" s="1" t="str">
        <f>IF(Teams[[#This Row],[relevant]], SUMIFS(Fixtures[INV], Fixtures[userTeam], Teams[[#This Row],[name]]), "")</f>
        <v/>
      </c>
      <c r="O343" s="1" t="str">
        <f>IF(Teams[[#This Row],[relevant]], SUMIFS(Fixtures[YC], Fixtures[userTeam], Teams[[#This Row],[name]]), "")</f>
        <v/>
      </c>
      <c r="P343" s="1" t="str">
        <f>IF(Teams[[#This Row],[relevant]], SUMIFS(Fixtures[RC], Fixtures[userTeam], Teams[[#This Row],[name]]), "")</f>
        <v/>
      </c>
      <c r="Q343" s="13" t="str">
        <f>IF(Teams[[#This Row],[relevant]], IF(ISERROR(AVERAGEIFS(Fixtures[MR], Fixtures[userTeam], Teams[[#This Row],[name]])), 0, AVERAGEIFS(Fixtures[MR], Fixtures[userTeam], Teams[[#This Row],[name]])), "")</f>
        <v/>
      </c>
      <c r="R343" s="1" t="str">
        <f>IF(Teams[[#This Row],[relevant]], COUNTIFS(Fixtures[userTeam], Teams[[#This Row],[name]], Fixtures[MOTM], TRUE), "")</f>
        <v/>
      </c>
      <c r="S343" s="1" t="str" cm="1">
        <f t="array" ref="S343">IF(Teams[[#This Row],[relevant]], _xlfn.TEXTJOIN(", ", TRUE, _xlfn._xlws.FILTER(Stats[competition]&amp;" ("&amp;Stats[season]&amp;")",(Stats[team]=Teams[[#This Row],[name]])*(Stats[result]="Winner"),"")), "")</f>
        <v/>
      </c>
    </row>
    <row r="344" spans="1:19" ht="13" hidden="1">
      <c r="A344" s="1" t="s">
        <v>713</v>
      </c>
      <c r="B344" s="1" t="s">
        <v>131</v>
      </c>
      <c r="C344" s="1" t="s">
        <v>391</v>
      </c>
      <c r="D344" s="1" t="str">
        <f>UPPER(_xlfn.CONCAT(LEFT(Teams[[#This Row],[teamType]], 1), "-", LEFT(SUBSTITUTE(Teams[[#This Row],[nation]], "/", ""), 3), "-", SUBSTITUTE(SUBSTITUTE(SUBSTITUTE(Teams[[#This Row],[name]], ".", ""), " ", ""), "-", "")))</f>
        <v>C-ARG-INDEPENDIENTE</v>
      </c>
      <c r="E344" s="16"/>
      <c r="F344" s="16"/>
      <c r="G344" s="1" t="b">
        <f>COUNTBLANK(Teams[[#This Row],[startDate]:[endDate]]) &lt; 2</f>
        <v>0</v>
      </c>
      <c r="H344" s="1" t="str">
        <f>IF(Teams[[#This Row],[relevant]], COUNTIFS(Fixtures[userTeam], Teams[[#This Row],[name]], Fixtures[APP], TRUE), "")</f>
        <v/>
      </c>
      <c r="I344" s="1" t="str">
        <f>IF(Teams[[#This Row],[relevant]], COUNTIFS(Fixtures[userTeam], Teams[[#This Row],[name]], Fixtures[result], "W", Fixtures[APP], TRUE), "")</f>
        <v/>
      </c>
      <c r="J344" s="1" t="str">
        <f>IF(Teams[[#This Row],[relevant]], COUNTIFS(Fixtures[userTeam], Teams[[#This Row],[name]], Fixtures[result], "D", Fixtures[APP], TRUE), "")</f>
        <v/>
      </c>
      <c r="K344" s="1" t="str">
        <f>IF(Teams[[#This Row],[relevant]], COUNTIFS(Fixtures[userTeam], Teams[[#This Row],[name]], Fixtures[result], "L", Fixtures[APP], TRUE), "")</f>
        <v/>
      </c>
      <c r="L344" s="1" t="str">
        <f>IF(Teams[[#This Row],[relevant]], SUMIFS(Fixtures[G], Fixtures[userTeam], Teams[[#This Row],[name]]), "")</f>
        <v/>
      </c>
      <c r="M344" s="1" t="str">
        <f>IF(Teams[[#This Row],[relevant]], SUMIFS(Fixtures[A], Fixtures[userTeam], Teams[[#This Row],[name]]), "")</f>
        <v/>
      </c>
      <c r="N344" s="1" t="str">
        <f>IF(Teams[[#This Row],[relevant]], SUMIFS(Fixtures[INV], Fixtures[userTeam], Teams[[#This Row],[name]]), "")</f>
        <v/>
      </c>
      <c r="O344" s="1" t="str">
        <f>IF(Teams[[#This Row],[relevant]], SUMIFS(Fixtures[YC], Fixtures[userTeam], Teams[[#This Row],[name]]), "")</f>
        <v/>
      </c>
      <c r="P344" s="1" t="str">
        <f>IF(Teams[[#This Row],[relevant]], SUMIFS(Fixtures[RC], Fixtures[userTeam], Teams[[#This Row],[name]]), "")</f>
        <v/>
      </c>
      <c r="Q344" s="13" t="str">
        <f>IF(Teams[[#This Row],[relevant]], IF(ISERROR(AVERAGEIFS(Fixtures[MR], Fixtures[userTeam], Teams[[#This Row],[name]])), 0, AVERAGEIFS(Fixtures[MR], Fixtures[userTeam], Teams[[#This Row],[name]])), "")</f>
        <v/>
      </c>
      <c r="R344" s="1" t="str">
        <f>IF(Teams[[#This Row],[relevant]], COUNTIFS(Fixtures[userTeam], Teams[[#This Row],[name]], Fixtures[MOTM], TRUE), "")</f>
        <v/>
      </c>
      <c r="S344" s="1" t="str" cm="1">
        <f t="array" ref="S344">IF(Teams[[#This Row],[relevant]], _xlfn.TEXTJOIN(", ", TRUE, _xlfn._xlws.FILTER(Stats[competition]&amp;" ("&amp;Stats[season]&amp;")",(Stats[team]=Teams[[#This Row],[name]])*(Stats[result]="Winner"),"")), "")</f>
        <v/>
      </c>
    </row>
    <row r="345" spans="1:19" ht="13" hidden="1">
      <c r="A345" s="1" t="s">
        <v>714</v>
      </c>
      <c r="B345" s="1" t="s">
        <v>396</v>
      </c>
      <c r="C345" s="1" t="s">
        <v>391</v>
      </c>
      <c r="D345" s="1" t="str">
        <f>UPPER(_xlfn.CONCAT(LEFT(Teams[[#This Row],[teamType]], 1), "-", LEFT(SUBSTITUTE(Teams[[#This Row],[nation]], "/", ""), 3), "-", SUBSTITUTE(SUBSTITUTE(SUBSTITUTE(Teams[[#This Row],[name]], ".", ""), " ", ""), "-", "")))</f>
        <v>C-ECU-INDEPENDIENTEDV</v>
      </c>
      <c r="E345" s="16"/>
      <c r="F345" s="16"/>
      <c r="G345" s="1" t="b">
        <f>COUNTBLANK(Teams[[#This Row],[startDate]:[endDate]]) &lt; 2</f>
        <v>0</v>
      </c>
      <c r="H345" s="1" t="str">
        <f>IF(Teams[[#This Row],[relevant]], COUNTIFS(Fixtures[userTeam], Teams[[#This Row],[name]], Fixtures[APP], TRUE), "")</f>
        <v/>
      </c>
      <c r="I345" s="1" t="str">
        <f>IF(Teams[[#This Row],[relevant]], COUNTIFS(Fixtures[userTeam], Teams[[#This Row],[name]], Fixtures[result], "W", Fixtures[APP], TRUE), "")</f>
        <v/>
      </c>
      <c r="J345" s="1" t="str">
        <f>IF(Teams[[#This Row],[relevant]], COUNTIFS(Fixtures[userTeam], Teams[[#This Row],[name]], Fixtures[result], "D", Fixtures[APP], TRUE), "")</f>
        <v/>
      </c>
      <c r="K345" s="1" t="str">
        <f>IF(Teams[[#This Row],[relevant]], COUNTIFS(Fixtures[userTeam], Teams[[#This Row],[name]], Fixtures[result], "L", Fixtures[APP], TRUE), "")</f>
        <v/>
      </c>
      <c r="L345" s="1" t="str">
        <f>IF(Teams[[#This Row],[relevant]], SUMIFS(Fixtures[G], Fixtures[userTeam], Teams[[#This Row],[name]]), "")</f>
        <v/>
      </c>
      <c r="M345" s="1" t="str">
        <f>IF(Teams[[#This Row],[relevant]], SUMIFS(Fixtures[A], Fixtures[userTeam], Teams[[#This Row],[name]]), "")</f>
        <v/>
      </c>
      <c r="N345" s="1" t="str">
        <f>IF(Teams[[#This Row],[relevant]], SUMIFS(Fixtures[INV], Fixtures[userTeam], Teams[[#This Row],[name]]), "")</f>
        <v/>
      </c>
      <c r="O345" s="1" t="str">
        <f>IF(Teams[[#This Row],[relevant]], SUMIFS(Fixtures[YC], Fixtures[userTeam], Teams[[#This Row],[name]]), "")</f>
        <v/>
      </c>
      <c r="P345" s="1" t="str">
        <f>IF(Teams[[#This Row],[relevant]], SUMIFS(Fixtures[RC], Fixtures[userTeam], Teams[[#This Row],[name]]), "")</f>
        <v/>
      </c>
      <c r="Q345" s="13" t="str">
        <f>IF(Teams[[#This Row],[relevant]], IF(ISERROR(AVERAGEIFS(Fixtures[MR], Fixtures[userTeam], Teams[[#This Row],[name]])), 0, AVERAGEIFS(Fixtures[MR], Fixtures[userTeam], Teams[[#This Row],[name]])), "")</f>
        <v/>
      </c>
      <c r="R345" s="1" t="str">
        <f>IF(Teams[[#This Row],[relevant]], COUNTIFS(Fixtures[userTeam], Teams[[#This Row],[name]], Fixtures[MOTM], TRUE), "")</f>
        <v/>
      </c>
      <c r="S345" s="1" t="str" cm="1">
        <f t="array" ref="S345">IF(Teams[[#This Row],[relevant]], _xlfn.TEXTJOIN(", ", TRUE, _xlfn._xlws.FILTER(Stats[competition]&amp;" ("&amp;Stats[season]&amp;")",(Stats[team]=Teams[[#This Row],[name]])*(Stats[result]="Winner"),"")), "")</f>
        <v/>
      </c>
    </row>
    <row r="346" spans="1:19" ht="13" hidden="1">
      <c r="A346" s="1" t="s">
        <v>715</v>
      </c>
      <c r="B346" s="1" t="s">
        <v>254</v>
      </c>
      <c r="C346" s="1" t="s">
        <v>391</v>
      </c>
      <c r="D346" s="1" t="str">
        <f>UPPER(_xlfn.CONCAT(LEFT(Teams[[#This Row],[teamType]], 1), "-", LEFT(SUBSTITUTE(Teams[[#This Row],[nation]], "/", ""), 3), "-", SUBSTITUTE(SUBSTITUTE(SUBSTITUTE(Teams[[#This Row],[name]], ".", ""), " ", ""), "-", "")))</f>
        <v>C-ITA-INTER</v>
      </c>
      <c r="E346" s="16"/>
      <c r="F346" s="16"/>
      <c r="G346" s="1" t="b">
        <f>COUNTBLANK(Teams[[#This Row],[startDate]:[endDate]]) &lt; 2</f>
        <v>0</v>
      </c>
      <c r="H346" s="1" t="str">
        <f>IF(Teams[[#This Row],[relevant]], COUNTIFS(Fixtures[userTeam], Teams[[#This Row],[name]], Fixtures[APP], TRUE), "")</f>
        <v/>
      </c>
      <c r="I346" s="1" t="str">
        <f>IF(Teams[[#This Row],[relevant]], COUNTIFS(Fixtures[userTeam], Teams[[#This Row],[name]], Fixtures[result], "W", Fixtures[APP], TRUE), "")</f>
        <v/>
      </c>
      <c r="J346" s="1" t="str">
        <f>IF(Teams[[#This Row],[relevant]], COUNTIFS(Fixtures[userTeam], Teams[[#This Row],[name]], Fixtures[result], "D", Fixtures[APP], TRUE), "")</f>
        <v/>
      </c>
      <c r="K346" s="1" t="str">
        <f>IF(Teams[[#This Row],[relevant]], COUNTIFS(Fixtures[userTeam], Teams[[#This Row],[name]], Fixtures[result], "L", Fixtures[APP], TRUE), "")</f>
        <v/>
      </c>
      <c r="L346" s="1" t="str">
        <f>IF(Teams[[#This Row],[relevant]], SUMIFS(Fixtures[G], Fixtures[userTeam], Teams[[#This Row],[name]]), "")</f>
        <v/>
      </c>
      <c r="M346" s="1" t="str">
        <f>IF(Teams[[#This Row],[relevant]], SUMIFS(Fixtures[A], Fixtures[userTeam], Teams[[#This Row],[name]]), "")</f>
        <v/>
      </c>
      <c r="N346" s="1" t="str">
        <f>IF(Teams[[#This Row],[relevant]], SUMIFS(Fixtures[INV], Fixtures[userTeam], Teams[[#This Row],[name]]), "")</f>
        <v/>
      </c>
      <c r="O346" s="1" t="str">
        <f>IF(Teams[[#This Row],[relevant]], SUMIFS(Fixtures[YC], Fixtures[userTeam], Teams[[#This Row],[name]]), "")</f>
        <v/>
      </c>
      <c r="P346" s="1" t="str">
        <f>IF(Teams[[#This Row],[relevant]], SUMIFS(Fixtures[RC], Fixtures[userTeam], Teams[[#This Row],[name]]), "")</f>
        <v/>
      </c>
      <c r="Q346" s="13" t="str">
        <f>IF(Teams[[#This Row],[relevant]], IF(ISERROR(AVERAGEIFS(Fixtures[MR], Fixtures[userTeam], Teams[[#This Row],[name]])), 0, AVERAGEIFS(Fixtures[MR], Fixtures[userTeam], Teams[[#This Row],[name]])), "")</f>
        <v/>
      </c>
      <c r="R346" s="1" t="str">
        <f>IF(Teams[[#This Row],[relevant]], COUNTIFS(Fixtures[userTeam], Teams[[#This Row],[name]], Fixtures[MOTM], TRUE), "")</f>
        <v/>
      </c>
      <c r="S346" s="1" t="str" cm="1">
        <f t="array" ref="S346">IF(Teams[[#This Row],[relevant]], _xlfn.TEXTJOIN(", ", TRUE, _xlfn._xlws.FILTER(Stats[competition]&amp;" ("&amp;Stats[season]&amp;")",(Stats[team]=Teams[[#This Row],[name]])*(Stats[result]="Winner"),"")), "")</f>
        <v/>
      </c>
    </row>
    <row r="347" spans="1:19" ht="13" hidden="1">
      <c r="A347" s="1" t="s">
        <v>716</v>
      </c>
      <c r="B347" s="1" t="s">
        <v>16</v>
      </c>
      <c r="C347" s="1" t="s">
        <v>391</v>
      </c>
      <c r="D347" s="1" t="str">
        <f>UPPER(_xlfn.CONCAT(LEFT(Teams[[#This Row],[teamType]], 1), "-", LEFT(SUBSTITUTE(Teams[[#This Row],[nation]], "/", ""), 3), "-", SUBSTITUTE(SUBSTITUTE(SUBSTITUTE(Teams[[#This Row],[name]], ".", ""), " ", ""), "-", "")))</f>
        <v>C-UNI-INTERMIAMICF</v>
      </c>
      <c r="E347" s="16"/>
      <c r="F347" s="16"/>
      <c r="G347" s="1" t="b">
        <f>COUNTBLANK(Teams[[#This Row],[startDate]:[endDate]]) &lt; 2</f>
        <v>0</v>
      </c>
      <c r="H347" s="1" t="str">
        <f>IF(Teams[[#This Row],[relevant]], COUNTIFS(Fixtures[userTeam], Teams[[#This Row],[name]], Fixtures[APP], TRUE), "")</f>
        <v/>
      </c>
      <c r="I347" s="1" t="str">
        <f>IF(Teams[[#This Row],[relevant]], COUNTIFS(Fixtures[userTeam], Teams[[#This Row],[name]], Fixtures[result], "W", Fixtures[APP], TRUE), "")</f>
        <v/>
      </c>
      <c r="J347" s="1" t="str">
        <f>IF(Teams[[#This Row],[relevant]], COUNTIFS(Fixtures[userTeam], Teams[[#This Row],[name]], Fixtures[result], "D", Fixtures[APP], TRUE), "")</f>
        <v/>
      </c>
      <c r="K347" s="1" t="str">
        <f>IF(Teams[[#This Row],[relevant]], COUNTIFS(Fixtures[userTeam], Teams[[#This Row],[name]], Fixtures[result], "L", Fixtures[APP], TRUE), "")</f>
        <v/>
      </c>
      <c r="L347" s="1" t="str">
        <f>IF(Teams[[#This Row],[relevant]], SUMIFS(Fixtures[G], Fixtures[userTeam], Teams[[#This Row],[name]]), "")</f>
        <v/>
      </c>
      <c r="M347" s="1" t="str">
        <f>IF(Teams[[#This Row],[relevant]], SUMIFS(Fixtures[A], Fixtures[userTeam], Teams[[#This Row],[name]]), "")</f>
        <v/>
      </c>
      <c r="N347" s="1" t="str">
        <f>IF(Teams[[#This Row],[relevant]], SUMIFS(Fixtures[INV], Fixtures[userTeam], Teams[[#This Row],[name]]), "")</f>
        <v/>
      </c>
      <c r="O347" s="1" t="str">
        <f>IF(Teams[[#This Row],[relevant]], SUMIFS(Fixtures[YC], Fixtures[userTeam], Teams[[#This Row],[name]]), "")</f>
        <v/>
      </c>
      <c r="P347" s="1" t="str">
        <f>IF(Teams[[#This Row],[relevant]], SUMIFS(Fixtures[RC], Fixtures[userTeam], Teams[[#This Row],[name]]), "")</f>
        <v/>
      </c>
      <c r="Q347" s="13" t="str">
        <f>IF(Teams[[#This Row],[relevant]], IF(ISERROR(AVERAGEIFS(Fixtures[MR], Fixtures[userTeam], Teams[[#This Row],[name]])), 0, AVERAGEIFS(Fixtures[MR], Fixtures[userTeam], Teams[[#This Row],[name]])), "")</f>
        <v/>
      </c>
      <c r="R347" s="1" t="str">
        <f>IF(Teams[[#This Row],[relevant]], COUNTIFS(Fixtures[userTeam], Teams[[#This Row],[name]], Fixtures[MOTM], TRUE), "")</f>
        <v/>
      </c>
      <c r="S347" s="1" t="str" cm="1">
        <f t="array" ref="S347">IF(Teams[[#This Row],[relevant]], _xlfn.TEXTJOIN(", ", TRUE, _xlfn._xlws.FILTER(Stats[competition]&amp;" ("&amp;Stats[season]&amp;")",(Stats[team]=Teams[[#This Row],[name]])*(Stats[result]="Winner"),"")), "")</f>
        <v/>
      </c>
    </row>
    <row r="348" spans="1:19" ht="13" hidden="1">
      <c r="A348" s="1" t="s">
        <v>717</v>
      </c>
      <c r="B348" s="1" t="s">
        <v>451</v>
      </c>
      <c r="C348" s="1" t="s">
        <v>391</v>
      </c>
      <c r="D348" s="1" t="str">
        <f>UPPER(_xlfn.CONCAT(LEFT(Teams[[#This Row],[teamType]], 1), "-", LEFT(SUBSTITUTE(Teams[[#This Row],[nation]], "/", ""), 3), "-", SUBSTITUTE(SUBSTITUTE(SUBSTITUTE(Teams[[#This Row],[name]], ".", ""), " ", ""), "-", "")))</f>
        <v>C-BRA-INTERNACIONAL</v>
      </c>
      <c r="E348" s="16"/>
      <c r="F348" s="16"/>
      <c r="G348" s="1" t="b">
        <f>COUNTBLANK(Teams[[#This Row],[startDate]:[endDate]]) &lt; 2</f>
        <v>0</v>
      </c>
      <c r="H348" s="1" t="str">
        <f>IF(Teams[[#This Row],[relevant]], COUNTIFS(Fixtures[userTeam], Teams[[#This Row],[name]], Fixtures[APP], TRUE), "")</f>
        <v/>
      </c>
      <c r="I348" s="1" t="str">
        <f>IF(Teams[[#This Row],[relevant]], COUNTIFS(Fixtures[userTeam], Teams[[#This Row],[name]], Fixtures[result], "W", Fixtures[APP], TRUE), "")</f>
        <v/>
      </c>
      <c r="J348" s="1" t="str">
        <f>IF(Teams[[#This Row],[relevant]], COUNTIFS(Fixtures[userTeam], Teams[[#This Row],[name]], Fixtures[result], "D", Fixtures[APP], TRUE), "")</f>
        <v/>
      </c>
      <c r="K348" s="1" t="str">
        <f>IF(Teams[[#This Row],[relevant]], COUNTIFS(Fixtures[userTeam], Teams[[#This Row],[name]], Fixtures[result], "L", Fixtures[APP], TRUE), "")</f>
        <v/>
      </c>
      <c r="L348" s="1" t="str">
        <f>IF(Teams[[#This Row],[relevant]], SUMIFS(Fixtures[G], Fixtures[userTeam], Teams[[#This Row],[name]]), "")</f>
        <v/>
      </c>
      <c r="M348" s="1" t="str">
        <f>IF(Teams[[#This Row],[relevant]], SUMIFS(Fixtures[A], Fixtures[userTeam], Teams[[#This Row],[name]]), "")</f>
        <v/>
      </c>
      <c r="N348" s="1" t="str">
        <f>IF(Teams[[#This Row],[relevant]], SUMIFS(Fixtures[INV], Fixtures[userTeam], Teams[[#This Row],[name]]), "")</f>
        <v/>
      </c>
      <c r="O348" s="1" t="str">
        <f>IF(Teams[[#This Row],[relevant]], SUMIFS(Fixtures[YC], Fixtures[userTeam], Teams[[#This Row],[name]]), "")</f>
        <v/>
      </c>
      <c r="P348" s="1" t="str">
        <f>IF(Teams[[#This Row],[relevant]], SUMIFS(Fixtures[RC], Fixtures[userTeam], Teams[[#This Row],[name]]), "")</f>
        <v/>
      </c>
      <c r="Q348" s="13" t="str">
        <f>IF(Teams[[#This Row],[relevant]], IF(ISERROR(AVERAGEIFS(Fixtures[MR], Fixtures[userTeam], Teams[[#This Row],[name]])), 0, AVERAGEIFS(Fixtures[MR], Fixtures[userTeam], Teams[[#This Row],[name]])), "")</f>
        <v/>
      </c>
      <c r="R348" s="1" t="str">
        <f>IF(Teams[[#This Row],[relevant]], COUNTIFS(Fixtures[userTeam], Teams[[#This Row],[name]], Fixtures[MOTM], TRUE), "")</f>
        <v/>
      </c>
      <c r="S348" s="1" t="str" cm="1">
        <f t="array" ref="S348">IF(Teams[[#This Row],[relevant]], _xlfn.TEXTJOIN(", ", TRUE, _xlfn._xlws.FILTER(Stats[competition]&amp;" ("&amp;Stats[season]&amp;")",(Stats[team]=Teams[[#This Row],[name]])*(Stats[result]="Winner"),"")), "")</f>
        <v/>
      </c>
    </row>
    <row r="349" spans="1:19" ht="13" hidden="1">
      <c r="A349" s="1" t="s">
        <v>227</v>
      </c>
      <c r="B349" s="1" t="s">
        <v>152</v>
      </c>
      <c r="C349" s="1" t="s">
        <v>391</v>
      </c>
      <c r="D349" s="1" t="str">
        <f>UPPER(_xlfn.CONCAT(LEFT(Teams[[#This Row],[teamType]], 1), "-", LEFT(SUBSTITUTE(Teams[[#This Row],[nation]], "/", ""), 3), "-", SUBSTITUTE(SUBSTITUTE(SUBSTITUTE(Teams[[#This Row],[name]], ".", ""), " ", ""), "-", "")))</f>
        <v>C-ENG-IPSWICH</v>
      </c>
      <c r="E349" s="16"/>
      <c r="F349" s="16"/>
      <c r="G349" s="1" t="b">
        <f>COUNTBLANK(Teams[[#This Row],[startDate]:[endDate]]) &lt; 2</f>
        <v>0</v>
      </c>
      <c r="H349" s="1" t="str">
        <f>IF(Teams[[#This Row],[relevant]], COUNTIFS(Fixtures[userTeam], Teams[[#This Row],[name]], Fixtures[APP], TRUE), "")</f>
        <v/>
      </c>
      <c r="I349" s="1" t="str">
        <f>IF(Teams[[#This Row],[relevant]], COUNTIFS(Fixtures[userTeam], Teams[[#This Row],[name]], Fixtures[result], "W", Fixtures[APP], TRUE), "")</f>
        <v/>
      </c>
      <c r="J349" s="1" t="str">
        <f>IF(Teams[[#This Row],[relevant]], COUNTIFS(Fixtures[userTeam], Teams[[#This Row],[name]], Fixtures[result], "D", Fixtures[APP], TRUE), "")</f>
        <v/>
      </c>
      <c r="K349" s="1" t="str">
        <f>IF(Teams[[#This Row],[relevant]], COUNTIFS(Fixtures[userTeam], Teams[[#This Row],[name]], Fixtures[result], "L", Fixtures[APP], TRUE), "")</f>
        <v/>
      </c>
      <c r="L349" s="1" t="str">
        <f>IF(Teams[[#This Row],[relevant]], SUMIFS(Fixtures[G], Fixtures[userTeam], Teams[[#This Row],[name]]), "")</f>
        <v/>
      </c>
      <c r="M349" s="1" t="str">
        <f>IF(Teams[[#This Row],[relevant]], SUMIFS(Fixtures[A], Fixtures[userTeam], Teams[[#This Row],[name]]), "")</f>
        <v/>
      </c>
      <c r="N349" s="1" t="str">
        <f>IF(Teams[[#This Row],[relevant]], SUMIFS(Fixtures[INV], Fixtures[userTeam], Teams[[#This Row],[name]]), "")</f>
        <v/>
      </c>
      <c r="O349" s="1" t="str">
        <f>IF(Teams[[#This Row],[relevant]], SUMIFS(Fixtures[YC], Fixtures[userTeam], Teams[[#This Row],[name]]), "")</f>
        <v/>
      </c>
      <c r="P349" s="1" t="str">
        <f>IF(Teams[[#This Row],[relevant]], SUMIFS(Fixtures[RC], Fixtures[userTeam], Teams[[#This Row],[name]]), "")</f>
        <v/>
      </c>
      <c r="Q349" s="13" t="str">
        <f>IF(Teams[[#This Row],[relevant]], IF(ISERROR(AVERAGEIFS(Fixtures[MR], Fixtures[userTeam], Teams[[#This Row],[name]])), 0, AVERAGEIFS(Fixtures[MR], Fixtures[userTeam], Teams[[#This Row],[name]])), "")</f>
        <v/>
      </c>
      <c r="R349" s="1" t="str">
        <f>IF(Teams[[#This Row],[relevant]], COUNTIFS(Fixtures[userTeam], Teams[[#This Row],[name]], Fixtures[MOTM], TRUE), "")</f>
        <v/>
      </c>
      <c r="S349" s="1" t="str" cm="1">
        <f t="array" ref="S349">IF(Teams[[#This Row],[relevant]], _xlfn.TEXTJOIN(", ", TRUE, _xlfn._xlws.FILTER(Stats[competition]&amp;" ("&amp;Stats[season]&amp;")",(Stats[team]=Teams[[#This Row],[name]])*(Stats[result]="Winner"),"")), "")</f>
        <v/>
      </c>
    </row>
    <row r="350" spans="1:19" ht="13" hidden="1">
      <c r="A350" s="1" t="s">
        <v>270</v>
      </c>
      <c r="B350" s="1" t="s">
        <v>270</v>
      </c>
      <c r="C350" s="1" t="s">
        <v>459</v>
      </c>
      <c r="D350" s="1" t="str">
        <f>UPPER(_xlfn.CONCAT(LEFT(Teams[[#This Row],[teamType]], 1), "-", LEFT(SUBSTITUTE(Teams[[#This Row],[nation]], "/", ""), 3), "-", SUBSTITUTE(SUBSTITUTE(SUBSTITUTE(Teams[[#This Row],[name]], ".", ""), " ", ""), "-", "")))</f>
        <v>N-IRE-IRELAND</v>
      </c>
      <c r="E350" s="16"/>
      <c r="F350" s="16"/>
      <c r="G350" s="1" t="b">
        <f>COUNTBLANK(Teams[[#This Row],[startDate]:[endDate]]) &lt; 2</f>
        <v>0</v>
      </c>
      <c r="H350" s="1" t="str">
        <f>IF(Teams[[#This Row],[relevant]], COUNTIFS(Fixtures[userTeam], Teams[[#This Row],[name]], Fixtures[APP], TRUE), "")</f>
        <v/>
      </c>
      <c r="I350" s="1" t="str">
        <f>IF(Teams[[#This Row],[relevant]], COUNTIFS(Fixtures[userTeam], Teams[[#This Row],[name]], Fixtures[result], "W", Fixtures[APP], TRUE), "")</f>
        <v/>
      </c>
      <c r="J350" s="1" t="str">
        <f>IF(Teams[[#This Row],[relevant]], COUNTIFS(Fixtures[userTeam], Teams[[#This Row],[name]], Fixtures[result], "D", Fixtures[APP], TRUE), "")</f>
        <v/>
      </c>
      <c r="K350" s="1" t="str">
        <f>IF(Teams[[#This Row],[relevant]], COUNTIFS(Fixtures[userTeam], Teams[[#This Row],[name]], Fixtures[result], "L", Fixtures[APP], TRUE), "")</f>
        <v/>
      </c>
      <c r="L350" s="1" t="str">
        <f>IF(Teams[[#This Row],[relevant]], SUMIFS(Fixtures[G], Fixtures[userTeam], Teams[[#This Row],[name]]), "")</f>
        <v/>
      </c>
      <c r="M350" s="1" t="str">
        <f>IF(Teams[[#This Row],[relevant]], SUMIFS(Fixtures[A], Fixtures[userTeam], Teams[[#This Row],[name]]), "")</f>
        <v/>
      </c>
      <c r="N350" s="1" t="str">
        <f>IF(Teams[[#This Row],[relevant]], SUMIFS(Fixtures[INV], Fixtures[userTeam], Teams[[#This Row],[name]]), "")</f>
        <v/>
      </c>
      <c r="O350" s="1" t="str">
        <f>IF(Teams[[#This Row],[relevant]], SUMIFS(Fixtures[YC], Fixtures[userTeam], Teams[[#This Row],[name]]), "")</f>
        <v/>
      </c>
      <c r="P350" s="1" t="str">
        <f>IF(Teams[[#This Row],[relevant]], SUMIFS(Fixtures[RC], Fixtures[userTeam], Teams[[#This Row],[name]]), "")</f>
        <v/>
      </c>
      <c r="Q350" s="13" t="str">
        <f>IF(Teams[[#This Row],[relevant]], IF(ISERROR(AVERAGEIFS(Fixtures[MR], Fixtures[userTeam], Teams[[#This Row],[name]])), 0, AVERAGEIFS(Fixtures[MR], Fixtures[userTeam], Teams[[#This Row],[name]])), "")</f>
        <v/>
      </c>
      <c r="R350" s="1" t="str">
        <f>IF(Teams[[#This Row],[relevant]], COUNTIFS(Fixtures[userTeam], Teams[[#This Row],[name]], Fixtures[MOTM], TRUE), "")</f>
        <v/>
      </c>
      <c r="S350" s="1" t="str" cm="1">
        <f t="array" ref="S350">IF(Teams[[#This Row],[relevant]], _xlfn.TEXTJOIN(", ", TRUE, _xlfn._xlws.FILTER(Stats[competition]&amp;" ("&amp;Stats[season]&amp;")",(Stats[team]=Teams[[#This Row],[name]])*(Stats[result]="Winner"),"")), "")</f>
        <v/>
      </c>
    </row>
    <row r="351" spans="1:19" ht="13" hidden="1">
      <c r="A351" s="1" t="s">
        <v>718</v>
      </c>
      <c r="B351" s="1" t="s">
        <v>408</v>
      </c>
      <c r="C351" s="1" t="s">
        <v>391</v>
      </c>
      <c r="D351" s="1" t="str">
        <f>UPPER(_xlfn.CONCAT(LEFT(Teams[[#This Row],[teamType]], 1), "-", LEFT(SUBSTITUTE(Teams[[#This Row],[nation]], "/", ""), 3), "-", SUBSTITUTE(SUBSTITUTE(SUBSTITUTE(Teams[[#This Row],[name]], ".", ""), " ", ""), "-", "")))</f>
        <v>C-TUR-İSTANBULSPOR</v>
      </c>
      <c r="E351" s="16"/>
      <c r="F351" s="16"/>
      <c r="G351" s="1" t="b">
        <f>COUNTBLANK(Teams[[#This Row],[startDate]:[endDate]]) &lt; 2</f>
        <v>0</v>
      </c>
      <c r="H351" s="1" t="str">
        <f>IF(Teams[[#This Row],[relevant]], COUNTIFS(Fixtures[userTeam], Teams[[#This Row],[name]], Fixtures[APP], TRUE), "")</f>
        <v/>
      </c>
      <c r="I351" s="1" t="str">
        <f>IF(Teams[[#This Row],[relevant]], COUNTIFS(Fixtures[userTeam], Teams[[#This Row],[name]], Fixtures[result], "W", Fixtures[APP], TRUE), "")</f>
        <v/>
      </c>
      <c r="J351" s="1" t="str">
        <f>IF(Teams[[#This Row],[relevant]], COUNTIFS(Fixtures[userTeam], Teams[[#This Row],[name]], Fixtures[result], "D", Fixtures[APP], TRUE), "")</f>
        <v/>
      </c>
      <c r="K351" s="1" t="str">
        <f>IF(Teams[[#This Row],[relevant]], COUNTIFS(Fixtures[userTeam], Teams[[#This Row],[name]], Fixtures[result], "L", Fixtures[APP], TRUE), "")</f>
        <v/>
      </c>
      <c r="L351" s="1" t="str">
        <f>IF(Teams[[#This Row],[relevant]], SUMIFS(Fixtures[G], Fixtures[userTeam], Teams[[#This Row],[name]]), "")</f>
        <v/>
      </c>
      <c r="M351" s="1" t="str">
        <f>IF(Teams[[#This Row],[relevant]], SUMIFS(Fixtures[A], Fixtures[userTeam], Teams[[#This Row],[name]]), "")</f>
        <v/>
      </c>
      <c r="N351" s="1" t="str">
        <f>IF(Teams[[#This Row],[relevant]], SUMIFS(Fixtures[INV], Fixtures[userTeam], Teams[[#This Row],[name]]), "")</f>
        <v/>
      </c>
      <c r="O351" s="1" t="str">
        <f>IF(Teams[[#This Row],[relevant]], SUMIFS(Fixtures[YC], Fixtures[userTeam], Teams[[#This Row],[name]]), "")</f>
        <v/>
      </c>
      <c r="P351" s="1" t="str">
        <f>IF(Teams[[#This Row],[relevant]], SUMIFS(Fixtures[RC], Fixtures[userTeam], Teams[[#This Row],[name]]), "")</f>
        <v/>
      </c>
      <c r="Q351" s="13" t="str">
        <f>IF(Teams[[#This Row],[relevant]], IF(ISERROR(AVERAGEIFS(Fixtures[MR], Fixtures[userTeam], Teams[[#This Row],[name]])), 0, AVERAGEIFS(Fixtures[MR], Fixtures[userTeam], Teams[[#This Row],[name]])), "")</f>
        <v/>
      </c>
      <c r="R351" s="1" t="str">
        <f>IF(Teams[[#This Row],[relevant]], COUNTIFS(Fixtures[userTeam], Teams[[#This Row],[name]], Fixtures[MOTM], TRUE), "")</f>
        <v/>
      </c>
      <c r="S351" s="1" t="str" cm="1">
        <f t="array" ref="S351">IF(Teams[[#This Row],[relevant]], _xlfn.TEXTJOIN(", ", TRUE, _xlfn._xlws.FILTER(Stats[competition]&amp;" ("&amp;Stats[season]&amp;")",(Stats[team]=Teams[[#This Row],[name]])*(Stats[result]="Winner"),"")), "")</f>
        <v/>
      </c>
    </row>
    <row r="352" spans="1:19" ht="13" hidden="1">
      <c r="A352" s="1" t="s">
        <v>254</v>
      </c>
      <c r="B352" s="1" t="s">
        <v>254</v>
      </c>
      <c r="C352" s="1" t="s">
        <v>459</v>
      </c>
      <c r="D352" s="1" t="str">
        <f>UPPER(_xlfn.CONCAT(LEFT(Teams[[#This Row],[teamType]], 1), "-", LEFT(SUBSTITUTE(Teams[[#This Row],[nation]], "/", ""), 3), "-", SUBSTITUTE(SUBSTITUTE(SUBSTITUTE(Teams[[#This Row],[name]], ".", ""), " ", ""), "-", "")))</f>
        <v>N-ITA-ITALY</v>
      </c>
      <c r="E352" s="16"/>
      <c r="F352" s="16"/>
      <c r="G352" s="1" t="b">
        <f>COUNTBLANK(Teams[[#This Row],[startDate]:[endDate]]) &lt; 2</f>
        <v>0</v>
      </c>
      <c r="H352" s="1" t="str">
        <f>IF(Teams[[#This Row],[relevant]], COUNTIFS(Fixtures[userTeam], Teams[[#This Row],[name]], Fixtures[APP], TRUE), "")</f>
        <v/>
      </c>
      <c r="I352" s="1" t="str">
        <f>IF(Teams[[#This Row],[relevant]], COUNTIFS(Fixtures[userTeam], Teams[[#This Row],[name]], Fixtures[result], "W", Fixtures[APP], TRUE), "")</f>
        <v/>
      </c>
      <c r="J352" s="1" t="str">
        <f>IF(Teams[[#This Row],[relevant]], COUNTIFS(Fixtures[userTeam], Teams[[#This Row],[name]], Fixtures[result], "D", Fixtures[APP], TRUE), "")</f>
        <v/>
      </c>
      <c r="K352" s="1" t="str">
        <f>IF(Teams[[#This Row],[relevant]], COUNTIFS(Fixtures[userTeam], Teams[[#This Row],[name]], Fixtures[result], "L", Fixtures[APP], TRUE), "")</f>
        <v/>
      </c>
      <c r="L352" s="1" t="str">
        <f>IF(Teams[[#This Row],[relevant]], SUMIFS(Fixtures[G], Fixtures[userTeam], Teams[[#This Row],[name]]), "")</f>
        <v/>
      </c>
      <c r="M352" s="1" t="str">
        <f>IF(Teams[[#This Row],[relevant]], SUMIFS(Fixtures[A], Fixtures[userTeam], Teams[[#This Row],[name]]), "")</f>
        <v/>
      </c>
      <c r="N352" s="1" t="str">
        <f>IF(Teams[[#This Row],[relevant]], SUMIFS(Fixtures[INV], Fixtures[userTeam], Teams[[#This Row],[name]]), "")</f>
        <v/>
      </c>
      <c r="O352" s="1" t="str">
        <f>IF(Teams[[#This Row],[relevant]], SUMIFS(Fixtures[YC], Fixtures[userTeam], Teams[[#This Row],[name]]), "")</f>
        <v/>
      </c>
      <c r="P352" s="1" t="str">
        <f>IF(Teams[[#This Row],[relevant]], SUMIFS(Fixtures[RC], Fixtures[userTeam], Teams[[#This Row],[name]]), "")</f>
        <v/>
      </c>
      <c r="Q352" s="13" t="str">
        <f>IF(Teams[[#This Row],[relevant]], IF(ISERROR(AVERAGEIFS(Fixtures[MR], Fixtures[userTeam], Teams[[#This Row],[name]])), 0, AVERAGEIFS(Fixtures[MR], Fixtures[userTeam], Teams[[#This Row],[name]])), "")</f>
        <v/>
      </c>
      <c r="R352" s="1" t="str">
        <f>IF(Teams[[#This Row],[relevant]], COUNTIFS(Fixtures[userTeam], Teams[[#This Row],[name]], Fixtures[MOTM], TRUE), "")</f>
        <v/>
      </c>
      <c r="S352" s="1" t="str" cm="1">
        <f t="array" ref="S352">IF(Teams[[#This Row],[relevant]], _xlfn.TEXTJOIN(", ", TRUE, _xlfn._xlws.FILTER(Stats[competition]&amp;" ("&amp;Stats[season]&amp;")",(Stats[team]=Teams[[#This Row],[name]])*(Stats[result]="Winner"),"")), "")</f>
        <v/>
      </c>
    </row>
    <row r="353" spans="1:19" ht="13" hidden="1">
      <c r="A353" s="1" t="s">
        <v>719</v>
      </c>
      <c r="B353" s="1" t="s">
        <v>213</v>
      </c>
      <c r="C353" s="1" t="s">
        <v>391</v>
      </c>
      <c r="D353" s="1" t="str">
        <f>UPPER(_xlfn.CONCAT(LEFT(Teams[[#This Row],[teamType]], 1), "-", LEFT(SUBSTITUTE(Teams[[#This Row],[nation]], "/", ""), 3), "-", SUBSTITUTE(SUBSTITUTE(SUBSTITUTE(Teams[[#This Row],[name]], ".", ""), " ", ""), "-", "")))</f>
        <v>C-POL-JAGIELLONIA</v>
      </c>
      <c r="E353" s="16"/>
      <c r="F353" s="16"/>
      <c r="G353" s="1" t="b">
        <f>COUNTBLANK(Teams[[#This Row],[startDate]:[endDate]]) &lt; 2</f>
        <v>0</v>
      </c>
      <c r="H353" s="1" t="str">
        <f>IF(Teams[[#This Row],[relevant]], COUNTIFS(Fixtures[userTeam], Teams[[#This Row],[name]], Fixtures[APP], TRUE), "")</f>
        <v/>
      </c>
      <c r="I353" s="1" t="str">
        <f>IF(Teams[[#This Row],[relevant]], COUNTIFS(Fixtures[userTeam], Teams[[#This Row],[name]], Fixtures[result], "W", Fixtures[APP], TRUE), "")</f>
        <v/>
      </c>
      <c r="J353" s="1" t="str">
        <f>IF(Teams[[#This Row],[relevant]], COUNTIFS(Fixtures[userTeam], Teams[[#This Row],[name]], Fixtures[result], "D", Fixtures[APP], TRUE), "")</f>
        <v/>
      </c>
      <c r="K353" s="1" t="str">
        <f>IF(Teams[[#This Row],[relevant]], COUNTIFS(Fixtures[userTeam], Teams[[#This Row],[name]], Fixtures[result], "L", Fixtures[APP], TRUE), "")</f>
        <v/>
      </c>
      <c r="L353" s="1" t="str">
        <f>IF(Teams[[#This Row],[relevant]], SUMIFS(Fixtures[G], Fixtures[userTeam], Teams[[#This Row],[name]]), "")</f>
        <v/>
      </c>
      <c r="M353" s="1" t="str">
        <f>IF(Teams[[#This Row],[relevant]], SUMIFS(Fixtures[A], Fixtures[userTeam], Teams[[#This Row],[name]]), "")</f>
        <v/>
      </c>
      <c r="N353" s="1" t="str">
        <f>IF(Teams[[#This Row],[relevant]], SUMIFS(Fixtures[INV], Fixtures[userTeam], Teams[[#This Row],[name]]), "")</f>
        <v/>
      </c>
      <c r="O353" s="1" t="str">
        <f>IF(Teams[[#This Row],[relevant]], SUMIFS(Fixtures[YC], Fixtures[userTeam], Teams[[#This Row],[name]]), "")</f>
        <v/>
      </c>
      <c r="P353" s="1" t="str">
        <f>IF(Teams[[#This Row],[relevant]], SUMIFS(Fixtures[RC], Fixtures[userTeam], Teams[[#This Row],[name]]), "")</f>
        <v/>
      </c>
      <c r="Q353" s="13" t="str">
        <f>IF(Teams[[#This Row],[relevant]], IF(ISERROR(AVERAGEIFS(Fixtures[MR], Fixtures[userTeam], Teams[[#This Row],[name]])), 0, AVERAGEIFS(Fixtures[MR], Fixtures[userTeam], Teams[[#This Row],[name]])), "")</f>
        <v/>
      </c>
      <c r="R353" s="1" t="str">
        <f>IF(Teams[[#This Row],[relevant]], COUNTIFS(Fixtures[userTeam], Teams[[#This Row],[name]], Fixtures[MOTM], TRUE), "")</f>
        <v/>
      </c>
      <c r="S353" s="1" t="str" cm="1">
        <f t="array" ref="S353">IF(Teams[[#This Row],[relevant]], _xlfn.TEXTJOIN(", ", TRUE, _xlfn._xlws.FILTER(Stats[competition]&amp;" ("&amp;Stats[season]&amp;")",(Stats[team]=Teams[[#This Row],[name]])*(Stats[result]="Winner"),"")), "")</f>
        <v/>
      </c>
    </row>
    <row r="354" spans="1:19" ht="13" hidden="1">
      <c r="A354" s="1" t="s">
        <v>720</v>
      </c>
      <c r="B354" s="1" t="s">
        <v>337</v>
      </c>
      <c r="C354" s="1" t="s">
        <v>391</v>
      </c>
      <c r="D354" s="1" t="str">
        <f>UPPER(_xlfn.CONCAT(LEFT(Teams[[#This Row],[teamType]], 1), "-", LEFT(SUBSTITUTE(Teams[[#This Row],[nation]], "/", ""), 3), "-", SUBSTITUTE(SUBSTITUTE(SUBSTITUTE(Teams[[#This Row],[name]], ".", ""), " ", ""), "-", "")))</f>
        <v>C-GER-JAHNREGENSBURG</v>
      </c>
      <c r="E354" s="16"/>
      <c r="F354" s="16"/>
      <c r="G354" s="1" t="b">
        <f>COUNTBLANK(Teams[[#This Row],[startDate]:[endDate]]) &lt; 2</f>
        <v>0</v>
      </c>
      <c r="H354" s="1" t="str">
        <f>IF(Teams[[#This Row],[relevant]], COUNTIFS(Fixtures[userTeam], Teams[[#This Row],[name]], Fixtures[APP], TRUE), "")</f>
        <v/>
      </c>
      <c r="I354" s="1" t="str">
        <f>IF(Teams[[#This Row],[relevant]], COUNTIFS(Fixtures[userTeam], Teams[[#This Row],[name]], Fixtures[result], "W", Fixtures[APP], TRUE), "")</f>
        <v/>
      </c>
      <c r="J354" s="1" t="str">
        <f>IF(Teams[[#This Row],[relevant]], COUNTIFS(Fixtures[userTeam], Teams[[#This Row],[name]], Fixtures[result], "D", Fixtures[APP], TRUE), "")</f>
        <v/>
      </c>
      <c r="K354" s="1" t="str">
        <f>IF(Teams[[#This Row],[relevant]], COUNTIFS(Fixtures[userTeam], Teams[[#This Row],[name]], Fixtures[result], "L", Fixtures[APP], TRUE), "")</f>
        <v/>
      </c>
      <c r="L354" s="1" t="str">
        <f>IF(Teams[[#This Row],[relevant]], SUMIFS(Fixtures[G], Fixtures[userTeam], Teams[[#This Row],[name]]), "")</f>
        <v/>
      </c>
      <c r="M354" s="1" t="str">
        <f>IF(Teams[[#This Row],[relevant]], SUMIFS(Fixtures[A], Fixtures[userTeam], Teams[[#This Row],[name]]), "")</f>
        <v/>
      </c>
      <c r="N354" s="1" t="str">
        <f>IF(Teams[[#This Row],[relevant]], SUMIFS(Fixtures[INV], Fixtures[userTeam], Teams[[#This Row],[name]]), "")</f>
        <v/>
      </c>
      <c r="O354" s="1" t="str">
        <f>IF(Teams[[#This Row],[relevant]], SUMIFS(Fixtures[YC], Fixtures[userTeam], Teams[[#This Row],[name]]), "")</f>
        <v/>
      </c>
      <c r="P354" s="1" t="str">
        <f>IF(Teams[[#This Row],[relevant]], SUMIFS(Fixtures[RC], Fixtures[userTeam], Teams[[#This Row],[name]]), "")</f>
        <v/>
      </c>
      <c r="Q354" s="13" t="str">
        <f>IF(Teams[[#This Row],[relevant]], IF(ISERROR(AVERAGEIFS(Fixtures[MR], Fixtures[userTeam], Teams[[#This Row],[name]])), 0, AVERAGEIFS(Fixtures[MR], Fixtures[userTeam], Teams[[#This Row],[name]])), "")</f>
        <v/>
      </c>
      <c r="R354" s="1" t="str">
        <f>IF(Teams[[#This Row],[relevant]], COUNTIFS(Fixtures[userTeam], Teams[[#This Row],[name]], Fixtures[MOTM], TRUE), "")</f>
        <v/>
      </c>
      <c r="S354" s="1" t="str" cm="1">
        <f t="array" ref="S354">IF(Teams[[#This Row],[relevant]], _xlfn.TEXTJOIN(", ", TRUE, _xlfn._xlws.FILTER(Stats[competition]&amp;" ("&amp;Stats[season]&amp;")",(Stats[team]=Teams[[#This Row],[name]])*(Stats[result]="Winner"),"")), "")</f>
        <v/>
      </c>
    </row>
    <row r="355" spans="1:19" ht="13" hidden="1">
      <c r="A355" s="1" t="s">
        <v>721</v>
      </c>
      <c r="B355" s="1" t="s">
        <v>473</v>
      </c>
      <c r="C355" s="1" t="s">
        <v>391</v>
      </c>
      <c r="D355" s="1" t="str">
        <f>UPPER(_xlfn.CONCAT(LEFT(Teams[[#This Row],[teamType]], 1), "-", LEFT(SUBSTITUTE(Teams[[#This Row],[nation]], "/", ""), 3), "-", SUBSTITUTE(SUBSTITUTE(SUBSTITUTE(Teams[[#This Row],[name]], ".", ""), " ", ""), "-", "")))</f>
        <v>C-IND-JAMSHEDPURFC</v>
      </c>
      <c r="E355" s="16"/>
      <c r="F355" s="16"/>
      <c r="G355" s="1" t="b">
        <f>COUNTBLANK(Teams[[#This Row],[startDate]:[endDate]]) &lt; 2</f>
        <v>0</v>
      </c>
      <c r="H355" s="1" t="str">
        <f>IF(Teams[[#This Row],[relevant]], COUNTIFS(Fixtures[userTeam], Teams[[#This Row],[name]], Fixtures[APP], TRUE), "")</f>
        <v/>
      </c>
      <c r="I355" s="1" t="str">
        <f>IF(Teams[[#This Row],[relevant]], COUNTIFS(Fixtures[userTeam], Teams[[#This Row],[name]], Fixtures[result], "W", Fixtures[APP], TRUE), "")</f>
        <v/>
      </c>
      <c r="J355" s="1" t="str">
        <f>IF(Teams[[#This Row],[relevant]], COUNTIFS(Fixtures[userTeam], Teams[[#This Row],[name]], Fixtures[result], "D", Fixtures[APP], TRUE), "")</f>
        <v/>
      </c>
      <c r="K355" s="1" t="str">
        <f>IF(Teams[[#This Row],[relevant]], COUNTIFS(Fixtures[userTeam], Teams[[#This Row],[name]], Fixtures[result], "L", Fixtures[APP], TRUE), "")</f>
        <v/>
      </c>
      <c r="L355" s="1" t="str">
        <f>IF(Teams[[#This Row],[relevant]], SUMIFS(Fixtures[G], Fixtures[userTeam], Teams[[#This Row],[name]]), "")</f>
        <v/>
      </c>
      <c r="M355" s="1" t="str">
        <f>IF(Teams[[#This Row],[relevant]], SUMIFS(Fixtures[A], Fixtures[userTeam], Teams[[#This Row],[name]]), "")</f>
        <v/>
      </c>
      <c r="N355" s="1" t="str">
        <f>IF(Teams[[#This Row],[relevant]], SUMIFS(Fixtures[INV], Fixtures[userTeam], Teams[[#This Row],[name]]), "")</f>
        <v/>
      </c>
      <c r="O355" s="1" t="str">
        <f>IF(Teams[[#This Row],[relevant]], SUMIFS(Fixtures[YC], Fixtures[userTeam], Teams[[#This Row],[name]]), "")</f>
        <v/>
      </c>
      <c r="P355" s="1" t="str">
        <f>IF(Teams[[#This Row],[relevant]], SUMIFS(Fixtures[RC], Fixtures[userTeam], Teams[[#This Row],[name]]), "")</f>
        <v/>
      </c>
      <c r="Q355" s="13" t="str">
        <f>IF(Teams[[#This Row],[relevant]], IF(ISERROR(AVERAGEIFS(Fixtures[MR], Fixtures[userTeam], Teams[[#This Row],[name]])), 0, AVERAGEIFS(Fixtures[MR], Fixtures[userTeam], Teams[[#This Row],[name]])), "")</f>
        <v/>
      </c>
      <c r="R355" s="1" t="str">
        <f>IF(Teams[[#This Row],[relevant]], COUNTIFS(Fixtures[userTeam], Teams[[#This Row],[name]], Fixtures[MOTM], TRUE), "")</f>
        <v/>
      </c>
      <c r="S355" s="1" t="str" cm="1">
        <f t="array" ref="S355">IF(Teams[[#This Row],[relevant]], _xlfn.TEXTJOIN(", ", TRUE, _xlfn._xlws.FILTER(Stats[competition]&amp;" ("&amp;Stats[season]&amp;")",(Stats[team]=Teams[[#This Row],[name]])*(Stats[result]="Winner"),"")), "")</f>
        <v/>
      </c>
    </row>
    <row r="356" spans="1:19" ht="13" hidden="1">
      <c r="A356" s="1" t="s">
        <v>722</v>
      </c>
      <c r="B356" s="1" t="s">
        <v>568</v>
      </c>
      <c r="C356" s="1" t="s">
        <v>391</v>
      </c>
      <c r="D356" s="1" t="str">
        <f>UPPER(_xlfn.CONCAT(LEFT(Teams[[#This Row],[teamType]], 1), "-", LEFT(SUBSTITUTE(Teams[[#This Row],[nation]], "/", ""), 3), "-", SUBSTITUTE(SUBSTITUTE(SUBSTITUTE(Teams[[#This Row],[name]], ".", ""), " ", ""), "-", "")))</f>
        <v>C-KOR-JEJUUNITED</v>
      </c>
      <c r="E356" s="16"/>
      <c r="F356" s="16"/>
      <c r="G356" s="1" t="b">
        <f>COUNTBLANK(Teams[[#This Row],[startDate]:[endDate]]) &lt; 2</f>
        <v>0</v>
      </c>
      <c r="H356" s="1" t="str">
        <f>IF(Teams[[#This Row],[relevant]], COUNTIFS(Fixtures[userTeam], Teams[[#This Row],[name]], Fixtures[APP], TRUE), "")</f>
        <v/>
      </c>
      <c r="I356" s="1" t="str">
        <f>IF(Teams[[#This Row],[relevant]], COUNTIFS(Fixtures[userTeam], Teams[[#This Row],[name]], Fixtures[result], "W", Fixtures[APP], TRUE), "")</f>
        <v/>
      </c>
      <c r="J356" s="1" t="str">
        <f>IF(Teams[[#This Row],[relevant]], COUNTIFS(Fixtures[userTeam], Teams[[#This Row],[name]], Fixtures[result], "D", Fixtures[APP], TRUE), "")</f>
        <v/>
      </c>
      <c r="K356" s="1" t="str">
        <f>IF(Teams[[#This Row],[relevant]], COUNTIFS(Fixtures[userTeam], Teams[[#This Row],[name]], Fixtures[result], "L", Fixtures[APP], TRUE), "")</f>
        <v/>
      </c>
      <c r="L356" s="1" t="str">
        <f>IF(Teams[[#This Row],[relevant]], SUMIFS(Fixtures[G], Fixtures[userTeam], Teams[[#This Row],[name]]), "")</f>
        <v/>
      </c>
      <c r="M356" s="1" t="str">
        <f>IF(Teams[[#This Row],[relevant]], SUMIFS(Fixtures[A], Fixtures[userTeam], Teams[[#This Row],[name]]), "")</f>
        <v/>
      </c>
      <c r="N356" s="1" t="str">
        <f>IF(Teams[[#This Row],[relevant]], SUMIFS(Fixtures[INV], Fixtures[userTeam], Teams[[#This Row],[name]]), "")</f>
        <v/>
      </c>
      <c r="O356" s="1" t="str">
        <f>IF(Teams[[#This Row],[relevant]], SUMIFS(Fixtures[YC], Fixtures[userTeam], Teams[[#This Row],[name]]), "")</f>
        <v/>
      </c>
      <c r="P356" s="1" t="str">
        <f>IF(Teams[[#This Row],[relevant]], SUMIFS(Fixtures[RC], Fixtures[userTeam], Teams[[#This Row],[name]]), "")</f>
        <v/>
      </c>
      <c r="Q356" s="13" t="str">
        <f>IF(Teams[[#This Row],[relevant]], IF(ISERROR(AVERAGEIFS(Fixtures[MR], Fixtures[userTeam], Teams[[#This Row],[name]])), 0, AVERAGEIFS(Fixtures[MR], Fixtures[userTeam], Teams[[#This Row],[name]])), "")</f>
        <v/>
      </c>
      <c r="R356" s="1" t="str">
        <f>IF(Teams[[#This Row],[relevant]], COUNTIFS(Fixtures[userTeam], Teams[[#This Row],[name]], Fixtures[MOTM], TRUE), "")</f>
        <v/>
      </c>
      <c r="S356" s="1" t="str" cm="1">
        <f t="array" ref="S356">IF(Teams[[#This Row],[relevant]], _xlfn.TEXTJOIN(", ", TRUE, _xlfn._xlws.FILTER(Stats[competition]&amp;" ("&amp;Stats[season]&amp;")",(Stats[team]=Teams[[#This Row],[name]])*(Stats[result]="Winner"),"")), "")</f>
        <v/>
      </c>
    </row>
    <row r="357" spans="1:19" ht="13" hidden="1">
      <c r="A357" s="1" t="s">
        <v>723</v>
      </c>
      <c r="B357" s="1" t="s">
        <v>568</v>
      </c>
      <c r="C357" s="1" t="s">
        <v>391</v>
      </c>
      <c r="D357" s="1" t="str">
        <f>UPPER(_xlfn.CONCAT(LEFT(Teams[[#This Row],[teamType]], 1), "-", LEFT(SUBSTITUTE(Teams[[#This Row],[nation]], "/", ""), 3), "-", SUBSTITUTE(SUBSTITUTE(SUBSTITUTE(Teams[[#This Row],[name]], ".", ""), " ", ""), "-", "")))</f>
        <v>C-KOR-JEONBUKHYUNDAI</v>
      </c>
      <c r="E357" s="16"/>
      <c r="F357" s="16"/>
      <c r="G357" s="1" t="b">
        <f>COUNTBLANK(Teams[[#This Row],[startDate]:[endDate]]) &lt; 2</f>
        <v>0</v>
      </c>
      <c r="H357" s="1" t="str">
        <f>IF(Teams[[#This Row],[relevant]], COUNTIFS(Fixtures[userTeam], Teams[[#This Row],[name]], Fixtures[APP], TRUE), "")</f>
        <v/>
      </c>
      <c r="I357" s="1" t="str">
        <f>IF(Teams[[#This Row],[relevant]], COUNTIFS(Fixtures[userTeam], Teams[[#This Row],[name]], Fixtures[result], "W", Fixtures[APP], TRUE), "")</f>
        <v/>
      </c>
      <c r="J357" s="1" t="str">
        <f>IF(Teams[[#This Row],[relevant]], COUNTIFS(Fixtures[userTeam], Teams[[#This Row],[name]], Fixtures[result], "D", Fixtures[APP], TRUE), "")</f>
        <v/>
      </c>
      <c r="K357" s="1" t="str">
        <f>IF(Teams[[#This Row],[relevant]], COUNTIFS(Fixtures[userTeam], Teams[[#This Row],[name]], Fixtures[result], "L", Fixtures[APP], TRUE), "")</f>
        <v/>
      </c>
      <c r="L357" s="1" t="str">
        <f>IF(Teams[[#This Row],[relevant]], SUMIFS(Fixtures[G], Fixtures[userTeam], Teams[[#This Row],[name]]), "")</f>
        <v/>
      </c>
      <c r="M357" s="1" t="str">
        <f>IF(Teams[[#This Row],[relevant]], SUMIFS(Fixtures[A], Fixtures[userTeam], Teams[[#This Row],[name]]), "")</f>
        <v/>
      </c>
      <c r="N357" s="1" t="str">
        <f>IF(Teams[[#This Row],[relevant]], SUMIFS(Fixtures[INV], Fixtures[userTeam], Teams[[#This Row],[name]]), "")</f>
        <v/>
      </c>
      <c r="O357" s="1" t="str">
        <f>IF(Teams[[#This Row],[relevant]], SUMIFS(Fixtures[YC], Fixtures[userTeam], Teams[[#This Row],[name]]), "")</f>
        <v/>
      </c>
      <c r="P357" s="1" t="str">
        <f>IF(Teams[[#This Row],[relevant]], SUMIFS(Fixtures[RC], Fixtures[userTeam], Teams[[#This Row],[name]]), "")</f>
        <v/>
      </c>
      <c r="Q357" s="13" t="str">
        <f>IF(Teams[[#This Row],[relevant]], IF(ISERROR(AVERAGEIFS(Fixtures[MR], Fixtures[userTeam], Teams[[#This Row],[name]])), 0, AVERAGEIFS(Fixtures[MR], Fixtures[userTeam], Teams[[#This Row],[name]])), "")</f>
        <v/>
      </c>
      <c r="R357" s="1" t="str">
        <f>IF(Teams[[#This Row],[relevant]], COUNTIFS(Fixtures[userTeam], Teams[[#This Row],[name]], Fixtures[MOTM], TRUE), "")</f>
        <v/>
      </c>
      <c r="S357" s="1" t="str" cm="1">
        <f t="array" ref="S357">IF(Teams[[#This Row],[relevant]], _xlfn.TEXTJOIN(", ", TRUE, _xlfn._xlws.FILTER(Stats[competition]&amp;" ("&amp;Stats[season]&amp;")",(Stats[team]=Teams[[#This Row],[name]])*(Stats[result]="Winner"),"")), "")</f>
        <v/>
      </c>
    </row>
    <row r="358" spans="1:19" ht="13" hidden="1">
      <c r="A358" s="1" t="s">
        <v>724</v>
      </c>
      <c r="B358" s="1" t="s">
        <v>449</v>
      </c>
      <c r="C358" s="1" t="s">
        <v>391</v>
      </c>
      <c r="D358" s="1" t="str">
        <f>UPPER(_xlfn.CONCAT(LEFT(Teams[[#This Row],[teamType]], 1), "-", LEFT(SUBSTITUTE(Teams[[#This Row],[nation]], "/", ""), 3), "-", SUBSTITUTE(SUBSTITUTE(SUBSTITUTE(Teams[[#This Row],[name]], ".", ""), " ", ""), "-", "")))</f>
        <v>C-COL-JUNIOR</v>
      </c>
      <c r="E358" s="16"/>
      <c r="F358" s="16"/>
      <c r="G358" s="1" t="b">
        <f>COUNTBLANK(Teams[[#This Row],[startDate]:[endDate]]) &lt; 2</f>
        <v>0</v>
      </c>
      <c r="H358" s="1" t="str">
        <f>IF(Teams[[#This Row],[relevant]], COUNTIFS(Fixtures[userTeam], Teams[[#This Row],[name]], Fixtures[APP], TRUE), "")</f>
        <v/>
      </c>
      <c r="I358" s="1" t="str">
        <f>IF(Teams[[#This Row],[relevant]], COUNTIFS(Fixtures[userTeam], Teams[[#This Row],[name]], Fixtures[result], "W", Fixtures[APP], TRUE), "")</f>
        <v/>
      </c>
      <c r="J358" s="1" t="str">
        <f>IF(Teams[[#This Row],[relevant]], COUNTIFS(Fixtures[userTeam], Teams[[#This Row],[name]], Fixtures[result], "D", Fixtures[APP], TRUE), "")</f>
        <v/>
      </c>
      <c r="K358" s="1" t="str">
        <f>IF(Teams[[#This Row],[relevant]], COUNTIFS(Fixtures[userTeam], Teams[[#This Row],[name]], Fixtures[result], "L", Fixtures[APP], TRUE), "")</f>
        <v/>
      </c>
      <c r="L358" s="1" t="str">
        <f>IF(Teams[[#This Row],[relevant]], SUMIFS(Fixtures[G], Fixtures[userTeam], Teams[[#This Row],[name]]), "")</f>
        <v/>
      </c>
      <c r="M358" s="1" t="str">
        <f>IF(Teams[[#This Row],[relevant]], SUMIFS(Fixtures[A], Fixtures[userTeam], Teams[[#This Row],[name]]), "")</f>
        <v/>
      </c>
      <c r="N358" s="1" t="str">
        <f>IF(Teams[[#This Row],[relevant]], SUMIFS(Fixtures[INV], Fixtures[userTeam], Teams[[#This Row],[name]]), "")</f>
        <v/>
      </c>
      <c r="O358" s="1" t="str">
        <f>IF(Teams[[#This Row],[relevant]], SUMIFS(Fixtures[YC], Fixtures[userTeam], Teams[[#This Row],[name]]), "")</f>
        <v/>
      </c>
      <c r="P358" s="1" t="str">
        <f>IF(Teams[[#This Row],[relevant]], SUMIFS(Fixtures[RC], Fixtures[userTeam], Teams[[#This Row],[name]]), "")</f>
        <v/>
      </c>
      <c r="Q358" s="13" t="str">
        <f>IF(Teams[[#This Row],[relevant]], IF(ISERROR(AVERAGEIFS(Fixtures[MR], Fixtures[userTeam], Teams[[#This Row],[name]])), 0, AVERAGEIFS(Fixtures[MR], Fixtures[userTeam], Teams[[#This Row],[name]])), "")</f>
        <v/>
      </c>
      <c r="R358" s="1" t="str">
        <f>IF(Teams[[#This Row],[relevant]], COUNTIFS(Fixtures[userTeam], Teams[[#This Row],[name]], Fixtures[MOTM], TRUE), "")</f>
        <v/>
      </c>
      <c r="S358" s="1" t="str" cm="1">
        <f t="array" ref="S358">IF(Teams[[#This Row],[relevant]], _xlfn.TEXTJOIN(", ", TRUE, _xlfn._xlws.FILTER(Stats[competition]&amp;" ("&amp;Stats[season]&amp;")",(Stats[team]=Teams[[#This Row],[name]])*(Stats[result]="Winner"),"")), "")</f>
        <v/>
      </c>
    </row>
    <row r="359" spans="1:19" ht="13" hidden="1">
      <c r="A359" s="1" t="s">
        <v>725</v>
      </c>
      <c r="B359" s="1" t="s">
        <v>254</v>
      </c>
      <c r="C359" s="1" t="s">
        <v>391</v>
      </c>
      <c r="D359" s="1" t="str">
        <f>UPPER(_xlfn.CONCAT(LEFT(Teams[[#This Row],[teamType]], 1), "-", LEFT(SUBSTITUTE(Teams[[#This Row],[nation]], "/", ""), 3), "-", SUBSTITUTE(SUBSTITUTE(SUBSTITUTE(Teams[[#This Row],[name]], ".", ""), " ", ""), "-", "")))</f>
        <v>C-ITA-JUVENTUS</v>
      </c>
      <c r="E359" s="16"/>
      <c r="F359" s="16"/>
      <c r="G359" s="1" t="b">
        <f>COUNTBLANK(Teams[[#This Row],[startDate]:[endDate]]) &lt; 2</f>
        <v>0</v>
      </c>
      <c r="H359" s="1" t="str">
        <f>IF(Teams[[#This Row],[relevant]], COUNTIFS(Fixtures[userTeam], Teams[[#This Row],[name]], Fixtures[APP], TRUE), "")</f>
        <v/>
      </c>
      <c r="I359" s="1" t="str">
        <f>IF(Teams[[#This Row],[relevant]], COUNTIFS(Fixtures[userTeam], Teams[[#This Row],[name]], Fixtures[result], "W", Fixtures[APP], TRUE), "")</f>
        <v/>
      </c>
      <c r="J359" s="1" t="str">
        <f>IF(Teams[[#This Row],[relevant]], COUNTIFS(Fixtures[userTeam], Teams[[#This Row],[name]], Fixtures[result], "D", Fixtures[APP], TRUE), "")</f>
        <v/>
      </c>
      <c r="K359" s="1" t="str">
        <f>IF(Teams[[#This Row],[relevant]], COUNTIFS(Fixtures[userTeam], Teams[[#This Row],[name]], Fixtures[result], "L", Fixtures[APP], TRUE), "")</f>
        <v/>
      </c>
      <c r="L359" s="1" t="str">
        <f>IF(Teams[[#This Row],[relevant]], SUMIFS(Fixtures[G], Fixtures[userTeam], Teams[[#This Row],[name]]), "")</f>
        <v/>
      </c>
      <c r="M359" s="1" t="str">
        <f>IF(Teams[[#This Row],[relevant]], SUMIFS(Fixtures[A], Fixtures[userTeam], Teams[[#This Row],[name]]), "")</f>
        <v/>
      </c>
      <c r="N359" s="1" t="str">
        <f>IF(Teams[[#This Row],[relevant]], SUMIFS(Fixtures[INV], Fixtures[userTeam], Teams[[#This Row],[name]]), "")</f>
        <v/>
      </c>
      <c r="O359" s="1" t="str">
        <f>IF(Teams[[#This Row],[relevant]], SUMIFS(Fixtures[YC], Fixtures[userTeam], Teams[[#This Row],[name]]), "")</f>
        <v/>
      </c>
      <c r="P359" s="1" t="str">
        <f>IF(Teams[[#This Row],[relevant]], SUMIFS(Fixtures[RC], Fixtures[userTeam], Teams[[#This Row],[name]]), "")</f>
        <v/>
      </c>
      <c r="Q359" s="13" t="str">
        <f>IF(Teams[[#This Row],[relevant]], IF(ISERROR(AVERAGEIFS(Fixtures[MR], Fixtures[userTeam], Teams[[#This Row],[name]])), 0, AVERAGEIFS(Fixtures[MR], Fixtures[userTeam], Teams[[#This Row],[name]])), "")</f>
        <v/>
      </c>
      <c r="R359" s="1" t="str">
        <f>IF(Teams[[#This Row],[relevant]], COUNTIFS(Fixtures[userTeam], Teams[[#This Row],[name]], Fixtures[MOTM], TRUE), "")</f>
        <v/>
      </c>
      <c r="S359" s="1" t="str" cm="1">
        <f t="array" ref="S359">IF(Teams[[#This Row],[relevant]], _xlfn.TEXTJOIN(", ", TRUE, _xlfn._xlws.FILTER(Stats[competition]&amp;" ("&amp;Stats[season]&amp;")",(Stats[team]=Teams[[#This Row],[name]])*(Stats[result]="Winner"),"")), "")</f>
        <v/>
      </c>
    </row>
    <row r="360" spans="1:19" ht="13" hidden="1">
      <c r="A360" s="1" t="s">
        <v>145</v>
      </c>
      <c r="B360" s="1" t="s">
        <v>144</v>
      </c>
      <c r="C360" s="1" t="s">
        <v>391</v>
      </c>
      <c r="D360" s="1" t="str">
        <f>UPPER(_xlfn.CONCAT(LEFT(Teams[[#This Row],[teamType]], 1), "-", LEFT(SUBSTITUTE(Teams[[#This Row],[nation]], "/", ""), 3), "-", SUBSTITUTE(SUBSTITUTE(SUBSTITUTE(Teams[[#This Row],[name]], ".", ""), " ", ""), "-", "")))</f>
        <v>C-BEL-KAAGENT</v>
      </c>
      <c r="E360" s="16"/>
      <c r="F360" s="16"/>
      <c r="G360" s="1" t="b">
        <f>COUNTBLANK(Teams[[#This Row],[startDate]:[endDate]]) &lt; 2</f>
        <v>0</v>
      </c>
      <c r="H360" s="1" t="str">
        <f>IF(Teams[[#This Row],[relevant]], COUNTIFS(Fixtures[userTeam], Teams[[#This Row],[name]], Fixtures[APP], TRUE), "")</f>
        <v/>
      </c>
      <c r="I360" s="1" t="str">
        <f>IF(Teams[[#This Row],[relevant]], COUNTIFS(Fixtures[userTeam], Teams[[#This Row],[name]], Fixtures[result], "W", Fixtures[APP], TRUE), "")</f>
        <v/>
      </c>
      <c r="J360" s="1" t="str">
        <f>IF(Teams[[#This Row],[relevant]], COUNTIFS(Fixtures[userTeam], Teams[[#This Row],[name]], Fixtures[result], "D", Fixtures[APP], TRUE), "")</f>
        <v/>
      </c>
      <c r="K360" s="1" t="str">
        <f>IF(Teams[[#This Row],[relevant]], COUNTIFS(Fixtures[userTeam], Teams[[#This Row],[name]], Fixtures[result], "L", Fixtures[APP], TRUE), "")</f>
        <v/>
      </c>
      <c r="L360" s="1" t="str">
        <f>IF(Teams[[#This Row],[relevant]], SUMIFS(Fixtures[G], Fixtures[userTeam], Teams[[#This Row],[name]]), "")</f>
        <v/>
      </c>
      <c r="M360" s="1" t="str">
        <f>IF(Teams[[#This Row],[relevant]], SUMIFS(Fixtures[A], Fixtures[userTeam], Teams[[#This Row],[name]]), "")</f>
        <v/>
      </c>
      <c r="N360" s="1" t="str">
        <f>IF(Teams[[#This Row],[relevant]], SUMIFS(Fixtures[INV], Fixtures[userTeam], Teams[[#This Row],[name]]), "")</f>
        <v/>
      </c>
      <c r="O360" s="1" t="str">
        <f>IF(Teams[[#This Row],[relevant]], SUMIFS(Fixtures[YC], Fixtures[userTeam], Teams[[#This Row],[name]]), "")</f>
        <v/>
      </c>
      <c r="P360" s="1" t="str">
        <f>IF(Teams[[#This Row],[relevant]], SUMIFS(Fixtures[RC], Fixtures[userTeam], Teams[[#This Row],[name]]), "")</f>
        <v/>
      </c>
      <c r="Q360" s="13" t="str">
        <f>IF(Teams[[#This Row],[relevant]], IF(ISERROR(AVERAGEIFS(Fixtures[MR], Fixtures[userTeam], Teams[[#This Row],[name]])), 0, AVERAGEIFS(Fixtures[MR], Fixtures[userTeam], Teams[[#This Row],[name]])), "")</f>
        <v/>
      </c>
      <c r="R360" s="1" t="str">
        <f>IF(Teams[[#This Row],[relevant]], COUNTIFS(Fixtures[userTeam], Teams[[#This Row],[name]], Fixtures[MOTM], TRUE), "")</f>
        <v/>
      </c>
      <c r="S360" s="1" t="str" cm="1">
        <f t="array" ref="S360">IF(Teams[[#This Row],[relevant]], _xlfn.TEXTJOIN(", ", TRUE, _xlfn._xlws.FILTER(Stats[competition]&amp;" ("&amp;Stats[season]&amp;")",(Stats[team]=Teams[[#This Row],[name]])*(Stats[result]="Winner"),"")), "")</f>
        <v/>
      </c>
    </row>
    <row r="361" spans="1:19" ht="13" hidden="1">
      <c r="A361" s="1" t="s">
        <v>726</v>
      </c>
      <c r="B361" s="1" t="s">
        <v>337</v>
      </c>
      <c r="C361" s="1" t="s">
        <v>391</v>
      </c>
      <c r="D361" s="1" t="str">
        <f>UPPER(_xlfn.CONCAT(LEFT(Teams[[#This Row],[teamType]], 1), "-", LEFT(SUBSTITUTE(Teams[[#This Row],[nation]], "/", ""), 3), "-", SUBSTITUTE(SUBSTITUTE(SUBSTITUTE(Teams[[#This Row],[name]], ".", ""), " ", ""), "-", "")))</f>
        <v>C-GER-KAISERSLAUTERN</v>
      </c>
      <c r="E361" s="16"/>
      <c r="F361" s="16"/>
      <c r="G361" s="1" t="b">
        <f>COUNTBLANK(Teams[[#This Row],[startDate]:[endDate]]) &lt; 2</f>
        <v>0</v>
      </c>
      <c r="H361" s="1" t="str">
        <f>IF(Teams[[#This Row],[relevant]], COUNTIFS(Fixtures[userTeam], Teams[[#This Row],[name]], Fixtures[APP], TRUE), "")</f>
        <v/>
      </c>
      <c r="I361" s="1" t="str">
        <f>IF(Teams[[#This Row],[relevant]], COUNTIFS(Fixtures[userTeam], Teams[[#This Row],[name]], Fixtures[result], "W", Fixtures[APP], TRUE), "")</f>
        <v/>
      </c>
      <c r="J361" s="1" t="str">
        <f>IF(Teams[[#This Row],[relevant]], COUNTIFS(Fixtures[userTeam], Teams[[#This Row],[name]], Fixtures[result], "D", Fixtures[APP], TRUE), "")</f>
        <v/>
      </c>
      <c r="K361" s="1" t="str">
        <f>IF(Teams[[#This Row],[relevant]], COUNTIFS(Fixtures[userTeam], Teams[[#This Row],[name]], Fixtures[result], "L", Fixtures[APP], TRUE), "")</f>
        <v/>
      </c>
      <c r="L361" s="1" t="str">
        <f>IF(Teams[[#This Row],[relevant]], SUMIFS(Fixtures[G], Fixtures[userTeam], Teams[[#This Row],[name]]), "")</f>
        <v/>
      </c>
      <c r="M361" s="1" t="str">
        <f>IF(Teams[[#This Row],[relevant]], SUMIFS(Fixtures[A], Fixtures[userTeam], Teams[[#This Row],[name]]), "")</f>
        <v/>
      </c>
      <c r="N361" s="1" t="str">
        <f>IF(Teams[[#This Row],[relevant]], SUMIFS(Fixtures[INV], Fixtures[userTeam], Teams[[#This Row],[name]]), "")</f>
        <v/>
      </c>
      <c r="O361" s="1" t="str">
        <f>IF(Teams[[#This Row],[relevant]], SUMIFS(Fixtures[YC], Fixtures[userTeam], Teams[[#This Row],[name]]), "")</f>
        <v/>
      </c>
      <c r="P361" s="1" t="str">
        <f>IF(Teams[[#This Row],[relevant]], SUMIFS(Fixtures[RC], Fixtures[userTeam], Teams[[#This Row],[name]]), "")</f>
        <v/>
      </c>
      <c r="Q361" s="13" t="str">
        <f>IF(Teams[[#This Row],[relevant]], IF(ISERROR(AVERAGEIFS(Fixtures[MR], Fixtures[userTeam], Teams[[#This Row],[name]])), 0, AVERAGEIFS(Fixtures[MR], Fixtures[userTeam], Teams[[#This Row],[name]])), "")</f>
        <v/>
      </c>
      <c r="R361" s="1" t="str">
        <f>IF(Teams[[#This Row],[relevant]], COUNTIFS(Fixtures[userTeam], Teams[[#This Row],[name]], Fixtures[MOTM], TRUE), "")</f>
        <v/>
      </c>
      <c r="S361" s="1" t="str" cm="1">
        <f t="array" ref="S361">IF(Teams[[#This Row],[relevant]], _xlfn.TEXTJOIN(", ", TRUE, _xlfn._xlws.FILTER(Stats[competition]&amp;" ("&amp;Stats[season]&amp;")",(Stats[team]=Teams[[#This Row],[name]])*(Stats[result]="Winner"),"")), "")</f>
        <v/>
      </c>
    </row>
    <row r="362" spans="1:19" ht="13" hidden="1">
      <c r="A362" s="1" t="s">
        <v>727</v>
      </c>
      <c r="B362" s="1" t="s">
        <v>728</v>
      </c>
      <c r="C362" s="1" t="s">
        <v>391</v>
      </c>
      <c r="D362" s="1" t="str">
        <f>UPPER(_xlfn.CONCAT(LEFT(Teams[[#This Row],[teamType]], 1), "-", LEFT(SUBSTITUTE(Teams[[#This Row],[nation]], "/", ""), 3), "-", SUBSTITUTE(SUBSTITUTE(SUBSTITUTE(Teams[[#This Row],[name]], ".", ""), " ", ""), "-", "")))</f>
        <v>C-SOU-KAIZERCHIEFS</v>
      </c>
      <c r="E362" s="16"/>
      <c r="F362" s="16"/>
      <c r="G362" s="1" t="b">
        <f>COUNTBLANK(Teams[[#This Row],[startDate]:[endDate]]) &lt; 2</f>
        <v>0</v>
      </c>
      <c r="H362" s="1" t="str">
        <f>IF(Teams[[#This Row],[relevant]], COUNTIFS(Fixtures[userTeam], Teams[[#This Row],[name]], Fixtures[APP], TRUE), "")</f>
        <v/>
      </c>
      <c r="I362" s="1" t="str">
        <f>IF(Teams[[#This Row],[relevant]], COUNTIFS(Fixtures[userTeam], Teams[[#This Row],[name]], Fixtures[result], "W", Fixtures[APP], TRUE), "")</f>
        <v/>
      </c>
      <c r="J362" s="1" t="str">
        <f>IF(Teams[[#This Row],[relevant]], COUNTIFS(Fixtures[userTeam], Teams[[#This Row],[name]], Fixtures[result], "D", Fixtures[APP], TRUE), "")</f>
        <v/>
      </c>
      <c r="K362" s="1" t="str">
        <f>IF(Teams[[#This Row],[relevant]], COUNTIFS(Fixtures[userTeam], Teams[[#This Row],[name]], Fixtures[result], "L", Fixtures[APP], TRUE), "")</f>
        <v/>
      </c>
      <c r="L362" s="1" t="str">
        <f>IF(Teams[[#This Row],[relevant]], SUMIFS(Fixtures[G], Fixtures[userTeam], Teams[[#This Row],[name]]), "")</f>
        <v/>
      </c>
      <c r="M362" s="1" t="str">
        <f>IF(Teams[[#This Row],[relevant]], SUMIFS(Fixtures[A], Fixtures[userTeam], Teams[[#This Row],[name]]), "")</f>
        <v/>
      </c>
      <c r="N362" s="1" t="str">
        <f>IF(Teams[[#This Row],[relevant]], SUMIFS(Fixtures[INV], Fixtures[userTeam], Teams[[#This Row],[name]]), "")</f>
        <v/>
      </c>
      <c r="O362" s="1" t="str">
        <f>IF(Teams[[#This Row],[relevant]], SUMIFS(Fixtures[YC], Fixtures[userTeam], Teams[[#This Row],[name]]), "")</f>
        <v/>
      </c>
      <c r="P362" s="1" t="str">
        <f>IF(Teams[[#This Row],[relevant]], SUMIFS(Fixtures[RC], Fixtures[userTeam], Teams[[#This Row],[name]]), "")</f>
        <v/>
      </c>
      <c r="Q362" s="13" t="str">
        <f>IF(Teams[[#This Row],[relevant]], IF(ISERROR(AVERAGEIFS(Fixtures[MR], Fixtures[userTeam], Teams[[#This Row],[name]])), 0, AVERAGEIFS(Fixtures[MR], Fixtures[userTeam], Teams[[#This Row],[name]])), "")</f>
        <v/>
      </c>
      <c r="R362" s="1" t="str">
        <f>IF(Teams[[#This Row],[relevant]], COUNTIFS(Fixtures[userTeam], Teams[[#This Row],[name]], Fixtures[MOTM], TRUE), "")</f>
        <v/>
      </c>
      <c r="S362" s="1" t="str" cm="1">
        <f t="array" ref="S362">IF(Teams[[#This Row],[relevant]], _xlfn.TEXTJOIN(", ", TRUE, _xlfn._xlws.FILTER(Stats[competition]&amp;" ("&amp;Stats[season]&amp;")",(Stats[team]=Teams[[#This Row],[name]])*(Stats[result]="Winner"),"")), "")</f>
        <v/>
      </c>
    </row>
    <row r="363" spans="1:19" ht="13" hidden="1">
      <c r="A363" s="1" t="s">
        <v>729</v>
      </c>
      <c r="B363" s="1" t="s">
        <v>284</v>
      </c>
      <c r="C363" s="1" t="s">
        <v>391</v>
      </c>
      <c r="D363" s="1" t="str">
        <f>UPPER(_xlfn.CONCAT(LEFT(Teams[[#This Row],[teamType]], 1), "-", LEFT(SUBSTITUTE(Teams[[#This Row],[nation]], "/", ""), 3), "-", SUBSTITUTE(SUBSTITUTE(SUBSTITUTE(Teams[[#This Row],[name]], ".", ""), " ", ""), "-", "")))</f>
        <v>C-SWE-KALMARFF</v>
      </c>
      <c r="E363" s="16"/>
      <c r="F363" s="16"/>
      <c r="G363" s="1" t="b">
        <f>COUNTBLANK(Teams[[#This Row],[startDate]:[endDate]]) &lt; 2</f>
        <v>0</v>
      </c>
      <c r="H363" s="1" t="str">
        <f>IF(Teams[[#This Row],[relevant]], COUNTIFS(Fixtures[userTeam], Teams[[#This Row],[name]], Fixtures[APP], TRUE), "")</f>
        <v/>
      </c>
      <c r="I363" s="1" t="str">
        <f>IF(Teams[[#This Row],[relevant]], COUNTIFS(Fixtures[userTeam], Teams[[#This Row],[name]], Fixtures[result], "W", Fixtures[APP], TRUE), "")</f>
        <v/>
      </c>
      <c r="J363" s="1" t="str">
        <f>IF(Teams[[#This Row],[relevant]], COUNTIFS(Fixtures[userTeam], Teams[[#This Row],[name]], Fixtures[result], "D", Fixtures[APP], TRUE), "")</f>
        <v/>
      </c>
      <c r="K363" s="1" t="str">
        <f>IF(Teams[[#This Row],[relevant]], COUNTIFS(Fixtures[userTeam], Teams[[#This Row],[name]], Fixtures[result], "L", Fixtures[APP], TRUE), "")</f>
        <v/>
      </c>
      <c r="L363" s="1" t="str">
        <f>IF(Teams[[#This Row],[relevant]], SUMIFS(Fixtures[G], Fixtures[userTeam], Teams[[#This Row],[name]]), "")</f>
        <v/>
      </c>
      <c r="M363" s="1" t="str">
        <f>IF(Teams[[#This Row],[relevant]], SUMIFS(Fixtures[A], Fixtures[userTeam], Teams[[#This Row],[name]]), "")</f>
        <v/>
      </c>
      <c r="N363" s="1" t="str">
        <f>IF(Teams[[#This Row],[relevant]], SUMIFS(Fixtures[INV], Fixtures[userTeam], Teams[[#This Row],[name]]), "")</f>
        <v/>
      </c>
      <c r="O363" s="1" t="str">
        <f>IF(Teams[[#This Row],[relevant]], SUMIFS(Fixtures[YC], Fixtures[userTeam], Teams[[#This Row],[name]]), "")</f>
        <v/>
      </c>
      <c r="P363" s="1" t="str">
        <f>IF(Teams[[#This Row],[relevant]], SUMIFS(Fixtures[RC], Fixtures[userTeam], Teams[[#This Row],[name]]), "")</f>
        <v/>
      </c>
      <c r="Q363" s="13" t="str">
        <f>IF(Teams[[#This Row],[relevant]], IF(ISERROR(AVERAGEIFS(Fixtures[MR], Fixtures[userTeam], Teams[[#This Row],[name]])), 0, AVERAGEIFS(Fixtures[MR], Fixtures[userTeam], Teams[[#This Row],[name]])), "")</f>
        <v/>
      </c>
      <c r="R363" s="1" t="str">
        <f>IF(Teams[[#This Row],[relevant]], COUNTIFS(Fixtures[userTeam], Teams[[#This Row],[name]], Fixtures[MOTM], TRUE), "")</f>
        <v/>
      </c>
      <c r="S363" s="1" t="str" cm="1">
        <f t="array" ref="S363">IF(Teams[[#This Row],[relevant]], _xlfn.TEXTJOIN(", ", TRUE, _xlfn._xlws.FILTER(Stats[competition]&amp;" ("&amp;Stats[season]&amp;")",(Stats[team]=Teams[[#This Row],[name]])*(Stats[result]="Winner"),"")), "")</f>
        <v/>
      </c>
    </row>
    <row r="364" spans="1:19" ht="13" hidden="1">
      <c r="A364" s="1" t="s">
        <v>730</v>
      </c>
      <c r="B364" s="1" t="s">
        <v>408</v>
      </c>
      <c r="C364" s="1" t="s">
        <v>391</v>
      </c>
      <c r="D364" s="1" t="str">
        <f>UPPER(_xlfn.CONCAT(LEFT(Teams[[#This Row],[teamType]], 1), "-", LEFT(SUBSTITUTE(Teams[[#This Row],[nation]], "/", ""), 3), "-", SUBSTITUTE(SUBSTITUTE(SUBSTITUTE(Teams[[#This Row],[name]], ".", ""), " ", ""), "-", "")))</f>
        <v>C-TUR-KARAGÜMRÜKSK</v>
      </c>
      <c r="E364" s="16"/>
      <c r="F364" s="16"/>
      <c r="G364" s="1" t="b">
        <f>COUNTBLANK(Teams[[#This Row],[startDate]:[endDate]]) &lt; 2</f>
        <v>0</v>
      </c>
      <c r="H364" s="1" t="str">
        <f>IF(Teams[[#This Row],[relevant]], COUNTIFS(Fixtures[userTeam], Teams[[#This Row],[name]], Fixtures[APP], TRUE), "")</f>
        <v/>
      </c>
      <c r="I364" s="1" t="str">
        <f>IF(Teams[[#This Row],[relevant]], COUNTIFS(Fixtures[userTeam], Teams[[#This Row],[name]], Fixtures[result], "W", Fixtures[APP], TRUE), "")</f>
        <v/>
      </c>
      <c r="J364" s="1" t="str">
        <f>IF(Teams[[#This Row],[relevant]], COUNTIFS(Fixtures[userTeam], Teams[[#This Row],[name]], Fixtures[result], "D", Fixtures[APP], TRUE), "")</f>
        <v/>
      </c>
      <c r="K364" s="1" t="str">
        <f>IF(Teams[[#This Row],[relevant]], COUNTIFS(Fixtures[userTeam], Teams[[#This Row],[name]], Fixtures[result], "L", Fixtures[APP], TRUE), "")</f>
        <v/>
      </c>
      <c r="L364" s="1" t="str">
        <f>IF(Teams[[#This Row],[relevant]], SUMIFS(Fixtures[G], Fixtures[userTeam], Teams[[#This Row],[name]]), "")</f>
        <v/>
      </c>
      <c r="M364" s="1" t="str">
        <f>IF(Teams[[#This Row],[relevant]], SUMIFS(Fixtures[A], Fixtures[userTeam], Teams[[#This Row],[name]]), "")</f>
        <v/>
      </c>
      <c r="N364" s="1" t="str">
        <f>IF(Teams[[#This Row],[relevant]], SUMIFS(Fixtures[INV], Fixtures[userTeam], Teams[[#This Row],[name]]), "")</f>
        <v/>
      </c>
      <c r="O364" s="1" t="str">
        <f>IF(Teams[[#This Row],[relevant]], SUMIFS(Fixtures[YC], Fixtures[userTeam], Teams[[#This Row],[name]]), "")</f>
        <v/>
      </c>
      <c r="P364" s="1" t="str">
        <f>IF(Teams[[#This Row],[relevant]], SUMIFS(Fixtures[RC], Fixtures[userTeam], Teams[[#This Row],[name]]), "")</f>
        <v/>
      </c>
      <c r="Q364" s="13" t="str">
        <f>IF(Teams[[#This Row],[relevant]], IF(ISERROR(AVERAGEIFS(Fixtures[MR], Fixtures[userTeam], Teams[[#This Row],[name]])), 0, AVERAGEIFS(Fixtures[MR], Fixtures[userTeam], Teams[[#This Row],[name]])), "")</f>
        <v/>
      </c>
      <c r="R364" s="1" t="str">
        <f>IF(Teams[[#This Row],[relevant]], COUNTIFS(Fixtures[userTeam], Teams[[#This Row],[name]], Fixtures[MOTM], TRUE), "")</f>
        <v/>
      </c>
      <c r="S364" s="1" t="str" cm="1">
        <f t="array" ref="S364">IF(Teams[[#This Row],[relevant]], _xlfn.TEXTJOIN(", ", TRUE, _xlfn._xlws.FILTER(Stats[competition]&amp;" ("&amp;Stats[season]&amp;")",(Stats[team]=Teams[[#This Row],[name]])*(Stats[result]="Winner"),"")), "")</f>
        <v/>
      </c>
    </row>
    <row r="365" spans="1:19" ht="13" hidden="1">
      <c r="A365" s="1" t="s">
        <v>731</v>
      </c>
      <c r="B365" s="1" t="s">
        <v>337</v>
      </c>
      <c r="C365" s="1" t="s">
        <v>391</v>
      </c>
      <c r="D365" s="1" t="str">
        <f>UPPER(_xlfn.CONCAT(LEFT(Teams[[#This Row],[teamType]], 1), "-", LEFT(SUBSTITUTE(Teams[[#This Row],[nation]], "/", ""), 3), "-", SUBSTITUTE(SUBSTITUTE(SUBSTITUTE(Teams[[#This Row],[name]], ".", ""), " ", ""), "-", "")))</f>
        <v>C-GER-KARLSRUHERSC</v>
      </c>
      <c r="E365" s="16"/>
      <c r="F365" s="16"/>
      <c r="G365" s="1" t="b">
        <f>COUNTBLANK(Teams[[#This Row],[startDate]:[endDate]]) &lt; 2</f>
        <v>0</v>
      </c>
      <c r="H365" s="1" t="str">
        <f>IF(Teams[[#This Row],[relevant]], COUNTIFS(Fixtures[userTeam], Teams[[#This Row],[name]], Fixtures[APP], TRUE), "")</f>
        <v/>
      </c>
      <c r="I365" s="1" t="str">
        <f>IF(Teams[[#This Row],[relevant]], COUNTIFS(Fixtures[userTeam], Teams[[#This Row],[name]], Fixtures[result], "W", Fixtures[APP], TRUE), "")</f>
        <v/>
      </c>
      <c r="J365" s="1" t="str">
        <f>IF(Teams[[#This Row],[relevant]], COUNTIFS(Fixtures[userTeam], Teams[[#This Row],[name]], Fixtures[result], "D", Fixtures[APP], TRUE), "")</f>
        <v/>
      </c>
      <c r="K365" s="1" t="str">
        <f>IF(Teams[[#This Row],[relevant]], COUNTIFS(Fixtures[userTeam], Teams[[#This Row],[name]], Fixtures[result], "L", Fixtures[APP], TRUE), "")</f>
        <v/>
      </c>
      <c r="L365" s="1" t="str">
        <f>IF(Teams[[#This Row],[relevant]], SUMIFS(Fixtures[G], Fixtures[userTeam], Teams[[#This Row],[name]]), "")</f>
        <v/>
      </c>
      <c r="M365" s="1" t="str">
        <f>IF(Teams[[#This Row],[relevant]], SUMIFS(Fixtures[A], Fixtures[userTeam], Teams[[#This Row],[name]]), "")</f>
        <v/>
      </c>
      <c r="N365" s="1" t="str">
        <f>IF(Teams[[#This Row],[relevant]], SUMIFS(Fixtures[INV], Fixtures[userTeam], Teams[[#This Row],[name]]), "")</f>
        <v/>
      </c>
      <c r="O365" s="1" t="str">
        <f>IF(Teams[[#This Row],[relevant]], SUMIFS(Fixtures[YC], Fixtures[userTeam], Teams[[#This Row],[name]]), "")</f>
        <v/>
      </c>
      <c r="P365" s="1" t="str">
        <f>IF(Teams[[#This Row],[relevant]], SUMIFS(Fixtures[RC], Fixtures[userTeam], Teams[[#This Row],[name]]), "")</f>
        <v/>
      </c>
      <c r="Q365" s="13" t="str">
        <f>IF(Teams[[#This Row],[relevant]], IF(ISERROR(AVERAGEIFS(Fixtures[MR], Fixtures[userTeam], Teams[[#This Row],[name]])), 0, AVERAGEIFS(Fixtures[MR], Fixtures[userTeam], Teams[[#This Row],[name]])), "")</f>
        <v/>
      </c>
      <c r="R365" s="1" t="str">
        <f>IF(Teams[[#This Row],[relevant]], COUNTIFS(Fixtures[userTeam], Teams[[#This Row],[name]], Fixtures[MOTM], TRUE), "")</f>
        <v/>
      </c>
      <c r="S365" s="1" t="str" cm="1">
        <f t="array" ref="S365">IF(Teams[[#This Row],[relevant]], _xlfn.TEXTJOIN(", ", TRUE, _xlfn._xlws.FILTER(Stats[competition]&amp;" ("&amp;Stats[season]&amp;")",(Stats[team]=Teams[[#This Row],[name]])*(Stats[result]="Winner"),"")), "")</f>
        <v/>
      </c>
    </row>
    <row r="366" spans="1:19" ht="13" hidden="1">
      <c r="A366" s="1" t="s">
        <v>117</v>
      </c>
      <c r="B366" s="1" t="s">
        <v>144</v>
      </c>
      <c r="C366" s="1" t="s">
        <v>391</v>
      </c>
      <c r="D366" s="1" t="str">
        <f>UPPER(_xlfn.CONCAT(LEFT(Teams[[#This Row],[teamType]], 1), "-", LEFT(SUBSTITUTE(Teams[[#This Row],[nation]], "/", ""), 3), "-", SUBSTITUTE(SUBSTITUTE(SUBSTITUTE(Teams[[#This Row],[name]], ".", ""), " ", ""), "-", "")))</f>
        <v>C-BEL-KASEUPEN</v>
      </c>
      <c r="E366" s="16"/>
      <c r="F366" s="16"/>
      <c r="G366" s="1" t="b">
        <f>COUNTBLANK(Teams[[#This Row],[startDate]:[endDate]]) &lt; 2</f>
        <v>0</v>
      </c>
      <c r="H366" s="1" t="str">
        <f>IF(Teams[[#This Row],[relevant]], COUNTIFS(Fixtures[userTeam], Teams[[#This Row],[name]], Fixtures[APP], TRUE), "")</f>
        <v/>
      </c>
      <c r="I366" s="1" t="str">
        <f>IF(Teams[[#This Row],[relevant]], COUNTIFS(Fixtures[userTeam], Teams[[#This Row],[name]], Fixtures[result], "W", Fixtures[APP], TRUE), "")</f>
        <v/>
      </c>
      <c r="J366" s="1" t="str">
        <f>IF(Teams[[#This Row],[relevant]], COUNTIFS(Fixtures[userTeam], Teams[[#This Row],[name]], Fixtures[result], "D", Fixtures[APP], TRUE), "")</f>
        <v/>
      </c>
      <c r="K366" s="1" t="str">
        <f>IF(Teams[[#This Row],[relevant]], COUNTIFS(Fixtures[userTeam], Teams[[#This Row],[name]], Fixtures[result], "L", Fixtures[APP], TRUE), "")</f>
        <v/>
      </c>
      <c r="L366" s="1" t="str">
        <f>IF(Teams[[#This Row],[relevant]], SUMIFS(Fixtures[G], Fixtures[userTeam], Teams[[#This Row],[name]]), "")</f>
        <v/>
      </c>
      <c r="M366" s="1" t="str">
        <f>IF(Teams[[#This Row],[relevant]], SUMIFS(Fixtures[A], Fixtures[userTeam], Teams[[#This Row],[name]]), "")</f>
        <v/>
      </c>
      <c r="N366" s="1" t="str">
        <f>IF(Teams[[#This Row],[relevant]], SUMIFS(Fixtures[INV], Fixtures[userTeam], Teams[[#This Row],[name]]), "")</f>
        <v/>
      </c>
      <c r="O366" s="1" t="str">
        <f>IF(Teams[[#This Row],[relevant]], SUMIFS(Fixtures[YC], Fixtures[userTeam], Teams[[#This Row],[name]]), "")</f>
        <v/>
      </c>
      <c r="P366" s="1" t="str">
        <f>IF(Teams[[#This Row],[relevant]], SUMIFS(Fixtures[RC], Fixtures[userTeam], Teams[[#This Row],[name]]), "")</f>
        <v/>
      </c>
      <c r="Q366" s="13" t="str">
        <f>IF(Teams[[#This Row],[relevant]], IF(ISERROR(AVERAGEIFS(Fixtures[MR], Fixtures[userTeam], Teams[[#This Row],[name]])), 0, AVERAGEIFS(Fixtures[MR], Fixtures[userTeam], Teams[[#This Row],[name]])), "")</f>
        <v/>
      </c>
      <c r="R366" s="1" t="str">
        <f>IF(Teams[[#This Row],[relevant]], COUNTIFS(Fixtures[userTeam], Teams[[#This Row],[name]], Fixtures[MOTM], TRUE), "")</f>
        <v/>
      </c>
      <c r="S366" s="1" t="str" cm="1">
        <f t="array" ref="S366">IF(Teams[[#This Row],[relevant]], _xlfn.TEXTJOIN(", ", TRUE, _xlfn._xlws.FILTER(Stats[competition]&amp;" ("&amp;Stats[season]&amp;")",(Stats[team]=Teams[[#This Row],[name]])*(Stats[result]="Winner"),"")), "")</f>
        <v/>
      </c>
    </row>
    <row r="367" spans="1:19" ht="13" hidden="1">
      <c r="A367" s="1" t="s">
        <v>732</v>
      </c>
      <c r="B367" s="1" t="s">
        <v>408</v>
      </c>
      <c r="C367" s="1" t="s">
        <v>391</v>
      </c>
      <c r="D367" s="1" t="str">
        <f>UPPER(_xlfn.CONCAT(LEFT(Teams[[#This Row],[teamType]], 1), "-", LEFT(SUBSTITUTE(Teams[[#This Row],[nation]], "/", ""), 3), "-", SUBSTITUTE(SUBSTITUTE(SUBSTITUTE(Teams[[#This Row],[name]], ".", ""), " ", ""), "-", "")))</f>
        <v>C-TUR-KASIMPAŞA</v>
      </c>
      <c r="E367" s="16"/>
      <c r="F367" s="16"/>
      <c r="G367" s="1" t="b">
        <f>COUNTBLANK(Teams[[#This Row],[startDate]:[endDate]]) &lt; 2</f>
        <v>0</v>
      </c>
      <c r="H367" s="1" t="str">
        <f>IF(Teams[[#This Row],[relevant]], COUNTIFS(Fixtures[userTeam], Teams[[#This Row],[name]], Fixtures[APP], TRUE), "")</f>
        <v/>
      </c>
      <c r="I367" s="1" t="str">
        <f>IF(Teams[[#This Row],[relevant]], COUNTIFS(Fixtures[userTeam], Teams[[#This Row],[name]], Fixtures[result], "W", Fixtures[APP], TRUE), "")</f>
        <v/>
      </c>
      <c r="J367" s="1" t="str">
        <f>IF(Teams[[#This Row],[relevant]], COUNTIFS(Fixtures[userTeam], Teams[[#This Row],[name]], Fixtures[result], "D", Fixtures[APP], TRUE), "")</f>
        <v/>
      </c>
      <c r="K367" s="1" t="str">
        <f>IF(Teams[[#This Row],[relevant]], COUNTIFS(Fixtures[userTeam], Teams[[#This Row],[name]], Fixtures[result], "L", Fixtures[APP], TRUE), "")</f>
        <v/>
      </c>
      <c r="L367" s="1" t="str">
        <f>IF(Teams[[#This Row],[relevant]], SUMIFS(Fixtures[G], Fixtures[userTeam], Teams[[#This Row],[name]]), "")</f>
        <v/>
      </c>
      <c r="M367" s="1" t="str">
        <f>IF(Teams[[#This Row],[relevant]], SUMIFS(Fixtures[A], Fixtures[userTeam], Teams[[#This Row],[name]]), "")</f>
        <v/>
      </c>
      <c r="N367" s="1" t="str">
        <f>IF(Teams[[#This Row],[relevant]], SUMIFS(Fixtures[INV], Fixtures[userTeam], Teams[[#This Row],[name]]), "")</f>
        <v/>
      </c>
      <c r="O367" s="1" t="str">
        <f>IF(Teams[[#This Row],[relevant]], SUMIFS(Fixtures[YC], Fixtures[userTeam], Teams[[#This Row],[name]]), "")</f>
        <v/>
      </c>
      <c r="P367" s="1" t="str">
        <f>IF(Teams[[#This Row],[relevant]], SUMIFS(Fixtures[RC], Fixtures[userTeam], Teams[[#This Row],[name]]), "")</f>
        <v/>
      </c>
      <c r="Q367" s="13" t="str">
        <f>IF(Teams[[#This Row],[relevant]], IF(ISERROR(AVERAGEIFS(Fixtures[MR], Fixtures[userTeam], Teams[[#This Row],[name]])), 0, AVERAGEIFS(Fixtures[MR], Fixtures[userTeam], Teams[[#This Row],[name]])), "")</f>
        <v/>
      </c>
      <c r="R367" s="1" t="str">
        <f>IF(Teams[[#This Row],[relevant]], COUNTIFS(Fixtures[userTeam], Teams[[#This Row],[name]], Fixtures[MOTM], TRUE), "")</f>
        <v/>
      </c>
      <c r="S367" s="1" t="str" cm="1">
        <f t="array" ref="S367">IF(Teams[[#This Row],[relevant]], _xlfn.TEXTJOIN(", ", TRUE, _xlfn._xlws.FILTER(Stats[competition]&amp;" ("&amp;Stats[season]&amp;")",(Stats[team]=Teams[[#This Row],[name]])*(Stats[result]="Winner"),"")), "")</f>
        <v/>
      </c>
    </row>
    <row r="368" spans="1:19" ht="13" hidden="1">
      <c r="A368" s="1" t="s">
        <v>733</v>
      </c>
      <c r="B368" s="1" t="s">
        <v>408</v>
      </c>
      <c r="C368" s="1" t="s">
        <v>391</v>
      </c>
      <c r="D368" s="1" t="str">
        <f>UPPER(_xlfn.CONCAT(LEFT(Teams[[#This Row],[teamType]], 1), "-", LEFT(SUBSTITUTE(Teams[[#This Row],[nation]], "/", ""), 3), "-", SUBSTITUTE(SUBSTITUTE(SUBSTITUTE(Teams[[#This Row],[name]], ".", ""), " ", ""), "-", "")))</f>
        <v>C-TUR-KAYSERISPOR</v>
      </c>
      <c r="E368" s="16"/>
      <c r="F368" s="16"/>
      <c r="G368" s="1" t="b">
        <f>COUNTBLANK(Teams[[#This Row],[startDate]:[endDate]]) &lt; 2</f>
        <v>0</v>
      </c>
      <c r="H368" s="1" t="str">
        <f>IF(Teams[[#This Row],[relevant]], COUNTIFS(Fixtures[userTeam], Teams[[#This Row],[name]], Fixtures[APP], TRUE), "")</f>
        <v/>
      </c>
      <c r="I368" s="1" t="str">
        <f>IF(Teams[[#This Row],[relevant]], COUNTIFS(Fixtures[userTeam], Teams[[#This Row],[name]], Fixtures[result], "W", Fixtures[APP], TRUE), "")</f>
        <v/>
      </c>
      <c r="J368" s="1" t="str">
        <f>IF(Teams[[#This Row],[relevant]], COUNTIFS(Fixtures[userTeam], Teams[[#This Row],[name]], Fixtures[result], "D", Fixtures[APP], TRUE), "")</f>
        <v/>
      </c>
      <c r="K368" s="1" t="str">
        <f>IF(Teams[[#This Row],[relevant]], COUNTIFS(Fixtures[userTeam], Teams[[#This Row],[name]], Fixtures[result], "L", Fixtures[APP], TRUE), "")</f>
        <v/>
      </c>
      <c r="L368" s="1" t="str">
        <f>IF(Teams[[#This Row],[relevant]], SUMIFS(Fixtures[G], Fixtures[userTeam], Teams[[#This Row],[name]]), "")</f>
        <v/>
      </c>
      <c r="M368" s="1" t="str">
        <f>IF(Teams[[#This Row],[relevant]], SUMIFS(Fixtures[A], Fixtures[userTeam], Teams[[#This Row],[name]]), "")</f>
        <v/>
      </c>
      <c r="N368" s="1" t="str">
        <f>IF(Teams[[#This Row],[relevant]], SUMIFS(Fixtures[INV], Fixtures[userTeam], Teams[[#This Row],[name]]), "")</f>
        <v/>
      </c>
      <c r="O368" s="1" t="str">
        <f>IF(Teams[[#This Row],[relevant]], SUMIFS(Fixtures[YC], Fixtures[userTeam], Teams[[#This Row],[name]]), "")</f>
        <v/>
      </c>
      <c r="P368" s="1" t="str">
        <f>IF(Teams[[#This Row],[relevant]], SUMIFS(Fixtures[RC], Fixtures[userTeam], Teams[[#This Row],[name]]), "")</f>
        <v/>
      </c>
      <c r="Q368" s="13" t="str">
        <f>IF(Teams[[#This Row],[relevant]], IF(ISERROR(AVERAGEIFS(Fixtures[MR], Fixtures[userTeam], Teams[[#This Row],[name]])), 0, AVERAGEIFS(Fixtures[MR], Fixtures[userTeam], Teams[[#This Row],[name]])), "")</f>
        <v/>
      </c>
      <c r="R368" s="1" t="str">
        <f>IF(Teams[[#This Row],[relevant]], COUNTIFS(Fixtures[userTeam], Teams[[#This Row],[name]], Fixtures[MOTM], TRUE), "")</f>
        <v/>
      </c>
      <c r="S368" s="1" t="str" cm="1">
        <f t="array" ref="S368">IF(Teams[[#This Row],[relevant]], _xlfn.TEXTJOIN(", ", TRUE, _xlfn._xlws.FILTER(Stats[competition]&amp;" ("&amp;Stats[season]&amp;")",(Stats[team]=Teams[[#This Row],[name]])*(Stats[result]="Winner"),"")), "")</f>
        <v/>
      </c>
    </row>
    <row r="369" spans="1:19" ht="13" hidden="1">
      <c r="A369" s="1" t="s">
        <v>734</v>
      </c>
      <c r="B369" s="1" t="s">
        <v>473</v>
      </c>
      <c r="C369" s="1" t="s">
        <v>391</v>
      </c>
      <c r="D369" s="1" t="str">
        <f>UPPER(_xlfn.CONCAT(LEFT(Teams[[#This Row],[teamType]], 1), "-", LEFT(SUBSTITUTE(Teams[[#This Row],[nation]], "/", ""), 3), "-", SUBSTITUTE(SUBSTITUTE(SUBSTITUTE(Teams[[#This Row],[name]], ".", ""), " ", ""), "-", "")))</f>
        <v>C-IND-KERALABLASTERS</v>
      </c>
      <c r="E369" s="16"/>
      <c r="F369" s="16"/>
      <c r="G369" s="1" t="b">
        <f>COUNTBLANK(Teams[[#This Row],[startDate]:[endDate]]) &lt; 2</f>
        <v>0</v>
      </c>
      <c r="H369" s="1" t="str">
        <f>IF(Teams[[#This Row],[relevant]], COUNTIFS(Fixtures[userTeam], Teams[[#This Row],[name]], Fixtures[APP], TRUE), "")</f>
        <v/>
      </c>
      <c r="I369" s="1" t="str">
        <f>IF(Teams[[#This Row],[relevant]], COUNTIFS(Fixtures[userTeam], Teams[[#This Row],[name]], Fixtures[result], "W", Fixtures[APP], TRUE), "")</f>
        <v/>
      </c>
      <c r="J369" s="1" t="str">
        <f>IF(Teams[[#This Row],[relevant]], COUNTIFS(Fixtures[userTeam], Teams[[#This Row],[name]], Fixtures[result], "D", Fixtures[APP], TRUE), "")</f>
        <v/>
      </c>
      <c r="K369" s="1" t="str">
        <f>IF(Teams[[#This Row],[relevant]], COUNTIFS(Fixtures[userTeam], Teams[[#This Row],[name]], Fixtures[result], "L", Fixtures[APP], TRUE), "")</f>
        <v/>
      </c>
      <c r="L369" s="1" t="str">
        <f>IF(Teams[[#This Row],[relevant]], SUMIFS(Fixtures[G], Fixtures[userTeam], Teams[[#This Row],[name]]), "")</f>
        <v/>
      </c>
      <c r="M369" s="1" t="str">
        <f>IF(Teams[[#This Row],[relevant]], SUMIFS(Fixtures[A], Fixtures[userTeam], Teams[[#This Row],[name]]), "")</f>
        <v/>
      </c>
      <c r="N369" s="1" t="str">
        <f>IF(Teams[[#This Row],[relevant]], SUMIFS(Fixtures[INV], Fixtures[userTeam], Teams[[#This Row],[name]]), "")</f>
        <v/>
      </c>
      <c r="O369" s="1" t="str">
        <f>IF(Teams[[#This Row],[relevant]], SUMIFS(Fixtures[YC], Fixtures[userTeam], Teams[[#This Row],[name]]), "")</f>
        <v/>
      </c>
      <c r="P369" s="1" t="str">
        <f>IF(Teams[[#This Row],[relevant]], SUMIFS(Fixtures[RC], Fixtures[userTeam], Teams[[#This Row],[name]]), "")</f>
        <v/>
      </c>
      <c r="Q369" s="13" t="str">
        <f>IF(Teams[[#This Row],[relevant]], IF(ISERROR(AVERAGEIFS(Fixtures[MR], Fixtures[userTeam], Teams[[#This Row],[name]])), 0, AVERAGEIFS(Fixtures[MR], Fixtures[userTeam], Teams[[#This Row],[name]])), "")</f>
        <v/>
      </c>
      <c r="R369" s="1" t="str">
        <f>IF(Teams[[#This Row],[relevant]], COUNTIFS(Fixtures[userTeam], Teams[[#This Row],[name]], Fixtures[MOTM], TRUE), "")</f>
        <v/>
      </c>
      <c r="S369" s="1" t="str" cm="1">
        <f t="array" ref="S369">IF(Teams[[#This Row],[relevant]], _xlfn.TEXTJOIN(", ", TRUE, _xlfn._xlws.FILTER(Stats[competition]&amp;" ("&amp;Stats[season]&amp;")",(Stats[team]=Teams[[#This Row],[name]])*(Stats[result]="Winner"),"")), "")</f>
        <v/>
      </c>
    </row>
    <row r="370" spans="1:19" ht="13" hidden="1">
      <c r="A370" s="1" t="s">
        <v>735</v>
      </c>
      <c r="B370" s="1" t="s">
        <v>401</v>
      </c>
      <c r="C370" s="1" t="s">
        <v>391</v>
      </c>
      <c r="D370" s="1" t="str">
        <f>UPPER(_xlfn.CONCAT(LEFT(Teams[[#This Row],[teamType]], 1), "-", LEFT(SUBSTITUTE(Teams[[#This Row],[nation]], "/", ""), 3), "-", SUBSTITUTE(SUBSTITUTE(SUBSTITUTE(Teams[[#This Row],[name]], ".", ""), " ", ""), "-", "")))</f>
        <v>C-SCO-KILMARNOCK</v>
      </c>
      <c r="E370" s="16"/>
      <c r="F370" s="16"/>
      <c r="G370" s="1" t="b">
        <f>COUNTBLANK(Teams[[#This Row],[startDate]:[endDate]]) &lt; 2</f>
        <v>0</v>
      </c>
      <c r="H370" s="1" t="str">
        <f>IF(Teams[[#This Row],[relevant]], COUNTIFS(Fixtures[userTeam], Teams[[#This Row],[name]], Fixtures[APP], TRUE), "")</f>
        <v/>
      </c>
      <c r="I370" s="1" t="str">
        <f>IF(Teams[[#This Row],[relevant]], COUNTIFS(Fixtures[userTeam], Teams[[#This Row],[name]], Fixtures[result], "W", Fixtures[APP], TRUE), "")</f>
        <v/>
      </c>
      <c r="J370" s="1" t="str">
        <f>IF(Teams[[#This Row],[relevant]], COUNTIFS(Fixtures[userTeam], Teams[[#This Row],[name]], Fixtures[result], "D", Fixtures[APP], TRUE), "")</f>
        <v/>
      </c>
      <c r="K370" s="1" t="str">
        <f>IF(Teams[[#This Row],[relevant]], COUNTIFS(Fixtures[userTeam], Teams[[#This Row],[name]], Fixtures[result], "L", Fixtures[APP], TRUE), "")</f>
        <v/>
      </c>
      <c r="L370" s="1" t="str">
        <f>IF(Teams[[#This Row],[relevant]], SUMIFS(Fixtures[G], Fixtures[userTeam], Teams[[#This Row],[name]]), "")</f>
        <v/>
      </c>
      <c r="M370" s="1" t="str">
        <f>IF(Teams[[#This Row],[relevant]], SUMIFS(Fixtures[A], Fixtures[userTeam], Teams[[#This Row],[name]]), "")</f>
        <v/>
      </c>
      <c r="N370" s="1" t="str">
        <f>IF(Teams[[#This Row],[relevant]], SUMIFS(Fixtures[INV], Fixtures[userTeam], Teams[[#This Row],[name]]), "")</f>
        <v/>
      </c>
      <c r="O370" s="1" t="str">
        <f>IF(Teams[[#This Row],[relevant]], SUMIFS(Fixtures[YC], Fixtures[userTeam], Teams[[#This Row],[name]]), "")</f>
        <v/>
      </c>
      <c r="P370" s="1" t="str">
        <f>IF(Teams[[#This Row],[relevant]], SUMIFS(Fixtures[RC], Fixtures[userTeam], Teams[[#This Row],[name]]), "")</f>
        <v/>
      </c>
      <c r="Q370" s="13" t="str">
        <f>IF(Teams[[#This Row],[relevant]], IF(ISERROR(AVERAGEIFS(Fixtures[MR], Fixtures[userTeam], Teams[[#This Row],[name]])), 0, AVERAGEIFS(Fixtures[MR], Fixtures[userTeam], Teams[[#This Row],[name]])), "")</f>
        <v/>
      </c>
      <c r="R370" s="1" t="str">
        <f>IF(Teams[[#This Row],[relevant]], COUNTIFS(Fixtures[userTeam], Teams[[#This Row],[name]], Fixtures[MOTM], TRUE), "")</f>
        <v/>
      </c>
      <c r="S370" s="1" t="str" cm="1">
        <f t="array" ref="S370">IF(Teams[[#This Row],[relevant]], _xlfn.TEXTJOIN(", ", TRUE, _xlfn._xlws.FILTER(Stats[competition]&amp;" ("&amp;Stats[season]&amp;")",(Stats[team]=Teams[[#This Row],[name]])*(Stats[result]="Winner"),"")), "")</f>
        <v/>
      </c>
    </row>
    <row r="371" spans="1:19" ht="13" hidden="1">
      <c r="A371" s="1" t="s">
        <v>736</v>
      </c>
      <c r="B371" s="1" t="s">
        <v>408</v>
      </c>
      <c r="C371" s="1" t="s">
        <v>391</v>
      </c>
      <c r="D371" s="1" t="str">
        <f>UPPER(_xlfn.CONCAT(LEFT(Teams[[#This Row],[teamType]], 1), "-", LEFT(SUBSTITUTE(Teams[[#This Row],[nation]], "/", ""), 3), "-", SUBSTITUTE(SUBSTITUTE(SUBSTITUTE(Teams[[#This Row],[name]], ".", ""), " ", ""), "-", "")))</f>
        <v>C-TUR-KONYASPOR</v>
      </c>
      <c r="E371" s="16"/>
      <c r="F371" s="16"/>
      <c r="G371" s="1" t="b">
        <f>COUNTBLANK(Teams[[#This Row],[startDate]:[endDate]]) &lt; 2</f>
        <v>0</v>
      </c>
      <c r="H371" s="1" t="str">
        <f>IF(Teams[[#This Row],[relevant]], COUNTIFS(Fixtures[userTeam], Teams[[#This Row],[name]], Fixtures[APP], TRUE), "")</f>
        <v/>
      </c>
      <c r="I371" s="1" t="str">
        <f>IF(Teams[[#This Row],[relevant]], COUNTIFS(Fixtures[userTeam], Teams[[#This Row],[name]], Fixtures[result], "W", Fixtures[APP], TRUE), "")</f>
        <v/>
      </c>
      <c r="J371" s="1" t="str">
        <f>IF(Teams[[#This Row],[relevant]], COUNTIFS(Fixtures[userTeam], Teams[[#This Row],[name]], Fixtures[result], "D", Fixtures[APP], TRUE), "")</f>
        <v/>
      </c>
      <c r="K371" s="1" t="str">
        <f>IF(Teams[[#This Row],[relevant]], COUNTIFS(Fixtures[userTeam], Teams[[#This Row],[name]], Fixtures[result], "L", Fixtures[APP], TRUE), "")</f>
        <v/>
      </c>
      <c r="L371" s="1" t="str">
        <f>IF(Teams[[#This Row],[relevant]], SUMIFS(Fixtures[G], Fixtures[userTeam], Teams[[#This Row],[name]]), "")</f>
        <v/>
      </c>
      <c r="M371" s="1" t="str">
        <f>IF(Teams[[#This Row],[relevant]], SUMIFS(Fixtures[A], Fixtures[userTeam], Teams[[#This Row],[name]]), "")</f>
        <v/>
      </c>
      <c r="N371" s="1" t="str">
        <f>IF(Teams[[#This Row],[relevant]], SUMIFS(Fixtures[INV], Fixtures[userTeam], Teams[[#This Row],[name]]), "")</f>
        <v/>
      </c>
      <c r="O371" s="1" t="str">
        <f>IF(Teams[[#This Row],[relevant]], SUMIFS(Fixtures[YC], Fixtures[userTeam], Teams[[#This Row],[name]]), "")</f>
        <v/>
      </c>
      <c r="P371" s="1" t="str">
        <f>IF(Teams[[#This Row],[relevant]], SUMIFS(Fixtures[RC], Fixtures[userTeam], Teams[[#This Row],[name]]), "")</f>
        <v/>
      </c>
      <c r="Q371" s="13" t="str">
        <f>IF(Teams[[#This Row],[relevant]], IF(ISERROR(AVERAGEIFS(Fixtures[MR], Fixtures[userTeam], Teams[[#This Row],[name]])), 0, AVERAGEIFS(Fixtures[MR], Fixtures[userTeam], Teams[[#This Row],[name]])), "")</f>
        <v/>
      </c>
      <c r="R371" s="1" t="str">
        <f>IF(Teams[[#This Row],[relevant]], COUNTIFS(Fixtures[userTeam], Teams[[#This Row],[name]], Fixtures[MOTM], TRUE), "")</f>
        <v/>
      </c>
      <c r="S371" s="1" t="str" cm="1">
        <f t="array" ref="S371">IF(Teams[[#This Row],[relevant]], _xlfn.TEXTJOIN(", ", TRUE, _xlfn._xlws.FILTER(Stats[competition]&amp;" ("&amp;Stats[season]&amp;")",(Stats[team]=Teams[[#This Row],[name]])*(Stats[result]="Winner"),"")), "")</f>
        <v/>
      </c>
    </row>
    <row r="372" spans="1:19" ht="13" hidden="1">
      <c r="A372" s="1" t="s">
        <v>737</v>
      </c>
      <c r="B372" s="1" t="s">
        <v>213</v>
      </c>
      <c r="C372" s="1" t="s">
        <v>391</v>
      </c>
      <c r="D372" s="1" t="str">
        <f>UPPER(_xlfn.CONCAT(LEFT(Teams[[#This Row],[teamType]], 1), "-", LEFT(SUBSTITUTE(Teams[[#This Row],[nation]], "/", ""), 3), "-", SUBSTITUTE(SUBSTITUTE(SUBSTITUTE(Teams[[#This Row],[name]], ".", ""), " ", ""), "-", "")))</f>
        <v>C-POL-KORONAKIELCE</v>
      </c>
      <c r="E372" s="16"/>
      <c r="F372" s="16"/>
      <c r="G372" s="1" t="b">
        <f>COUNTBLANK(Teams[[#This Row],[startDate]:[endDate]]) &lt; 2</f>
        <v>0</v>
      </c>
      <c r="H372" s="1" t="str">
        <f>IF(Teams[[#This Row],[relevant]], COUNTIFS(Fixtures[userTeam], Teams[[#This Row],[name]], Fixtures[APP], TRUE), "")</f>
        <v/>
      </c>
      <c r="I372" s="1" t="str">
        <f>IF(Teams[[#This Row],[relevant]], COUNTIFS(Fixtures[userTeam], Teams[[#This Row],[name]], Fixtures[result], "W", Fixtures[APP], TRUE), "")</f>
        <v/>
      </c>
      <c r="J372" s="1" t="str">
        <f>IF(Teams[[#This Row],[relevant]], COUNTIFS(Fixtures[userTeam], Teams[[#This Row],[name]], Fixtures[result], "D", Fixtures[APP], TRUE), "")</f>
        <v/>
      </c>
      <c r="K372" s="1" t="str">
        <f>IF(Teams[[#This Row],[relevant]], COUNTIFS(Fixtures[userTeam], Teams[[#This Row],[name]], Fixtures[result], "L", Fixtures[APP], TRUE), "")</f>
        <v/>
      </c>
      <c r="L372" s="1" t="str">
        <f>IF(Teams[[#This Row],[relevant]], SUMIFS(Fixtures[G], Fixtures[userTeam], Teams[[#This Row],[name]]), "")</f>
        <v/>
      </c>
      <c r="M372" s="1" t="str">
        <f>IF(Teams[[#This Row],[relevant]], SUMIFS(Fixtures[A], Fixtures[userTeam], Teams[[#This Row],[name]]), "")</f>
        <v/>
      </c>
      <c r="N372" s="1" t="str">
        <f>IF(Teams[[#This Row],[relevant]], SUMIFS(Fixtures[INV], Fixtures[userTeam], Teams[[#This Row],[name]]), "")</f>
        <v/>
      </c>
      <c r="O372" s="1" t="str">
        <f>IF(Teams[[#This Row],[relevant]], SUMIFS(Fixtures[YC], Fixtures[userTeam], Teams[[#This Row],[name]]), "")</f>
        <v/>
      </c>
      <c r="P372" s="1" t="str">
        <f>IF(Teams[[#This Row],[relevant]], SUMIFS(Fixtures[RC], Fixtures[userTeam], Teams[[#This Row],[name]]), "")</f>
        <v/>
      </c>
      <c r="Q372" s="13" t="str">
        <f>IF(Teams[[#This Row],[relevant]], IF(ISERROR(AVERAGEIFS(Fixtures[MR], Fixtures[userTeam], Teams[[#This Row],[name]])), 0, AVERAGEIFS(Fixtures[MR], Fixtures[userTeam], Teams[[#This Row],[name]])), "")</f>
        <v/>
      </c>
      <c r="R372" s="1" t="str">
        <f>IF(Teams[[#This Row],[relevant]], COUNTIFS(Fixtures[userTeam], Teams[[#This Row],[name]], Fixtures[MOTM], TRUE), "")</f>
        <v/>
      </c>
      <c r="S372" s="1" t="str" cm="1">
        <f t="array" ref="S372">IF(Teams[[#This Row],[relevant]], _xlfn.TEXTJOIN(", ", TRUE, _xlfn._xlws.FILTER(Stats[competition]&amp;" ("&amp;Stats[season]&amp;")",(Stats[team]=Teams[[#This Row],[name]])*(Stats[result]="Winner"),"")), "")</f>
        <v/>
      </c>
    </row>
    <row r="373" spans="1:19" ht="13">
      <c r="A373" s="1" t="s">
        <v>110</v>
      </c>
      <c r="B373" s="1" t="s">
        <v>144</v>
      </c>
      <c r="C373" s="1" t="s">
        <v>391</v>
      </c>
      <c r="D373" s="1" t="str">
        <f>UPPER(_xlfn.CONCAT(LEFT(Teams[[#This Row],[teamType]], 1), "-", LEFT(SUBSTITUTE(Teams[[#This Row],[nation]], "/", ""), 3), "-", SUBSTITUTE(SUBSTITUTE(SUBSTITUTE(Teams[[#This Row],[name]], ".", ""), " ", ""), "-", "")))</f>
        <v>C-BEL-KRCGENK</v>
      </c>
      <c r="E373" s="16">
        <v>45108</v>
      </c>
      <c r="F373" s="16">
        <v>45473</v>
      </c>
      <c r="G373" s="1" t="b">
        <f>COUNTBLANK(Teams[[#This Row],[startDate]:[endDate]]) &lt; 2</f>
        <v>1</v>
      </c>
      <c r="H373" s="1">
        <f>IF(Teams[[#This Row],[relevant]], COUNTIFS(Fixtures[userTeam], Teams[[#This Row],[name]], Fixtures[APP], TRUE), "")</f>
        <v>62</v>
      </c>
      <c r="I373" s="1">
        <f>IF(Teams[[#This Row],[relevant]], COUNTIFS(Fixtures[userTeam], Teams[[#This Row],[name]], Fixtures[result], "W", Fixtures[APP], TRUE), "")</f>
        <v>30</v>
      </c>
      <c r="J373" s="1">
        <f>IF(Teams[[#This Row],[relevant]], COUNTIFS(Fixtures[userTeam], Teams[[#This Row],[name]], Fixtures[result], "D", Fixtures[APP], TRUE), "")</f>
        <v>15</v>
      </c>
      <c r="K373" s="1">
        <f>IF(Teams[[#This Row],[relevant]], COUNTIFS(Fixtures[userTeam], Teams[[#This Row],[name]], Fixtures[result], "L", Fixtures[APP], TRUE), "")</f>
        <v>17</v>
      </c>
      <c r="L373" s="1">
        <f>IF(Teams[[#This Row],[relevant]], SUMIFS(Fixtures[G], Fixtures[userTeam], Teams[[#This Row],[name]]), "")</f>
        <v>13</v>
      </c>
      <c r="M373" s="1">
        <f>IF(Teams[[#This Row],[relevant]], SUMIFS(Fixtures[A], Fixtures[userTeam], Teams[[#This Row],[name]]), "")</f>
        <v>28</v>
      </c>
      <c r="N373" s="1">
        <f>IF(Teams[[#This Row],[relevant]], SUMIFS(Fixtures[INV], Fixtures[userTeam], Teams[[#This Row],[name]]), "")</f>
        <v>41</v>
      </c>
      <c r="O373" s="1">
        <f>IF(Teams[[#This Row],[relevant]], SUMIFS(Fixtures[YC], Fixtures[userTeam], Teams[[#This Row],[name]]), "")</f>
        <v>0</v>
      </c>
      <c r="P373" s="1">
        <f>IF(Teams[[#This Row],[relevant]], SUMIFS(Fixtures[RC], Fixtures[userTeam], Teams[[#This Row],[name]]), "")</f>
        <v>0</v>
      </c>
      <c r="Q373" s="13">
        <f>IF(Teams[[#This Row],[relevant]], IF(ISERROR(AVERAGEIFS(Fixtures[MR], Fixtures[userTeam], Teams[[#This Row],[name]])), 0, AVERAGEIFS(Fixtures[MR], Fixtures[userTeam], Teams[[#This Row],[name]])), "")</f>
        <v>7.1951612903225781</v>
      </c>
      <c r="R373" s="1">
        <f>IF(Teams[[#This Row],[relevant]], COUNTIFS(Fixtures[userTeam], Teams[[#This Row],[name]], Fixtures[MOTM], TRUE), "")</f>
        <v>9</v>
      </c>
      <c r="S373" s="1" t="str" cm="1">
        <f t="array" aca="1" ref="S373" ca="1">IF(Teams[[#This Row],[relevant]], _xlfn.TEXTJOIN(", ", TRUE, _xlfn._xlws.FILTER(Stats[competition]&amp;" ("&amp;Stats[season]&amp;")",(Stats[team]=Teams[[#This Row],[name]])*(Stats[result]="Winner"),"")), "")</f>
        <v>Croky Cup (2023/2024)</v>
      </c>
    </row>
    <row r="374" spans="1:19" ht="13" hidden="1">
      <c r="A374" s="1" t="s">
        <v>738</v>
      </c>
      <c r="B374" s="1" t="s">
        <v>286</v>
      </c>
      <c r="C374" s="1" t="s">
        <v>391</v>
      </c>
      <c r="D374" s="1" t="str">
        <f>UPPER(_xlfn.CONCAT(LEFT(Teams[[#This Row],[teamType]], 1), "-", LEFT(SUBSTITUTE(Teams[[#This Row],[nation]], "/", ""), 3), "-", SUBSTITUTE(SUBSTITUTE(SUBSTITUTE(Teams[[#This Row],[name]], ".", ""), " ", ""), "-", "")))</f>
        <v>C-NOR-KRISTIANSUNDBK</v>
      </c>
      <c r="E374" s="16"/>
      <c r="F374" s="16"/>
      <c r="G374" s="1" t="b">
        <f>COUNTBLANK(Teams[[#This Row],[startDate]:[endDate]]) &lt; 2</f>
        <v>0</v>
      </c>
      <c r="H374" s="1" t="str">
        <f>IF(Teams[[#This Row],[relevant]], COUNTIFS(Fixtures[userTeam], Teams[[#This Row],[name]], Fixtures[APP], TRUE), "")</f>
        <v/>
      </c>
      <c r="I374" s="1" t="str">
        <f>IF(Teams[[#This Row],[relevant]], COUNTIFS(Fixtures[userTeam], Teams[[#This Row],[name]], Fixtures[result], "W", Fixtures[APP], TRUE), "")</f>
        <v/>
      </c>
      <c r="J374" s="1" t="str">
        <f>IF(Teams[[#This Row],[relevant]], COUNTIFS(Fixtures[userTeam], Teams[[#This Row],[name]], Fixtures[result], "D", Fixtures[APP], TRUE), "")</f>
        <v/>
      </c>
      <c r="K374" s="1" t="str">
        <f>IF(Teams[[#This Row],[relevant]], COUNTIFS(Fixtures[userTeam], Teams[[#This Row],[name]], Fixtures[result], "L", Fixtures[APP], TRUE), "")</f>
        <v/>
      </c>
      <c r="L374" s="1" t="str">
        <f>IF(Teams[[#This Row],[relevant]], SUMIFS(Fixtures[G], Fixtures[userTeam], Teams[[#This Row],[name]]), "")</f>
        <v/>
      </c>
      <c r="M374" s="1" t="str">
        <f>IF(Teams[[#This Row],[relevant]], SUMIFS(Fixtures[A], Fixtures[userTeam], Teams[[#This Row],[name]]), "")</f>
        <v/>
      </c>
      <c r="N374" s="1" t="str">
        <f>IF(Teams[[#This Row],[relevant]], SUMIFS(Fixtures[INV], Fixtures[userTeam], Teams[[#This Row],[name]]), "")</f>
        <v/>
      </c>
      <c r="O374" s="1" t="str">
        <f>IF(Teams[[#This Row],[relevant]], SUMIFS(Fixtures[YC], Fixtures[userTeam], Teams[[#This Row],[name]]), "")</f>
        <v/>
      </c>
      <c r="P374" s="1" t="str">
        <f>IF(Teams[[#This Row],[relevant]], SUMIFS(Fixtures[RC], Fixtures[userTeam], Teams[[#This Row],[name]]), "")</f>
        <v/>
      </c>
      <c r="Q374" s="13" t="str">
        <f>IF(Teams[[#This Row],[relevant]], IF(ISERROR(AVERAGEIFS(Fixtures[MR], Fixtures[userTeam], Teams[[#This Row],[name]])), 0, AVERAGEIFS(Fixtures[MR], Fixtures[userTeam], Teams[[#This Row],[name]])), "")</f>
        <v/>
      </c>
      <c r="R374" s="1" t="str">
        <f>IF(Teams[[#This Row],[relevant]], COUNTIFS(Fixtures[userTeam], Teams[[#This Row],[name]], Fixtures[MOTM], TRUE), "")</f>
        <v/>
      </c>
      <c r="S374" s="1" t="str" cm="1">
        <f t="array" ref="S374">IF(Teams[[#This Row],[relevant]], _xlfn.TEXTJOIN(", ", TRUE, _xlfn._xlws.FILTER(Stats[competition]&amp;" ("&amp;Stats[season]&amp;")",(Stats[team]=Teams[[#This Row],[name]])*(Stats[result]="Winner"),"")), "")</f>
        <v/>
      </c>
    </row>
    <row r="375" spans="1:19" ht="13" hidden="1">
      <c r="A375" s="1" t="s">
        <v>138</v>
      </c>
      <c r="B375" s="1" t="s">
        <v>144</v>
      </c>
      <c r="C375" s="1" t="s">
        <v>391</v>
      </c>
      <c r="D375" s="1" t="str">
        <f>UPPER(_xlfn.CONCAT(LEFT(Teams[[#This Row],[teamType]], 1), "-", LEFT(SUBSTITUTE(Teams[[#This Row],[nation]], "/", ""), 3), "-", SUBSTITUTE(SUBSTITUTE(SUBSTITUTE(Teams[[#This Row],[name]], ".", ""), " ", ""), "-", "")))</f>
        <v>C-BEL-KVKORTRIJK</v>
      </c>
      <c r="E375" s="16"/>
      <c r="F375" s="16"/>
      <c r="G375" s="1" t="b">
        <f>COUNTBLANK(Teams[[#This Row],[startDate]:[endDate]]) &lt; 2</f>
        <v>0</v>
      </c>
      <c r="H375" s="1" t="str">
        <f>IF(Teams[[#This Row],[relevant]], COUNTIFS(Fixtures[userTeam], Teams[[#This Row],[name]], Fixtures[APP], TRUE), "")</f>
        <v/>
      </c>
      <c r="I375" s="1" t="str">
        <f>IF(Teams[[#This Row],[relevant]], COUNTIFS(Fixtures[userTeam], Teams[[#This Row],[name]], Fixtures[result], "W", Fixtures[APP], TRUE), "")</f>
        <v/>
      </c>
      <c r="J375" s="1" t="str">
        <f>IF(Teams[[#This Row],[relevant]], COUNTIFS(Fixtures[userTeam], Teams[[#This Row],[name]], Fixtures[result], "D", Fixtures[APP], TRUE), "")</f>
        <v/>
      </c>
      <c r="K375" s="1" t="str">
        <f>IF(Teams[[#This Row],[relevant]], COUNTIFS(Fixtures[userTeam], Teams[[#This Row],[name]], Fixtures[result], "L", Fixtures[APP], TRUE), "")</f>
        <v/>
      </c>
      <c r="L375" s="1" t="str">
        <f>IF(Teams[[#This Row],[relevant]], SUMIFS(Fixtures[G], Fixtures[userTeam], Teams[[#This Row],[name]]), "")</f>
        <v/>
      </c>
      <c r="M375" s="1" t="str">
        <f>IF(Teams[[#This Row],[relevant]], SUMIFS(Fixtures[A], Fixtures[userTeam], Teams[[#This Row],[name]]), "")</f>
        <v/>
      </c>
      <c r="N375" s="1" t="str">
        <f>IF(Teams[[#This Row],[relevant]], SUMIFS(Fixtures[INV], Fixtures[userTeam], Teams[[#This Row],[name]]), "")</f>
        <v/>
      </c>
      <c r="O375" s="1" t="str">
        <f>IF(Teams[[#This Row],[relevant]], SUMIFS(Fixtures[YC], Fixtures[userTeam], Teams[[#This Row],[name]]), "")</f>
        <v/>
      </c>
      <c r="P375" s="1" t="str">
        <f>IF(Teams[[#This Row],[relevant]], SUMIFS(Fixtures[RC], Fixtures[userTeam], Teams[[#This Row],[name]]), "")</f>
        <v/>
      </c>
      <c r="Q375" s="13" t="str">
        <f>IF(Teams[[#This Row],[relevant]], IF(ISERROR(AVERAGEIFS(Fixtures[MR], Fixtures[userTeam], Teams[[#This Row],[name]])), 0, AVERAGEIFS(Fixtures[MR], Fixtures[userTeam], Teams[[#This Row],[name]])), "")</f>
        <v/>
      </c>
      <c r="R375" s="1" t="str">
        <f>IF(Teams[[#This Row],[relevant]], COUNTIFS(Fixtures[userTeam], Teams[[#This Row],[name]], Fixtures[MOTM], TRUE), "")</f>
        <v/>
      </c>
      <c r="S375" s="1" t="str" cm="1">
        <f t="array" ref="S375">IF(Teams[[#This Row],[relevant]], _xlfn.TEXTJOIN(", ", TRUE, _xlfn._xlws.FILTER(Stats[competition]&amp;" ("&amp;Stats[season]&amp;")",(Stats[team]=Teams[[#This Row],[name]])*(Stats[result]="Winner"),"")), "")</f>
        <v/>
      </c>
    </row>
    <row r="376" spans="1:19" ht="13" hidden="1">
      <c r="A376" s="1" t="s">
        <v>140</v>
      </c>
      <c r="B376" s="1" t="s">
        <v>144</v>
      </c>
      <c r="C376" s="1" t="s">
        <v>391</v>
      </c>
      <c r="D376" s="1" t="str">
        <f>UPPER(_xlfn.CONCAT(LEFT(Teams[[#This Row],[teamType]], 1), "-", LEFT(SUBSTITUTE(Teams[[#This Row],[nation]], "/", ""), 3), "-", SUBSTITUTE(SUBSTITUTE(SUBSTITUTE(Teams[[#This Row],[name]], ".", ""), " ", ""), "-", "")))</f>
        <v>C-BEL-KVMECHELEN</v>
      </c>
      <c r="E376" s="16"/>
      <c r="F376" s="16"/>
      <c r="G376" s="1" t="b">
        <f>COUNTBLANK(Teams[[#This Row],[startDate]:[endDate]]) &lt; 2</f>
        <v>0</v>
      </c>
      <c r="H376" s="1" t="str">
        <f>IF(Teams[[#This Row],[relevant]], COUNTIFS(Fixtures[userTeam], Teams[[#This Row],[name]], Fixtures[APP], TRUE), "")</f>
        <v/>
      </c>
      <c r="I376" s="1" t="str">
        <f>IF(Teams[[#This Row],[relevant]], COUNTIFS(Fixtures[userTeam], Teams[[#This Row],[name]], Fixtures[result], "W", Fixtures[APP], TRUE), "")</f>
        <v/>
      </c>
      <c r="J376" s="1" t="str">
        <f>IF(Teams[[#This Row],[relevant]], COUNTIFS(Fixtures[userTeam], Teams[[#This Row],[name]], Fixtures[result], "D", Fixtures[APP], TRUE), "")</f>
        <v/>
      </c>
      <c r="K376" s="1" t="str">
        <f>IF(Teams[[#This Row],[relevant]], COUNTIFS(Fixtures[userTeam], Teams[[#This Row],[name]], Fixtures[result], "L", Fixtures[APP], TRUE), "")</f>
        <v/>
      </c>
      <c r="L376" s="1" t="str">
        <f>IF(Teams[[#This Row],[relevant]], SUMIFS(Fixtures[G], Fixtures[userTeam], Teams[[#This Row],[name]]), "")</f>
        <v/>
      </c>
      <c r="M376" s="1" t="str">
        <f>IF(Teams[[#This Row],[relevant]], SUMIFS(Fixtures[A], Fixtures[userTeam], Teams[[#This Row],[name]]), "")</f>
        <v/>
      </c>
      <c r="N376" s="1" t="str">
        <f>IF(Teams[[#This Row],[relevant]], SUMIFS(Fixtures[INV], Fixtures[userTeam], Teams[[#This Row],[name]]), "")</f>
        <v/>
      </c>
      <c r="O376" s="1" t="str">
        <f>IF(Teams[[#This Row],[relevant]], SUMIFS(Fixtures[YC], Fixtures[userTeam], Teams[[#This Row],[name]]), "")</f>
        <v/>
      </c>
      <c r="P376" s="1" t="str">
        <f>IF(Teams[[#This Row],[relevant]], SUMIFS(Fixtures[RC], Fixtures[userTeam], Teams[[#This Row],[name]]), "")</f>
        <v/>
      </c>
      <c r="Q376" s="13" t="str">
        <f>IF(Teams[[#This Row],[relevant]], IF(ISERROR(AVERAGEIFS(Fixtures[MR], Fixtures[userTeam], Teams[[#This Row],[name]])), 0, AVERAGEIFS(Fixtures[MR], Fixtures[userTeam], Teams[[#This Row],[name]])), "")</f>
        <v/>
      </c>
      <c r="R376" s="1" t="str">
        <f>IF(Teams[[#This Row],[relevant]], COUNTIFS(Fixtures[userTeam], Teams[[#This Row],[name]], Fixtures[MOTM], TRUE), "")</f>
        <v/>
      </c>
      <c r="S376" s="1" t="str" cm="1">
        <f t="array" ref="S376">IF(Teams[[#This Row],[relevant]], _xlfn.TEXTJOIN(", ", TRUE, _xlfn._xlws.FILTER(Stats[competition]&amp;" ("&amp;Stats[season]&amp;")",(Stats[team]=Teams[[#This Row],[name]])*(Stats[result]="Winner"),"")), "")</f>
        <v/>
      </c>
    </row>
    <row r="377" spans="1:19" ht="13" hidden="1">
      <c r="A377" s="1" t="s">
        <v>739</v>
      </c>
      <c r="B377" s="1" t="s">
        <v>144</v>
      </c>
      <c r="C377" s="1" t="s">
        <v>391</v>
      </c>
      <c r="D377" s="1" t="str">
        <f>UPPER(_xlfn.CONCAT(LEFT(Teams[[#This Row],[teamType]], 1), "-", LEFT(SUBSTITUTE(Teams[[#This Row],[nation]], "/", ""), 3), "-", SUBSTITUTE(SUBSTITUTE(SUBSTITUTE(Teams[[#This Row],[name]], ".", ""), " ", ""), "-", "")))</f>
        <v>C-BEL-KVOOSTENDE</v>
      </c>
      <c r="E377" s="16"/>
      <c r="F377" s="16"/>
      <c r="G377" s="1" t="b">
        <f>COUNTBLANK(Teams[[#This Row],[startDate]:[endDate]]) &lt; 2</f>
        <v>0</v>
      </c>
      <c r="H377" s="1" t="str">
        <f>IF(Teams[[#This Row],[relevant]], COUNTIFS(Fixtures[userTeam], Teams[[#This Row],[name]], Fixtures[APP], TRUE), "")</f>
        <v/>
      </c>
      <c r="I377" s="1" t="str">
        <f>IF(Teams[[#This Row],[relevant]], COUNTIFS(Fixtures[userTeam], Teams[[#This Row],[name]], Fixtures[result], "W", Fixtures[APP], TRUE), "")</f>
        <v/>
      </c>
      <c r="J377" s="1" t="str">
        <f>IF(Teams[[#This Row],[relevant]], COUNTIFS(Fixtures[userTeam], Teams[[#This Row],[name]], Fixtures[result], "D", Fixtures[APP], TRUE), "")</f>
        <v/>
      </c>
      <c r="K377" s="1" t="str">
        <f>IF(Teams[[#This Row],[relevant]], COUNTIFS(Fixtures[userTeam], Teams[[#This Row],[name]], Fixtures[result], "L", Fixtures[APP], TRUE), "")</f>
        <v/>
      </c>
      <c r="L377" s="1" t="str">
        <f>IF(Teams[[#This Row],[relevant]], SUMIFS(Fixtures[G], Fixtures[userTeam], Teams[[#This Row],[name]]), "")</f>
        <v/>
      </c>
      <c r="M377" s="1" t="str">
        <f>IF(Teams[[#This Row],[relevant]], SUMIFS(Fixtures[A], Fixtures[userTeam], Teams[[#This Row],[name]]), "")</f>
        <v/>
      </c>
      <c r="N377" s="1" t="str">
        <f>IF(Teams[[#This Row],[relevant]], SUMIFS(Fixtures[INV], Fixtures[userTeam], Teams[[#This Row],[name]]), "")</f>
        <v/>
      </c>
      <c r="O377" s="1" t="str">
        <f>IF(Teams[[#This Row],[relevant]], SUMIFS(Fixtures[YC], Fixtures[userTeam], Teams[[#This Row],[name]]), "")</f>
        <v/>
      </c>
      <c r="P377" s="1" t="str">
        <f>IF(Teams[[#This Row],[relevant]], SUMIFS(Fixtures[RC], Fixtures[userTeam], Teams[[#This Row],[name]]), "")</f>
        <v/>
      </c>
      <c r="Q377" s="13" t="str">
        <f>IF(Teams[[#This Row],[relevant]], IF(ISERROR(AVERAGEIFS(Fixtures[MR], Fixtures[userTeam], Teams[[#This Row],[name]])), 0, AVERAGEIFS(Fixtures[MR], Fixtures[userTeam], Teams[[#This Row],[name]])), "")</f>
        <v/>
      </c>
      <c r="R377" s="1" t="str">
        <f>IF(Teams[[#This Row],[relevant]], COUNTIFS(Fixtures[userTeam], Teams[[#This Row],[name]], Fixtures[MOTM], TRUE), "")</f>
        <v/>
      </c>
      <c r="S377" s="1" t="str" cm="1">
        <f t="array" ref="S377">IF(Teams[[#This Row],[relevant]], _xlfn.TEXTJOIN(", ", TRUE, _xlfn._xlws.FILTER(Stats[competition]&amp;" ("&amp;Stats[season]&amp;")",(Stats[team]=Teams[[#This Row],[name]])*(Stats[result]="Winner"),"")), "")</f>
        <v/>
      </c>
    </row>
    <row r="378" spans="1:19" ht="13" hidden="1">
      <c r="A378" s="1" t="s">
        <v>121</v>
      </c>
      <c r="B378" s="1" t="s">
        <v>144</v>
      </c>
      <c r="C378" s="1" t="s">
        <v>391</v>
      </c>
      <c r="D378" s="1" t="str">
        <f>UPPER(_xlfn.CONCAT(LEFT(Teams[[#This Row],[teamType]], 1), "-", LEFT(SUBSTITUTE(Teams[[#This Row],[nation]], "/", ""), 3), "-", SUBSTITUTE(SUBSTITUTE(SUBSTITUTE(Teams[[#This Row],[name]], ".", ""), " ", ""), "-", "")))</f>
        <v>C-BEL-KVCWESTERLO</v>
      </c>
      <c r="E378" s="16"/>
      <c r="F378" s="16"/>
      <c r="G378" s="1" t="b">
        <f>COUNTBLANK(Teams[[#This Row],[startDate]:[endDate]]) &lt; 2</f>
        <v>0</v>
      </c>
      <c r="H378" s="1" t="str">
        <f>IF(Teams[[#This Row],[relevant]], COUNTIFS(Fixtures[userTeam], Teams[[#This Row],[name]], Fixtures[APP], TRUE), "")</f>
        <v/>
      </c>
      <c r="I378" s="1" t="str">
        <f>IF(Teams[[#This Row],[relevant]], COUNTIFS(Fixtures[userTeam], Teams[[#This Row],[name]], Fixtures[result], "W", Fixtures[APP], TRUE), "")</f>
        <v/>
      </c>
      <c r="J378" s="1" t="str">
        <f>IF(Teams[[#This Row],[relevant]], COUNTIFS(Fixtures[userTeam], Teams[[#This Row],[name]], Fixtures[result], "D", Fixtures[APP], TRUE), "")</f>
        <v/>
      </c>
      <c r="K378" s="1" t="str">
        <f>IF(Teams[[#This Row],[relevant]], COUNTIFS(Fixtures[userTeam], Teams[[#This Row],[name]], Fixtures[result], "L", Fixtures[APP], TRUE), "")</f>
        <v/>
      </c>
      <c r="L378" s="1" t="str">
        <f>IF(Teams[[#This Row],[relevant]], SUMIFS(Fixtures[G], Fixtures[userTeam], Teams[[#This Row],[name]]), "")</f>
        <v/>
      </c>
      <c r="M378" s="1" t="str">
        <f>IF(Teams[[#This Row],[relevant]], SUMIFS(Fixtures[A], Fixtures[userTeam], Teams[[#This Row],[name]]), "")</f>
        <v/>
      </c>
      <c r="N378" s="1" t="str">
        <f>IF(Teams[[#This Row],[relevant]], SUMIFS(Fixtures[INV], Fixtures[userTeam], Teams[[#This Row],[name]]), "")</f>
        <v/>
      </c>
      <c r="O378" s="1" t="str">
        <f>IF(Teams[[#This Row],[relevant]], SUMIFS(Fixtures[YC], Fixtures[userTeam], Teams[[#This Row],[name]]), "")</f>
        <v/>
      </c>
      <c r="P378" s="1" t="str">
        <f>IF(Teams[[#This Row],[relevant]], SUMIFS(Fixtures[RC], Fixtures[userTeam], Teams[[#This Row],[name]]), "")</f>
        <v/>
      </c>
      <c r="Q378" s="13" t="str">
        <f>IF(Teams[[#This Row],[relevant]], IF(ISERROR(AVERAGEIFS(Fixtures[MR], Fixtures[userTeam], Teams[[#This Row],[name]])), 0, AVERAGEIFS(Fixtures[MR], Fixtures[userTeam], Teams[[#This Row],[name]])), "")</f>
        <v/>
      </c>
      <c r="R378" s="1" t="str">
        <f>IF(Teams[[#This Row],[relevant]], COUNTIFS(Fixtures[userTeam], Teams[[#This Row],[name]], Fixtures[MOTM], TRUE), "")</f>
        <v/>
      </c>
      <c r="S378" s="1" t="str" cm="1">
        <f t="array" ref="S378">IF(Teams[[#This Row],[relevant]], _xlfn.TEXTJOIN(", ", TRUE, _xlfn._xlws.FILTER(Stats[competition]&amp;" ("&amp;Stats[season]&amp;")",(Stats[team]=Teams[[#This Row],[name]])*(Stats[result]="Winner"),"")), "")</f>
        <v/>
      </c>
    </row>
    <row r="379" spans="1:19" ht="13" hidden="1">
      <c r="A379" s="1" t="s">
        <v>740</v>
      </c>
      <c r="B379" s="1" t="s">
        <v>449</v>
      </c>
      <c r="C379" s="1" t="s">
        <v>391</v>
      </c>
      <c r="D379" s="1" t="str">
        <f>UPPER(_xlfn.CONCAT(LEFT(Teams[[#This Row],[teamType]], 1), "-", LEFT(SUBSTITUTE(Teams[[#This Row],[nation]], "/", ""), 3), "-", SUBSTITUTE(SUBSTITUTE(SUBSTITUTE(Teams[[#This Row],[name]], ".", ""), " ", ""), "-", "")))</f>
        <v>C-COL-LAEQUIDAD</v>
      </c>
      <c r="E379" s="16"/>
      <c r="F379" s="16"/>
      <c r="G379" s="1" t="b">
        <f>COUNTBLANK(Teams[[#This Row],[startDate]:[endDate]]) &lt; 2</f>
        <v>0</v>
      </c>
      <c r="H379" s="1" t="str">
        <f>IF(Teams[[#This Row],[relevant]], COUNTIFS(Fixtures[userTeam], Teams[[#This Row],[name]], Fixtures[APP], TRUE), "")</f>
        <v/>
      </c>
      <c r="I379" s="1" t="str">
        <f>IF(Teams[[#This Row],[relevant]], COUNTIFS(Fixtures[userTeam], Teams[[#This Row],[name]], Fixtures[result], "W", Fixtures[APP], TRUE), "")</f>
        <v/>
      </c>
      <c r="J379" s="1" t="str">
        <f>IF(Teams[[#This Row],[relevant]], COUNTIFS(Fixtures[userTeam], Teams[[#This Row],[name]], Fixtures[result], "D", Fixtures[APP], TRUE), "")</f>
        <v/>
      </c>
      <c r="K379" s="1" t="str">
        <f>IF(Teams[[#This Row],[relevant]], COUNTIFS(Fixtures[userTeam], Teams[[#This Row],[name]], Fixtures[result], "L", Fixtures[APP], TRUE), "")</f>
        <v/>
      </c>
      <c r="L379" s="1" t="str">
        <f>IF(Teams[[#This Row],[relevant]], SUMIFS(Fixtures[G], Fixtures[userTeam], Teams[[#This Row],[name]]), "")</f>
        <v/>
      </c>
      <c r="M379" s="1" t="str">
        <f>IF(Teams[[#This Row],[relevant]], SUMIFS(Fixtures[A], Fixtures[userTeam], Teams[[#This Row],[name]]), "")</f>
        <v/>
      </c>
      <c r="N379" s="1" t="str">
        <f>IF(Teams[[#This Row],[relevant]], SUMIFS(Fixtures[INV], Fixtures[userTeam], Teams[[#This Row],[name]]), "")</f>
        <v/>
      </c>
      <c r="O379" s="1" t="str">
        <f>IF(Teams[[#This Row],[relevant]], SUMIFS(Fixtures[YC], Fixtures[userTeam], Teams[[#This Row],[name]]), "")</f>
        <v/>
      </c>
      <c r="P379" s="1" t="str">
        <f>IF(Teams[[#This Row],[relevant]], SUMIFS(Fixtures[RC], Fixtures[userTeam], Teams[[#This Row],[name]]), "")</f>
        <v/>
      </c>
      <c r="Q379" s="13" t="str">
        <f>IF(Teams[[#This Row],[relevant]], IF(ISERROR(AVERAGEIFS(Fixtures[MR], Fixtures[userTeam], Teams[[#This Row],[name]])), 0, AVERAGEIFS(Fixtures[MR], Fixtures[userTeam], Teams[[#This Row],[name]])), "")</f>
        <v/>
      </c>
      <c r="R379" s="1" t="str">
        <f>IF(Teams[[#This Row],[relevant]], COUNTIFS(Fixtures[userTeam], Teams[[#This Row],[name]], Fixtures[MOTM], TRUE), "")</f>
        <v/>
      </c>
      <c r="S379" s="1" t="str" cm="1">
        <f t="array" ref="S379">IF(Teams[[#This Row],[relevant]], _xlfn.TEXTJOIN(", ", TRUE, _xlfn._xlws.FILTER(Stats[competition]&amp;" ("&amp;Stats[season]&amp;")",(Stats[team]=Teams[[#This Row],[name]])*(Stats[result]="Winner"),"")), "")</f>
        <v/>
      </c>
    </row>
    <row r="380" spans="1:19" ht="13" hidden="1">
      <c r="A380" s="1" t="s">
        <v>741</v>
      </c>
      <c r="B380" s="1" t="s">
        <v>16</v>
      </c>
      <c r="C380" s="1" t="s">
        <v>391</v>
      </c>
      <c r="D380" s="1" t="str">
        <f>UPPER(_xlfn.CONCAT(LEFT(Teams[[#This Row],[teamType]], 1), "-", LEFT(SUBSTITUTE(Teams[[#This Row],[nation]], "/", ""), 3), "-", SUBSTITUTE(SUBSTITUTE(SUBSTITUTE(Teams[[#This Row],[name]], ".", ""), " ", ""), "-", "")))</f>
        <v>C-UNI-LAGALAXY</v>
      </c>
      <c r="E380" s="16"/>
      <c r="F380" s="16"/>
      <c r="G380" s="1" t="b">
        <f>COUNTBLANK(Teams[[#This Row],[startDate]:[endDate]]) &lt; 2</f>
        <v>0</v>
      </c>
      <c r="H380" s="1" t="str">
        <f>IF(Teams[[#This Row],[relevant]], COUNTIFS(Fixtures[userTeam], Teams[[#This Row],[name]], Fixtures[APP], TRUE), "")</f>
        <v/>
      </c>
      <c r="I380" s="1" t="str">
        <f>IF(Teams[[#This Row],[relevant]], COUNTIFS(Fixtures[userTeam], Teams[[#This Row],[name]], Fixtures[result], "W", Fixtures[APP], TRUE), "")</f>
        <v/>
      </c>
      <c r="J380" s="1" t="str">
        <f>IF(Teams[[#This Row],[relevant]], COUNTIFS(Fixtures[userTeam], Teams[[#This Row],[name]], Fixtures[result], "D", Fixtures[APP], TRUE), "")</f>
        <v/>
      </c>
      <c r="K380" s="1" t="str">
        <f>IF(Teams[[#This Row],[relevant]], COUNTIFS(Fixtures[userTeam], Teams[[#This Row],[name]], Fixtures[result], "L", Fixtures[APP], TRUE), "")</f>
        <v/>
      </c>
      <c r="L380" s="1" t="str">
        <f>IF(Teams[[#This Row],[relevant]], SUMIFS(Fixtures[G], Fixtures[userTeam], Teams[[#This Row],[name]]), "")</f>
        <v/>
      </c>
      <c r="M380" s="1" t="str">
        <f>IF(Teams[[#This Row],[relevant]], SUMIFS(Fixtures[A], Fixtures[userTeam], Teams[[#This Row],[name]]), "")</f>
        <v/>
      </c>
      <c r="N380" s="1" t="str">
        <f>IF(Teams[[#This Row],[relevant]], SUMIFS(Fixtures[INV], Fixtures[userTeam], Teams[[#This Row],[name]]), "")</f>
        <v/>
      </c>
      <c r="O380" s="1" t="str">
        <f>IF(Teams[[#This Row],[relevant]], SUMIFS(Fixtures[YC], Fixtures[userTeam], Teams[[#This Row],[name]]), "")</f>
        <v/>
      </c>
      <c r="P380" s="1" t="str">
        <f>IF(Teams[[#This Row],[relevant]], SUMIFS(Fixtures[RC], Fixtures[userTeam], Teams[[#This Row],[name]]), "")</f>
        <v/>
      </c>
      <c r="Q380" s="13" t="str">
        <f>IF(Teams[[#This Row],[relevant]], IF(ISERROR(AVERAGEIFS(Fixtures[MR], Fixtures[userTeam], Teams[[#This Row],[name]])), 0, AVERAGEIFS(Fixtures[MR], Fixtures[userTeam], Teams[[#This Row],[name]])), "")</f>
        <v/>
      </c>
      <c r="R380" s="1" t="str">
        <f>IF(Teams[[#This Row],[relevant]], COUNTIFS(Fixtures[userTeam], Teams[[#This Row],[name]], Fixtures[MOTM], TRUE), "")</f>
        <v/>
      </c>
      <c r="S380" s="1" t="str" cm="1">
        <f t="array" ref="S380">IF(Teams[[#This Row],[relevant]], _xlfn.TEXTJOIN(", ", TRUE, _xlfn._xlws.FILTER(Stats[competition]&amp;" ("&amp;Stats[season]&amp;")",(Stats[team]=Teams[[#This Row],[name]])*(Stats[result]="Winner"),"")), "")</f>
        <v/>
      </c>
    </row>
    <row r="381" spans="1:19" ht="13" hidden="1">
      <c r="A381" s="1" t="s">
        <v>742</v>
      </c>
      <c r="B381" s="1" t="s">
        <v>16</v>
      </c>
      <c r="C381" s="1" t="s">
        <v>391</v>
      </c>
      <c r="D381" s="1" t="str">
        <f>UPPER(_xlfn.CONCAT(LEFT(Teams[[#This Row],[teamType]], 1), "-", LEFT(SUBSTITUTE(Teams[[#This Row],[nation]], "/", ""), 3), "-", SUBSTITUTE(SUBSTITUTE(SUBSTITUTE(Teams[[#This Row],[name]], ".", ""), " ", ""), "-", "")))</f>
        <v>C-UNI-LAFC</v>
      </c>
      <c r="E381" s="16"/>
      <c r="F381" s="16"/>
      <c r="G381" s="1" t="b">
        <f>COUNTBLANK(Teams[[#This Row],[startDate]:[endDate]]) &lt; 2</f>
        <v>0</v>
      </c>
      <c r="H381" s="1" t="str">
        <f>IF(Teams[[#This Row],[relevant]], COUNTIFS(Fixtures[userTeam], Teams[[#This Row],[name]], Fixtures[APP], TRUE), "")</f>
        <v/>
      </c>
      <c r="I381" s="1" t="str">
        <f>IF(Teams[[#This Row],[relevant]], COUNTIFS(Fixtures[userTeam], Teams[[#This Row],[name]], Fixtures[result], "W", Fixtures[APP], TRUE), "")</f>
        <v/>
      </c>
      <c r="J381" s="1" t="str">
        <f>IF(Teams[[#This Row],[relevant]], COUNTIFS(Fixtures[userTeam], Teams[[#This Row],[name]], Fixtures[result], "D", Fixtures[APP], TRUE), "")</f>
        <v/>
      </c>
      <c r="K381" s="1" t="str">
        <f>IF(Teams[[#This Row],[relevant]], COUNTIFS(Fixtures[userTeam], Teams[[#This Row],[name]], Fixtures[result], "L", Fixtures[APP], TRUE), "")</f>
        <v/>
      </c>
      <c r="L381" s="1" t="str">
        <f>IF(Teams[[#This Row],[relevant]], SUMIFS(Fixtures[G], Fixtures[userTeam], Teams[[#This Row],[name]]), "")</f>
        <v/>
      </c>
      <c r="M381" s="1" t="str">
        <f>IF(Teams[[#This Row],[relevant]], SUMIFS(Fixtures[A], Fixtures[userTeam], Teams[[#This Row],[name]]), "")</f>
        <v/>
      </c>
      <c r="N381" s="1" t="str">
        <f>IF(Teams[[#This Row],[relevant]], SUMIFS(Fixtures[INV], Fixtures[userTeam], Teams[[#This Row],[name]]), "")</f>
        <v/>
      </c>
      <c r="O381" s="1" t="str">
        <f>IF(Teams[[#This Row],[relevant]], SUMIFS(Fixtures[YC], Fixtures[userTeam], Teams[[#This Row],[name]]), "")</f>
        <v/>
      </c>
      <c r="P381" s="1" t="str">
        <f>IF(Teams[[#This Row],[relevant]], SUMIFS(Fixtures[RC], Fixtures[userTeam], Teams[[#This Row],[name]]), "")</f>
        <v/>
      </c>
      <c r="Q381" s="13" t="str">
        <f>IF(Teams[[#This Row],[relevant]], IF(ISERROR(AVERAGEIFS(Fixtures[MR], Fixtures[userTeam], Teams[[#This Row],[name]])), 0, AVERAGEIFS(Fixtures[MR], Fixtures[userTeam], Teams[[#This Row],[name]])), "")</f>
        <v/>
      </c>
      <c r="R381" s="1" t="str">
        <f>IF(Teams[[#This Row],[relevant]], COUNTIFS(Fixtures[userTeam], Teams[[#This Row],[name]], Fixtures[MOTM], TRUE), "")</f>
        <v/>
      </c>
      <c r="S381" s="1" t="str" cm="1">
        <f t="array" ref="S381">IF(Teams[[#This Row],[relevant]], _xlfn.TEXTJOIN(", ", TRUE, _xlfn._xlws.FILTER(Stats[competition]&amp;" ("&amp;Stats[season]&amp;")",(Stats[team]=Teams[[#This Row],[name]])*(Stats[result]="Winner"),"")), "")</f>
        <v/>
      </c>
    </row>
    <row r="382" spans="1:19" ht="13" hidden="1">
      <c r="A382" s="1" t="s">
        <v>743</v>
      </c>
      <c r="B382" s="1" t="s">
        <v>131</v>
      </c>
      <c r="C382" s="1" t="s">
        <v>391</v>
      </c>
      <c r="D382" s="1" t="str">
        <f>UPPER(_xlfn.CONCAT(LEFT(Teams[[#This Row],[teamType]], 1), "-", LEFT(SUBSTITUTE(Teams[[#This Row],[nation]], "/", ""), 3), "-", SUBSTITUTE(SUBSTITUTE(SUBSTITUTE(Teams[[#This Row],[name]], ".", ""), " ", ""), "-", "")))</f>
        <v>C-ARG-LANÚS</v>
      </c>
      <c r="E382" s="16"/>
      <c r="F382" s="16"/>
      <c r="G382" s="1" t="b">
        <f>COUNTBLANK(Teams[[#This Row],[startDate]:[endDate]]) &lt; 2</f>
        <v>0</v>
      </c>
      <c r="H382" s="1" t="str">
        <f>IF(Teams[[#This Row],[relevant]], COUNTIFS(Fixtures[userTeam], Teams[[#This Row],[name]], Fixtures[APP], TRUE), "")</f>
        <v/>
      </c>
      <c r="I382" s="1" t="str">
        <f>IF(Teams[[#This Row],[relevant]], COUNTIFS(Fixtures[userTeam], Teams[[#This Row],[name]], Fixtures[result], "W", Fixtures[APP], TRUE), "")</f>
        <v/>
      </c>
      <c r="J382" s="1" t="str">
        <f>IF(Teams[[#This Row],[relevant]], COUNTIFS(Fixtures[userTeam], Teams[[#This Row],[name]], Fixtures[result], "D", Fixtures[APP], TRUE), "")</f>
        <v/>
      </c>
      <c r="K382" s="1" t="str">
        <f>IF(Teams[[#This Row],[relevant]], COUNTIFS(Fixtures[userTeam], Teams[[#This Row],[name]], Fixtures[result], "L", Fixtures[APP], TRUE), "")</f>
        <v/>
      </c>
      <c r="L382" s="1" t="str">
        <f>IF(Teams[[#This Row],[relevant]], SUMIFS(Fixtures[G], Fixtures[userTeam], Teams[[#This Row],[name]]), "")</f>
        <v/>
      </c>
      <c r="M382" s="1" t="str">
        <f>IF(Teams[[#This Row],[relevant]], SUMIFS(Fixtures[A], Fixtures[userTeam], Teams[[#This Row],[name]]), "")</f>
        <v/>
      </c>
      <c r="N382" s="1" t="str">
        <f>IF(Teams[[#This Row],[relevant]], SUMIFS(Fixtures[INV], Fixtures[userTeam], Teams[[#This Row],[name]]), "")</f>
        <v/>
      </c>
      <c r="O382" s="1" t="str">
        <f>IF(Teams[[#This Row],[relevant]], SUMIFS(Fixtures[YC], Fixtures[userTeam], Teams[[#This Row],[name]]), "")</f>
        <v/>
      </c>
      <c r="P382" s="1" t="str">
        <f>IF(Teams[[#This Row],[relevant]], SUMIFS(Fixtures[RC], Fixtures[userTeam], Teams[[#This Row],[name]]), "")</f>
        <v/>
      </c>
      <c r="Q382" s="13" t="str">
        <f>IF(Teams[[#This Row],[relevant]], IF(ISERROR(AVERAGEIFS(Fixtures[MR], Fixtures[userTeam], Teams[[#This Row],[name]])), 0, AVERAGEIFS(Fixtures[MR], Fixtures[userTeam], Teams[[#This Row],[name]])), "")</f>
        <v/>
      </c>
      <c r="R382" s="1" t="str">
        <f>IF(Teams[[#This Row],[relevant]], COUNTIFS(Fixtures[userTeam], Teams[[#This Row],[name]], Fixtures[MOTM], TRUE), "")</f>
        <v/>
      </c>
      <c r="S382" s="1" t="str" cm="1">
        <f t="array" ref="S382">IF(Teams[[#This Row],[relevant]], _xlfn.TEXTJOIN(", ", TRUE, _xlfn._xlws.FILTER(Stats[competition]&amp;" ("&amp;Stats[season]&amp;")",(Stats[team]=Teams[[#This Row],[name]])*(Stats[result]="Winner"),"")), "")</f>
        <v/>
      </c>
    </row>
    <row r="383" spans="1:19" ht="13" hidden="1">
      <c r="A383" s="1" t="s">
        <v>744</v>
      </c>
      <c r="B383" s="1" t="s">
        <v>414</v>
      </c>
      <c r="C383" s="1" t="s">
        <v>391</v>
      </c>
      <c r="D383" s="1" t="str">
        <f>UPPER(_xlfn.CONCAT(LEFT(Teams[[#This Row],[teamType]], 1), "-", LEFT(SUBSTITUTE(Teams[[#This Row],[nation]], "/", ""), 3), "-", SUBSTITUTE(SUBSTITUTE(SUBSTITUTE(Teams[[#This Row],[name]], ".", ""), " ", ""), "-", "")))</f>
        <v>C-AUS-LASK</v>
      </c>
      <c r="E383" s="16"/>
      <c r="F383" s="16"/>
      <c r="G383" s="1" t="b">
        <f>COUNTBLANK(Teams[[#This Row],[startDate]:[endDate]]) &lt; 2</f>
        <v>0</v>
      </c>
      <c r="H383" s="1" t="str">
        <f>IF(Teams[[#This Row],[relevant]], COUNTIFS(Fixtures[userTeam], Teams[[#This Row],[name]], Fixtures[APP], TRUE), "")</f>
        <v/>
      </c>
      <c r="I383" s="1" t="str">
        <f>IF(Teams[[#This Row],[relevant]], COUNTIFS(Fixtures[userTeam], Teams[[#This Row],[name]], Fixtures[result], "W", Fixtures[APP], TRUE), "")</f>
        <v/>
      </c>
      <c r="J383" s="1" t="str">
        <f>IF(Teams[[#This Row],[relevant]], COUNTIFS(Fixtures[userTeam], Teams[[#This Row],[name]], Fixtures[result], "D", Fixtures[APP], TRUE), "")</f>
        <v/>
      </c>
      <c r="K383" s="1" t="str">
        <f>IF(Teams[[#This Row],[relevant]], COUNTIFS(Fixtures[userTeam], Teams[[#This Row],[name]], Fixtures[result], "L", Fixtures[APP], TRUE), "")</f>
        <v/>
      </c>
      <c r="L383" s="1" t="str">
        <f>IF(Teams[[#This Row],[relevant]], SUMIFS(Fixtures[G], Fixtures[userTeam], Teams[[#This Row],[name]]), "")</f>
        <v/>
      </c>
      <c r="M383" s="1" t="str">
        <f>IF(Teams[[#This Row],[relevant]], SUMIFS(Fixtures[A], Fixtures[userTeam], Teams[[#This Row],[name]]), "")</f>
        <v/>
      </c>
      <c r="N383" s="1" t="str">
        <f>IF(Teams[[#This Row],[relevant]], SUMIFS(Fixtures[INV], Fixtures[userTeam], Teams[[#This Row],[name]]), "")</f>
        <v/>
      </c>
      <c r="O383" s="1" t="str">
        <f>IF(Teams[[#This Row],[relevant]], SUMIFS(Fixtures[YC], Fixtures[userTeam], Teams[[#This Row],[name]]), "")</f>
        <v/>
      </c>
      <c r="P383" s="1" t="str">
        <f>IF(Teams[[#This Row],[relevant]], SUMIFS(Fixtures[RC], Fixtures[userTeam], Teams[[#This Row],[name]]), "")</f>
        <v/>
      </c>
      <c r="Q383" s="13" t="str">
        <f>IF(Teams[[#This Row],[relevant]], IF(ISERROR(AVERAGEIFS(Fixtures[MR], Fixtures[userTeam], Teams[[#This Row],[name]])), 0, AVERAGEIFS(Fixtures[MR], Fixtures[userTeam], Teams[[#This Row],[name]])), "")</f>
        <v/>
      </c>
      <c r="R383" s="1" t="str">
        <f>IF(Teams[[#This Row],[relevant]], COUNTIFS(Fixtures[userTeam], Teams[[#This Row],[name]], Fixtures[MOTM], TRUE), "")</f>
        <v/>
      </c>
      <c r="S383" s="1" t="str" cm="1">
        <f t="array" ref="S383">IF(Teams[[#This Row],[relevant]], _xlfn.TEXTJOIN(", ", TRUE, _xlfn._xlws.FILTER(Stats[competition]&amp;" ("&amp;Stats[season]&amp;")",(Stats[team]=Teams[[#This Row],[name]])*(Stats[result]="Winner"),"")), "")</f>
        <v/>
      </c>
    </row>
    <row r="384" spans="1:19" ht="13" hidden="1">
      <c r="A384" s="1" t="s">
        <v>745</v>
      </c>
      <c r="B384" s="1" t="s">
        <v>254</v>
      </c>
      <c r="C384" s="1" t="s">
        <v>391</v>
      </c>
      <c r="D384" s="1" t="str">
        <f>UPPER(_xlfn.CONCAT(LEFT(Teams[[#This Row],[teamType]], 1), "-", LEFT(SUBSTITUTE(Teams[[#This Row],[nation]], "/", ""), 3), "-", SUBSTITUTE(SUBSTITUTE(SUBSTITUTE(Teams[[#This Row],[name]], ".", ""), " ", ""), "-", "")))</f>
        <v>C-ITA-LATIUM**</v>
      </c>
      <c r="E384" s="16"/>
      <c r="F384" s="16"/>
      <c r="G384" s="1" t="b">
        <f>COUNTBLANK(Teams[[#This Row],[startDate]:[endDate]]) &lt; 2</f>
        <v>0</v>
      </c>
      <c r="H384" s="1" t="str">
        <f>IF(Teams[[#This Row],[relevant]], COUNTIFS(Fixtures[userTeam], Teams[[#This Row],[name]], Fixtures[APP], TRUE), "")</f>
        <v/>
      </c>
      <c r="I384" s="1" t="str">
        <f>IF(Teams[[#This Row],[relevant]], COUNTIFS(Fixtures[userTeam], Teams[[#This Row],[name]], Fixtures[result], "W", Fixtures[APP], TRUE), "")</f>
        <v/>
      </c>
      <c r="J384" s="1" t="str">
        <f>IF(Teams[[#This Row],[relevant]], COUNTIFS(Fixtures[userTeam], Teams[[#This Row],[name]], Fixtures[result], "D", Fixtures[APP], TRUE), "")</f>
        <v/>
      </c>
      <c r="K384" s="1" t="str">
        <f>IF(Teams[[#This Row],[relevant]], COUNTIFS(Fixtures[userTeam], Teams[[#This Row],[name]], Fixtures[result], "L", Fixtures[APP], TRUE), "")</f>
        <v/>
      </c>
      <c r="L384" s="1" t="str">
        <f>IF(Teams[[#This Row],[relevant]], SUMIFS(Fixtures[G], Fixtures[userTeam], Teams[[#This Row],[name]]), "")</f>
        <v/>
      </c>
      <c r="M384" s="1" t="str">
        <f>IF(Teams[[#This Row],[relevant]], SUMIFS(Fixtures[A], Fixtures[userTeam], Teams[[#This Row],[name]]), "")</f>
        <v/>
      </c>
      <c r="N384" s="1" t="str">
        <f>IF(Teams[[#This Row],[relevant]], SUMIFS(Fixtures[INV], Fixtures[userTeam], Teams[[#This Row],[name]]), "")</f>
        <v/>
      </c>
      <c r="O384" s="1" t="str">
        <f>IF(Teams[[#This Row],[relevant]], SUMIFS(Fixtures[YC], Fixtures[userTeam], Teams[[#This Row],[name]]), "")</f>
        <v/>
      </c>
      <c r="P384" s="1" t="str">
        <f>IF(Teams[[#This Row],[relevant]], SUMIFS(Fixtures[RC], Fixtures[userTeam], Teams[[#This Row],[name]]), "")</f>
        <v/>
      </c>
      <c r="Q384" s="13" t="str">
        <f>IF(Teams[[#This Row],[relevant]], IF(ISERROR(AVERAGEIFS(Fixtures[MR], Fixtures[userTeam], Teams[[#This Row],[name]])), 0, AVERAGEIFS(Fixtures[MR], Fixtures[userTeam], Teams[[#This Row],[name]])), "")</f>
        <v/>
      </c>
      <c r="R384" s="1" t="str">
        <f>IF(Teams[[#This Row],[relevant]], COUNTIFS(Fixtures[userTeam], Teams[[#This Row],[name]], Fixtures[MOTM], TRUE), "")</f>
        <v/>
      </c>
      <c r="S384" s="1" t="str" cm="1">
        <f t="array" ref="S384">IF(Teams[[#This Row],[relevant]], _xlfn.TEXTJOIN(", ", TRUE, _xlfn._xlws.FILTER(Stats[competition]&amp;" ("&amp;Stats[season]&amp;")",(Stats[team]=Teams[[#This Row],[name]])*(Stats[result]="Winner"),"")), "")</f>
        <v/>
      </c>
    </row>
    <row r="385" spans="1:19" ht="13" hidden="1">
      <c r="A385" s="1" t="s">
        <v>746</v>
      </c>
      <c r="B385" s="1" t="s">
        <v>396</v>
      </c>
      <c r="C385" s="1" t="s">
        <v>391</v>
      </c>
      <c r="D385" s="1" t="str">
        <f>UPPER(_xlfn.CONCAT(LEFT(Teams[[#This Row],[teamType]], 1), "-", LEFT(SUBSTITUTE(Teams[[#This Row],[nation]], "/", ""), 3), "-", SUBSTITUTE(SUBSTITUTE(SUBSTITUTE(Teams[[#This Row],[name]], ".", ""), " ", ""), "-", "")))</f>
        <v>C-ECU-LDUQUITO</v>
      </c>
      <c r="E385" s="16"/>
      <c r="F385" s="16"/>
      <c r="G385" s="1" t="b">
        <f>COUNTBLANK(Teams[[#This Row],[startDate]:[endDate]]) &lt; 2</f>
        <v>0</v>
      </c>
      <c r="H385" s="1" t="str">
        <f>IF(Teams[[#This Row],[relevant]], COUNTIFS(Fixtures[userTeam], Teams[[#This Row],[name]], Fixtures[APP], TRUE), "")</f>
        <v/>
      </c>
      <c r="I385" s="1" t="str">
        <f>IF(Teams[[#This Row],[relevant]], COUNTIFS(Fixtures[userTeam], Teams[[#This Row],[name]], Fixtures[result], "W", Fixtures[APP], TRUE), "")</f>
        <v/>
      </c>
      <c r="J385" s="1" t="str">
        <f>IF(Teams[[#This Row],[relevant]], COUNTIFS(Fixtures[userTeam], Teams[[#This Row],[name]], Fixtures[result], "D", Fixtures[APP], TRUE), "")</f>
        <v/>
      </c>
      <c r="K385" s="1" t="str">
        <f>IF(Teams[[#This Row],[relevant]], COUNTIFS(Fixtures[userTeam], Teams[[#This Row],[name]], Fixtures[result], "L", Fixtures[APP], TRUE), "")</f>
        <v/>
      </c>
      <c r="L385" s="1" t="str">
        <f>IF(Teams[[#This Row],[relevant]], SUMIFS(Fixtures[G], Fixtures[userTeam], Teams[[#This Row],[name]]), "")</f>
        <v/>
      </c>
      <c r="M385" s="1" t="str">
        <f>IF(Teams[[#This Row],[relevant]], SUMIFS(Fixtures[A], Fixtures[userTeam], Teams[[#This Row],[name]]), "")</f>
        <v/>
      </c>
      <c r="N385" s="1" t="str">
        <f>IF(Teams[[#This Row],[relevant]], SUMIFS(Fixtures[INV], Fixtures[userTeam], Teams[[#This Row],[name]]), "")</f>
        <v/>
      </c>
      <c r="O385" s="1" t="str">
        <f>IF(Teams[[#This Row],[relevant]], SUMIFS(Fixtures[YC], Fixtures[userTeam], Teams[[#This Row],[name]]), "")</f>
        <v/>
      </c>
      <c r="P385" s="1" t="str">
        <f>IF(Teams[[#This Row],[relevant]], SUMIFS(Fixtures[RC], Fixtures[userTeam], Teams[[#This Row],[name]]), "")</f>
        <v/>
      </c>
      <c r="Q385" s="13" t="str">
        <f>IF(Teams[[#This Row],[relevant]], IF(ISERROR(AVERAGEIFS(Fixtures[MR], Fixtures[userTeam], Teams[[#This Row],[name]])), 0, AVERAGEIFS(Fixtures[MR], Fixtures[userTeam], Teams[[#This Row],[name]])), "")</f>
        <v/>
      </c>
      <c r="R385" s="1" t="str">
        <f>IF(Teams[[#This Row],[relevant]], COUNTIFS(Fixtures[userTeam], Teams[[#This Row],[name]], Fixtures[MOTM], TRUE), "")</f>
        <v/>
      </c>
      <c r="S385" s="1" t="str" cm="1">
        <f t="array" ref="S385">IF(Teams[[#This Row],[relevant]], _xlfn.TEXTJOIN(", ", TRUE, _xlfn._xlws.FILTER(Stats[competition]&amp;" ("&amp;Stats[season]&amp;")",(Stats[team]=Teams[[#This Row],[name]])*(Stats[result]="Winner"),"")), "")</f>
        <v/>
      </c>
    </row>
    <row r="386" spans="1:19" ht="13" hidden="1">
      <c r="A386" s="1" t="s">
        <v>747</v>
      </c>
      <c r="B386" s="1" t="s">
        <v>254</v>
      </c>
      <c r="C386" s="1" t="s">
        <v>391</v>
      </c>
      <c r="D386" s="1" t="str">
        <f>UPPER(_xlfn.CONCAT(LEFT(Teams[[#This Row],[teamType]], 1), "-", LEFT(SUBSTITUTE(Teams[[#This Row],[nation]], "/", ""), 3), "-", SUBSTITUTE(SUBSTITUTE(SUBSTITUTE(Teams[[#This Row],[name]], ".", ""), " ", ""), "-", "")))</f>
        <v>C-ITA-LECCE</v>
      </c>
      <c r="E386" s="16"/>
      <c r="F386" s="16"/>
      <c r="G386" s="1" t="b">
        <f>COUNTBLANK(Teams[[#This Row],[startDate]:[endDate]]) &lt; 2</f>
        <v>0</v>
      </c>
      <c r="H386" s="1" t="str">
        <f>IF(Teams[[#This Row],[relevant]], COUNTIFS(Fixtures[userTeam], Teams[[#This Row],[name]], Fixtures[APP], TRUE), "")</f>
        <v/>
      </c>
      <c r="I386" s="1" t="str">
        <f>IF(Teams[[#This Row],[relevant]], COUNTIFS(Fixtures[userTeam], Teams[[#This Row],[name]], Fixtures[result], "W", Fixtures[APP], TRUE), "")</f>
        <v/>
      </c>
      <c r="J386" s="1" t="str">
        <f>IF(Teams[[#This Row],[relevant]], COUNTIFS(Fixtures[userTeam], Teams[[#This Row],[name]], Fixtures[result], "D", Fixtures[APP], TRUE), "")</f>
        <v/>
      </c>
      <c r="K386" s="1" t="str">
        <f>IF(Teams[[#This Row],[relevant]], COUNTIFS(Fixtures[userTeam], Teams[[#This Row],[name]], Fixtures[result], "L", Fixtures[APP], TRUE), "")</f>
        <v/>
      </c>
      <c r="L386" s="1" t="str">
        <f>IF(Teams[[#This Row],[relevant]], SUMIFS(Fixtures[G], Fixtures[userTeam], Teams[[#This Row],[name]]), "")</f>
        <v/>
      </c>
      <c r="M386" s="1" t="str">
        <f>IF(Teams[[#This Row],[relevant]], SUMIFS(Fixtures[A], Fixtures[userTeam], Teams[[#This Row],[name]]), "")</f>
        <v/>
      </c>
      <c r="N386" s="1" t="str">
        <f>IF(Teams[[#This Row],[relevant]], SUMIFS(Fixtures[INV], Fixtures[userTeam], Teams[[#This Row],[name]]), "")</f>
        <v/>
      </c>
      <c r="O386" s="1" t="str">
        <f>IF(Teams[[#This Row],[relevant]], SUMIFS(Fixtures[YC], Fixtures[userTeam], Teams[[#This Row],[name]]), "")</f>
        <v/>
      </c>
      <c r="P386" s="1" t="str">
        <f>IF(Teams[[#This Row],[relevant]], SUMIFS(Fixtures[RC], Fixtures[userTeam], Teams[[#This Row],[name]]), "")</f>
        <v/>
      </c>
      <c r="Q386" s="13" t="str">
        <f>IF(Teams[[#This Row],[relevant]], IF(ISERROR(AVERAGEIFS(Fixtures[MR], Fixtures[userTeam], Teams[[#This Row],[name]])), 0, AVERAGEIFS(Fixtures[MR], Fixtures[userTeam], Teams[[#This Row],[name]])), "")</f>
        <v/>
      </c>
      <c r="R386" s="1" t="str">
        <f>IF(Teams[[#This Row],[relevant]], COUNTIFS(Fixtures[userTeam], Teams[[#This Row],[name]], Fixtures[MOTM], TRUE), "")</f>
        <v/>
      </c>
      <c r="S386" s="1" t="str" cm="1">
        <f t="array" ref="S386">IF(Teams[[#This Row],[relevant]], _xlfn.TEXTJOIN(", ", TRUE, _xlfn._xlws.FILTER(Stats[competition]&amp;" ("&amp;Stats[season]&amp;")",(Stats[team]=Teams[[#This Row],[name]])*(Stats[result]="Winner"),"")), "")</f>
        <v/>
      </c>
    </row>
    <row r="387" spans="1:19" ht="13" hidden="1">
      <c r="A387" s="1" t="s">
        <v>748</v>
      </c>
      <c r="B387" s="1" t="s">
        <v>213</v>
      </c>
      <c r="C387" s="1" t="s">
        <v>391</v>
      </c>
      <c r="D387" s="1" t="str">
        <f>UPPER(_xlfn.CONCAT(LEFT(Teams[[#This Row],[teamType]], 1), "-", LEFT(SUBSTITUTE(Teams[[#This Row],[nation]], "/", ""), 3), "-", SUBSTITUTE(SUBSTITUTE(SUBSTITUTE(Teams[[#This Row],[name]], ".", ""), " ", ""), "-", "")))</f>
        <v>C-POL-LECHPOZNAŃ</v>
      </c>
      <c r="E387" s="16"/>
      <c r="F387" s="16"/>
      <c r="G387" s="1" t="b">
        <f>COUNTBLANK(Teams[[#This Row],[startDate]:[endDate]]) &lt; 2</f>
        <v>0</v>
      </c>
      <c r="H387" s="1" t="str">
        <f>IF(Teams[[#This Row],[relevant]], COUNTIFS(Fixtures[userTeam], Teams[[#This Row],[name]], Fixtures[APP], TRUE), "")</f>
        <v/>
      </c>
      <c r="I387" s="1" t="str">
        <f>IF(Teams[[#This Row],[relevant]], COUNTIFS(Fixtures[userTeam], Teams[[#This Row],[name]], Fixtures[result], "W", Fixtures[APP], TRUE), "")</f>
        <v/>
      </c>
      <c r="J387" s="1" t="str">
        <f>IF(Teams[[#This Row],[relevant]], COUNTIFS(Fixtures[userTeam], Teams[[#This Row],[name]], Fixtures[result], "D", Fixtures[APP], TRUE), "")</f>
        <v/>
      </c>
      <c r="K387" s="1" t="str">
        <f>IF(Teams[[#This Row],[relevant]], COUNTIFS(Fixtures[userTeam], Teams[[#This Row],[name]], Fixtures[result], "L", Fixtures[APP], TRUE), "")</f>
        <v/>
      </c>
      <c r="L387" s="1" t="str">
        <f>IF(Teams[[#This Row],[relevant]], SUMIFS(Fixtures[G], Fixtures[userTeam], Teams[[#This Row],[name]]), "")</f>
        <v/>
      </c>
      <c r="M387" s="1" t="str">
        <f>IF(Teams[[#This Row],[relevant]], SUMIFS(Fixtures[A], Fixtures[userTeam], Teams[[#This Row],[name]]), "")</f>
        <v/>
      </c>
      <c r="N387" s="1" t="str">
        <f>IF(Teams[[#This Row],[relevant]], SUMIFS(Fixtures[INV], Fixtures[userTeam], Teams[[#This Row],[name]]), "")</f>
        <v/>
      </c>
      <c r="O387" s="1" t="str">
        <f>IF(Teams[[#This Row],[relevant]], SUMIFS(Fixtures[YC], Fixtures[userTeam], Teams[[#This Row],[name]]), "")</f>
        <v/>
      </c>
      <c r="P387" s="1" t="str">
        <f>IF(Teams[[#This Row],[relevant]], SUMIFS(Fixtures[RC], Fixtures[userTeam], Teams[[#This Row],[name]]), "")</f>
        <v/>
      </c>
      <c r="Q387" s="13" t="str">
        <f>IF(Teams[[#This Row],[relevant]], IF(ISERROR(AVERAGEIFS(Fixtures[MR], Fixtures[userTeam], Teams[[#This Row],[name]])), 0, AVERAGEIFS(Fixtures[MR], Fixtures[userTeam], Teams[[#This Row],[name]])), "")</f>
        <v/>
      </c>
      <c r="R387" s="1" t="str">
        <f>IF(Teams[[#This Row],[relevant]], COUNTIFS(Fixtures[userTeam], Teams[[#This Row],[name]], Fixtures[MOTM], TRUE), "")</f>
        <v/>
      </c>
      <c r="S387" s="1" t="str" cm="1">
        <f t="array" ref="S387">IF(Teams[[#This Row],[relevant]], _xlfn.TEXTJOIN(", ", TRUE, _xlfn._xlws.FILTER(Stats[competition]&amp;" ("&amp;Stats[season]&amp;")",(Stats[team]=Teams[[#This Row],[name]])*(Stats[result]="Winner"),"")), "")</f>
        <v/>
      </c>
    </row>
    <row r="388" spans="1:19" ht="13" hidden="1">
      <c r="A388" s="1" t="s">
        <v>749</v>
      </c>
      <c r="B388" s="1" t="s">
        <v>213</v>
      </c>
      <c r="C388" s="1" t="s">
        <v>391</v>
      </c>
      <c r="D388" s="1" t="str">
        <f>UPPER(_xlfn.CONCAT(LEFT(Teams[[#This Row],[teamType]], 1), "-", LEFT(SUBSTITUTE(Teams[[#This Row],[nation]], "/", ""), 3), "-", SUBSTITUTE(SUBSTITUTE(SUBSTITUTE(Teams[[#This Row],[name]], ".", ""), " ", ""), "-", "")))</f>
        <v>C-POL-LECHIAGDAŃSK</v>
      </c>
      <c r="E388" s="16"/>
      <c r="F388" s="16"/>
      <c r="G388" s="1" t="b">
        <f>COUNTBLANK(Teams[[#This Row],[startDate]:[endDate]]) &lt; 2</f>
        <v>0</v>
      </c>
      <c r="H388" s="1" t="str">
        <f>IF(Teams[[#This Row],[relevant]], COUNTIFS(Fixtures[userTeam], Teams[[#This Row],[name]], Fixtures[APP], TRUE), "")</f>
        <v/>
      </c>
      <c r="I388" s="1" t="str">
        <f>IF(Teams[[#This Row],[relevant]], COUNTIFS(Fixtures[userTeam], Teams[[#This Row],[name]], Fixtures[result], "W", Fixtures[APP], TRUE), "")</f>
        <v/>
      </c>
      <c r="J388" s="1" t="str">
        <f>IF(Teams[[#This Row],[relevant]], COUNTIFS(Fixtures[userTeam], Teams[[#This Row],[name]], Fixtures[result], "D", Fixtures[APP], TRUE), "")</f>
        <v/>
      </c>
      <c r="K388" s="1" t="str">
        <f>IF(Teams[[#This Row],[relevant]], COUNTIFS(Fixtures[userTeam], Teams[[#This Row],[name]], Fixtures[result], "L", Fixtures[APP], TRUE), "")</f>
        <v/>
      </c>
      <c r="L388" s="1" t="str">
        <f>IF(Teams[[#This Row],[relevant]], SUMIFS(Fixtures[G], Fixtures[userTeam], Teams[[#This Row],[name]]), "")</f>
        <v/>
      </c>
      <c r="M388" s="1" t="str">
        <f>IF(Teams[[#This Row],[relevant]], SUMIFS(Fixtures[A], Fixtures[userTeam], Teams[[#This Row],[name]]), "")</f>
        <v/>
      </c>
      <c r="N388" s="1" t="str">
        <f>IF(Teams[[#This Row],[relevant]], SUMIFS(Fixtures[INV], Fixtures[userTeam], Teams[[#This Row],[name]]), "")</f>
        <v/>
      </c>
      <c r="O388" s="1" t="str">
        <f>IF(Teams[[#This Row],[relevant]], SUMIFS(Fixtures[YC], Fixtures[userTeam], Teams[[#This Row],[name]]), "")</f>
        <v/>
      </c>
      <c r="P388" s="1" t="str">
        <f>IF(Teams[[#This Row],[relevant]], SUMIFS(Fixtures[RC], Fixtures[userTeam], Teams[[#This Row],[name]]), "")</f>
        <v/>
      </c>
      <c r="Q388" s="13" t="str">
        <f>IF(Teams[[#This Row],[relevant]], IF(ISERROR(AVERAGEIFS(Fixtures[MR], Fixtures[userTeam], Teams[[#This Row],[name]])), 0, AVERAGEIFS(Fixtures[MR], Fixtures[userTeam], Teams[[#This Row],[name]])), "")</f>
        <v/>
      </c>
      <c r="R388" s="1" t="str">
        <f>IF(Teams[[#This Row],[relevant]], COUNTIFS(Fixtures[userTeam], Teams[[#This Row],[name]], Fixtures[MOTM], TRUE), "")</f>
        <v/>
      </c>
      <c r="S388" s="1" t="str" cm="1">
        <f t="array" ref="S388">IF(Teams[[#This Row],[relevant]], _xlfn.TEXTJOIN(", ", TRUE, _xlfn._xlws.FILTER(Stats[competition]&amp;" ("&amp;Stats[season]&amp;")",(Stats[team]=Teams[[#This Row],[name]])*(Stats[result]="Winner"),"")), "")</f>
        <v/>
      </c>
    </row>
    <row r="389" spans="1:19" ht="13" hidden="1">
      <c r="A389" s="1" t="s">
        <v>750</v>
      </c>
      <c r="B389" s="1" t="s">
        <v>152</v>
      </c>
      <c r="C389" s="1" t="s">
        <v>391</v>
      </c>
      <c r="D389" s="1" t="str">
        <f>UPPER(_xlfn.CONCAT(LEFT(Teams[[#This Row],[teamType]], 1), "-", LEFT(SUBSTITUTE(Teams[[#This Row],[nation]], "/", ""), 3), "-", SUBSTITUTE(SUBSTITUTE(SUBSTITUTE(Teams[[#This Row],[name]], ".", ""), " ", ""), "-", "")))</f>
        <v>C-ENG-LEEDSUNITED</v>
      </c>
      <c r="E389" s="16"/>
      <c r="F389" s="16"/>
      <c r="G389" s="1" t="b">
        <f>COUNTBLANK(Teams[[#This Row],[startDate]:[endDate]]) &lt; 2</f>
        <v>0</v>
      </c>
      <c r="H389" s="1" t="str">
        <f>IF(Teams[[#This Row],[relevant]], COUNTIFS(Fixtures[userTeam], Teams[[#This Row],[name]], Fixtures[APP], TRUE), "")</f>
        <v/>
      </c>
      <c r="I389" s="1" t="str">
        <f>IF(Teams[[#This Row],[relevant]], COUNTIFS(Fixtures[userTeam], Teams[[#This Row],[name]], Fixtures[result], "W", Fixtures[APP], TRUE), "")</f>
        <v/>
      </c>
      <c r="J389" s="1" t="str">
        <f>IF(Teams[[#This Row],[relevant]], COUNTIFS(Fixtures[userTeam], Teams[[#This Row],[name]], Fixtures[result], "D", Fixtures[APP], TRUE), "")</f>
        <v/>
      </c>
      <c r="K389" s="1" t="str">
        <f>IF(Teams[[#This Row],[relevant]], COUNTIFS(Fixtures[userTeam], Teams[[#This Row],[name]], Fixtures[result], "L", Fixtures[APP], TRUE), "")</f>
        <v/>
      </c>
      <c r="L389" s="1" t="str">
        <f>IF(Teams[[#This Row],[relevant]], SUMIFS(Fixtures[G], Fixtures[userTeam], Teams[[#This Row],[name]]), "")</f>
        <v/>
      </c>
      <c r="M389" s="1" t="str">
        <f>IF(Teams[[#This Row],[relevant]], SUMIFS(Fixtures[A], Fixtures[userTeam], Teams[[#This Row],[name]]), "")</f>
        <v/>
      </c>
      <c r="N389" s="1" t="str">
        <f>IF(Teams[[#This Row],[relevant]], SUMIFS(Fixtures[INV], Fixtures[userTeam], Teams[[#This Row],[name]]), "")</f>
        <v/>
      </c>
      <c r="O389" s="1" t="str">
        <f>IF(Teams[[#This Row],[relevant]], SUMIFS(Fixtures[YC], Fixtures[userTeam], Teams[[#This Row],[name]]), "")</f>
        <v/>
      </c>
      <c r="P389" s="1" t="str">
        <f>IF(Teams[[#This Row],[relevant]], SUMIFS(Fixtures[RC], Fixtures[userTeam], Teams[[#This Row],[name]]), "")</f>
        <v/>
      </c>
      <c r="Q389" s="13" t="str">
        <f>IF(Teams[[#This Row],[relevant]], IF(ISERROR(AVERAGEIFS(Fixtures[MR], Fixtures[userTeam], Teams[[#This Row],[name]])), 0, AVERAGEIFS(Fixtures[MR], Fixtures[userTeam], Teams[[#This Row],[name]])), "")</f>
        <v/>
      </c>
      <c r="R389" s="1" t="str">
        <f>IF(Teams[[#This Row],[relevant]], COUNTIFS(Fixtures[userTeam], Teams[[#This Row],[name]], Fixtures[MOTM], TRUE), "")</f>
        <v/>
      </c>
      <c r="S389" s="1" t="str" cm="1">
        <f t="array" ref="S389">IF(Teams[[#This Row],[relevant]], _xlfn.TEXTJOIN(", ", TRUE, _xlfn._xlws.FILTER(Stats[competition]&amp;" ("&amp;Stats[season]&amp;")",(Stats[team]=Teams[[#This Row],[name]])*(Stats[result]="Winner"),"")), "")</f>
        <v/>
      </c>
    </row>
    <row r="390" spans="1:19" ht="13" hidden="1">
      <c r="A390" s="1" t="s">
        <v>751</v>
      </c>
      <c r="B390" s="1" t="s">
        <v>213</v>
      </c>
      <c r="C390" s="1" t="s">
        <v>391</v>
      </c>
      <c r="D390" s="1" t="str">
        <f>UPPER(_xlfn.CONCAT(LEFT(Teams[[#This Row],[teamType]], 1), "-", LEFT(SUBSTITUTE(Teams[[#This Row],[nation]], "/", ""), 3), "-", SUBSTITUTE(SUBSTITUTE(SUBSTITUTE(Teams[[#This Row],[name]], ".", ""), " ", ""), "-", "")))</f>
        <v>C-POL-LEGIAWARSZAWA</v>
      </c>
      <c r="E390" s="16"/>
      <c r="F390" s="16"/>
      <c r="G390" s="1" t="b">
        <f>COUNTBLANK(Teams[[#This Row],[startDate]:[endDate]]) &lt; 2</f>
        <v>0</v>
      </c>
      <c r="H390" s="1" t="str">
        <f>IF(Teams[[#This Row],[relevant]], COUNTIFS(Fixtures[userTeam], Teams[[#This Row],[name]], Fixtures[APP], TRUE), "")</f>
        <v/>
      </c>
      <c r="I390" s="1" t="str">
        <f>IF(Teams[[#This Row],[relevant]], COUNTIFS(Fixtures[userTeam], Teams[[#This Row],[name]], Fixtures[result], "W", Fixtures[APP], TRUE), "")</f>
        <v/>
      </c>
      <c r="J390" s="1" t="str">
        <f>IF(Teams[[#This Row],[relevant]], COUNTIFS(Fixtures[userTeam], Teams[[#This Row],[name]], Fixtures[result], "D", Fixtures[APP], TRUE), "")</f>
        <v/>
      </c>
      <c r="K390" s="1" t="str">
        <f>IF(Teams[[#This Row],[relevant]], COUNTIFS(Fixtures[userTeam], Teams[[#This Row],[name]], Fixtures[result], "L", Fixtures[APP], TRUE), "")</f>
        <v/>
      </c>
      <c r="L390" s="1" t="str">
        <f>IF(Teams[[#This Row],[relevant]], SUMIFS(Fixtures[G], Fixtures[userTeam], Teams[[#This Row],[name]]), "")</f>
        <v/>
      </c>
      <c r="M390" s="1" t="str">
        <f>IF(Teams[[#This Row],[relevant]], SUMIFS(Fixtures[A], Fixtures[userTeam], Teams[[#This Row],[name]]), "")</f>
        <v/>
      </c>
      <c r="N390" s="1" t="str">
        <f>IF(Teams[[#This Row],[relevant]], SUMIFS(Fixtures[INV], Fixtures[userTeam], Teams[[#This Row],[name]]), "")</f>
        <v/>
      </c>
      <c r="O390" s="1" t="str">
        <f>IF(Teams[[#This Row],[relevant]], SUMIFS(Fixtures[YC], Fixtures[userTeam], Teams[[#This Row],[name]]), "")</f>
        <v/>
      </c>
      <c r="P390" s="1" t="str">
        <f>IF(Teams[[#This Row],[relevant]], SUMIFS(Fixtures[RC], Fixtures[userTeam], Teams[[#This Row],[name]]), "")</f>
        <v/>
      </c>
      <c r="Q390" s="13" t="str">
        <f>IF(Teams[[#This Row],[relevant]], IF(ISERROR(AVERAGEIFS(Fixtures[MR], Fixtures[userTeam], Teams[[#This Row],[name]])), 0, AVERAGEIFS(Fixtures[MR], Fixtures[userTeam], Teams[[#This Row],[name]])), "")</f>
        <v/>
      </c>
      <c r="R390" s="1" t="str">
        <f>IF(Teams[[#This Row],[relevant]], COUNTIFS(Fixtures[userTeam], Teams[[#This Row],[name]], Fixtures[MOTM], TRUE), "")</f>
        <v/>
      </c>
      <c r="S390" s="1" t="str" cm="1">
        <f t="array" ref="S390">IF(Teams[[#This Row],[relevant]], _xlfn.TEXTJOIN(", ", TRUE, _xlfn._xlws.FILTER(Stats[competition]&amp;" ("&amp;Stats[season]&amp;")",(Stats[team]=Teams[[#This Row],[name]])*(Stats[result]="Winner"),"")), "")</f>
        <v/>
      </c>
    </row>
    <row r="391" spans="1:19" ht="13" hidden="1">
      <c r="A391" s="1" t="s">
        <v>752</v>
      </c>
      <c r="B391" s="1" t="s">
        <v>152</v>
      </c>
      <c r="C391" s="1" t="s">
        <v>391</v>
      </c>
      <c r="D391" s="1" t="str">
        <f>UPPER(_xlfn.CONCAT(LEFT(Teams[[#This Row],[teamType]], 1), "-", LEFT(SUBSTITUTE(Teams[[#This Row],[nation]], "/", ""), 3), "-", SUBSTITUTE(SUBSTITUTE(SUBSTITUTE(Teams[[#This Row],[name]], ".", ""), " ", ""), "-", "")))</f>
        <v>C-ENG-LEICESTERCITY</v>
      </c>
      <c r="E391" s="16"/>
      <c r="F391" s="16"/>
      <c r="G391" s="1" t="b">
        <f>COUNTBLANK(Teams[[#This Row],[startDate]:[endDate]]) &lt; 2</f>
        <v>0</v>
      </c>
      <c r="H391" s="1" t="str">
        <f>IF(Teams[[#This Row],[relevant]], COUNTIFS(Fixtures[userTeam], Teams[[#This Row],[name]], Fixtures[APP], TRUE), "")</f>
        <v/>
      </c>
      <c r="I391" s="1" t="str">
        <f>IF(Teams[[#This Row],[relevant]], COUNTIFS(Fixtures[userTeam], Teams[[#This Row],[name]], Fixtures[result], "W", Fixtures[APP], TRUE), "")</f>
        <v/>
      </c>
      <c r="J391" s="1" t="str">
        <f>IF(Teams[[#This Row],[relevant]], COUNTIFS(Fixtures[userTeam], Teams[[#This Row],[name]], Fixtures[result], "D", Fixtures[APP], TRUE), "")</f>
        <v/>
      </c>
      <c r="K391" s="1" t="str">
        <f>IF(Teams[[#This Row],[relevant]], COUNTIFS(Fixtures[userTeam], Teams[[#This Row],[name]], Fixtures[result], "L", Fixtures[APP], TRUE), "")</f>
        <v/>
      </c>
      <c r="L391" s="1" t="str">
        <f>IF(Teams[[#This Row],[relevant]], SUMIFS(Fixtures[G], Fixtures[userTeam], Teams[[#This Row],[name]]), "")</f>
        <v/>
      </c>
      <c r="M391" s="1" t="str">
        <f>IF(Teams[[#This Row],[relevant]], SUMIFS(Fixtures[A], Fixtures[userTeam], Teams[[#This Row],[name]]), "")</f>
        <v/>
      </c>
      <c r="N391" s="1" t="str">
        <f>IF(Teams[[#This Row],[relevant]], SUMIFS(Fixtures[INV], Fixtures[userTeam], Teams[[#This Row],[name]]), "")</f>
        <v/>
      </c>
      <c r="O391" s="1" t="str">
        <f>IF(Teams[[#This Row],[relevant]], SUMIFS(Fixtures[YC], Fixtures[userTeam], Teams[[#This Row],[name]]), "")</f>
        <v/>
      </c>
      <c r="P391" s="1" t="str">
        <f>IF(Teams[[#This Row],[relevant]], SUMIFS(Fixtures[RC], Fixtures[userTeam], Teams[[#This Row],[name]]), "")</f>
        <v/>
      </c>
      <c r="Q391" s="13" t="str">
        <f>IF(Teams[[#This Row],[relevant]], IF(ISERROR(AVERAGEIFS(Fixtures[MR], Fixtures[userTeam], Teams[[#This Row],[name]])), 0, AVERAGEIFS(Fixtures[MR], Fixtures[userTeam], Teams[[#This Row],[name]])), "")</f>
        <v/>
      </c>
      <c r="R391" s="1" t="str">
        <f>IF(Teams[[#This Row],[relevant]], COUNTIFS(Fixtures[userTeam], Teams[[#This Row],[name]], Fixtures[MOTM], TRUE), "")</f>
        <v/>
      </c>
      <c r="S391" s="1" t="str" cm="1">
        <f t="array" ref="S391">IF(Teams[[#This Row],[relevant]], _xlfn.TEXTJOIN(", ", TRUE, _xlfn._xlws.FILTER(Stats[competition]&amp;" ("&amp;Stats[season]&amp;")",(Stats[team]=Teams[[#This Row],[name]])*(Stats[result]="Winner"),"")), "")</f>
        <v/>
      </c>
    </row>
    <row r="392" spans="1:19" ht="13" hidden="1">
      <c r="A392" s="1" t="s">
        <v>753</v>
      </c>
      <c r="B392" s="1" t="s">
        <v>163</v>
      </c>
      <c r="C392" s="1" t="s">
        <v>391</v>
      </c>
      <c r="D392" s="1" t="str">
        <f>UPPER(_xlfn.CONCAT(LEFT(Teams[[#This Row],[teamType]], 1), "-", LEFT(SUBSTITUTE(Teams[[#This Row],[nation]], "/", ""), 3), "-", SUBSTITUTE(SUBSTITUTE(SUBSTITUTE(Teams[[#This Row],[name]], ".", ""), " ", ""), "-", "")))</f>
        <v>C-SPA-LEVANTEUD</v>
      </c>
      <c r="E392" s="16"/>
      <c r="F392" s="16"/>
      <c r="G392" s="1" t="b">
        <f>COUNTBLANK(Teams[[#This Row],[startDate]:[endDate]]) &lt; 2</f>
        <v>0</v>
      </c>
      <c r="H392" s="1" t="str">
        <f>IF(Teams[[#This Row],[relevant]], COUNTIFS(Fixtures[userTeam], Teams[[#This Row],[name]], Fixtures[APP], TRUE), "")</f>
        <v/>
      </c>
      <c r="I392" s="1" t="str">
        <f>IF(Teams[[#This Row],[relevant]], COUNTIFS(Fixtures[userTeam], Teams[[#This Row],[name]], Fixtures[result], "W", Fixtures[APP], TRUE), "")</f>
        <v/>
      </c>
      <c r="J392" s="1" t="str">
        <f>IF(Teams[[#This Row],[relevant]], COUNTIFS(Fixtures[userTeam], Teams[[#This Row],[name]], Fixtures[result], "D", Fixtures[APP], TRUE), "")</f>
        <v/>
      </c>
      <c r="K392" s="1" t="str">
        <f>IF(Teams[[#This Row],[relevant]], COUNTIFS(Fixtures[userTeam], Teams[[#This Row],[name]], Fixtures[result], "L", Fixtures[APP], TRUE), "")</f>
        <v/>
      </c>
      <c r="L392" s="1" t="str">
        <f>IF(Teams[[#This Row],[relevant]], SUMIFS(Fixtures[G], Fixtures[userTeam], Teams[[#This Row],[name]]), "")</f>
        <v/>
      </c>
      <c r="M392" s="1" t="str">
        <f>IF(Teams[[#This Row],[relevant]], SUMIFS(Fixtures[A], Fixtures[userTeam], Teams[[#This Row],[name]]), "")</f>
        <v/>
      </c>
      <c r="N392" s="1" t="str">
        <f>IF(Teams[[#This Row],[relevant]], SUMIFS(Fixtures[INV], Fixtures[userTeam], Teams[[#This Row],[name]]), "")</f>
        <v/>
      </c>
      <c r="O392" s="1" t="str">
        <f>IF(Teams[[#This Row],[relevant]], SUMIFS(Fixtures[YC], Fixtures[userTeam], Teams[[#This Row],[name]]), "")</f>
        <v/>
      </c>
      <c r="P392" s="1" t="str">
        <f>IF(Teams[[#This Row],[relevant]], SUMIFS(Fixtures[RC], Fixtures[userTeam], Teams[[#This Row],[name]]), "")</f>
        <v/>
      </c>
      <c r="Q392" s="13" t="str">
        <f>IF(Teams[[#This Row],[relevant]], IF(ISERROR(AVERAGEIFS(Fixtures[MR], Fixtures[userTeam], Teams[[#This Row],[name]])), 0, AVERAGEIFS(Fixtures[MR], Fixtures[userTeam], Teams[[#This Row],[name]])), "")</f>
        <v/>
      </c>
      <c r="R392" s="1" t="str">
        <f>IF(Teams[[#This Row],[relevant]], COUNTIFS(Fixtures[userTeam], Teams[[#This Row],[name]], Fixtures[MOTM], TRUE), "")</f>
        <v/>
      </c>
      <c r="S392" s="1" t="str" cm="1">
        <f t="array" ref="S392">IF(Teams[[#This Row],[relevant]], _xlfn.TEXTJOIN(", ", TRUE, _xlfn._xlws.FILTER(Stats[competition]&amp;" ("&amp;Stats[season]&amp;")",(Stats[team]=Teams[[#This Row],[name]])*(Stats[result]="Winner"),"")), "")</f>
        <v/>
      </c>
    </row>
    <row r="393" spans="1:19" ht="13" hidden="1">
      <c r="A393" s="1" t="s">
        <v>263</v>
      </c>
      <c r="B393" s="1" t="s">
        <v>337</v>
      </c>
      <c r="C393" s="1" t="s">
        <v>391</v>
      </c>
      <c r="D393" s="1" t="str">
        <f>UPPER(_xlfn.CONCAT(LEFT(Teams[[#This Row],[teamType]], 1), "-", LEFT(SUBSTITUTE(Teams[[#This Row],[nation]], "/", ""), 3), "-", SUBSTITUTE(SUBSTITUTE(SUBSTITUTE(Teams[[#This Row],[name]], ".", ""), " ", ""), "-", "")))</f>
        <v>C-GER-LEVERKUSEN</v>
      </c>
      <c r="E393" s="16"/>
      <c r="F393" s="16"/>
      <c r="G393" s="1" t="b">
        <f>COUNTBLANK(Teams[[#This Row],[startDate]:[endDate]]) &lt; 2</f>
        <v>0</v>
      </c>
      <c r="H393" s="1" t="str">
        <f>IF(Teams[[#This Row],[relevant]], COUNTIFS(Fixtures[userTeam], Teams[[#This Row],[name]], Fixtures[APP], TRUE), "")</f>
        <v/>
      </c>
      <c r="I393" s="1" t="str">
        <f>IF(Teams[[#This Row],[relevant]], COUNTIFS(Fixtures[userTeam], Teams[[#This Row],[name]], Fixtures[result], "W", Fixtures[APP], TRUE), "")</f>
        <v/>
      </c>
      <c r="J393" s="1" t="str">
        <f>IF(Teams[[#This Row],[relevant]], COUNTIFS(Fixtures[userTeam], Teams[[#This Row],[name]], Fixtures[result], "D", Fixtures[APP], TRUE), "")</f>
        <v/>
      </c>
      <c r="K393" s="1" t="str">
        <f>IF(Teams[[#This Row],[relevant]], COUNTIFS(Fixtures[userTeam], Teams[[#This Row],[name]], Fixtures[result], "L", Fixtures[APP], TRUE), "")</f>
        <v/>
      </c>
      <c r="L393" s="1" t="str">
        <f>IF(Teams[[#This Row],[relevant]], SUMIFS(Fixtures[G], Fixtures[userTeam], Teams[[#This Row],[name]]), "")</f>
        <v/>
      </c>
      <c r="M393" s="1" t="str">
        <f>IF(Teams[[#This Row],[relevant]], SUMIFS(Fixtures[A], Fixtures[userTeam], Teams[[#This Row],[name]]), "")</f>
        <v/>
      </c>
      <c r="N393" s="1" t="str">
        <f>IF(Teams[[#This Row],[relevant]], SUMIFS(Fixtures[INV], Fixtures[userTeam], Teams[[#This Row],[name]]), "")</f>
        <v/>
      </c>
      <c r="O393" s="1" t="str">
        <f>IF(Teams[[#This Row],[relevant]], SUMIFS(Fixtures[YC], Fixtures[userTeam], Teams[[#This Row],[name]]), "")</f>
        <v/>
      </c>
      <c r="P393" s="1" t="str">
        <f>IF(Teams[[#This Row],[relevant]], SUMIFS(Fixtures[RC], Fixtures[userTeam], Teams[[#This Row],[name]]), "")</f>
        <v/>
      </c>
      <c r="Q393" s="13" t="str">
        <f>IF(Teams[[#This Row],[relevant]], IF(ISERROR(AVERAGEIFS(Fixtures[MR], Fixtures[userTeam], Teams[[#This Row],[name]])), 0, AVERAGEIFS(Fixtures[MR], Fixtures[userTeam], Teams[[#This Row],[name]])), "")</f>
        <v/>
      </c>
      <c r="R393" s="1" t="str">
        <f>IF(Teams[[#This Row],[relevant]], COUNTIFS(Fixtures[userTeam], Teams[[#This Row],[name]], Fixtures[MOTM], TRUE), "")</f>
        <v/>
      </c>
      <c r="S393" s="1" t="str" cm="1">
        <f t="array" ref="S393">IF(Teams[[#This Row],[relevant]], _xlfn.TEXTJOIN(", ", TRUE, _xlfn._xlws.FILTER(Stats[competition]&amp;" ("&amp;Stats[season]&amp;")",(Stats[team]=Teams[[#This Row],[name]])*(Stats[result]="Winner"),"")), "")</f>
        <v/>
      </c>
    </row>
    <row r="394" spans="1:19" ht="13" hidden="1">
      <c r="A394" s="1" t="s">
        <v>754</v>
      </c>
      <c r="B394" s="1" t="s">
        <v>152</v>
      </c>
      <c r="C394" s="1" t="s">
        <v>391</v>
      </c>
      <c r="D394" s="1" t="str">
        <f>UPPER(_xlfn.CONCAT(LEFT(Teams[[#This Row],[teamType]], 1), "-", LEFT(SUBSTITUTE(Teams[[#This Row],[nation]], "/", ""), 3), "-", SUBSTITUTE(SUBSTITUTE(SUBSTITUTE(Teams[[#This Row],[name]], ".", ""), " ", ""), "-", "")))</f>
        <v>C-ENG-LEYTONORIENT</v>
      </c>
      <c r="E394" s="16"/>
      <c r="F394" s="16"/>
      <c r="G394" s="1" t="b">
        <f>COUNTBLANK(Teams[[#This Row],[startDate]:[endDate]]) &lt; 2</f>
        <v>0</v>
      </c>
      <c r="H394" s="1" t="str">
        <f>IF(Teams[[#This Row],[relevant]], COUNTIFS(Fixtures[userTeam], Teams[[#This Row],[name]], Fixtures[APP], TRUE), "")</f>
        <v/>
      </c>
      <c r="I394" s="1" t="str">
        <f>IF(Teams[[#This Row],[relevant]], COUNTIFS(Fixtures[userTeam], Teams[[#This Row],[name]], Fixtures[result], "W", Fixtures[APP], TRUE), "")</f>
        <v/>
      </c>
      <c r="J394" s="1" t="str">
        <f>IF(Teams[[#This Row],[relevant]], COUNTIFS(Fixtures[userTeam], Teams[[#This Row],[name]], Fixtures[result], "D", Fixtures[APP], TRUE), "")</f>
        <v/>
      </c>
      <c r="K394" s="1" t="str">
        <f>IF(Teams[[#This Row],[relevant]], COUNTIFS(Fixtures[userTeam], Teams[[#This Row],[name]], Fixtures[result], "L", Fixtures[APP], TRUE), "")</f>
        <v/>
      </c>
      <c r="L394" s="1" t="str">
        <f>IF(Teams[[#This Row],[relevant]], SUMIFS(Fixtures[G], Fixtures[userTeam], Teams[[#This Row],[name]]), "")</f>
        <v/>
      </c>
      <c r="M394" s="1" t="str">
        <f>IF(Teams[[#This Row],[relevant]], SUMIFS(Fixtures[A], Fixtures[userTeam], Teams[[#This Row],[name]]), "")</f>
        <v/>
      </c>
      <c r="N394" s="1" t="str">
        <f>IF(Teams[[#This Row],[relevant]], SUMIFS(Fixtures[INV], Fixtures[userTeam], Teams[[#This Row],[name]]), "")</f>
        <v/>
      </c>
      <c r="O394" s="1" t="str">
        <f>IF(Teams[[#This Row],[relevant]], SUMIFS(Fixtures[YC], Fixtures[userTeam], Teams[[#This Row],[name]]), "")</f>
        <v/>
      </c>
      <c r="P394" s="1" t="str">
        <f>IF(Teams[[#This Row],[relevant]], SUMIFS(Fixtures[RC], Fixtures[userTeam], Teams[[#This Row],[name]]), "")</f>
        <v/>
      </c>
      <c r="Q394" s="13" t="str">
        <f>IF(Teams[[#This Row],[relevant]], IF(ISERROR(AVERAGEIFS(Fixtures[MR], Fixtures[userTeam], Teams[[#This Row],[name]])), 0, AVERAGEIFS(Fixtures[MR], Fixtures[userTeam], Teams[[#This Row],[name]])), "")</f>
        <v/>
      </c>
      <c r="R394" s="1" t="str">
        <f>IF(Teams[[#This Row],[relevant]], COUNTIFS(Fixtures[userTeam], Teams[[#This Row],[name]], Fixtures[MOTM], TRUE), "")</f>
        <v/>
      </c>
      <c r="S394" s="1" t="str" cm="1">
        <f t="array" ref="S394">IF(Teams[[#This Row],[relevant]], _xlfn.TEXTJOIN(", ", TRUE, _xlfn._xlws.FILTER(Stats[competition]&amp;" ("&amp;Stats[season]&amp;")",(Stats[team]=Teams[[#This Row],[name]])*(Stats[result]="Winner"),"")), "")</f>
        <v/>
      </c>
    </row>
    <row r="395" spans="1:19" ht="13" hidden="1">
      <c r="A395" s="1" t="s">
        <v>755</v>
      </c>
      <c r="B395" s="1" t="s">
        <v>536</v>
      </c>
      <c r="C395" s="1" t="s">
        <v>391</v>
      </c>
      <c r="D395" s="1" t="str">
        <f>UPPER(_xlfn.CONCAT(LEFT(Teams[[#This Row],[teamType]], 1), "-", LEFT(SUBSTITUTE(Teams[[#This Row],[nation]], "/", ""), 3), "-", SUBSTITUTE(SUBSTITUTE(SUBSTITUTE(Teams[[#This Row],[name]], ".", ""), " ", ""), "-", "")))</f>
        <v>C-PAR-LIBERTAD</v>
      </c>
      <c r="E395" s="16"/>
      <c r="F395" s="16"/>
      <c r="G395" s="1" t="b">
        <f>COUNTBLANK(Teams[[#This Row],[startDate]:[endDate]]) &lt; 2</f>
        <v>0</v>
      </c>
      <c r="H395" s="1" t="str">
        <f>IF(Teams[[#This Row],[relevant]], COUNTIFS(Fixtures[userTeam], Teams[[#This Row],[name]], Fixtures[APP], TRUE), "")</f>
        <v/>
      </c>
      <c r="I395" s="1" t="str">
        <f>IF(Teams[[#This Row],[relevant]], COUNTIFS(Fixtures[userTeam], Teams[[#This Row],[name]], Fixtures[result], "W", Fixtures[APP], TRUE), "")</f>
        <v/>
      </c>
      <c r="J395" s="1" t="str">
        <f>IF(Teams[[#This Row],[relevant]], COUNTIFS(Fixtures[userTeam], Teams[[#This Row],[name]], Fixtures[result], "D", Fixtures[APP], TRUE), "")</f>
        <v/>
      </c>
      <c r="K395" s="1" t="str">
        <f>IF(Teams[[#This Row],[relevant]], COUNTIFS(Fixtures[userTeam], Teams[[#This Row],[name]], Fixtures[result], "L", Fixtures[APP], TRUE), "")</f>
        <v/>
      </c>
      <c r="L395" s="1" t="str">
        <f>IF(Teams[[#This Row],[relevant]], SUMIFS(Fixtures[G], Fixtures[userTeam], Teams[[#This Row],[name]]), "")</f>
        <v/>
      </c>
      <c r="M395" s="1" t="str">
        <f>IF(Teams[[#This Row],[relevant]], SUMIFS(Fixtures[A], Fixtures[userTeam], Teams[[#This Row],[name]]), "")</f>
        <v/>
      </c>
      <c r="N395" s="1" t="str">
        <f>IF(Teams[[#This Row],[relevant]], SUMIFS(Fixtures[INV], Fixtures[userTeam], Teams[[#This Row],[name]]), "")</f>
        <v/>
      </c>
      <c r="O395" s="1" t="str">
        <f>IF(Teams[[#This Row],[relevant]], SUMIFS(Fixtures[YC], Fixtures[userTeam], Teams[[#This Row],[name]]), "")</f>
        <v/>
      </c>
      <c r="P395" s="1" t="str">
        <f>IF(Teams[[#This Row],[relevant]], SUMIFS(Fixtures[RC], Fixtures[userTeam], Teams[[#This Row],[name]]), "")</f>
        <v/>
      </c>
      <c r="Q395" s="13" t="str">
        <f>IF(Teams[[#This Row],[relevant]], IF(ISERROR(AVERAGEIFS(Fixtures[MR], Fixtures[userTeam], Teams[[#This Row],[name]])), 0, AVERAGEIFS(Fixtures[MR], Fixtures[userTeam], Teams[[#This Row],[name]])), "")</f>
        <v/>
      </c>
      <c r="R395" s="1" t="str">
        <f>IF(Teams[[#This Row],[relevant]], COUNTIFS(Fixtures[userTeam], Teams[[#This Row],[name]], Fixtures[MOTM], TRUE), "")</f>
        <v/>
      </c>
      <c r="S395" s="1" t="str" cm="1">
        <f t="array" ref="S395">IF(Teams[[#This Row],[relevant]], _xlfn.TEXTJOIN(", ", TRUE, _xlfn._xlws.FILTER(Stats[competition]&amp;" ("&amp;Stats[season]&amp;")",(Stats[team]=Teams[[#This Row],[name]])*(Stats[result]="Winner"),"")), "")</f>
        <v/>
      </c>
    </row>
    <row r="396" spans="1:19" ht="13" hidden="1">
      <c r="A396" s="1" t="s">
        <v>756</v>
      </c>
      <c r="B396" s="1" t="s">
        <v>286</v>
      </c>
      <c r="C396" s="1" t="s">
        <v>391</v>
      </c>
      <c r="D396" s="1" t="str">
        <f>UPPER(_xlfn.CONCAT(LEFT(Teams[[#This Row],[teamType]], 1), "-", LEFT(SUBSTITUTE(Teams[[#This Row],[nation]], "/", ""), 3), "-", SUBSTITUTE(SUBSTITUTE(SUBSTITUTE(Teams[[#This Row],[name]], ".", ""), " ", ""), "-", "")))</f>
        <v>C-NOR-LILLESTRØMSK</v>
      </c>
      <c r="E396" s="16"/>
      <c r="F396" s="16"/>
      <c r="G396" s="1" t="b">
        <f>COUNTBLANK(Teams[[#This Row],[startDate]:[endDate]]) &lt; 2</f>
        <v>0</v>
      </c>
      <c r="H396" s="1" t="str">
        <f>IF(Teams[[#This Row],[relevant]], COUNTIFS(Fixtures[userTeam], Teams[[#This Row],[name]], Fixtures[APP], TRUE), "")</f>
        <v/>
      </c>
      <c r="I396" s="1" t="str">
        <f>IF(Teams[[#This Row],[relevant]], COUNTIFS(Fixtures[userTeam], Teams[[#This Row],[name]], Fixtures[result], "W", Fixtures[APP], TRUE), "")</f>
        <v/>
      </c>
      <c r="J396" s="1" t="str">
        <f>IF(Teams[[#This Row],[relevant]], COUNTIFS(Fixtures[userTeam], Teams[[#This Row],[name]], Fixtures[result], "D", Fixtures[APP], TRUE), "")</f>
        <v/>
      </c>
      <c r="K396" s="1" t="str">
        <f>IF(Teams[[#This Row],[relevant]], COUNTIFS(Fixtures[userTeam], Teams[[#This Row],[name]], Fixtures[result], "L", Fixtures[APP], TRUE), "")</f>
        <v/>
      </c>
      <c r="L396" s="1" t="str">
        <f>IF(Teams[[#This Row],[relevant]], SUMIFS(Fixtures[G], Fixtures[userTeam], Teams[[#This Row],[name]]), "")</f>
        <v/>
      </c>
      <c r="M396" s="1" t="str">
        <f>IF(Teams[[#This Row],[relevant]], SUMIFS(Fixtures[A], Fixtures[userTeam], Teams[[#This Row],[name]]), "")</f>
        <v/>
      </c>
      <c r="N396" s="1" t="str">
        <f>IF(Teams[[#This Row],[relevant]], SUMIFS(Fixtures[INV], Fixtures[userTeam], Teams[[#This Row],[name]]), "")</f>
        <v/>
      </c>
      <c r="O396" s="1" t="str">
        <f>IF(Teams[[#This Row],[relevant]], SUMIFS(Fixtures[YC], Fixtures[userTeam], Teams[[#This Row],[name]]), "")</f>
        <v/>
      </c>
      <c r="P396" s="1" t="str">
        <f>IF(Teams[[#This Row],[relevant]], SUMIFS(Fixtures[RC], Fixtures[userTeam], Teams[[#This Row],[name]]), "")</f>
        <v/>
      </c>
      <c r="Q396" s="13" t="str">
        <f>IF(Teams[[#This Row],[relevant]], IF(ISERROR(AVERAGEIFS(Fixtures[MR], Fixtures[userTeam], Teams[[#This Row],[name]])), 0, AVERAGEIFS(Fixtures[MR], Fixtures[userTeam], Teams[[#This Row],[name]])), "")</f>
        <v/>
      </c>
      <c r="R396" s="1" t="str">
        <f>IF(Teams[[#This Row],[relevant]], COUNTIFS(Fixtures[userTeam], Teams[[#This Row],[name]], Fixtures[MOTM], TRUE), "")</f>
        <v/>
      </c>
      <c r="S396" s="1" t="str" cm="1">
        <f t="array" ref="S396">IF(Teams[[#This Row],[relevant]], _xlfn.TEXTJOIN(", ", TRUE, _xlfn._xlws.FILTER(Stats[competition]&amp;" ("&amp;Stats[season]&amp;")",(Stats[team]=Teams[[#This Row],[name]])*(Stats[result]="Winner"),"")), "")</f>
        <v/>
      </c>
    </row>
    <row r="397" spans="1:19" ht="13" hidden="1">
      <c r="A397" s="1" t="s">
        <v>757</v>
      </c>
      <c r="B397" s="1" t="s">
        <v>152</v>
      </c>
      <c r="C397" s="1" t="s">
        <v>391</v>
      </c>
      <c r="D397" s="1" t="str">
        <f>UPPER(_xlfn.CONCAT(LEFT(Teams[[#This Row],[teamType]], 1), "-", LEFT(SUBSTITUTE(Teams[[#This Row],[nation]], "/", ""), 3), "-", SUBSTITUTE(SUBSTITUTE(SUBSTITUTE(Teams[[#This Row],[name]], ".", ""), " ", ""), "-", "")))</f>
        <v>C-ENG-LINCOLNCITY</v>
      </c>
      <c r="E397" s="16"/>
      <c r="F397" s="16"/>
      <c r="G397" s="1" t="b">
        <f>COUNTBLANK(Teams[[#This Row],[startDate]:[endDate]]) &lt; 2</f>
        <v>0</v>
      </c>
      <c r="H397" s="1" t="str">
        <f>IF(Teams[[#This Row],[relevant]], COUNTIFS(Fixtures[userTeam], Teams[[#This Row],[name]], Fixtures[APP], TRUE), "")</f>
        <v/>
      </c>
      <c r="I397" s="1" t="str">
        <f>IF(Teams[[#This Row],[relevant]], COUNTIFS(Fixtures[userTeam], Teams[[#This Row],[name]], Fixtures[result], "W", Fixtures[APP], TRUE), "")</f>
        <v/>
      </c>
      <c r="J397" s="1" t="str">
        <f>IF(Teams[[#This Row],[relevant]], COUNTIFS(Fixtures[userTeam], Teams[[#This Row],[name]], Fixtures[result], "D", Fixtures[APP], TRUE), "")</f>
        <v/>
      </c>
      <c r="K397" s="1" t="str">
        <f>IF(Teams[[#This Row],[relevant]], COUNTIFS(Fixtures[userTeam], Teams[[#This Row],[name]], Fixtures[result], "L", Fixtures[APP], TRUE), "")</f>
        <v/>
      </c>
      <c r="L397" s="1" t="str">
        <f>IF(Teams[[#This Row],[relevant]], SUMIFS(Fixtures[G], Fixtures[userTeam], Teams[[#This Row],[name]]), "")</f>
        <v/>
      </c>
      <c r="M397" s="1" t="str">
        <f>IF(Teams[[#This Row],[relevant]], SUMIFS(Fixtures[A], Fixtures[userTeam], Teams[[#This Row],[name]]), "")</f>
        <v/>
      </c>
      <c r="N397" s="1" t="str">
        <f>IF(Teams[[#This Row],[relevant]], SUMIFS(Fixtures[INV], Fixtures[userTeam], Teams[[#This Row],[name]]), "")</f>
        <v/>
      </c>
      <c r="O397" s="1" t="str">
        <f>IF(Teams[[#This Row],[relevant]], SUMIFS(Fixtures[YC], Fixtures[userTeam], Teams[[#This Row],[name]]), "")</f>
        <v/>
      </c>
      <c r="P397" s="1" t="str">
        <f>IF(Teams[[#This Row],[relevant]], SUMIFS(Fixtures[RC], Fixtures[userTeam], Teams[[#This Row],[name]]), "")</f>
        <v/>
      </c>
      <c r="Q397" s="13" t="str">
        <f>IF(Teams[[#This Row],[relevant]], IF(ISERROR(AVERAGEIFS(Fixtures[MR], Fixtures[userTeam], Teams[[#This Row],[name]])), 0, AVERAGEIFS(Fixtures[MR], Fixtures[userTeam], Teams[[#This Row],[name]])), "")</f>
        <v/>
      </c>
      <c r="R397" s="1" t="str">
        <f>IF(Teams[[#This Row],[relevant]], COUNTIFS(Fixtures[userTeam], Teams[[#This Row],[name]], Fixtures[MOTM], TRUE), "")</f>
        <v/>
      </c>
      <c r="S397" s="1" t="str" cm="1">
        <f t="array" ref="S397">IF(Teams[[#This Row],[relevant]], _xlfn.TEXTJOIN(", ", TRUE, _xlfn._xlws.FILTER(Stats[competition]&amp;" ("&amp;Stats[season]&amp;")",(Stats[team]=Teams[[#This Row],[name]])*(Stats[result]="Winner"),"")), "")</f>
        <v/>
      </c>
    </row>
    <row r="398" spans="1:19" ht="13" hidden="1">
      <c r="A398" s="1" t="s">
        <v>758</v>
      </c>
      <c r="B398" s="1" t="s">
        <v>152</v>
      </c>
      <c r="C398" s="1" t="s">
        <v>391</v>
      </c>
      <c r="D398" s="1" t="str">
        <f>UPPER(_xlfn.CONCAT(LEFT(Teams[[#This Row],[teamType]], 1), "-", LEFT(SUBSTITUTE(Teams[[#This Row],[nation]], "/", ""), 3), "-", SUBSTITUTE(SUBSTITUTE(SUBSTITUTE(Teams[[#This Row],[name]], ".", ""), " ", ""), "-", "")))</f>
        <v>C-ENG-LIVERPOOL</v>
      </c>
      <c r="E398" s="16"/>
      <c r="F398" s="16"/>
      <c r="G398" s="1" t="b">
        <f>COUNTBLANK(Teams[[#This Row],[startDate]:[endDate]]) &lt; 2</f>
        <v>0</v>
      </c>
      <c r="H398" s="1" t="str">
        <f>IF(Teams[[#This Row],[relevant]], COUNTIFS(Fixtures[userTeam], Teams[[#This Row],[name]], Fixtures[APP], TRUE), "")</f>
        <v/>
      </c>
      <c r="I398" s="1" t="str">
        <f>IF(Teams[[#This Row],[relevant]], COUNTIFS(Fixtures[userTeam], Teams[[#This Row],[name]], Fixtures[result], "W", Fixtures[APP], TRUE), "")</f>
        <v/>
      </c>
      <c r="J398" s="1" t="str">
        <f>IF(Teams[[#This Row],[relevant]], COUNTIFS(Fixtures[userTeam], Teams[[#This Row],[name]], Fixtures[result], "D", Fixtures[APP], TRUE), "")</f>
        <v/>
      </c>
      <c r="K398" s="1" t="str">
        <f>IF(Teams[[#This Row],[relevant]], COUNTIFS(Fixtures[userTeam], Teams[[#This Row],[name]], Fixtures[result], "L", Fixtures[APP], TRUE), "")</f>
        <v/>
      </c>
      <c r="L398" s="1" t="str">
        <f>IF(Teams[[#This Row],[relevant]], SUMIFS(Fixtures[G], Fixtures[userTeam], Teams[[#This Row],[name]]), "")</f>
        <v/>
      </c>
      <c r="M398" s="1" t="str">
        <f>IF(Teams[[#This Row],[relevant]], SUMIFS(Fixtures[A], Fixtures[userTeam], Teams[[#This Row],[name]]), "")</f>
        <v/>
      </c>
      <c r="N398" s="1" t="str">
        <f>IF(Teams[[#This Row],[relevant]], SUMIFS(Fixtures[INV], Fixtures[userTeam], Teams[[#This Row],[name]]), "")</f>
        <v/>
      </c>
      <c r="O398" s="1" t="str">
        <f>IF(Teams[[#This Row],[relevant]], SUMIFS(Fixtures[YC], Fixtures[userTeam], Teams[[#This Row],[name]]), "")</f>
        <v/>
      </c>
      <c r="P398" s="1" t="str">
        <f>IF(Teams[[#This Row],[relevant]], SUMIFS(Fixtures[RC], Fixtures[userTeam], Teams[[#This Row],[name]]), "")</f>
        <v/>
      </c>
      <c r="Q398" s="13" t="str">
        <f>IF(Teams[[#This Row],[relevant]], IF(ISERROR(AVERAGEIFS(Fixtures[MR], Fixtures[userTeam], Teams[[#This Row],[name]])), 0, AVERAGEIFS(Fixtures[MR], Fixtures[userTeam], Teams[[#This Row],[name]])), "")</f>
        <v/>
      </c>
      <c r="R398" s="1" t="str">
        <f>IF(Teams[[#This Row],[relevant]], COUNTIFS(Fixtures[userTeam], Teams[[#This Row],[name]], Fixtures[MOTM], TRUE), "")</f>
        <v/>
      </c>
      <c r="S398" s="1" t="str" cm="1">
        <f t="array" ref="S398">IF(Teams[[#This Row],[relevant]], _xlfn.TEXTJOIN(", ", TRUE, _xlfn._xlws.FILTER(Stats[competition]&amp;" ("&amp;Stats[season]&amp;")",(Stats[team]=Teams[[#This Row],[name]])*(Stats[result]="Winner"),"")), "")</f>
        <v/>
      </c>
    </row>
    <row r="399" spans="1:19" ht="13" hidden="1">
      <c r="A399" s="1" t="s">
        <v>759</v>
      </c>
      <c r="B399" s="1" t="s">
        <v>534</v>
      </c>
      <c r="C399" s="1" t="s">
        <v>391</v>
      </c>
      <c r="D399" s="1" t="str">
        <f>UPPER(_xlfn.CONCAT(LEFT(Teams[[#This Row],[teamType]], 1), "-", LEFT(SUBSTITUTE(Teams[[#This Row],[nation]], "/", ""), 3), "-", SUBSTITUTE(SUBSTITUTE(SUBSTITUTE(Teams[[#This Row],[name]], ".", ""), " ", ""), "-", "")))</f>
        <v>C-URU-LIVERPOOLFC</v>
      </c>
      <c r="E399" s="16"/>
      <c r="F399" s="16"/>
      <c r="G399" s="1" t="b">
        <f>COUNTBLANK(Teams[[#This Row],[startDate]:[endDate]]) &lt; 2</f>
        <v>0</v>
      </c>
      <c r="H399" s="1" t="str">
        <f>IF(Teams[[#This Row],[relevant]], COUNTIFS(Fixtures[userTeam], Teams[[#This Row],[name]], Fixtures[APP], TRUE), "")</f>
        <v/>
      </c>
      <c r="I399" s="1" t="str">
        <f>IF(Teams[[#This Row],[relevant]], COUNTIFS(Fixtures[userTeam], Teams[[#This Row],[name]], Fixtures[result], "W", Fixtures[APP], TRUE), "")</f>
        <v/>
      </c>
      <c r="J399" s="1" t="str">
        <f>IF(Teams[[#This Row],[relevant]], COUNTIFS(Fixtures[userTeam], Teams[[#This Row],[name]], Fixtures[result], "D", Fixtures[APP], TRUE), "")</f>
        <v/>
      </c>
      <c r="K399" s="1" t="str">
        <f>IF(Teams[[#This Row],[relevant]], COUNTIFS(Fixtures[userTeam], Teams[[#This Row],[name]], Fixtures[result], "L", Fixtures[APP], TRUE), "")</f>
        <v/>
      </c>
      <c r="L399" s="1" t="str">
        <f>IF(Teams[[#This Row],[relevant]], SUMIFS(Fixtures[G], Fixtures[userTeam], Teams[[#This Row],[name]]), "")</f>
        <v/>
      </c>
      <c r="M399" s="1" t="str">
        <f>IF(Teams[[#This Row],[relevant]], SUMIFS(Fixtures[A], Fixtures[userTeam], Teams[[#This Row],[name]]), "")</f>
        <v/>
      </c>
      <c r="N399" s="1" t="str">
        <f>IF(Teams[[#This Row],[relevant]], SUMIFS(Fixtures[INV], Fixtures[userTeam], Teams[[#This Row],[name]]), "")</f>
        <v/>
      </c>
      <c r="O399" s="1" t="str">
        <f>IF(Teams[[#This Row],[relevant]], SUMIFS(Fixtures[YC], Fixtures[userTeam], Teams[[#This Row],[name]]), "")</f>
        <v/>
      </c>
      <c r="P399" s="1" t="str">
        <f>IF(Teams[[#This Row],[relevant]], SUMIFS(Fixtures[RC], Fixtures[userTeam], Teams[[#This Row],[name]]), "")</f>
        <v/>
      </c>
      <c r="Q399" s="13" t="str">
        <f>IF(Teams[[#This Row],[relevant]], IF(ISERROR(AVERAGEIFS(Fixtures[MR], Fixtures[userTeam], Teams[[#This Row],[name]])), 0, AVERAGEIFS(Fixtures[MR], Fixtures[userTeam], Teams[[#This Row],[name]])), "")</f>
        <v/>
      </c>
      <c r="R399" s="1" t="str">
        <f>IF(Teams[[#This Row],[relevant]], COUNTIFS(Fixtures[userTeam], Teams[[#This Row],[name]], Fixtures[MOTM], TRUE), "")</f>
        <v/>
      </c>
      <c r="S399" s="1" t="str" cm="1">
        <f t="array" ref="S399">IF(Teams[[#This Row],[relevant]], _xlfn.TEXTJOIN(", ", TRUE, _xlfn._xlws.FILTER(Stats[competition]&amp;" ("&amp;Stats[season]&amp;")",(Stats[team]=Teams[[#This Row],[name]])*(Stats[result]="Winner"),"")), "")</f>
        <v/>
      </c>
    </row>
    <row r="400" spans="1:19" ht="13" hidden="1">
      <c r="A400" s="1" t="s">
        <v>760</v>
      </c>
      <c r="B400" s="1" t="s">
        <v>401</v>
      </c>
      <c r="C400" s="1" t="s">
        <v>391</v>
      </c>
      <c r="D400" s="1" t="str">
        <f>UPPER(_xlfn.CONCAT(LEFT(Teams[[#This Row],[teamType]], 1), "-", LEFT(SUBSTITUTE(Teams[[#This Row],[nation]], "/", ""), 3), "-", SUBSTITUTE(SUBSTITUTE(SUBSTITUTE(Teams[[#This Row],[name]], ".", ""), " ", ""), "-", "")))</f>
        <v>C-SCO-LIVINGSTON</v>
      </c>
      <c r="E400" s="16"/>
      <c r="F400" s="16"/>
      <c r="G400" s="1" t="b">
        <f>COUNTBLANK(Teams[[#This Row],[startDate]:[endDate]]) &lt; 2</f>
        <v>0</v>
      </c>
      <c r="H400" s="1" t="str">
        <f>IF(Teams[[#This Row],[relevant]], COUNTIFS(Fixtures[userTeam], Teams[[#This Row],[name]], Fixtures[APP], TRUE), "")</f>
        <v/>
      </c>
      <c r="I400" s="1" t="str">
        <f>IF(Teams[[#This Row],[relevant]], COUNTIFS(Fixtures[userTeam], Teams[[#This Row],[name]], Fixtures[result], "W", Fixtures[APP], TRUE), "")</f>
        <v/>
      </c>
      <c r="J400" s="1" t="str">
        <f>IF(Teams[[#This Row],[relevant]], COUNTIFS(Fixtures[userTeam], Teams[[#This Row],[name]], Fixtures[result], "D", Fixtures[APP], TRUE), "")</f>
        <v/>
      </c>
      <c r="K400" s="1" t="str">
        <f>IF(Teams[[#This Row],[relevant]], COUNTIFS(Fixtures[userTeam], Teams[[#This Row],[name]], Fixtures[result], "L", Fixtures[APP], TRUE), "")</f>
        <v/>
      </c>
      <c r="L400" s="1" t="str">
        <f>IF(Teams[[#This Row],[relevant]], SUMIFS(Fixtures[G], Fixtures[userTeam], Teams[[#This Row],[name]]), "")</f>
        <v/>
      </c>
      <c r="M400" s="1" t="str">
        <f>IF(Teams[[#This Row],[relevant]], SUMIFS(Fixtures[A], Fixtures[userTeam], Teams[[#This Row],[name]]), "")</f>
        <v/>
      </c>
      <c r="N400" s="1" t="str">
        <f>IF(Teams[[#This Row],[relevant]], SUMIFS(Fixtures[INV], Fixtures[userTeam], Teams[[#This Row],[name]]), "")</f>
        <v/>
      </c>
      <c r="O400" s="1" t="str">
        <f>IF(Teams[[#This Row],[relevant]], SUMIFS(Fixtures[YC], Fixtures[userTeam], Teams[[#This Row],[name]]), "")</f>
        <v/>
      </c>
      <c r="P400" s="1" t="str">
        <f>IF(Teams[[#This Row],[relevant]], SUMIFS(Fixtures[RC], Fixtures[userTeam], Teams[[#This Row],[name]]), "")</f>
        <v/>
      </c>
      <c r="Q400" s="13" t="str">
        <f>IF(Teams[[#This Row],[relevant]], IF(ISERROR(AVERAGEIFS(Fixtures[MR], Fixtures[userTeam], Teams[[#This Row],[name]])), 0, AVERAGEIFS(Fixtures[MR], Fixtures[userTeam], Teams[[#This Row],[name]])), "")</f>
        <v/>
      </c>
      <c r="R400" s="1" t="str">
        <f>IF(Teams[[#This Row],[relevant]], COUNTIFS(Fixtures[userTeam], Teams[[#This Row],[name]], Fixtures[MOTM], TRUE), "")</f>
        <v/>
      </c>
      <c r="S400" s="1" t="str" cm="1">
        <f t="array" ref="S400">IF(Teams[[#This Row],[relevant]], _xlfn.TEXTJOIN(", ", TRUE, _xlfn._xlws.FILTER(Stats[competition]&amp;" ("&amp;Stats[season]&amp;")",(Stats[team]=Teams[[#This Row],[name]])*(Stats[result]="Winner"),"")), "")</f>
        <v/>
      </c>
    </row>
    <row r="401" spans="1:19" ht="13" hidden="1">
      <c r="A401" s="1" t="s">
        <v>761</v>
      </c>
      <c r="B401" s="1" t="s">
        <v>339</v>
      </c>
      <c r="C401" s="1" t="s">
        <v>391</v>
      </c>
      <c r="D401" s="1" t="str">
        <f>UPPER(_xlfn.CONCAT(LEFT(Teams[[#This Row],[teamType]], 1), "-", LEFT(SUBSTITUTE(Teams[[#This Row],[nation]], "/", ""), 3), "-", SUBSTITUTE(SUBSTITUTE(SUBSTITUTE(Teams[[#This Row],[name]], ".", ""), " ", ""), "-", "")))</f>
        <v>C-FRA-LOSCLILLE</v>
      </c>
      <c r="E401" s="16"/>
      <c r="F401" s="16"/>
      <c r="G401" s="1" t="b">
        <f>COUNTBLANK(Teams[[#This Row],[startDate]:[endDate]]) &lt; 2</f>
        <v>0</v>
      </c>
      <c r="H401" s="1" t="str">
        <f>IF(Teams[[#This Row],[relevant]], COUNTIFS(Fixtures[userTeam], Teams[[#This Row],[name]], Fixtures[APP], TRUE), "")</f>
        <v/>
      </c>
      <c r="I401" s="1" t="str">
        <f>IF(Teams[[#This Row],[relevant]], COUNTIFS(Fixtures[userTeam], Teams[[#This Row],[name]], Fixtures[result], "W", Fixtures[APP], TRUE), "")</f>
        <v/>
      </c>
      <c r="J401" s="1" t="str">
        <f>IF(Teams[[#This Row],[relevant]], COUNTIFS(Fixtures[userTeam], Teams[[#This Row],[name]], Fixtures[result], "D", Fixtures[APP], TRUE), "")</f>
        <v/>
      </c>
      <c r="K401" s="1" t="str">
        <f>IF(Teams[[#This Row],[relevant]], COUNTIFS(Fixtures[userTeam], Teams[[#This Row],[name]], Fixtures[result], "L", Fixtures[APP], TRUE), "")</f>
        <v/>
      </c>
      <c r="L401" s="1" t="str">
        <f>IF(Teams[[#This Row],[relevant]], SUMIFS(Fixtures[G], Fixtures[userTeam], Teams[[#This Row],[name]]), "")</f>
        <v/>
      </c>
      <c r="M401" s="1" t="str">
        <f>IF(Teams[[#This Row],[relevant]], SUMIFS(Fixtures[A], Fixtures[userTeam], Teams[[#This Row],[name]]), "")</f>
        <v/>
      </c>
      <c r="N401" s="1" t="str">
        <f>IF(Teams[[#This Row],[relevant]], SUMIFS(Fixtures[INV], Fixtures[userTeam], Teams[[#This Row],[name]]), "")</f>
        <v/>
      </c>
      <c r="O401" s="1" t="str">
        <f>IF(Teams[[#This Row],[relevant]], SUMIFS(Fixtures[YC], Fixtures[userTeam], Teams[[#This Row],[name]]), "")</f>
        <v/>
      </c>
      <c r="P401" s="1" t="str">
        <f>IF(Teams[[#This Row],[relevant]], SUMIFS(Fixtures[RC], Fixtures[userTeam], Teams[[#This Row],[name]]), "")</f>
        <v/>
      </c>
      <c r="Q401" s="13" t="str">
        <f>IF(Teams[[#This Row],[relevant]], IF(ISERROR(AVERAGEIFS(Fixtures[MR], Fixtures[userTeam], Teams[[#This Row],[name]])), 0, AVERAGEIFS(Fixtures[MR], Fixtures[userTeam], Teams[[#This Row],[name]])), "")</f>
        <v/>
      </c>
      <c r="R401" s="1" t="str">
        <f>IF(Teams[[#This Row],[relevant]], COUNTIFS(Fixtures[userTeam], Teams[[#This Row],[name]], Fixtures[MOTM], TRUE), "")</f>
        <v/>
      </c>
      <c r="S401" s="1" t="str" cm="1">
        <f t="array" ref="S401">IF(Teams[[#This Row],[relevant]], _xlfn.TEXTJOIN(", ", TRUE, _xlfn._xlws.FILTER(Stats[competition]&amp;" ("&amp;Stats[season]&amp;")",(Stats[team]=Teams[[#This Row],[name]])*(Stats[result]="Winner"),"")), "")</f>
        <v/>
      </c>
    </row>
    <row r="402" spans="1:19" ht="13" hidden="1">
      <c r="A402" s="1" t="s">
        <v>210</v>
      </c>
      <c r="B402" s="1" t="s">
        <v>152</v>
      </c>
      <c r="C402" s="1" t="s">
        <v>391</v>
      </c>
      <c r="D402" s="1" t="str">
        <f>UPPER(_xlfn.CONCAT(LEFT(Teams[[#This Row],[teamType]], 1), "-", LEFT(SUBSTITUTE(Teams[[#This Row],[nation]], "/", ""), 3), "-", SUBSTITUTE(SUBSTITUTE(SUBSTITUTE(Teams[[#This Row],[name]], ".", ""), " ", ""), "-", "")))</f>
        <v>C-ENG-LUTONTOWN</v>
      </c>
      <c r="E402" s="16"/>
      <c r="F402" s="16"/>
      <c r="G402" s="1" t="b">
        <f>COUNTBLANK(Teams[[#This Row],[startDate]:[endDate]]) &lt; 2</f>
        <v>0</v>
      </c>
      <c r="H402" s="1" t="str">
        <f>IF(Teams[[#This Row],[relevant]], COUNTIFS(Fixtures[userTeam], Teams[[#This Row],[name]], Fixtures[APP], TRUE), "")</f>
        <v/>
      </c>
      <c r="I402" s="1" t="str">
        <f>IF(Teams[[#This Row],[relevant]], COUNTIFS(Fixtures[userTeam], Teams[[#This Row],[name]], Fixtures[result], "W", Fixtures[APP], TRUE), "")</f>
        <v/>
      </c>
      <c r="J402" s="1" t="str">
        <f>IF(Teams[[#This Row],[relevant]], COUNTIFS(Fixtures[userTeam], Teams[[#This Row],[name]], Fixtures[result], "D", Fixtures[APP], TRUE), "")</f>
        <v/>
      </c>
      <c r="K402" s="1" t="str">
        <f>IF(Teams[[#This Row],[relevant]], COUNTIFS(Fixtures[userTeam], Teams[[#This Row],[name]], Fixtures[result], "L", Fixtures[APP], TRUE), "")</f>
        <v/>
      </c>
      <c r="L402" s="1" t="str">
        <f>IF(Teams[[#This Row],[relevant]], SUMIFS(Fixtures[G], Fixtures[userTeam], Teams[[#This Row],[name]]), "")</f>
        <v/>
      </c>
      <c r="M402" s="1" t="str">
        <f>IF(Teams[[#This Row],[relevant]], SUMIFS(Fixtures[A], Fixtures[userTeam], Teams[[#This Row],[name]]), "")</f>
        <v/>
      </c>
      <c r="N402" s="1" t="str">
        <f>IF(Teams[[#This Row],[relevant]], SUMIFS(Fixtures[INV], Fixtures[userTeam], Teams[[#This Row],[name]]), "")</f>
        <v/>
      </c>
      <c r="O402" s="1" t="str">
        <f>IF(Teams[[#This Row],[relevant]], SUMIFS(Fixtures[YC], Fixtures[userTeam], Teams[[#This Row],[name]]), "")</f>
        <v/>
      </c>
      <c r="P402" s="1" t="str">
        <f>IF(Teams[[#This Row],[relevant]], SUMIFS(Fixtures[RC], Fixtures[userTeam], Teams[[#This Row],[name]]), "")</f>
        <v/>
      </c>
      <c r="Q402" s="13" t="str">
        <f>IF(Teams[[#This Row],[relevant]], IF(ISERROR(AVERAGEIFS(Fixtures[MR], Fixtures[userTeam], Teams[[#This Row],[name]])), 0, AVERAGEIFS(Fixtures[MR], Fixtures[userTeam], Teams[[#This Row],[name]])), "")</f>
        <v/>
      </c>
      <c r="R402" s="1" t="str">
        <f>IF(Teams[[#This Row],[relevant]], COUNTIFS(Fixtures[userTeam], Teams[[#This Row],[name]], Fixtures[MOTM], TRUE), "")</f>
        <v/>
      </c>
      <c r="S402" s="1" t="str" cm="1">
        <f t="array" ref="S402">IF(Teams[[#This Row],[relevant]], _xlfn.TEXTJOIN(", ", TRUE, _xlfn._xlws.FILTER(Stats[competition]&amp;" ("&amp;Stats[season]&amp;")",(Stats[team]=Teams[[#This Row],[name]])*(Stats[result]="Winner"),"")), "")</f>
        <v/>
      </c>
    </row>
    <row r="403" spans="1:19" ht="13" hidden="1">
      <c r="A403" s="1" t="s">
        <v>762</v>
      </c>
      <c r="B403" s="1" t="s">
        <v>398</v>
      </c>
      <c r="C403" s="1" t="s">
        <v>391</v>
      </c>
      <c r="D403" s="1" t="str">
        <f>UPPER(_xlfn.CONCAT(LEFT(Teams[[#This Row],[teamType]], 1), "-", LEFT(SUBSTITUTE(Teams[[#This Row],[nation]], "/", ""), 3), "-", SUBSTITUTE(SUBSTITUTE(SUBSTITUTE(Teams[[#This Row],[name]], ".", ""), " ", ""), "-", "")))</f>
        <v>C-DEN-LYNGBYBK</v>
      </c>
      <c r="E403" s="16"/>
      <c r="F403" s="16"/>
      <c r="G403" s="1" t="b">
        <f>COUNTBLANK(Teams[[#This Row],[startDate]:[endDate]]) &lt; 2</f>
        <v>0</v>
      </c>
      <c r="H403" s="1" t="str">
        <f>IF(Teams[[#This Row],[relevant]], COUNTIFS(Fixtures[userTeam], Teams[[#This Row],[name]], Fixtures[APP], TRUE), "")</f>
        <v/>
      </c>
      <c r="I403" s="1" t="str">
        <f>IF(Teams[[#This Row],[relevant]], COUNTIFS(Fixtures[userTeam], Teams[[#This Row],[name]], Fixtures[result], "W", Fixtures[APP], TRUE), "")</f>
        <v/>
      </c>
      <c r="J403" s="1" t="str">
        <f>IF(Teams[[#This Row],[relevant]], COUNTIFS(Fixtures[userTeam], Teams[[#This Row],[name]], Fixtures[result], "D", Fixtures[APP], TRUE), "")</f>
        <v/>
      </c>
      <c r="K403" s="1" t="str">
        <f>IF(Teams[[#This Row],[relevant]], COUNTIFS(Fixtures[userTeam], Teams[[#This Row],[name]], Fixtures[result], "L", Fixtures[APP], TRUE), "")</f>
        <v/>
      </c>
      <c r="L403" s="1" t="str">
        <f>IF(Teams[[#This Row],[relevant]], SUMIFS(Fixtures[G], Fixtures[userTeam], Teams[[#This Row],[name]]), "")</f>
        <v/>
      </c>
      <c r="M403" s="1" t="str">
        <f>IF(Teams[[#This Row],[relevant]], SUMIFS(Fixtures[A], Fixtures[userTeam], Teams[[#This Row],[name]]), "")</f>
        <v/>
      </c>
      <c r="N403" s="1" t="str">
        <f>IF(Teams[[#This Row],[relevant]], SUMIFS(Fixtures[INV], Fixtures[userTeam], Teams[[#This Row],[name]]), "")</f>
        <v/>
      </c>
      <c r="O403" s="1" t="str">
        <f>IF(Teams[[#This Row],[relevant]], SUMIFS(Fixtures[YC], Fixtures[userTeam], Teams[[#This Row],[name]]), "")</f>
        <v/>
      </c>
      <c r="P403" s="1" t="str">
        <f>IF(Teams[[#This Row],[relevant]], SUMIFS(Fixtures[RC], Fixtures[userTeam], Teams[[#This Row],[name]]), "")</f>
        <v/>
      </c>
      <c r="Q403" s="13" t="str">
        <f>IF(Teams[[#This Row],[relevant]], IF(ISERROR(AVERAGEIFS(Fixtures[MR], Fixtures[userTeam], Teams[[#This Row],[name]])), 0, AVERAGEIFS(Fixtures[MR], Fixtures[userTeam], Teams[[#This Row],[name]])), "")</f>
        <v/>
      </c>
      <c r="R403" s="1" t="str">
        <f>IF(Teams[[#This Row],[relevant]], COUNTIFS(Fixtures[userTeam], Teams[[#This Row],[name]], Fixtures[MOTM], TRUE), "")</f>
        <v/>
      </c>
      <c r="S403" s="1" t="str" cm="1">
        <f t="array" ref="S403">IF(Teams[[#This Row],[relevant]], _xlfn.TEXTJOIN(", ", TRUE, _xlfn._xlws.FILTER(Stats[competition]&amp;" ("&amp;Stats[season]&amp;")",(Stats[team]=Teams[[#This Row],[name]])*(Stats[result]="Winner"),"")), "")</f>
        <v/>
      </c>
    </row>
    <row r="404" spans="1:19" ht="13" hidden="1">
      <c r="A404" s="1" t="s">
        <v>763</v>
      </c>
      <c r="B404" s="1" t="s">
        <v>410</v>
      </c>
      <c r="C404" s="1" t="s">
        <v>391</v>
      </c>
      <c r="D404" s="1" t="str">
        <f>UPPER(_xlfn.CONCAT(LEFT(Teams[[#This Row],[teamType]], 1), "-", LEFT(SUBSTITUTE(Teams[[#This Row],[nation]], "/", ""), 3), "-", SUBSTITUTE(SUBSTITUTE(SUBSTITUTE(Teams[[#This Row],[name]], ".", ""), " ", ""), "-", "")))</f>
        <v>C-AUS-MACARTHURFC</v>
      </c>
      <c r="E404" s="16"/>
      <c r="F404" s="16"/>
      <c r="G404" s="1" t="b">
        <f>COUNTBLANK(Teams[[#This Row],[startDate]:[endDate]]) &lt; 2</f>
        <v>0</v>
      </c>
      <c r="H404" s="1" t="str">
        <f>IF(Teams[[#This Row],[relevant]], COUNTIFS(Fixtures[userTeam], Teams[[#This Row],[name]], Fixtures[APP], TRUE), "")</f>
        <v/>
      </c>
      <c r="I404" s="1" t="str">
        <f>IF(Teams[[#This Row],[relevant]], COUNTIFS(Fixtures[userTeam], Teams[[#This Row],[name]], Fixtures[result], "W", Fixtures[APP], TRUE), "")</f>
        <v/>
      </c>
      <c r="J404" s="1" t="str">
        <f>IF(Teams[[#This Row],[relevant]], COUNTIFS(Fixtures[userTeam], Teams[[#This Row],[name]], Fixtures[result], "D", Fixtures[APP], TRUE), "")</f>
        <v/>
      </c>
      <c r="K404" s="1" t="str">
        <f>IF(Teams[[#This Row],[relevant]], COUNTIFS(Fixtures[userTeam], Teams[[#This Row],[name]], Fixtures[result], "L", Fixtures[APP], TRUE), "")</f>
        <v/>
      </c>
      <c r="L404" s="1" t="str">
        <f>IF(Teams[[#This Row],[relevant]], SUMIFS(Fixtures[G], Fixtures[userTeam], Teams[[#This Row],[name]]), "")</f>
        <v/>
      </c>
      <c r="M404" s="1" t="str">
        <f>IF(Teams[[#This Row],[relevant]], SUMIFS(Fixtures[A], Fixtures[userTeam], Teams[[#This Row],[name]]), "")</f>
        <v/>
      </c>
      <c r="N404" s="1" t="str">
        <f>IF(Teams[[#This Row],[relevant]], SUMIFS(Fixtures[INV], Fixtures[userTeam], Teams[[#This Row],[name]]), "")</f>
        <v/>
      </c>
      <c r="O404" s="1" t="str">
        <f>IF(Teams[[#This Row],[relevant]], SUMIFS(Fixtures[YC], Fixtures[userTeam], Teams[[#This Row],[name]]), "")</f>
        <v/>
      </c>
      <c r="P404" s="1" t="str">
        <f>IF(Teams[[#This Row],[relevant]], SUMIFS(Fixtures[RC], Fixtures[userTeam], Teams[[#This Row],[name]]), "")</f>
        <v/>
      </c>
      <c r="Q404" s="13" t="str">
        <f>IF(Teams[[#This Row],[relevant]], IF(ISERROR(AVERAGEIFS(Fixtures[MR], Fixtures[userTeam], Teams[[#This Row],[name]])), 0, AVERAGEIFS(Fixtures[MR], Fixtures[userTeam], Teams[[#This Row],[name]])), "")</f>
        <v/>
      </c>
      <c r="R404" s="1" t="str">
        <f>IF(Teams[[#This Row],[relevant]], COUNTIFS(Fixtures[userTeam], Teams[[#This Row],[name]], Fixtures[MOTM], TRUE), "")</f>
        <v/>
      </c>
      <c r="S404" s="1" t="str" cm="1">
        <f t="array" ref="S404">IF(Teams[[#This Row],[relevant]], _xlfn.TEXTJOIN(", ", TRUE, _xlfn._xlws.FILTER(Stats[competition]&amp;" ("&amp;Stats[season]&amp;")",(Stats[team]=Teams[[#This Row],[name]])*(Stats[result]="Winner"),"")), "")</f>
        <v/>
      </c>
    </row>
    <row r="405" spans="1:19" ht="13" hidden="1">
      <c r="A405" s="1" t="s">
        <v>764</v>
      </c>
      <c r="B405" s="1" t="s">
        <v>163</v>
      </c>
      <c r="C405" s="1" t="s">
        <v>391</v>
      </c>
      <c r="D405" s="1" t="str">
        <f>UPPER(_xlfn.CONCAT(LEFT(Teams[[#This Row],[teamType]], 1), "-", LEFT(SUBSTITUTE(Teams[[#This Row],[nation]], "/", ""), 3), "-", SUBSTITUTE(SUBSTITUTE(SUBSTITUTE(Teams[[#This Row],[name]], ".", ""), " ", ""), "-", "")))</f>
        <v>C-SPA-MÁLAGACF</v>
      </c>
      <c r="E405" s="16"/>
      <c r="F405" s="16"/>
      <c r="G405" s="1" t="b">
        <f>COUNTBLANK(Teams[[#This Row],[startDate]:[endDate]]) &lt; 2</f>
        <v>0</v>
      </c>
      <c r="H405" s="1" t="str">
        <f>IF(Teams[[#This Row],[relevant]], COUNTIFS(Fixtures[userTeam], Teams[[#This Row],[name]], Fixtures[APP], TRUE), "")</f>
        <v/>
      </c>
      <c r="I405" s="1" t="str">
        <f>IF(Teams[[#This Row],[relevant]], COUNTIFS(Fixtures[userTeam], Teams[[#This Row],[name]], Fixtures[result], "W", Fixtures[APP], TRUE), "")</f>
        <v/>
      </c>
      <c r="J405" s="1" t="str">
        <f>IF(Teams[[#This Row],[relevant]], COUNTIFS(Fixtures[userTeam], Teams[[#This Row],[name]], Fixtures[result], "D", Fixtures[APP], TRUE), "")</f>
        <v/>
      </c>
      <c r="K405" s="1" t="str">
        <f>IF(Teams[[#This Row],[relevant]], COUNTIFS(Fixtures[userTeam], Teams[[#This Row],[name]], Fixtures[result], "L", Fixtures[APP], TRUE), "")</f>
        <v/>
      </c>
      <c r="L405" s="1" t="str">
        <f>IF(Teams[[#This Row],[relevant]], SUMIFS(Fixtures[G], Fixtures[userTeam], Teams[[#This Row],[name]]), "")</f>
        <v/>
      </c>
      <c r="M405" s="1" t="str">
        <f>IF(Teams[[#This Row],[relevant]], SUMIFS(Fixtures[A], Fixtures[userTeam], Teams[[#This Row],[name]]), "")</f>
        <v/>
      </c>
      <c r="N405" s="1" t="str">
        <f>IF(Teams[[#This Row],[relevant]], SUMIFS(Fixtures[INV], Fixtures[userTeam], Teams[[#This Row],[name]]), "")</f>
        <v/>
      </c>
      <c r="O405" s="1" t="str">
        <f>IF(Teams[[#This Row],[relevant]], SUMIFS(Fixtures[YC], Fixtures[userTeam], Teams[[#This Row],[name]]), "")</f>
        <v/>
      </c>
      <c r="P405" s="1" t="str">
        <f>IF(Teams[[#This Row],[relevant]], SUMIFS(Fixtures[RC], Fixtures[userTeam], Teams[[#This Row],[name]]), "")</f>
        <v/>
      </c>
      <c r="Q405" s="13" t="str">
        <f>IF(Teams[[#This Row],[relevant]], IF(ISERROR(AVERAGEIFS(Fixtures[MR], Fixtures[userTeam], Teams[[#This Row],[name]])), 0, AVERAGEIFS(Fixtures[MR], Fixtures[userTeam], Teams[[#This Row],[name]])), "")</f>
        <v/>
      </c>
      <c r="R405" s="1" t="str">
        <f>IF(Teams[[#This Row],[relevant]], COUNTIFS(Fixtures[userTeam], Teams[[#This Row],[name]], Fixtures[MOTM], TRUE), "")</f>
        <v/>
      </c>
      <c r="S405" s="1" t="str" cm="1">
        <f t="array" ref="S405">IF(Teams[[#This Row],[relevant]], _xlfn.TEXTJOIN(", ", TRUE, _xlfn._xlws.FILTER(Stats[competition]&amp;" ("&amp;Stats[season]&amp;")",(Stats[team]=Teams[[#This Row],[name]])*(Stats[result]="Winner"),"")), "")</f>
        <v/>
      </c>
    </row>
    <row r="406" spans="1:19" ht="13" hidden="1">
      <c r="A406" s="1" t="s">
        <v>765</v>
      </c>
      <c r="B406" s="1" t="s">
        <v>284</v>
      </c>
      <c r="C406" s="1" t="s">
        <v>391</v>
      </c>
      <c r="D406" s="1" t="str">
        <f>UPPER(_xlfn.CONCAT(LEFT(Teams[[#This Row],[teamType]], 1), "-", LEFT(SUBSTITUTE(Teams[[#This Row],[nation]], "/", ""), 3), "-", SUBSTITUTE(SUBSTITUTE(SUBSTITUTE(Teams[[#This Row],[name]], ".", ""), " ", ""), "-", "")))</f>
        <v>C-SWE-MALMÖFF</v>
      </c>
      <c r="E406" s="16"/>
      <c r="F406" s="16"/>
      <c r="G406" s="1" t="b">
        <f>COUNTBLANK(Teams[[#This Row],[startDate]:[endDate]]) &lt; 2</f>
        <v>0</v>
      </c>
      <c r="H406" s="1" t="str">
        <f>IF(Teams[[#This Row],[relevant]], COUNTIFS(Fixtures[userTeam], Teams[[#This Row],[name]], Fixtures[APP], TRUE), "")</f>
        <v/>
      </c>
      <c r="I406" s="1" t="str">
        <f>IF(Teams[[#This Row],[relevant]], COUNTIFS(Fixtures[userTeam], Teams[[#This Row],[name]], Fixtures[result], "W", Fixtures[APP], TRUE), "")</f>
        <v/>
      </c>
      <c r="J406" s="1" t="str">
        <f>IF(Teams[[#This Row],[relevant]], COUNTIFS(Fixtures[userTeam], Teams[[#This Row],[name]], Fixtures[result], "D", Fixtures[APP], TRUE), "")</f>
        <v/>
      </c>
      <c r="K406" s="1" t="str">
        <f>IF(Teams[[#This Row],[relevant]], COUNTIFS(Fixtures[userTeam], Teams[[#This Row],[name]], Fixtures[result], "L", Fixtures[APP], TRUE), "")</f>
        <v/>
      </c>
      <c r="L406" s="1" t="str">
        <f>IF(Teams[[#This Row],[relevant]], SUMIFS(Fixtures[G], Fixtures[userTeam], Teams[[#This Row],[name]]), "")</f>
        <v/>
      </c>
      <c r="M406" s="1" t="str">
        <f>IF(Teams[[#This Row],[relevant]], SUMIFS(Fixtures[A], Fixtures[userTeam], Teams[[#This Row],[name]]), "")</f>
        <v/>
      </c>
      <c r="N406" s="1" t="str">
        <f>IF(Teams[[#This Row],[relevant]], SUMIFS(Fixtures[INV], Fixtures[userTeam], Teams[[#This Row],[name]]), "")</f>
        <v/>
      </c>
      <c r="O406" s="1" t="str">
        <f>IF(Teams[[#This Row],[relevant]], SUMIFS(Fixtures[YC], Fixtures[userTeam], Teams[[#This Row],[name]]), "")</f>
        <v/>
      </c>
      <c r="P406" s="1" t="str">
        <f>IF(Teams[[#This Row],[relevant]], SUMIFS(Fixtures[RC], Fixtures[userTeam], Teams[[#This Row],[name]]), "")</f>
        <v/>
      </c>
      <c r="Q406" s="13" t="str">
        <f>IF(Teams[[#This Row],[relevant]], IF(ISERROR(AVERAGEIFS(Fixtures[MR], Fixtures[userTeam], Teams[[#This Row],[name]])), 0, AVERAGEIFS(Fixtures[MR], Fixtures[userTeam], Teams[[#This Row],[name]])), "")</f>
        <v/>
      </c>
      <c r="R406" s="1" t="str">
        <f>IF(Teams[[#This Row],[relevant]], COUNTIFS(Fixtures[userTeam], Teams[[#This Row],[name]], Fixtures[MOTM], TRUE), "")</f>
        <v/>
      </c>
      <c r="S406" s="1" t="str" cm="1">
        <f t="array" ref="S406">IF(Teams[[#This Row],[relevant]], _xlfn.TEXTJOIN(", ", TRUE, _xlfn._xlws.FILTER(Stats[competition]&amp;" ("&amp;Stats[season]&amp;")",(Stats[team]=Teams[[#This Row],[name]])*(Stats[result]="Winner"),"")), "")</f>
        <v/>
      </c>
    </row>
    <row r="407" spans="1:19" ht="13" hidden="1">
      <c r="A407" s="1" t="s">
        <v>766</v>
      </c>
      <c r="B407" s="1" t="s">
        <v>728</v>
      </c>
      <c r="C407" s="1" t="s">
        <v>391</v>
      </c>
      <c r="D407" s="1" t="str">
        <f>UPPER(_xlfn.CONCAT(LEFT(Teams[[#This Row],[teamType]], 1), "-", LEFT(SUBSTITUTE(Teams[[#This Row],[nation]], "/", ""), 3), "-", SUBSTITUTE(SUBSTITUTE(SUBSTITUTE(Teams[[#This Row],[name]], ".", ""), " ", ""), "-", "")))</f>
        <v>C-SOU-MAMELODISUNDOWNS</v>
      </c>
      <c r="E407" s="16"/>
      <c r="F407" s="16"/>
      <c r="G407" s="1" t="b">
        <f>COUNTBLANK(Teams[[#This Row],[startDate]:[endDate]]) &lt; 2</f>
        <v>0</v>
      </c>
      <c r="H407" s="1" t="str">
        <f>IF(Teams[[#This Row],[relevant]], COUNTIFS(Fixtures[userTeam], Teams[[#This Row],[name]], Fixtures[APP], TRUE), "")</f>
        <v/>
      </c>
      <c r="I407" s="1" t="str">
        <f>IF(Teams[[#This Row],[relevant]], COUNTIFS(Fixtures[userTeam], Teams[[#This Row],[name]], Fixtures[result], "W", Fixtures[APP], TRUE), "")</f>
        <v/>
      </c>
      <c r="J407" s="1" t="str">
        <f>IF(Teams[[#This Row],[relevant]], COUNTIFS(Fixtures[userTeam], Teams[[#This Row],[name]], Fixtures[result], "D", Fixtures[APP], TRUE), "")</f>
        <v/>
      </c>
      <c r="K407" s="1" t="str">
        <f>IF(Teams[[#This Row],[relevant]], COUNTIFS(Fixtures[userTeam], Teams[[#This Row],[name]], Fixtures[result], "L", Fixtures[APP], TRUE), "")</f>
        <v/>
      </c>
      <c r="L407" s="1" t="str">
        <f>IF(Teams[[#This Row],[relevant]], SUMIFS(Fixtures[G], Fixtures[userTeam], Teams[[#This Row],[name]]), "")</f>
        <v/>
      </c>
      <c r="M407" s="1" t="str">
        <f>IF(Teams[[#This Row],[relevant]], SUMIFS(Fixtures[A], Fixtures[userTeam], Teams[[#This Row],[name]]), "")</f>
        <v/>
      </c>
      <c r="N407" s="1" t="str">
        <f>IF(Teams[[#This Row],[relevant]], SUMIFS(Fixtures[INV], Fixtures[userTeam], Teams[[#This Row],[name]]), "")</f>
        <v/>
      </c>
      <c r="O407" s="1" t="str">
        <f>IF(Teams[[#This Row],[relevant]], SUMIFS(Fixtures[YC], Fixtures[userTeam], Teams[[#This Row],[name]]), "")</f>
        <v/>
      </c>
      <c r="P407" s="1" t="str">
        <f>IF(Teams[[#This Row],[relevant]], SUMIFS(Fixtures[RC], Fixtures[userTeam], Teams[[#This Row],[name]]), "")</f>
        <v/>
      </c>
      <c r="Q407" s="13" t="str">
        <f>IF(Teams[[#This Row],[relevant]], IF(ISERROR(AVERAGEIFS(Fixtures[MR], Fixtures[userTeam], Teams[[#This Row],[name]])), 0, AVERAGEIFS(Fixtures[MR], Fixtures[userTeam], Teams[[#This Row],[name]])), "")</f>
        <v/>
      </c>
      <c r="R407" s="1" t="str">
        <f>IF(Teams[[#This Row],[relevant]], COUNTIFS(Fixtures[userTeam], Teams[[#This Row],[name]], Fixtures[MOTM], TRUE), "")</f>
        <v/>
      </c>
      <c r="S407" s="1" t="str" cm="1">
        <f t="array" ref="S407">IF(Teams[[#This Row],[relevant]], _xlfn.TEXTJOIN(", ", TRUE, _xlfn._xlws.FILTER(Stats[competition]&amp;" ("&amp;Stats[season]&amp;")",(Stats[team]=Teams[[#This Row],[name]])*(Stats[result]="Winner"),"")), "")</f>
        <v/>
      </c>
    </row>
    <row r="408" spans="1:19" ht="13" hidden="1">
      <c r="A408" s="1" t="s">
        <v>275</v>
      </c>
      <c r="B408" s="1" t="s">
        <v>152</v>
      </c>
      <c r="C408" s="1" t="s">
        <v>391</v>
      </c>
      <c r="D408" s="1" t="str">
        <f>UPPER(_xlfn.CONCAT(LEFT(Teams[[#This Row],[teamType]], 1), "-", LEFT(SUBSTITUTE(Teams[[#This Row],[nation]], "/", ""), 3), "-", SUBSTITUTE(SUBSTITUTE(SUBSTITUTE(Teams[[#This Row],[name]], ".", ""), " ", ""), "-", "")))</f>
        <v>C-ENG-MANCHESTERCITY</v>
      </c>
      <c r="E408" s="16"/>
      <c r="F408" s="16"/>
      <c r="G408" s="1" t="b">
        <f>COUNTBLANK(Teams[[#This Row],[startDate]:[endDate]]) &lt; 2</f>
        <v>0</v>
      </c>
      <c r="H408" s="1" t="str">
        <f>IF(Teams[[#This Row],[relevant]], COUNTIFS(Fixtures[userTeam], Teams[[#This Row],[name]], Fixtures[APP], TRUE), "")</f>
        <v/>
      </c>
      <c r="I408" s="1" t="str">
        <f>IF(Teams[[#This Row],[relevant]], COUNTIFS(Fixtures[userTeam], Teams[[#This Row],[name]], Fixtures[result], "W", Fixtures[APP], TRUE), "")</f>
        <v/>
      </c>
      <c r="J408" s="1" t="str">
        <f>IF(Teams[[#This Row],[relevant]], COUNTIFS(Fixtures[userTeam], Teams[[#This Row],[name]], Fixtures[result], "D", Fixtures[APP], TRUE), "")</f>
        <v/>
      </c>
      <c r="K408" s="1" t="str">
        <f>IF(Teams[[#This Row],[relevant]], COUNTIFS(Fixtures[userTeam], Teams[[#This Row],[name]], Fixtures[result], "L", Fixtures[APP], TRUE), "")</f>
        <v/>
      </c>
      <c r="L408" s="1" t="str">
        <f>IF(Teams[[#This Row],[relevant]], SUMIFS(Fixtures[G], Fixtures[userTeam], Teams[[#This Row],[name]]), "")</f>
        <v/>
      </c>
      <c r="M408" s="1" t="str">
        <f>IF(Teams[[#This Row],[relevant]], SUMIFS(Fixtures[A], Fixtures[userTeam], Teams[[#This Row],[name]]), "")</f>
        <v/>
      </c>
      <c r="N408" s="1" t="str">
        <f>IF(Teams[[#This Row],[relevant]], SUMIFS(Fixtures[INV], Fixtures[userTeam], Teams[[#This Row],[name]]), "")</f>
        <v/>
      </c>
      <c r="O408" s="1" t="str">
        <f>IF(Teams[[#This Row],[relevant]], SUMIFS(Fixtures[YC], Fixtures[userTeam], Teams[[#This Row],[name]]), "")</f>
        <v/>
      </c>
      <c r="P408" s="1" t="str">
        <f>IF(Teams[[#This Row],[relevant]], SUMIFS(Fixtures[RC], Fixtures[userTeam], Teams[[#This Row],[name]]), "")</f>
        <v/>
      </c>
      <c r="Q408" s="13" t="str">
        <f>IF(Teams[[#This Row],[relevant]], IF(ISERROR(AVERAGEIFS(Fixtures[MR], Fixtures[userTeam], Teams[[#This Row],[name]])), 0, AVERAGEIFS(Fixtures[MR], Fixtures[userTeam], Teams[[#This Row],[name]])), "")</f>
        <v/>
      </c>
      <c r="R408" s="1" t="str">
        <f>IF(Teams[[#This Row],[relevant]], COUNTIFS(Fixtures[userTeam], Teams[[#This Row],[name]], Fixtures[MOTM], TRUE), "")</f>
        <v/>
      </c>
      <c r="S408" s="1" t="str" cm="1">
        <f t="array" ref="S408">IF(Teams[[#This Row],[relevant]], _xlfn.TEXTJOIN(", ", TRUE, _xlfn._xlws.FILTER(Stats[competition]&amp;" ("&amp;Stats[season]&amp;")",(Stats[team]=Teams[[#This Row],[name]])*(Stats[result]="Winner"),"")), "")</f>
        <v/>
      </c>
    </row>
    <row r="409" spans="1:19" ht="13" hidden="1">
      <c r="A409" s="1" t="s">
        <v>767</v>
      </c>
      <c r="B409" s="1" t="s">
        <v>152</v>
      </c>
      <c r="C409" s="1" t="s">
        <v>391</v>
      </c>
      <c r="D409" s="1" t="str">
        <f>UPPER(_xlfn.CONCAT(LEFT(Teams[[#This Row],[teamType]], 1), "-", LEFT(SUBSTITUTE(Teams[[#This Row],[nation]], "/", ""), 3), "-", SUBSTITUTE(SUBSTITUTE(SUBSTITUTE(Teams[[#This Row],[name]], ".", ""), " ", ""), "-", "")))</f>
        <v>C-ENG-MANCHESTERUTD</v>
      </c>
      <c r="E409" s="16"/>
      <c r="F409" s="16"/>
      <c r="G409" s="1" t="b">
        <f>COUNTBLANK(Teams[[#This Row],[startDate]:[endDate]]) &lt; 2</f>
        <v>0</v>
      </c>
      <c r="H409" s="1" t="str">
        <f>IF(Teams[[#This Row],[relevant]], COUNTIFS(Fixtures[userTeam], Teams[[#This Row],[name]], Fixtures[APP], TRUE), "")</f>
        <v/>
      </c>
      <c r="I409" s="1" t="str">
        <f>IF(Teams[[#This Row],[relevant]], COUNTIFS(Fixtures[userTeam], Teams[[#This Row],[name]], Fixtures[result], "W", Fixtures[APP], TRUE), "")</f>
        <v/>
      </c>
      <c r="J409" s="1" t="str">
        <f>IF(Teams[[#This Row],[relevant]], COUNTIFS(Fixtures[userTeam], Teams[[#This Row],[name]], Fixtures[result], "D", Fixtures[APP], TRUE), "")</f>
        <v/>
      </c>
      <c r="K409" s="1" t="str">
        <f>IF(Teams[[#This Row],[relevant]], COUNTIFS(Fixtures[userTeam], Teams[[#This Row],[name]], Fixtures[result], "L", Fixtures[APP], TRUE), "")</f>
        <v/>
      </c>
      <c r="L409" s="1" t="str">
        <f>IF(Teams[[#This Row],[relevant]], SUMIFS(Fixtures[G], Fixtures[userTeam], Teams[[#This Row],[name]]), "")</f>
        <v/>
      </c>
      <c r="M409" s="1" t="str">
        <f>IF(Teams[[#This Row],[relevant]], SUMIFS(Fixtures[A], Fixtures[userTeam], Teams[[#This Row],[name]]), "")</f>
        <v/>
      </c>
      <c r="N409" s="1" t="str">
        <f>IF(Teams[[#This Row],[relevant]], SUMIFS(Fixtures[INV], Fixtures[userTeam], Teams[[#This Row],[name]]), "")</f>
        <v/>
      </c>
      <c r="O409" s="1" t="str">
        <f>IF(Teams[[#This Row],[relevant]], SUMIFS(Fixtures[YC], Fixtures[userTeam], Teams[[#This Row],[name]]), "")</f>
        <v/>
      </c>
      <c r="P409" s="1" t="str">
        <f>IF(Teams[[#This Row],[relevant]], SUMIFS(Fixtures[RC], Fixtures[userTeam], Teams[[#This Row],[name]]), "")</f>
        <v/>
      </c>
      <c r="Q409" s="13" t="str">
        <f>IF(Teams[[#This Row],[relevant]], IF(ISERROR(AVERAGEIFS(Fixtures[MR], Fixtures[userTeam], Teams[[#This Row],[name]])), 0, AVERAGEIFS(Fixtures[MR], Fixtures[userTeam], Teams[[#This Row],[name]])), "")</f>
        <v/>
      </c>
      <c r="R409" s="1" t="str">
        <f>IF(Teams[[#This Row],[relevant]], COUNTIFS(Fixtures[userTeam], Teams[[#This Row],[name]], Fixtures[MOTM], TRUE), "")</f>
        <v/>
      </c>
      <c r="S409" s="1" t="str" cm="1">
        <f t="array" ref="S409">IF(Teams[[#This Row],[relevant]], _xlfn.TEXTJOIN(", ", TRUE, _xlfn._xlws.FILTER(Stats[competition]&amp;" ("&amp;Stats[season]&amp;")",(Stats[team]=Teams[[#This Row],[name]])*(Stats[result]="Winner"),"")), "")</f>
        <v/>
      </c>
    </row>
    <row r="410" spans="1:19" ht="13" hidden="1">
      <c r="A410" s="1" t="s">
        <v>768</v>
      </c>
      <c r="B410" s="1" t="s">
        <v>152</v>
      </c>
      <c r="C410" s="1" t="s">
        <v>391</v>
      </c>
      <c r="D410" s="1" t="str">
        <f>UPPER(_xlfn.CONCAT(LEFT(Teams[[#This Row],[teamType]], 1), "-", LEFT(SUBSTITUTE(Teams[[#This Row],[nation]], "/", ""), 3), "-", SUBSTITUTE(SUBSTITUTE(SUBSTITUTE(Teams[[#This Row],[name]], ".", ""), " ", ""), "-", "")))</f>
        <v>C-ENG-MANSFIELDTOWN</v>
      </c>
      <c r="E410" s="16"/>
      <c r="F410" s="16"/>
      <c r="G410" s="1" t="b">
        <f>COUNTBLANK(Teams[[#This Row],[startDate]:[endDate]]) &lt; 2</f>
        <v>0</v>
      </c>
      <c r="H410" s="1" t="str">
        <f>IF(Teams[[#This Row],[relevant]], COUNTIFS(Fixtures[userTeam], Teams[[#This Row],[name]], Fixtures[APP], TRUE), "")</f>
        <v/>
      </c>
      <c r="I410" s="1" t="str">
        <f>IF(Teams[[#This Row],[relevant]], COUNTIFS(Fixtures[userTeam], Teams[[#This Row],[name]], Fixtures[result], "W", Fixtures[APP], TRUE), "")</f>
        <v/>
      </c>
      <c r="J410" s="1" t="str">
        <f>IF(Teams[[#This Row],[relevant]], COUNTIFS(Fixtures[userTeam], Teams[[#This Row],[name]], Fixtures[result], "D", Fixtures[APP], TRUE), "")</f>
        <v/>
      </c>
      <c r="K410" s="1" t="str">
        <f>IF(Teams[[#This Row],[relevant]], COUNTIFS(Fixtures[userTeam], Teams[[#This Row],[name]], Fixtures[result], "L", Fixtures[APP], TRUE), "")</f>
        <v/>
      </c>
      <c r="L410" s="1" t="str">
        <f>IF(Teams[[#This Row],[relevant]], SUMIFS(Fixtures[G], Fixtures[userTeam], Teams[[#This Row],[name]]), "")</f>
        <v/>
      </c>
      <c r="M410" s="1" t="str">
        <f>IF(Teams[[#This Row],[relevant]], SUMIFS(Fixtures[A], Fixtures[userTeam], Teams[[#This Row],[name]]), "")</f>
        <v/>
      </c>
      <c r="N410" s="1" t="str">
        <f>IF(Teams[[#This Row],[relevant]], SUMIFS(Fixtures[INV], Fixtures[userTeam], Teams[[#This Row],[name]]), "")</f>
        <v/>
      </c>
      <c r="O410" s="1" t="str">
        <f>IF(Teams[[#This Row],[relevant]], SUMIFS(Fixtures[YC], Fixtures[userTeam], Teams[[#This Row],[name]]), "")</f>
        <v/>
      </c>
      <c r="P410" s="1" t="str">
        <f>IF(Teams[[#This Row],[relevant]], SUMIFS(Fixtures[RC], Fixtures[userTeam], Teams[[#This Row],[name]]), "")</f>
        <v/>
      </c>
      <c r="Q410" s="13" t="str">
        <f>IF(Teams[[#This Row],[relevant]], IF(ISERROR(AVERAGEIFS(Fixtures[MR], Fixtures[userTeam], Teams[[#This Row],[name]])), 0, AVERAGEIFS(Fixtures[MR], Fixtures[userTeam], Teams[[#This Row],[name]])), "")</f>
        <v/>
      </c>
      <c r="R410" s="1" t="str">
        <f>IF(Teams[[#This Row],[relevant]], COUNTIFS(Fixtures[userTeam], Teams[[#This Row],[name]], Fixtures[MOTM], TRUE), "")</f>
        <v/>
      </c>
      <c r="S410" s="1" t="str" cm="1">
        <f t="array" ref="S410">IF(Teams[[#This Row],[relevant]], _xlfn.TEXTJOIN(", ", TRUE, _xlfn._xlws.FILTER(Stats[competition]&amp;" ("&amp;Stats[season]&amp;")",(Stats[team]=Teams[[#This Row],[name]])*(Stats[result]="Winner"),"")), "")</f>
        <v/>
      </c>
    </row>
    <row r="411" spans="1:19" ht="13" hidden="1">
      <c r="A411" s="1" t="s">
        <v>769</v>
      </c>
      <c r="B411" s="1" t="s">
        <v>463</v>
      </c>
      <c r="C411" s="1" t="s">
        <v>391</v>
      </c>
      <c r="D411" s="1" t="str">
        <f>UPPER(_xlfn.CONCAT(LEFT(Teams[[#This Row],[teamType]], 1), "-", LEFT(SUBSTITUTE(Teams[[#This Row],[nation]], "/", ""), 3), "-", SUBSTITUTE(SUBSTITUTE(SUBSTITUTE(Teams[[#This Row],[name]], ".", ""), " ", ""), "-", "")))</f>
        <v>C-POR-MARÍTIMO</v>
      </c>
      <c r="E411" s="16"/>
      <c r="F411" s="16"/>
      <c r="G411" s="1" t="b">
        <f>COUNTBLANK(Teams[[#This Row],[startDate]:[endDate]]) &lt; 2</f>
        <v>0</v>
      </c>
      <c r="H411" s="1" t="str">
        <f>IF(Teams[[#This Row],[relevant]], COUNTIFS(Fixtures[userTeam], Teams[[#This Row],[name]], Fixtures[APP], TRUE), "")</f>
        <v/>
      </c>
      <c r="I411" s="1" t="str">
        <f>IF(Teams[[#This Row],[relevant]], COUNTIFS(Fixtures[userTeam], Teams[[#This Row],[name]], Fixtures[result], "W", Fixtures[APP], TRUE), "")</f>
        <v/>
      </c>
      <c r="J411" s="1" t="str">
        <f>IF(Teams[[#This Row],[relevant]], COUNTIFS(Fixtures[userTeam], Teams[[#This Row],[name]], Fixtures[result], "D", Fixtures[APP], TRUE), "")</f>
        <v/>
      </c>
      <c r="K411" s="1" t="str">
        <f>IF(Teams[[#This Row],[relevant]], COUNTIFS(Fixtures[userTeam], Teams[[#This Row],[name]], Fixtures[result], "L", Fixtures[APP], TRUE), "")</f>
        <v/>
      </c>
      <c r="L411" s="1" t="str">
        <f>IF(Teams[[#This Row],[relevant]], SUMIFS(Fixtures[G], Fixtures[userTeam], Teams[[#This Row],[name]]), "")</f>
        <v/>
      </c>
      <c r="M411" s="1" t="str">
        <f>IF(Teams[[#This Row],[relevant]], SUMIFS(Fixtures[A], Fixtures[userTeam], Teams[[#This Row],[name]]), "")</f>
        <v/>
      </c>
      <c r="N411" s="1" t="str">
        <f>IF(Teams[[#This Row],[relevant]], SUMIFS(Fixtures[INV], Fixtures[userTeam], Teams[[#This Row],[name]]), "")</f>
        <v/>
      </c>
      <c r="O411" s="1" t="str">
        <f>IF(Teams[[#This Row],[relevant]], SUMIFS(Fixtures[YC], Fixtures[userTeam], Teams[[#This Row],[name]]), "")</f>
        <v/>
      </c>
      <c r="P411" s="1" t="str">
        <f>IF(Teams[[#This Row],[relevant]], SUMIFS(Fixtures[RC], Fixtures[userTeam], Teams[[#This Row],[name]]), "")</f>
        <v/>
      </c>
      <c r="Q411" s="13" t="str">
        <f>IF(Teams[[#This Row],[relevant]], IF(ISERROR(AVERAGEIFS(Fixtures[MR], Fixtures[userTeam], Teams[[#This Row],[name]])), 0, AVERAGEIFS(Fixtures[MR], Fixtures[userTeam], Teams[[#This Row],[name]])), "")</f>
        <v/>
      </c>
      <c r="R411" s="1" t="str">
        <f>IF(Teams[[#This Row],[relevant]], COUNTIFS(Fixtures[userTeam], Teams[[#This Row],[name]], Fixtures[MOTM], TRUE), "")</f>
        <v/>
      </c>
      <c r="S411" s="1" t="str" cm="1">
        <f t="array" ref="S411">IF(Teams[[#This Row],[relevant]], _xlfn.TEXTJOIN(", ", TRUE, _xlfn._xlws.FILTER(Stats[competition]&amp;" ("&amp;Stats[season]&amp;")",(Stats[team]=Teams[[#This Row],[name]])*(Stats[result]="Winner"),"")), "")</f>
        <v/>
      </c>
    </row>
    <row r="412" spans="1:19" ht="13" hidden="1">
      <c r="A412" s="1" t="s">
        <v>770</v>
      </c>
      <c r="B412" s="1" t="s">
        <v>493</v>
      </c>
      <c r="C412" s="1" t="s">
        <v>391</v>
      </c>
      <c r="D412" s="1" t="str">
        <f>UPPER(_xlfn.CONCAT(LEFT(Teams[[#This Row],[teamType]], 1), "-", LEFT(SUBSTITUTE(Teams[[#This Row],[nation]], "/", ""), 3), "-", SUBSTITUTE(SUBSTITUTE(SUBSTITUTE(Teams[[#This Row],[name]], ".", ""), " ", ""), "-", "")))</f>
        <v>C-CHI-MEIZHOUHAKKA</v>
      </c>
      <c r="E412" s="16"/>
      <c r="F412" s="16"/>
      <c r="G412" s="1" t="b">
        <f>COUNTBLANK(Teams[[#This Row],[startDate]:[endDate]]) &lt; 2</f>
        <v>0</v>
      </c>
      <c r="H412" s="1" t="str">
        <f>IF(Teams[[#This Row],[relevant]], COUNTIFS(Fixtures[userTeam], Teams[[#This Row],[name]], Fixtures[APP], TRUE), "")</f>
        <v/>
      </c>
      <c r="I412" s="1" t="str">
        <f>IF(Teams[[#This Row],[relevant]], COUNTIFS(Fixtures[userTeam], Teams[[#This Row],[name]], Fixtures[result], "W", Fixtures[APP], TRUE), "")</f>
        <v/>
      </c>
      <c r="J412" s="1" t="str">
        <f>IF(Teams[[#This Row],[relevant]], COUNTIFS(Fixtures[userTeam], Teams[[#This Row],[name]], Fixtures[result], "D", Fixtures[APP], TRUE), "")</f>
        <v/>
      </c>
      <c r="K412" s="1" t="str">
        <f>IF(Teams[[#This Row],[relevant]], COUNTIFS(Fixtures[userTeam], Teams[[#This Row],[name]], Fixtures[result], "L", Fixtures[APP], TRUE), "")</f>
        <v/>
      </c>
      <c r="L412" s="1" t="str">
        <f>IF(Teams[[#This Row],[relevant]], SUMIFS(Fixtures[G], Fixtures[userTeam], Teams[[#This Row],[name]]), "")</f>
        <v/>
      </c>
      <c r="M412" s="1" t="str">
        <f>IF(Teams[[#This Row],[relevant]], SUMIFS(Fixtures[A], Fixtures[userTeam], Teams[[#This Row],[name]]), "")</f>
        <v/>
      </c>
      <c r="N412" s="1" t="str">
        <f>IF(Teams[[#This Row],[relevant]], SUMIFS(Fixtures[INV], Fixtures[userTeam], Teams[[#This Row],[name]]), "")</f>
        <v/>
      </c>
      <c r="O412" s="1" t="str">
        <f>IF(Teams[[#This Row],[relevant]], SUMIFS(Fixtures[YC], Fixtures[userTeam], Teams[[#This Row],[name]]), "")</f>
        <v/>
      </c>
      <c r="P412" s="1" t="str">
        <f>IF(Teams[[#This Row],[relevant]], SUMIFS(Fixtures[RC], Fixtures[userTeam], Teams[[#This Row],[name]]), "")</f>
        <v/>
      </c>
      <c r="Q412" s="13" t="str">
        <f>IF(Teams[[#This Row],[relevant]], IF(ISERROR(AVERAGEIFS(Fixtures[MR], Fixtures[userTeam], Teams[[#This Row],[name]])), 0, AVERAGEIFS(Fixtures[MR], Fixtures[userTeam], Teams[[#This Row],[name]])), "")</f>
        <v/>
      </c>
      <c r="R412" s="1" t="str">
        <f>IF(Teams[[#This Row],[relevant]], COUNTIFS(Fixtures[userTeam], Teams[[#This Row],[name]], Fixtures[MOTM], TRUE), "")</f>
        <v/>
      </c>
      <c r="S412" s="1" t="str" cm="1">
        <f t="array" ref="S412">IF(Teams[[#This Row],[relevant]], _xlfn.TEXTJOIN(", ", TRUE, _xlfn._xlws.FILTER(Stats[competition]&amp;" ("&amp;Stats[season]&amp;")",(Stats[team]=Teams[[#This Row],[name]])*(Stats[result]="Winner"),"")), "")</f>
        <v/>
      </c>
    </row>
    <row r="413" spans="1:19" ht="13" hidden="1">
      <c r="A413" s="1" t="s">
        <v>771</v>
      </c>
      <c r="B413" s="1" t="s">
        <v>410</v>
      </c>
      <c r="C413" s="1" t="s">
        <v>391</v>
      </c>
      <c r="D413" s="1" t="str">
        <f>UPPER(_xlfn.CONCAT(LEFT(Teams[[#This Row],[teamType]], 1), "-", LEFT(SUBSTITUTE(Teams[[#This Row],[nation]], "/", ""), 3), "-", SUBSTITUTE(SUBSTITUTE(SUBSTITUTE(Teams[[#This Row],[name]], ".", ""), " ", ""), "-", "")))</f>
        <v>C-AUS-MELBVICTORY</v>
      </c>
      <c r="E413" s="16"/>
      <c r="F413" s="16"/>
      <c r="G413" s="1" t="b">
        <f>COUNTBLANK(Teams[[#This Row],[startDate]:[endDate]]) &lt; 2</f>
        <v>0</v>
      </c>
      <c r="H413" s="1" t="str">
        <f>IF(Teams[[#This Row],[relevant]], COUNTIFS(Fixtures[userTeam], Teams[[#This Row],[name]], Fixtures[APP], TRUE), "")</f>
        <v/>
      </c>
      <c r="I413" s="1" t="str">
        <f>IF(Teams[[#This Row],[relevant]], COUNTIFS(Fixtures[userTeam], Teams[[#This Row],[name]], Fixtures[result], "W", Fixtures[APP], TRUE), "")</f>
        <v/>
      </c>
      <c r="J413" s="1" t="str">
        <f>IF(Teams[[#This Row],[relevant]], COUNTIFS(Fixtures[userTeam], Teams[[#This Row],[name]], Fixtures[result], "D", Fixtures[APP], TRUE), "")</f>
        <v/>
      </c>
      <c r="K413" s="1" t="str">
        <f>IF(Teams[[#This Row],[relevant]], COUNTIFS(Fixtures[userTeam], Teams[[#This Row],[name]], Fixtures[result], "L", Fixtures[APP], TRUE), "")</f>
        <v/>
      </c>
      <c r="L413" s="1" t="str">
        <f>IF(Teams[[#This Row],[relevant]], SUMIFS(Fixtures[G], Fixtures[userTeam], Teams[[#This Row],[name]]), "")</f>
        <v/>
      </c>
      <c r="M413" s="1" t="str">
        <f>IF(Teams[[#This Row],[relevant]], SUMIFS(Fixtures[A], Fixtures[userTeam], Teams[[#This Row],[name]]), "")</f>
        <v/>
      </c>
      <c r="N413" s="1" t="str">
        <f>IF(Teams[[#This Row],[relevant]], SUMIFS(Fixtures[INV], Fixtures[userTeam], Teams[[#This Row],[name]]), "")</f>
        <v/>
      </c>
      <c r="O413" s="1" t="str">
        <f>IF(Teams[[#This Row],[relevant]], SUMIFS(Fixtures[YC], Fixtures[userTeam], Teams[[#This Row],[name]]), "")</f>
        <v/>
      </c>
      <c r="P413" s="1" t="str">
        <f>IF(Teams[[#This Row],[relevant]], SUMIFS(Fixtures[RC], Fixtures[userTeam], Teams[[#This Row],[name]]), "")</f>
        <v/>
      </c>
      <c r="Q413" s="13" t="str">
        <f>IF(Teams[[#This Row],[relevant]], IF(ISERROR(AVERAGEIFS(Fixtures[MR], Fixtures[userTeam], Teams[[#This Row],[name]])), 0, AVERAGEIFS(Fixtures[MR], Fixtures[userTeam], Teams[[#This Row],[name]])), "")</f>
        <v/>
      </c>
      <c r="R413" s="1" t="str">
        <f>IF(Teams[[#This Row],[relevant]], COUNTIFS(Fixtures[userTeam], Teams[[#This Row],[name]], Fixtures[MOTM], TRUE), "")</f>
        <v/>
      </c>
      <c r="S413" s="1" t="str" cm="1">
        <f t="array" ref="S413">IF(Teams[[#This Row],[relevant]], _xlfn.TEXTJOIN(", ", TRUE, _xlfn._xlws.FILTER(Stats[competition]&amp;" ("&amp;Stats[season]&amp;")",(Stats[team]=Teams[[#This Row],[name]])*(Stats[result]="Winner"),"")), "")</f>
        <v/>
      </c>
    </row>
    <row r="414" spans="1:19" ht="13" hidden="1">
      <c r="A414" s="1" t="s">
        <v>772</v>
      </c>
      <c r="B414" s="1" t="s">
        <v>410</v>
      </c>
      <c r="C414" s="1" t="s">
        <v>391</v>
      </c>
      <c r="D414" s="1" t="str">
        <f>UPPER(_xlfn.CONCAT(LEFT(Teams[[#This Row],[teamType]], 1), "-", LEFT(SUBSTITUTE(Teams[[#This Row],[nation]], "/", ""), 3), "-", SUBSTITUTE(SUBSTITUTE(SUBSTITUTE(Teams[[#This Row],[name]], ".", ""), " ", ""), "-", "")))</f>
        <v>C-AUS-MELBOURNECITY</v>
      </c>
      <c r="E414" s="16"/>
      <c r="F414" s="16"/>
      <c r="G414" s="1" t="b">
        <f>COUNTBLANK(Teams[[#This Row],[startDate]:[endDate]]) &lt; 2</f>
        <v>0</v>
      </c>
      <c r="H414" s="1" t="str">
        <f>IF(Teams[[#This Row],[relevant]], COUNTIFS(Fixtures[userTeam], Teams[[#This Row],[name]], Fixtures[APP], TRUE), "")</f>
        <v/>
      </c>
      <c r="I414" s="1" t="str">
        <f>IF(Teams[[#This Row],[relevant]], COUNTIFS(Fixtures[userTeam], Teams[[#This Row],[name]], Fixtures[result], "W", Fixtures[APP], TRUE), "")</f>
        <v/>
      </c>
      <c r="J414" s="1" t="str">
        <f>IF(Teams[[#This Row],[relevant]], COUNTIFS(Fixtures[userTeam], Teams[[#This Row],[name]], Fixtures[result], "D", Fixtures[APP], TRUE), "")</f>
        <v/>
      </c>
      <c r="K414" s="1" t="str">
        <f>IF(Teams[[#This Row],[relevant]], COUNTIFS(Fixtures[userTeam], Teams[[#This Row],[name]], Fixtures[result], "L", Fixtures[APP], TRUE), "")</f>
        <v/>
      </c>
      <c r="L414" s="1" t="str">
        <f>IF(Teams[[#This Row],[relevant]], SUMIFS(Fixtures[G], Fixtures[userTeam], Teams[[#This Row],[name]]), "")</f>
        <v/>
      </c>
      <c r="M414" s="1" t="str">
        <f>IF(Teams[[#This Row],[relevant]], SUMIFS(Fixtures[A], Fixtures[userTeam], Teams[[#This Row],[name]]), "")</f>
        <v/>
      </c>
      <c r="N414" s="1" t="str">
        <f>IF(Teams[[#This Row],[relevant]], SUMIFS(Fixtures[INV], Fixtures[userTeam], Teams[[#This Row],[name]]), "")</f>
        <v/>
      </c>
      <c r="O414" s="1" t="str">
        <f>IF(Teams[[#This Row],[relevant]], SUMIFS(Fixtures[YC], Fixtures[userTeam], Teams[[#This Row],[name]]), "")</f>
        <v/>
      </c>
      <c r="P414" s="1" t="str">
        <f>IF(Teams[[#This Row],[relevant]], SUMIFS(Fixtures[RC], Fixtures[userTeam], Teams[[#This Row],[name]]), "")</f>
        <v/>
      </c>
      <c r="Q414" s="13" t="str">
        <f>IF(Teams[[#This Row],[relevant]], IF(ISERROR(AVERAGEIFS(Fixtures[MR], Fixtures[userTeam], Teams[[#This Row],[name]])), 0, AVERAGEIFS(Fixtures[MR], Fixtures[userTeam], Teams[[#This Row],[name]])), "")</f>
        <v/>
      </c>
      <c r="R414" s="1" t="str">
        <f>IF(Teams[[#This Row],[relevant]], COUNTIFS(Fixtures[userTeam], Teams[[#This Row],[name]], Fixtures[MOTM], TRUE), "")</f>
        <v/>
      </c>
      <c r="S414" s="1" t="str" cm="1">
        <f t="array" ref="S414">IF(Teams[[#This Row],[relevant]], _xlfn.TEXTJOIN(", ", TRUE, _xlfn._xlws.FILTER(Stats[competition]&amp;" ("&amp;Stats[season]&amp;")",(Stats[team]=Teams[[#This Row],[name]])*(Stats[result]="Winner"),"")), "")</f>
        <v/>
      </c>
    </row>
    <row r="415" spans="1:19" ht="13" hidden="1">
      <c r="A415" s="1" t="s">
        <v>773</v>
      </c>
      <c r="B415" s="1" t="s">
        <v>522</v>
      </c>
      <c r="C415" s="1" t="s">
        <v>391</v>
      </c>
      <c r="D415" s="1" t="str">
        <f>UPPER(_xlfn.CONCAT(LEFT(Teams[[#This Row],[teamType]], 1), "-", LEFT(SUBSTITUTE(Teams[[#This Row],[nation]], "/", ""), 3), "-", SUBSTITUTE(SUBSTITUTE(SUBSTITUTE(Teams[[#This Row],[name]], ".", ""), " ", ""), "-", "")))</f>
        <v>C-VEN-METROPOLITANOS</v>
      </c>
      <c r="E415" s="16"/>
      <c r="F415" s="16"/>
      <c r="G415" s="1" t="b">
        <f>COUNTBLANK(Teams[[#This Row],[startDate]:[endDate]]) &lt; 2</f>
        <v>0</v>
      </c>
      <c r="H415" s="1" t="str">
        <f>IF(Teams[[#This Row],[relevant]], COUNTIFS(Fixtures[userTeam], Teams[[#This Row],[name]], Fixtures[APP], TRUE), "")</f>
        <v/>
      </c>
      <c r="I415" s="1" t="str">
        <f>IF(Teams[[#This Row],[relevant]], COUNTIFS(Fixtures[userTeam], Teams[[#This Row],[name]], Fixtures[result], "W", Fixtures[APP], TRUE), "")</f>
        <v/>
      </c>
      <c r="J415" s="1" t="str">
        <f>IF(Teams[[#This Row],[relevant]], COUNTIFS(Fixtures[userTeam], Teams[[#This Row],[name]], Fixtures[result], "D", Fixtures[APP], TRUE), "")</f>
        <v/>
      </c>
      <c r="K415" s="1" t="str">
        <f>IF(Teams[[#This Row],[relevant]], COUNTIFS(Fixtures[userTeam], Teams[[#This Row],[name]], Fixtures[result], "L", Fixtures[APP], TRUE), "")</f>
        <v/>
      </c>
      <c r="L415" s="1" t="str">
        <f>IF(Teams[[#This Row],[relevant]], SUMIFS(Fixtures[G], Fixtures[userTeam], Teams[[#This Row],[name]]), "")</f>
        <v/>
      </c>
      <c r="M415" s="1" t="str">
        <f>IF(Teams[[#This Row],[relevant]], SUMIFS(Fixtures[A], Fixtures[userTeam], Teams[[#This Row],[name]]), "")</f>
        <v/>
      </c>
      <c r="N415" s="1" t="str">
        <f>IF(Teams[[#This Row],[relevant]], SUMIFS(Fixtures[INV], Fixtures[userTeam], Teams[[#This Row],[name]]), "")</f>
        <v/>
      </c>
      <c r="O415" s="1" t="str">
        <f>IF(Teams[[#This Row],[relevant]], SUMIFS(Fixtures[YC], Fixtures[userTeam], Teams[[#This Row],[name]]), "")</f>
        <v/>
      </c>
      <c r="P415" s="1" t="str">
        <f>IF(Teams[[#This Row],[relevant]], SUMIFS(Fixtures[RC], Fixtures[userTeam], Teams[[#This Row],[name]]), "")</f>
        <v/>
      </c>
      <c r="Q415" s="13" t="str">
        <f>IF(Teams[[#This Row],[relevant]], IF(ISERROR(AVERAGEIFS(Fixtures[MR], Fixtures[userTeam], Teams[[#This Row],[name]])), 0, AVERAGEIFS(Fixtures[MR], Fixtures[userTeam], Teams[[#This Row],[name]])), "")</f>
        <v/>
      </c>
      <c r="R415" s="1" t="str">
        <f>IF(Teams[[#This Row],[relevant]], COUNTIFS(Fixtures[userTeam], Teams[[#This Row],[name]], Fixtures[MOTM], TRUE), "")</f>
        <v/>
      </c>
      <c r="S415" s="1" t="str" cm="1">
        <f t="array" ref="S415">IF(Teams[[#This Row],[relevant]], _xlfn.TEXTJOIN(", ", TRUE, _xlfn._xlws.FILTER(Stats[competition]&amp;" ("&amp;Stats[season]&amp;")",(Stats[team]=Teams[[#This Row],[name]])*(Stats[result]="Winner"),"")), "")</f>
        <v/>
      </c>
    </row>
    <row r="416" spans="1:19" ht="13" hidden="1">
      <c r="A416" s="1" t="s">
        <v>252</v>
      </c>
      <c r="B416" s="1" t="s">
        <v>252</v>
      </c>
      <c r="C416" s="1" t="s">
        <v>459</v>
      </c>
      <c r="D416" s="1" t="str">
        <f>UPPER(_xlfn.CONCAT(LEFT(Teams[[#This Row],[teamType]], 1), "-", LEFT(SUBSTITUTE(Teams[[#This Row],[nation]], "/", ""), 3), "-", SUBSTITUTE(SUBSTITUTE(SUBSTITUTE(Teams[[#This Row],[name]], ".", ""), " ", ""), "-", "")))</f>
        <v>N-MEX-MEXICO</v>
      </c>
      <c r="E416" s="16"/>
      <c r="F416" s="16"/>
      <c r="G416" s="1" t="b">
        <f>COUNTBLANK(Teams[[#This Row],[startDate]:[endDate]]) &lt; 2</f>
        <v>0</v>
      </c>
      <c r="H416" s="1" t="str">
        <f>IF(Teams[[#This Row],[relevant]], COUNTIFS(Fixtures[userTeam], Teams[[#This Row],[name]], Fixtures[APP], TRUE), "")</f>
        <v/>
      </c>
      <c r="I416" s="1" t="str">
        <f>IF(Teams[[#This Row],[relevant]], COUNTIFS(Fixtures[userTeam], Teams[[#This Row],[name]], Fixtures[result], "W", Fixtures[APP], TRUE), "")</f>
        <v/>
      </c>
      <c r="J416" s="1" t="str">
        <f>IF(Teams[[#This Row],[relevant]], COUNTIFS(Fixtures[userTeam], Teams[[#This Row],[name]], Fixtures[result], "D", Fixtures[APP], TRUE), "")</f>
        <v/>
      </c>
      <c r="K416" s="1" t="str">
        <f>IF(Teams[[#This Row],[relevant]], COUNTIFS(Fixtures[userTeam], Teams[[#This Row],[name]], Fixtures[result], "L", Fixtures[APP], TRUE), "")</f>
        <v/>
      </c>
      <c r="L416" s="1" t="str">
        <f>IF(Teams[[#This Row],[relevant]], SUMIFS(Fixtures[G], Fixtures[userTeam], Teams[[#This Row],[name]]), "")</f>
        <v/>
      </c>
      <c r="M416" s="1" t="str">
        <f>IF(Teams[[#This Row],[relevant]], SUMIFS(Fixtures[A], Fixtures[userTeam], Teams[[#This Row],[name]]), "")</f>
        <v/>
      </c>
      <c r="N416" s="1" t="str">
        <f>IF(Teams[[#This Row],[relevant]], SUMIFS(Fixtures[INV], Fixtures[userTeam], Teams[[#This Row],[name]]), "")</f>
        <v/>
      </c>
      <c r="O416" s="1" t="str">
        <f>IF(Teams[[#This Row],[relevant]], SUMIFS(Fixtures[YC], Fixtures[userTeam], Teams[[#This Row],[name]]), "")</f>
        <v/>
      </c>
      <c r="P416" s="1" t="str">
        <f>IF(Teams[[#This Row],[relevant]], SUMIFS(Fixtures[RC], Fixtures[userTeam], Teams[[#This Row],[name]]), "")</f>
        <v/>
      </c>
      <c r="Q416" s="13" t="str">
        <f>IF(Teams[[#This Row],[relevant]], IF(ISERROR(AVERAGEIFS(Fixtures[MR], Fixtures[userTeam], Teams[[#This Row],[name]])), 0, AVERAGEIFS(Fixtures[MR], Fixtures[userTeam], Teams[[#This Row],[name]])), "")</f>
        <v/>
      </c>
      <c r="R416" s="1" t="str">
        <f>IF(Teams[[#This Row],[relevant]], COUNTIFS(Fixtures[userTeam], Teams[[#This Row],[name]], Fixtures[MOTM], TRUE), "")</f>
        <v/>
      </c>
      <c r="S416" s="1" t="str" cm="1">
        <f t="array" ref="S416">IF(Teams[[#This Row],[relevant]], _xlfn.TEXTJOIN(", ", TRUE, _xlfn._xlws.FILTER(Stats[competition]&amp;" ("&amp;Stats[season]&amp;")",(Stats[team]=Teams[[#This Row],[name]])*(Stats[result]="Winner"),"")), "")</f>
        <v/>
      </c>
    </row>
    <row r="417" spans="1:19" ht="13" hidden="1">
      <c r="A417" s="1" t="s">
        <v>276</v>
      </c>
      <c r="B417" s="1" t="s">
        <v>337</v>
      </c>
      <c r="C417" s="1" t="s">
        <v>391</v>
      </c>
      <c r="D417" s="1" t="str">
        <f>UPPER(_xlfn.CONCAT(LEFT(Teams[[#This Row],[teamType]], 1), "-", LEFT(SUBSTITUTE(Teams[[#This Row],[nation]], "/", ""), 3), "-", SUBSTITUTE(SUBSTITUTE(SUBSTITUTE(Teams[[#This Row],[name]], ".", ""), " ", ""), "-", "")))</f>
        <v>C-GER-M'GLADBACH</v>
      </c>
      <c r="E417" s="16"/>
      <c r="F417" s="16"/>
      <c r="G417" s="1" t="b">
        <f>COUNTBLANK(Teams[[#This Row],[startDate]:[endDate]]) &lt; 2</f>
        <v>0</v>
      </c>
      <c r="H417" s="1" t="str">
        <f>IF(Teams[[#This Row],[relevant]], COUNTIFS(Fixtures[userTeam], Teams[[#This Row],[name]], Fixtures[APP], TRUE), "")</f>
        <v/>
      </c>
      <c r="I417" s="1" t="str">
        <f>IF(Teams[[#This Row],[relevant]], COUNTIFS(Fixtures[userTeam], Teams[[#This Row],[name]], Fixtures[result], "W", Fixtures[APP], TRUE), "")</f>
        <v/>
      </c>
      <c r="J417" s="1" t="str">
        <f>IF(Teams[[#This Row],[relevant]], COUNTIFS(Fixtures[userTeam], Teams[[#This Row],[name]], Fixtures[result], "D", Fixtures[APP], TRUE), "")</f>
        <v/>
      </c>
      <c r="K417" s="1" t="str">
        <f>IF(Teams[[#This Row],[relevant]], COUNTIFS(Fixtures[userTeam], Teams[[#This Row],[name]], Fixtures[result], "L", Fixtures[APP], TRUE), "")</f>
        <v/>
      </c>
      <c r="L417" s="1" t="str">
        <f>IF(Teams[[#This Row],[relevant]], SUMIFS(Fixtures[G], Fixtures[userTeam], Teams[[#This Row],[name]]), "")</f>
        <v/>
      </c>
      <c r="M417" s="1" t="str">
        <f>IF(Teams[[#This Row],[relevant]], SUMIFS(Fixtures[A], Fixtures[userTeam], Teams[[#This Row],[name]]), "")</f>
        <v/>
      </c>
      <c r="N417" s="1" t="str">
        <f>IF(Teams[[#This Row],[relevant]], SUMIFS(Fixtures[INV], Fixtures[userTeam], Teams[[#This Row],[name]]), "")</f>
        <v/>
      </c>
      <c r="O417" s="1" t="str">
        <f>IF(Teams[[#This Row],[relevant]], SUMIFS(Fixtures[YC], Fixtures[userTeam], Teams[[#This Row],[name]]), "")</f>
        <v/>
      </c>
      <c r="P417" s="1" t="str">
        <f>IF(Teams[[#This Row],[relevant]], SUMIFS(Fixtures[RC], Fixtures[userTeam], Teams[[#This Row],[name]]), "")</f>
        <v/>
      </c>
      <c r="Q417" s="13" t="str">
        <f>IF(Teams[[#This Row],[relevant]], IF(ISERROR(AVERAGEIFS(Fixtures[MR], Fixtures[userTeam], Teams[[#This Row],[name]])), 0, AVERAGEIFS(Fixtures[MR], Fixtures[userTeam], Teams[[#This Row],[name]])), "")</f>
        <v/>
      </c>
      <c r="R417" s="1" t="str">
        <f>IF(Teams[[#This Row],[relevant]], COUNTIFS(Fixtures[userTeam], Teams[[#This Row],[name]], Fixtures[MOTM], TRUE), "")</f>
        <v/>
      </c>
      <c r="S417" s="1" t="str" cm="1">
        <f t="array" ref="S417">IF(Teams[[#This Row],[relevant]], _xlfn.TEXTJOIN(", ", TRUE, _xlfn._xlws.FILTER(Stats[competition]&amp;" ("&amp;Stats[season]&amp;")",(Stats[team]=Teams[[#This Row],[name]])*(Stats[result]="Winner"),"")), "")</f>
        <v/>
      </c>
    </row>
    <row r="418" spans="1:19" ht="13" hidden="1">
      <c r="A418" s="1" t="s">
        <v>222</v>
      </c>
      <c r="B418" s="1" t="s">
        <v>152</v>
      </c>
      <c r="C418" s="1" t="s">
        <v>391</v>
      </c>
      <c r="D418" s="1" t="str">
        <f>UPPER(_xlfn.CONCAT(LEFT(Teams[[#This Row],[teamType]], 1), "-", LEFT(SUBSTITUTE(Teams[[#This Row],[nation]], "/", ""), 3), "-", SUBSTITUTE(SUBSTITUTE(SUBSTITUTE(Teams[[#This Row],[name]], ".", ""), " ", ""), "-", "")))</f>
        <v>C-ENG-MIDDLESBROUGH</v>
      </c>
      <c r="E418" s="16"/>
      <c r="F418" s="16"/>
      <c r="G418" s="1" t="b">
        <f>COUNTBLANK(Teams[[#This Row],[startDate]:[endDate]]) &lt; 2</f>
        <v>0</v>
      </c>
      <c r="H418" s="1" t="str">
        <f>IF(Teams[[#This Row],[relevant]], COUNTIFS(Fixtures[userTeam], Teams[[#This Row],[name]], Fixtures[APP], TRUE), "")</f>
        <v/>
      </c>
      <c r="I418" s="1" t="str">
        <f>IF(Teams[[#This Row],[relevant]], COUNTIFS(Fixtures[userTeam], Teams[[#This Row],[name]], Fixtures[result], "W", Fixtures[APP], TRUE), "")</f>
        <v/>
      </c>
      <c r="J418" s="1" t="str">
        <f>IF(Teams[[#This Row],[relevant]], COUNTIFS(Fixtures[userTeam], Teams[[#This Row],[name]], Fixtures[result], "D", Fixtures[APP], TRUE), "")</f>
        <v/>
      </c>
      <c r="K418" s="1" t="str">
        <f>IF(Teams[[#This Row],[relevant]], COUNTIFS(Fixtures[userTeam], Teams[[#This Row],[name]], Fixtures[result], "L", Fixtures[APP], TRUE), "")</f>
        <v/>
      </c>
      <c r="L418" s="1" t="str">
        <f>IF(Teams[[#This Row],[relevant]], SUMIFS(Fixtures[G], Fixtures[userTeam], Teams[[#This Row],[name]]), "")</f>
        <v/>
      </c>
      <c r="M418" s="1" t="str">
        <f>IF(Teams[[#This Row],[relevant]], SUMIFS(Fixtures[A], Fixtures[userTeam], Teams[[#This Row],[name]]), "")</f>
        <v/>
      </c>
      <c r="N418" s="1" t="str">
        <f>IF(Teams[[#This Row],[relevant]], SUMIFS(Fixtures[INV], Fixtures[userTeam], Teams[[#This Row],[name]]), "")</f>
        <v/>
      </c>
      <c r="O418" s="1" t="str">
        <f>IF(Teams[[#This Row],[relevant]], SUMIFS(Fixtures[YC], Fixtures[userTeam], Teams[[#This Row],[name]]), "")</f>
        <v/>
      </c>
      <c r="P418" s="1" t="str">
        <f>IF(Teams[[#This Row],[relevant]], SUMIFS(Fixtures[RC], Fixtures[userTeam], Teams[[#This Row],[name]]), "")</f>
        <v/>
      </c>
      <c r="Q418" s="13" t="str">
        <f>IF(Teams[[#This Row],[relevant]], IF(ISERROR(AVERAGEIFS(Fixtures[MR], Fixtures[userTeam], Teams[[#This Row],[name]])), 0, AVERAGEIFS(Fixtures[MR], Fixtures[userTeam], Teams[[#This Row],[name]])), "")</f>
        <v/>
      </c>
      <c r="R418" s="1" t="str">
        <f>IF(Teams[[#This Row],[relevant]], COUNTIFS(Fixtures[userTeam], Teams[[#This Row],[name]], Fixtures[MOTM], TRUE), "")</f>
        <v/>
      </c>
      <c r="S418" s="1" t="str" cm="1">
        <f t="array" ref="S418">IF(Teams[[#This Row],[relevant]], _xlfn.TEXTJOIN(", ", TRUE, _xlfn._xlws.FILTER(Stats[competition]&amp;" ("&amp;Stats[season]&amp;")",(Stats[team]=Teams[[#This Row],[name]])*(Stats[result]="Winner"),"")), "")</f>
        <v/>
      </c>
    </row>
    <row r="419" spans="1:19" ht="13" hidden="1">
      <c r="A419" s="1" t="s">
        <v>774</v>
      </c>
      <c r="B419" s="1" t="s">
        <v>213</v>
      </c>
      <c r="C419" s="1" t="s">
        <v>391</v>
      </c>
      <c r="D419" s="1" t="str">
        <f>UPPER(_xlfn.CONCAT(LEFT(Teams[[#This Row],[teamType]], 1), "-", LEFT(SUBSTITUTE(Teams[[#This Row],[nation]], "/", ""), 3), "-", SUBSTITUTE(SUBSTITUTE(SUBSTITUTE(Teams[[#This Row],[name]], ".", ""), " ", ""), "-", "")))</f>
        <v>C-POL-MIEDŹLEGNICA</v>
      </c>
      <c r="E419" s="16"/>
      <c r="F419" s="16"/>
      <c r="G419" s="1" t="b">
        <f>COUNTBLANK(Teams[[#This Row],[startDate]:[endDate]]) &lt; 2</f>
        <v>0</v>
      </c>
      <c r="H419" s="1" t="str">
        <f>IF(Teams[[#This Row],[relevant]], COUNTIFS(Fixtures[userTeam], Teams[[#This Row],[name]], Fixtures[APP], TRUE), "")</f>
        <v/>
      </c>
      <c r="I419" s="1" t="str">
        <f>IF(Teams[[#This Row],[relevant]], COUNTIFS(Fixtures[userTeam], Teams[[#This Row],[name]], Fixtures[result], "W", Fixtures[APP], TRUE), "")</f>
        <v/>
      </c>
      <c r="J419" s="1" t="str">
        <f>IF(Teams[[#This Row],[relevant]], COUNTIFS(Fixtures[userTeam], Teams[[#This Row],[name]], Fixtures[result], "D", Fixtures[APP], TRUE), "")</f>
        <v/>
      </c>
      <c r="K419" s="1" t="str">
        <f>IF(Teams[[#This Row],[relevant]], COUNTIFS(Fixtures[userTeam], Teams[[#This Row],[name]], Fixtures[result], "L", Fixtures[APP], TRUE), "")</f>
        <v/>
      </c>
      <c r="L419" s="1" t="str">
        <f>IF(Teams[[#This Row],[relevant]], SUMIFS(Fixtures[G], Fixtures[userTeam], Teams[[#This Row],[name]]), "")</f>
        <v/>
      </c>
      <c r="M419" s="1" t="str">
        <f>IF(Teams[[#This Row],[relevant]], SUMIFS(Fixtures[A], Fixtures[userTeam], Teams[[#This Row],[name]]), "")</f>
        <v/>
      </c>
      <c r="N419" s="1" t="str">
        <f>IF(Teams[[#This Row],[relevant]], SUMIFS(Fixtures[INV], Fixtures[userTeam], Teams[[#This Row],[name]]), "")</f>
        <v/>
      </c>
      <c r="O419" s="1" t="str">
        <f>IF(Teams[[#This Row],[relevant]], SUMIFS(Fixtures[YC], Fixtures[userTeam], Teams[[#This Row],[name]]), "")</f>
        <v/>
      </c>
      <c r="P419" s="1" t="str">
        <f>IF(Teams[[#This Row],[relevant]], SUMIFS(Fixtures[RC], Fixtures[userTeam], Teams[[#This Row],[name]]), "")</f>
        <v/>
      </c>
      <c r="Q419" s="13" t="str">
        <f>IF(Teams[[#This Row],[relevant]], IF(ISERROR(AVERAGEIFS(Fixtures[MR], Fixtures[userTeam], Teams[[#This Row],[name]])), 0, AVERAGEIFS(Fixtures[MR], Fixtures[userTeam], Teams[[#This Row],[name]])), "")</f>
        <v/>
      </c>
      <c r="R419" s="1" t="str">
        <f>IF(Teams[[#This Row],[relevant]], COUNTIFS(Fixtures[userTeam], Teams[[#This Row],[name]], Fixtures[MOTM], TRUE), "")</f>
        <v/>
      </c>
      <c r="S419" s="1" t="str" cm="1">
        <f t="array" ref="S419">IF(Teams[[#This Row],[relevant]], _xlfn.TEXTJOIN(", ", TRUE, _xlfn._xlws.FILTER(Stats[competition]&amp;" ("&amp;Stats[season]&amp;")",(Stats[team]=Teams[[#This Row],[name]])*(Stats[result]="Winner"),"")), "")</f>
        <v/>
      </c>
    </row>
    <row r="420" spans="1:19" ht="13" hidden="1">
      <c r="A420" s="1" t="s">
        <v>775</v>
      </c>
      <c r="B420" s="1" t="s">
        <v>254</v>
      </c>
      <c r="C420" s="1" t="s">
        <v>391</v>
      </c>
      <c r="D420" s="1" t="str">
        <f>UPPER(_xlfn.CONCAT(LEFT(Teams[[#This Row],[teamType]], 1), "-", LEFT(SUBSTITUTE(Teams[[#This Row],[nation]], "/", ""), 3), "-", SUBSTITUTE(SUBSTITUTE(SUBSTITUTE(Teams[[#This Row],[name]], ".", ""), " ", ""), "-", "")))</f>
        <v>C-ITA-MILAN</v>
      </c>
      <c r="E420" s="16"/>
      <c r="F420" s="16"/>
      <c r="G420" s="1" t="b">
        <f>COUNTBLANK(Teams[[#This Row],[startDate]:[endDate]]) &lt; 2</f>
        <v>0</v>
      </c>
      <c r="H420" s="1" t="str">
        <f>IF(Teams[[#This Row],[relevant]], COUNTIFS(Fixtures[userTeam], Teams[[#This Row],[name]], Fixtures[APP], TRUE), "")</f>
        <v/>
      </c>
      <c r="I420" s="1" t="str">
        <f>IF(Teams[[#This Row],[relevant]], COUNTIFS(Fixtures[userTeam], Teams[[#This Row],[name]], Fixtures[result], "W", Fixtures[APP], TRUE), "")</f>
        <v/>
      </c>
      <c r="J420" s="1" t="str">
        <f>IF(Teams[[#This Row],[relevant]], COUNTIFS(Fixtures[userTeam], Teams[[#This Row],[name]], Fixtures[result], "D", Fixtures[APP], TRUE), "")</f>
        <v/>
      </c>
      <c r="K420" s="1" t="str">
        <f>IF(Teams[[#This Row],[relevant]], COUNTIFS(Fixtures[userTeam], Teams[[#This Row],[name]], Fixtures[result], "L", Fixtures[APP], TRUE), "")</f>
        <v/>
      </c>
      <c r="L420" s="1" t="str">
        <f>IF(Teams[[#This Row],[relevant]], SUMIFS(Fixtures[G], Fixtures[userTeam], Teams[[#This Row],[name]]), "")</f>
        <v/>
      </c>
      <c r="M420" s="1" t="str">
        <f>IF(Teams[[#This Row],[relevant]], SUMIFS(Fixtures[A], Fixtures[userTeam], Teams[[#This Row],[name]]), "")</f>
        <v/>
      </c>
      <c r="N420" s="1" t="str">
        <f>IF(Teams[[#This Row],[relevant]], SUMIFS(Fixtures[INV], Fixtures[userTeam], Teams[[#This Row],[name]]), "")</f>
        <v/>
      </c>
      <c r="O420" s="1" t="str">
        <f>IF(Teams[[#This Row],[relevant]], SUMIFS(Fixtures[YC], Fixtures[userTeam], Teams[[#This Row],[name]]), "")</f>
        <v/>
      </c>
      <c r="P420" s="1" t="str">
        <f>IF(Teams[[#This Row],[relevant]], SUMIFS(Fixtures[RC], Fixtures[userTeam], Teams[[#This Row],[name]]), "")</f>
        <v/>
      </c>
      <c r="Q420" s="13" t="str">
        <f>IF(Teams[[#This Row],[relevant]], IF(ISERROR(AVERAGEIFS(Fixtures[MR], Fixtures[userTeam], Teams[[#This Row],[name]])), 0, AVERAGEIFS(Fixtures[MR], Fixtures[userTeam], Teams[[#This Row],[name]])), "")</f>
        <v/>
      </c>
      <c r="R420" s="1" t="str">
        <f>IF(Teams[[#This Row],[relevant]], COUNTIFS(Fixtures[userTeam], Teams[[#This Row],[name]], Fixtures[MOTM], TRUE), "")</f>
        <v/>
      </c>
      <c r="S420" s="1" t="str" cm="1">
        <f t="array" ref="S420">IF(Teams[[#This Row],[relevant]], _xlfn.TEXTJOIN(", ", TRUE, _xlfn._xlws.FILTER(Stats[competition]&amp;" ("&amp;Stats[season]&amp;")",(Stats[team]=Teams[[#This Row],[name]])*(Stats[result]="Winner"),"")), "")</f>
        <v/>
      </c>
    </row>
    <row r="421" spans="1:19" ht="13" hidden="1">
      <c r="A421" s="1" t="s">
        <v>235</v>
      </c>
      <c r="B421" s="1" t="s">
        <v>152</v>
      </c>
      <c r="C421" s="1" t="s">
        <v>391</v>
      </c>
      <c r="D421" s="1" t="str">
        <f>UPPER(_xlfn.CONCAT(LEFT(Teams[[#This Row],[teamType]], 1), "-", LEFT(SUBSTITUTE(Teams[[#This Row],[nation]], "/", ""), 3), "-", SUBSTITUTE(SUBSTITUTE(SUBSTITUTE(Teams[[#This Row],[name]], ".", ""), " ", ""), "-", "")))</f>
        <v>C-ENG-MILLWALL</v>
      </c>
      <c r="E421" s="16"/>
      <c r="F421" s="16"/>
      <c r="G421" s="1" t="b">
        <f>COUNTBLANK(Teams[[#This Row],[startDate]:[endDate]]) &lt; 2</f>
        <v>0</v>
      </c>
      <c r="H421" s="1" t="str">
        <f>IF(Teams[[#This Row],[relevant]], COUNTIFS(Fixtures[userTeam], Teams[[#This Row],[name]], Fixtures[APP], TRUE), "")</f>
        <v/>
      </c>
      <c r="I421" s="1" t="str">
        <f>IF(Teams[[#This Row],[relevant]], COUNTIFS(Fixtures[userTeam], Teams[[#This Row],[name]], Fixtures[result], "W", Fixtures[APP], TRUE), "")</f>
        <v/>
      </c>
      <c r="J421" s="1" t="str">
        <f>IF(Teams[[#This Row],[relevant]], COUNTIFS(Fixtures[userTeam], Teams[[#This Row],[name]], Fixtures[result], "D", Fixtures[APP], TRUE), "")</f>
        <v/>
      </c>
      <c r="K421" s="1" t="str">
        <f>IF(Teams[[#This Row],[relevant]], COUNTIFS(Fixtures[userTeam], Teams[[#This Row],[name]], Fixtures[result], "L", Fixtures[APP], TRUE), "")</f>
        <v/>
      </c>
      <c r="L421" s="1" t="str">
        <f>IF(Teams[[#This Row],[relevant]], SUMIFS(Fixtures[G], Fixtures[userTeam], Teams[[#This Row],[name]]), "")</f>
        <v/>
      </c>
      <c r="M421" s="1" t="str">
        <f>IF(Teams[[#This Row],[relevant]], SUMIFS(Fixtures[A], Fixtures[userTeam], Teams[[#This Row],[name]]), "")</f>
        <v/>
      </c>
      <c r="N421" s="1" t="str">
        <f>IF(Teams[[#This Row],[relevant]], SUMIFS(Fixtures[INV], Fixtures[userTeam], Teams[[#This Row],[name]]), "")</f>
        <v/>
      </c>
      <c r="O421" s="1" t="str">
        <f>IF(Teams[[#This Row],[relevant]], SUMIFS(Fixtures[YC], Fixtures[userTeam], Teams[[#This Row],[name]]), "")</f>
        <v/>
      </c>
      <c r="P421" s="1" t="str">
        <f>IF(Teams[[#This Row],[relevant]], SUMIFS(Fixtures[RC], Fixtures[userTeam], Teams[[#This Row],[name]]), "")</f>
        <v/>
      </c>
      <c r="Q421" s="13" t="str">
        <f>IF(Teams[[#This Row],[relevant]], IF(ISERROR(AVERAGEIFS(Fixtures[MR], Fixtures[userTeam], Teams[[#This Row],[name]])), 0, AVERAGEIFS(Fixtures[MR], Fixtures[userTeam], Teams[[#This Row],[name]])), "")</f>
        <v/>
      </c>
      <c r="R421" s="1" t="str">
        <f>IF(Teams[[#This Row],[relevant]], COUNTIFS(Fixtures[userTeam], Teams[[#This Row],[name]], Fixtures[MOTM], TRUE), "")</f>
        <v/>
      </c>
      <c r="S421" s="1" t="str" cm="1">
        <f t="array" ref="S421">IF(Teams[[#This Row],[relevant]], _xlfn.TEXTJOIN(", ", TRUE, _xlfn._xlws.FILTER(Stats[competition]&amp;" ("&amp;Stats[season]&amp;")",(Stats[team]=Teams[[#This Row],[name]])*(Stats[result]="Winner"),"")), "")</f>
        <v/>
      </c>
    </row>
    <row r="422" spans="1:19" ht="13" hidden="1">
      <c r="A422" s="1" t="s">
        <v>776</v>
      </c>
      <c r="B422" s="1" t="s">
        <v>16</v>
      </c>
      <c r="C422" s="1" t="s">
        <v>391</v>
      </c>
      <c r="D422" s="1" t="str">
        <f>UPPER(_xlfn.CONCAT(LEFT(Teams[[#This Row],[teamType]], 1), "-", LEFT(SUBSTITUTE(Teams[[#This Row],[nation]], "/", ""), 3), "-", SUBSTITUTE(SUBSTITUTE(SUBSTITUTE(Teams[[#This Row],[name]], ".", ""), " ", ""), "-", "")))</f>
        <v>C-UNI-MINNESOTAUNITED</v>
      </c>
      <c r="E422" s="16"/>
      <c r="F422" s="16"/>
      <c r="G422" s="1" t="b">
        <f>COUNTBLANK(Teams[[#This Row],[startDate]:[endDate]]) &lt; 2</f>
        <v>0</v>
      </c>
      <c r="H422" s="1" t="str">
        <f>IF(Teams[[#This Row],[relevant]], COUNTIFS(Fixtures[userTeam], Teams[[#This Row],[name]], Fixtures[APP], TRUE), "")</f>
        <v/>
      </c>
      <c r="I422" s="1" t="str">
        <f>IF(Teams[[#This Row],[relevant]], COUNTIFS(Fixtures[userTeam], Teams[[#This Row],[name]], Fixtures[result], "W", Fixtures[APP], TRUE), "")</f>
        <v/>
      </c>
      <c r="J422" s="1" t="str">
        <f>IF(Teams[[#This Row],[relevant]], COUNTIFS(Fixtures[userTeam], Teams[[#This Row],[name]], Fixtures[result], "D", Fixtures[APP], TRUE), "")</f>
        <v/>
      </c>
      <c r="K422" s="1" t="str">
        <f>IF(Teams[[#This Row],[relevant]], COUNTIFS(Fixtures[userTeam], Teams[[#This Row],[name]], Fixtures[result], "L", Fixtures[APP], TRUE), "")</f>
        <v/>
      </c>
      <c r="L422" s="1" t="str">
        <f>IF(Teams[[#This Row],[relevant]], SUMIFS(Fixtures[G], Fixtures[userTeam], Teams[[#This Row],[name]]), "")</f>
        <v/>
      </c>
      <c r="M422" s="1" t="str">
        <f>IF(Teams[[#This Row],[relevant]], SUMIFS(Fixtures[A], Fixtures[userTeam], Teams[[#This Row],[name]]), "")</f>
        <v/>
      </c>
      <c r="N422" s="1" t="str">
        <f>IF(Teams[[#This Row],[relevant]], SUMIFS(Fixtures[INV], Fixtures[userTeam], Teams[[#This Row],[name]]), "")</f>
        <v/>
      </c>
      <c r="O422" s="1" t="str">
        <f>IF(Teams[[#This Row],[relevant]], SUMIFS(Fixtures[YC], Fixtures[userTeam], Teams[[#This Row],[name]]), "")</f>
        <v/>
      </c>
      <c r="P422" s="1" t="str">
        <f>IF(Teams[[#This Row],[relevant]], SUMIFS(Fixtures[RC], Fixtures[userTeam], Teams[[#This Row],[name]]), "")</f>
        <v/>
      </c>
      <c r="Q422" s="13" t="str">
        <f>IF(Teams[[#This Row],[relevant]], IF(ISERROR(AVERAGEIFS(Fixtures[MR], Fixtures[userTeam], Teams[[#This Row],[name]])), 0, AVERAGEIFS(Fixtures[MR], Fixtures[userTeam], Teams[[#This Row],[name]])), "")</f>
        <v/>
      </c>
      <c r="R422" s="1" t="str">
        <f>IF(Teams[[#This Row],[relevant]], COUNTIFS(Fixtures[userTeam], Teams[[#This Row],[name]], Fixtures[MOTM], TRUE), "")</f>
        <v/>
      </c>
      <c r="S422" s="1" t="str" cm="1">
        <f t="array" ref="S422">IF(Teams[[#This Row],[relevant]], _xlfn.TEXTJOIN(", ", TRUE, _xlfn._xlws.FILTER(Stats[competition]&amp;" ("&amp;Stats[season]&amp;")",(Stats[team]=Teams[[#This Row],[name]])*(Stats[result]="Winner"),"")), "")</f>
        <v/>
      </c>
    </row>
    <row r="423" spans="1:19" ht="13" hidden="1">
      <c r="A423" s="1" t="s">
        <v>777</v>
      </c>
      <c r="B423" s="1" t="s">
        <v>284</v>
      </c>
      <c r="C423" s="1" t="s">
        <v>391</v>
      </c>
      <c r="D423" s="1" t="str">
        <f>UPPER(_xlfn.CONCAT(LEFT(Teams[[#This Row],[teamType]], 1), "-", LEFT(SUBSTITUTE(Teams[[#This Row],[nation]], "/", ""), 3), "-", SUBSTITUTE(SUBSTITUTE(SUBSTITUTE(Teams[[#This Row],[name]], ".", ""), " ", ""), "-", "")))</f>
        <v>C-SWE-MJÄLLBYAIF</v>
      </c>
      <c r="E423" s="16"/>
      <c r="F423" s="16"/>
      <c r="G423" s="1" t="b">
        <f>COUNTBLANK(Teams[[#This Row],[startDate]:[endDate]]) &lt; 2</f>
        <v>0</v>
      </c>
      <c r="H423" s="1" t="str">
        <f>IF(Teams[[#This Row],[relevant]], COUNTIFS(Fixtures[userTeam], Teams[[#This Row],[name]], Fixtures[APP], TRUE), "")</f>
        <v/>
      </c>
      <c r="I423" s="1" t="str">
        <f>IF(Teams[[#This Row],[relevant]], COUNTIFS(Fixtures[userTeam], Teams[[#This Row],[name]], Fixtures[result], "W", Fixtures[APP], TRUE), "")</f>
        <v/>
      </c>
      <c r="J423" s="1" t="str">
        <f>IF(Teams[[#This Row],[relevant]], COUNTIFS(Fixtures[userTeam], Teams[[#This Row],[name]], Fixtures[result], "D", Fixtures[APP], TRUE), "")</f>
        <v/>
      </c>
      <c r="K423" s="1" t="str">
        <f>IF(Teams[[#This Row],[relevant]], COUNTIFS(Fixtures[userTeam], Teams[[#This Row],[name]], Fixtures[result], "L", Fixtures[APP], TRUE), "")</f>
        <v/>
      </c>
      <c r="L423" s="1" t="str">
        <f>IF(Teams[[#This Row],[relevant]], SUMIFS(Fixtures[G], Fixtures[userTeam], Teams[[#This Row],[name]]), "")</f>
        <v/>
      </c>
      <c r="M423" s="1" t="str">
        <f>IF(Teams[[#This Row],[relevant]], SUMIFS(Fixtures[A], Fixtures[userTeam], Teams[[#This Row],[name]]), "")</f>
        <v/>
      </c>
      <c r="N423" s="1" t="str">
        <f>IF(Teams[[#This Row],[relevant]], SUMIFS(Fixtures[INV], Fixtures[userTeam], Teams[[#This Row],[name]]), "")</f>
        <v/>
      </c>
      <c r="O423" s="1" t="str">
        <f>IF(Teams[[#This Row],[relevant]], SUMIFS(Fixtures[YC], Fixtures[userTeam], Teams[[#This Row],[name]]), "")</f>
        <v/>
      </c>
      <c r="P423" s="1" t="str">
        <f>IF(Teams[[#This Row],[relevant]], SUMIFS(Fixtures[RC], Fixtures[userTeam], Teams[[#This Row],[name]]), "")</f>
        <v/>
      </c>
      <c r="Q423" s="13" t="str">
        <f>IF(Teams[[#This Row],[relevant]], IF(ISERROR(AVERAGEIFS(Fixtures[MR], Fixtures[userTeam], Teams[[#This Row],[name]])), 0, AVERAGEIFS(Fixtures[MR], Fixtures[userTeam], Teams[[#This Row],[name]])), "")</f>
        <v/>
      </c>
      <c r="R423" s="1" t="str">
        <f>IF(Teams[[#This Row],[relevant]], COUNTIFS(Fixtures[userTeam], Teams[[#This Row],[name]], Fixtures[MOTM], TRUE), "")</f>
        <v/>
      </c>
      <c r="S423" s="1" t="str" cm="1">
        <f t="array" ref="S423">IF(Teams[[#This Row],[relevant]], _xlfn.TEXTJOIN(", ", TRUE, _xlfn._xlws.FILTER(Stats[competition]&amp;" ("&amp;Stats[season]&amp;")",(Stats[team]=Teams[[#This Row],[name]])*(Stats[result]="Winner"),"")), "")</f>
        <v/>
      </c>
    </row>
    <row r="424" spans="1:19" ht="13" hidden="1">
      <c r="A424" s="1" t="s">
        <v>778</v>
      </c>
      <c r="B424" s="1" t="s">
        <v>152</v>
      </c>
      <c r="C424" s="1" t="s">
        <v>391</v>
      </c>
      <c r="D424" s="1" t="str">
        <f>UPPER(_xlfn.CONCAT(LEFT(Teams[[#This Row],[teamType]], 1), "-", LEFT(SUBSTITUTE(Teams[[#This Row],[nation]], "/", ""), 3), "-", SUBSTITUTE(SUBSTITUTE(SUBSTITUTE(Teams[[#This Row],[name]], ".", ""), " ", ""), "-", "")))</f>
        <v>C-ENG-MKDONS</v>
      </c>
      <c r="E424" s="16"/>
      <c r="F424" s="16"/>
      <c r="G424" s="1" t="b">
        <f>COUNTBLANK(Teams[[#This Row],[startDate]:[endDate]]) &lt; 2</f>
        <v>0</v>
      </c>
      <c r="H424" s="1" t="str">
        <f>IF(Teams[[#This Row],[relevant]], COUNTIFS(Fixtures[userTeam], Teams[[#This Row],[name]], Fixtures[APP], TRUE), "")</f>
        <v/>
      </c>
      <c r="I424" s="1" t="str">
        <f>IF(Teams[[#This Row],[relevant]], COUNTIFS(Fixtures[userTeam], Teams[[#This Row],[name]], Fixtures[result], "W", Fixtures[APP], TRUE), "")</f>
        <v/>
      </c>
      <c r="J424" s="1" t="str">
        <f>IF(Teams[[#This Row],[relevant]], COUNTIFS(Fixtures[userTeam], Teams[[#This Row],[name]], Fixtures[result], "D", Fixtures[APP], TRUE), "")</f>
        <v/>
      </c>
      <c r="K424" s="1" t="str">
        <f>IF(Teams[[#This Row],[relevant]], COUNTIFS(Fixtures[userTeam], Teams[[#This Row],[name]], Fixtures[result], "L", Fixtures[APP], TRUE), "")</f>
        <v/>
      </c>
      <c r="L424" s="1" t="str">
        <f>IF(Teams[[#This Row],[relevant]], SUMIFS(Fixtures[G], Fixtures[userTeam], Teams[[#This Row],[name]]), "")</f>
        <v/>
      </c>
      <c r="M424" s="1" t="str">
        <f>IF(Teams[[#This Row],[relevant]], SUMIFS(Fixtures[A], Fixtures[userTeam], Teams[[#This Row],[name]]), "")</f>
        <v/>
      </c>
      <c r="N424" s="1" t="str">
        <f>IF(Teams[[#This Row],[relevant]], SUMIFS(Fixtures[INV], Fixtures[userTeam], Teams[[#This Row],[name]]), "")</f>
        <v/>
      </c>
      <c r="O424" s="1" t="str">
        <f>IF(Teams[[#This Row],[relevant]], SUMIFS(Fixtures[YC], Fixtures[userTeam], Teams[[#This Row],[name]]), "")</f>
        <v/>
      </c>
      <c r="P424" s="1" t="str">
        <f>IF(Teams[[#This Row],[relevant]], SUMIFS(Fixtures[RC], Fixtures[userTeam], Teams[[#This Row],[name]]), "")</f>
        <v/>
      </c>
      <c r="Q424" s="13" t="str">
        <f>IF(Teams[[#This Row],[relevant]], IF(ISERROR(AVERAGEIFS(Fixtures[MR], Fixtures[userTeam], Teams[[#This Row],[name]])), 0, AVERAGEIFS(Fixtures[MR], Fixtures[userTeam], Teams[[#This Row],[name]])), "")</f>
        <v/>
      </c>
      <c r="R424" s="1" t="str">
        <f>IF(Teams[[#This Row],[relevant]], COUNTIFS(Fixtures[userTeam], Teams[[#This Row],[name]], Fixtures[MOTM], TRUE), "")</f>
        <v/>
      </c>
      <c r="S424" s="1" t="str" cm="1">
        <f t="array" ref="S424">IF(Teams[[#This Row],[relevant]], _xlfn.TEXTJOIN(", ", TRUE, _xlfn._xlws.FILTER(Stats[competition]&amp;" ("&amp;Stats[season]&amp;")",(Stats[team]=Teams[[#This Row],[name]])*(Stats[result]="Winner"),"")), "")</f>
        <v/>
      </c>
    </row>
    <row r="425" spans="1:19" ht="13" hidden="1">
      <c r="A425" s="1" t="s">
        <v>779</v>
      </c>
      <c r="B425" s="1" t="s">
        <v>408</v>
      </c>
      <c r="C425" s="1" t="s">
        <v>391</v>
      </c>
      <c r="D425" s="1" t="str">
        <f>UPPER(_xlfn.CONCAT(LEFT(Teams[[#This Row],[teamType]], 1), "-", LEFT(SUBSTITUTE(Teams[[#This Row],[nation]], "/", ""), 3), "-", SUBSTITUTE(SUBSTITUTE(SUBSTITUTE(Teams[[#This Row],[name]], ".", ""), " ", ""), "-", "")))</f>
        <v>C-TUR-MKEANKARAGÜCÜ</v>
      </c>
      <c r="E425" s="16"/>
      <c r="F425" s="16"/>
      <c r="G425" s="1" t="b">
        <f>COUNTBLANK(Teams[[#This Row],[startDate]:[endDate]]) &lt; 2</f>
        <v>0</v>
      </c>
      <c r="H425" s="1" t="str">
        <f>IF(Teams[[#This Row],[relevant]], COUNTIFS(Fixtures[userTeam], Teams[[#This Row],[name]], Fixtures[APP], TRUE), "")</f>
        <v/>
      </c>
      <c r="I425" s="1" t="str">
        <f>IF(Teams[[#This Row],[relevant]], COUNTIFS(Fixtures[userTeam], Teams[[#This Row],[name]], Fixtures[result], "W", Fixtures[APP], TRUE), "")</f>
        <v/>
      </c>
      <c r="J425" s="1" t="str">
        <f>IF(Teams[[#This Row],[relevant]], COUNTIFS(Fixtures[userTeam], Teams[[#This Row],[name]], Fixtures[result], "D", Fixtures[APP], TRUE), "")</f>
        <v/>
      </c>
      <c r="K425" s="1" t="str">
        <f>IF(Teams[[#This Row],[relevant]], COUNTIFS(Fixtures[userTeam], Teams[[#This Row],[name]], Fixtures[result], "L", Fixtures[APP], TRUE), "")</f>
        <v/>
      </c>
      <c r="L425" s="1" t="str">
        <f>IF(Teams[[#This Row],[relevant]], SUMIFS(Fixtures[G], Fixtures[userTeam], Teams[[#This Row],[name]]), "")</f>
        <v/>
      </c>
      <c r="M425" s="1" t="str">
        <f>IF(Teams[[#This Row],[relevant]], SUMIFS(Fixtures[A], Fixtures[userTeam], Teams[[#This Row],[name]]), "")</f>
        <v/>
      </c>
      <c r="N425" s="1" t="str">
        <f>IF(Teams[[#This Row],[relevant]], SUMIFS(Fixtures[INV], Fixtures[userTeam], Teams[[#This Row],[name]]), "")</f>
        <v/>
      </c>
      <c r="O425" s="1" t="str">
        <f>IF(Teams[[#This Row],[relevant]], SUMIFS(Fixtures[YC], Fixtures[userTeam], Teams[[#This Row],[name]]), "")</f>
        <v/>
      </c>
      <c r="P425" s="1" t="str">
        <f>IF(Teams[[#This Row],[relevant]], SUMIFS(Fixtures[RC], Fixtures[userTeam], Teams[[#This Row],[name]]), "")</f>
        <v/>
      </c>
      <c r="Q425" s="13" t="str">
        <f>IF(Teams[[#This Row],[relevant]], IF(ISERROR(AVERAGEIFS(Fixtures[MR], Fixtures[userTeam], Teams[[#This Row],[name]])), 0, AVERAGEIFS(Fixtures[MR], Fixtures[userTeam], Teams[[#This Row],[name]])), "")</f>
        <v/>
      </c>
      <c r="R425" s="1" t="str">
        <f>IF(Teams[[#This Row],[relevant]], COUNTIFS(Fixtures[userTeam], Teams[[#This Row],[name]], Fixtures[MOTM], TRUE), "")</f>
        <v/>
      </c>
      <c r="S425" s="1" t="str" cm="1">
        <f t="array" ref="S425">IF(Teams[[#This Row],[relevant]], _xlfn.TEXTJOIN(", ", TRUE, _xlfn._xlws.FILTER(Stats[competition]&amp;" ("&amp;Stats[season]&amp;")",(Stats[team]=Teams[[#This Row],[name]])*(Stats[result]="Winner"),"")), "")</f>
        <v/>
      </c>
    </row>
    <row r="426" spans="1:19" ht="13" hidden="1">
      <c r="A426" s="1" t="s">
        <v>780</v>
      </c>
      <c r="B426" s="1" t="s">
        <v>16</v>
      </c>
      <c r="C426" s="1" t="s">
        <v>412</v>
      </c>
      <c r="D426" s="1" t="str">
        <f>UPPER(_xlfn.CONCAT(LEFT(Teams[[#This Row],[teamType]], 1), "-", LEFT(SUBSTITUTE(Teams[[#This Row],[nation]], "/", ""), 3), "-", SUBSTITUTE(SUBSTITUTE(SUBSTITUTE(Teams[[#This Row],[name]], ".", ""), " ", ""), "-", "")))</f>
        <v>S-UNI-MLSALLSTARS</v>
      </c>
      <c r="E426" s="16"/>
      <c r="F426" s="16"/>
      <c r="G426" s="1" t="b">
        <f>COUNTBLANK(Teams[[#This Row],[startDate]:[endDate]]) &lt; 2</f>
        <v>0</v>
      </c>
      <c r="H426" s="1" t="str">
        <f>IF(Teams[[#This Row],[relevant]], COUNTIFS(Fixtures[userTeam], Teams[[#This Row],[name]], Fixtures[APP], TRUE), "")</f>
        <v/>
      </c>
      <c r="I426" s="1" t="str">
        <f>IF(Teams[[#This Row],[relevant]], COUNTIFS(Fixtures[userTeam], Teams[[#This Row],[name]], Fixtures[result], "W", Fixtures[APP], TRUE), "")</f>
        <v/>
      </c>
      <c r="J426" s="1" t="str">
        <f>IF(Teams[[#This Row],[relevant]], COUNTIFS(Fixtures[userTeam], Teams[[#This Row],[name]], Fixtures[result], "D", Fixtures[APP], TRUE), "")</f>
        <v/>
      </c>
      <c r="K426" s="1" t="str">
        <f>IF(Teams[[#This Row],[relevant]], COUNTIFS(Fixtures[userTeam], Teams[[#This Row],[name]], Fixtures[result], "L", Fixtures[APP], TRUE), "")</f>
        <v/>
      </c>
      <c r="L426" s="1" t="str">
        <f>IF(Teams[[#This Row],[relevant]], SUMIFS(Fixtures[G], Fixtures[userTeam], Teams[[#This Row],[name]]), "")</f>
        <v/>
      </c>
      <c r="M426" s="1" t="str">
        <f>IF(Teams[[#This Row],[relevant]], SUMIFS(Fixtures[A], Fixtures[userTeam], Teams[[#This Row],[name]]), "")</f>
        <v/>
      </c>
      <c r="N426" s="1" t="str">
        <f>IF(Teams[[#This Row],[relevant]], SUMIFS(Fixtures[INV], Fixtures[userTeam], Teams[[#This Row],[name]]), "")</f>
        <v/>
      </c>
      <c r="O426" s="1" t="str">
        <f>IF(Teams[[#This Row],[relevant]], SUMIFS(Fixtures[YC], Fixtures[userTeam], Teams[[#This Row],[name]]), "")</f>
        <v/>
      </c>
      <c r="P426" s="1" t="str">
        <f>IF(Teams[[#This Row],[relevant]], SUMIFS(Fixtures[RC], Fixtures[userTeam], Teams[[#This Row],[name]]), "")</f>
        <v/>
      </c>
      <c r="Q426" s="13" t="str">
        <f>IF(Teams[[#This Row],[relevant]], IF(ISERROR(AVERAGEIFS(Fixtures[MR], Fixtures[userTeam], Teams[[#This Row],[name]])), 0, AVERAGEIFS(Fixtures[MR], Fixtures[userTeam], Teams[[#This Row],[name]])), "")</f>
        <v/>
      </c>
      <c r="R426" s="1" t="str">
        <f>IF(Teams[[#This Row],[relevant]], COUNTIFS(Fixtures[userTeam], Teams[[#This Row],[name]], Fixtures[MOTM], TRUE), "")</f>
        <v/>
      </c>
      <c r="S426" s="1" t="str" cm="1">
        <f t="array" ref="S426">IF(Teams[[#This Row],[relevant]], _xlfn.TEXTJOIN(", ", TRUE, _xlfn._xlws.FILTER(Stats[competition]&amp;" ("&amp;Stats[season]&amp;")",(Stats[team]=Teams[[#This Row],[name]])*(Stats[result]="Winner"),"")), "")</f>
        <v/>
      </c>
    </row>
    <row r="427" spans="1:19" ht="13" hidden="1">
      <c r="A427" s="1" t="s">
        <v>781</v>
      </c>
      <c r="B427" s="1" t="s">
        <v>254</v>
      </c>
      <c r="C427" s="1" t="s">
        <v>391</v>
      </c>
      <c r="D427" s="1" t="str">
        <f>UPPER(_xlfn.CONCAT(LEFT(Teams[[#This Row],[teamType]], 1), "-", LEFT(SUBSTITUTE(Teams[[#This Row],[nation]], "/", ""), 3), "-", SUBSTITUTE(SUBSTITUTE(SUBSTITUTE(Teams[[#This Row],[name]], ".", ""), " ", ""), "-", "")))</f>
        <v>C-ITA-MODENA</v>
      </c>
      <c r="E427" s="16"/>
      <c r="F427" s="16"/>
      <c r="G427" s="1" t="b">
        <f>COUNTBLANK(Teams[[#This Row],[startDate]:[endDate]]) &lt; 2</f>
        <v>0</v>
      </c>
      <c r="H427" s="1" t="str">
        <f>IF(Teams[[#This Row],[relevant]], COUNTIFS(Fixtures[userTeam], Teams[[#This Row],[name]], Fixtures[APP], TRUE), "")</f>
        <v/>
      </c>
      <c r="I427" s="1" t="str">
        <f>IF(Teams[[#This Row],[relevant]], COUNTIFS(Fixtures[userTeam], Teams[[#This Row],[name]], Fixtures[result], "W", Fixtures[APP], TRUE), "")</f>
        <v/>
      </c>
      <c r="J427" s="1" t="str">
        <f>IF(Teams[[#This Row],[relevant]], COUNTIFS(Fixtures[userTeam], Teams[[#This Row],[name]], Fixtures[result], "D", Fixtures[APP], TRUE), "")</f>
        <v/>
      </c>
      <c r="K427" s="1" t="str">
        <f>IF(Teams[[#This Row],[relevant]], COUNTIFS(Fixtures[userTeam], Teams[[#This Row],[name]], Fixtures[result], "L", Fixtures[APP], TRUE), "")</f>
        <v/>
      </c>
      <c r="L427" s="1" t="str">
        <f>IF(Teams[[#This Row],[relevant]], SUMIFS(Fixtures[G], Fixtures[userTeam], Teams[[#This Row],[name]]), "")</f>
        <v/>
      </c>
      <c r="M427" s="1" t="str">
        <f>IF(Teams[[#This Row],[relevant]], SUMIFS(Fixtures[A], Fixtures[userTeam], Teams[[#This Row],[name]]), "")</f>
        <v/>
      </c>
      <c r="N427" s="1" t="str">
        <f>IF(Teams[[#This Row],[relevant]], SUMIFS(Fixtures[INV], Fixtures[userTeam], Teams[[#This Row],[name]]), "")</f>
        <v/>
      </c>
      <c r="O427" s="1" t="str">
        <f>IF(Teams[[#This Row],[relevant]], SUMIFS(Fixtures[YC], Fixtures[userTeam], Teams[[#This Row],[name]]), "")</f>
        <v/>
      </c>
      <c r="P427" s="1" t="str">
        <f>IF(Teams[[#This Row],[relevant]], SUMIFS(Fixtures[RC], Fixtures[userTeam], Teams[[#This Row],[name]]), "")</f>
        <v/>
      </c>
      <c r="Q427" s="13" t="str">
        <f>IF(Teams[[#This Row],[relevant]], IF(ISERROR(AVERAGEIFS(Fixtures[MR], Fixtures[userTeam], Teams[[#This Row],[name]])), 0, AVERAGEIFS(Fixtures[MR], Fixtures[userTeam], Teams[[#This Row],[name]])), "")</f>
        <v/>
      </c>
      <c r="R427" s="1" t="str">
        <f>IF(Teams[[#This Row],[relevant]], COUNTIFS(Fixtures[userTeam], Teams[[#This Row],[name]], Fixtures[MOTM], TRUE), "")</f>
        <v/>
      </c>
      <c r="S427" s="1" t="str" cm="1">
        <f t="array" ref="S427">IF(Teams[[#This Row],[relevant]], _xlfn.TEXTJOIN(", ", TRUE, _xlfn._xlws.FILTER(Stats[competition]&amp;" ("&amp;Stats[season]&amp;")",(Stats[team]=Teams[[#This Row],[name]])*(Stats[result]="Winner"),"")), "")</f>
        <v/>
      </c>
    </row>
    <row r="428" spans="1:19" ht="13" hidden="1">
      <c r="A428" s="1" t="s">
        <v>782</v>
      </c>
      <c r="B428" s="1" t="s">
        <v>286</v>
      </c>
      <c r="C428" s="1" t="s">
        <v>391</v>
      </c>
      <c r="D428" s="1" t="str">
        <f>UPPER(_xlfn.CONCAT(LEFT(Teams[[#This Row],[teamType]], 1), "-", LEFT(SUBSTITUTE(Teams[[#This Row],[nation]], "/", ""), 3), "-", SUBSTITUTE(SUBSTITUTE(SUBSTITUTE(Teams[[#This Row],[name]], ".", ""), " ", ""), "-", "")))</f>
        <v>C-NOR-MOLDEFK</v>
      </c>
      <c r="E428" s="16"/>
      <c r="F428" s="16"/>
      <c r="G428" s="1" t="b">
        <f>COUNTBLANK(Teams[[#This Row],[startDate]:[endDate]]) &lt; 2</f>
        <v>0</v>
      </c>
      <c r="H428" s="1" t="str">
        <f>IF(Teams[[#This Row],[relevant]], COUNTIFS(Fixtures[userTeam], Teams[[#This Row],[name]], Fixtures[APP], TRUE), "")</f>
        <v/>
      </c>
      <c r="I428" s="1" t="str">
        <f>IF(Teams[[#This Row],[relevant]], COUNTIFS(Fixtures[userTeam], Teams[[#This Row],[name]], Fixtures[result], "W", Fixtures[APP], TRUE), "")</f>
        <v/>
      </c>
      <c r="J428" s="1" t="str">
        <f>IF(Teams[[#This Row],[relevant]], COUNTIFS(Fixtures[userTeam], Teams[[#This Row],[name]], Fixtures[result], "D", Fixtures[APP], TRUE), "")</f>
        <v/>
      </c>
      <c r="K428" s="1" t="str">
        <f>IF(Teams[[#This Row],[relevant]], COUNTIFS(Fixtures[userTeam], Teams[[#This Row],[name]], Fixtures[result], "L", Fixtures[APP], TRUE), "")</f>
        <v/>
      </c>
      <c r="L428" s="1" t="str">
        <f>IF(Teams[[#This Row],[relevant]], SUMIFS(Fixtures[G], Fixtures[userTeam], Teams[[#This Row],[name]]), "")</f>
        <v/>
      </c>
      <c r="M428" s="1" t="str">
        <f>IF(Teams[[#This Row],[relevant]], SUMIFS(Fixtures[A], Fixtures[userTeam], Teams[[#This Row],[name]]), "")</f>
        <v/>
      </c>
      <c r="N428" s="1" t="str">
        <f>IF(Teams[[#This Row],[relevant]], SUMIFS(Fixtures[INV], Fixtures[userTeam], Teams[[#This Row],[name]]), "")</f>
        <v/>
      </c>
      <c r="O428" s="1" t="str">
        <f>IF(Teams[[#This Row],[relevant]], SUMIFS(Fixtures[YC], Fixtures[userTeam], Teams[[#This Row],[name]]), "")</f>
        <v/>
      </c>
      <c r="P428" s="1" t="str">
        <f>IF(Teams[[#This Row],[relevant]], SUMIFS(Fixtures[RC], Fixtures[userTeam], Teams[[#This Row],[name]]), "")</f>
        <v/>
      </c>
      <c r="Q428" s="13" t="str">
        <f>IF(Teams[[#This Row],[relevant]], IF(ISERROR(AVERAGEIFS(Fixtures[MR], Fixtures[userTeam], Teams[[#This Row],[name]])), 0, AVERAGEIFS(Fixtures[MR], Fixtures[userTeam], Teams[[#This Row],[name]])), "")</f>
        <v/>
      </c>
      <c r="R428" s="1" t="str">
        <f>IF(Teams[[#This Row],[relevant]], COUNTIFS(Fixtures[userTeam], Teams[[#This Row],[name]], Fixtures[MOTM], TRUE), "")</f>
        <v/>
      </c>
      <c r="S428" s="1" t="str" cm="1">
        <f t="array" ref="S428">IF(Teams[[#This Row],[relevant]], _xlfn.TEXTJOIN(", ", TRUE, _xlfn._xlws.FILTER(Stats[competition]&amp;" ("&amp;Stats[season]&amp;")",(Stats[team]=Teams[[#This Row],[name]])*(Stats[result]="Winner"),"")), "")</f>
        <v/>
      </c>
    </row>
    <row r="429" spans="1:19" ht="13" hidden="1">
      <c r="A429" s="1" t="s">
        <v>783</v>
      </c>
      <c r="B429" s="1" t="s">
        <v>339</v>
      </c>
      <c r="C429" s="1" t="s">
        <v>391</v>
      </c>
      <c r="D429" s="1" t="str">
        <f>UPPER(_xlfn.CONCAT(LEFT(Teams[[#This Row],[teamType]], 1), "-", LEFT(SUBSTITUTE(Teams[[#This Row],[nation]], "/", ""), 3), "-", SUBSTITUTE(SUBSTITUTE(SUBSTITUTE(Teams[[#This Row],[name]], ".", ""), " ", ""), "-", "")))</f>
        <v>C-FRA-MONTPELLIER</v>
      </c>
      <c r="E429" s="16"/>
      <c r="F429" s="16"/>
      <c r="G429" s="1" t="b">
        <f>COUNTBLANK(Teams[[#This Row],[startDate]:[endDate]]) &lt; 2</f>
        <v>0</v>
      </c>
      <c r="H429" s="1" t="str">
        <f>IF(Teams[[#This Row],[relevant]], COUNTIFS(Fixtures[userTeam], Teams[[#This Row],[name]], Fixtures[APP], TRUE), "")</f>
        <v/>
      </c>
      <c r="I429" s="1" t="str">
        <f>IF(Teams[[#This Row],[relevant]], COUNTIFS(Fixtures[userTeam], Teams[[#This Row],[name]], Fixtures[result], "W", Fixtures[APP], TRUE), "")</f>
        <v/>
      </c>
      <c r="J429" s="1" t="str">
        <f>IF(Teams[[#This Row],[relevant]], COUNTIFS(Fixtures[userTeam], Teams[[#This Row],[name]], Fixtures[result], "D", Fixtures[APP], TRUE), "")</f>
        <v/>
      </c>
      <c r="K429" s="1" t="str">
        <f>IF(Teams[[#This Row],[relevant]], COUNTIFS(Fixtures[userTeam], Teams[[#This Row],[name]], Fixtures[result], "L", Fixtures[APP], TRUE), "")</f>
        <v/>
      </c>
      <c r="L429" s="1" t="str">
        <f>IF(Teams[[#This Row],[relevant]], SUMIFS(Fixtures[G], Fixtures[userTeam], Teams[[#This Row],[name]]), "")</f>
        <v/>
      </c>
      <c r="M429" s="1" t="str">
        <f>IF(Teams[[#This Row],[relevant]], SUMIFS(Fixtures[A], Fixtures[userTeam], Teams[[#This Row],[name]]), "")</f>
        <v/>
      </c>
      <c r="N429" s="1" t="str">
        <f>IF(Teams[[#This Row],[relevant]], SUMIFS(Fixtures[INV], Fixtures[userTeam], Teams[[#This Row],[name]]), "")</f>
        <v/>
      </c>
      <c r="O429" s="1" t="str">
        <f>IF(Teams[[#This Row],[relevant]], SUMIFS(Fixtures[YC], Fixtures[userTeam], Teams[[#This Row],[name]]), "")</f>
        <v/>
      </c>
      <c r="P429" s="1" t="str">
        <f>IF(Teams[[#This Row],[relevant]], SUMIFS(Fixtures[RC], Fixtures[userTeam], Teams[[#This Row],[name]]), "")</f>
        <v/>
      </c>
      <c r="Q429" s="13" t="str">
        <f>IF(Teams[[#This Row],[relevant]], IF(ISERROR(AVERAGEIFS(Fixtures[MR], Fixtures[userTeam], Teams[[#This Row],[name]])), 0, AVERAGEIFS(Fixtures[MR], Fixtures[userTeam], Teams[[#This Row],[name]])), "")</f>
        <v/>
      </c>
      <c r="R429" s="1" t="str">
        <f>IF(Teams[[#This Row],[relevant]], COUNTIFS(Fixtures[userTeam], Teams[[#This Row],[name]], Fixtures[MOTM], TRUE), "")</f>
        <v/>
      </c>
      <c r="S429" s="1" t="str" cm="1">
        <f t="array" ref="S429">IF(Teams[[#This Row],[relevant]], _xlfn.TEXTJOIN(", ", TRUE, _xlfn._xlws.FILTER(Stats[competition]&amp;" ("&amp;Stats[season]&amp;")",(Stats[team]=Teams[[#This Row],[name]])*(Stats[result]="Winner"),"")), "")</f>
        <v/>
      </c>
    </row>
    <row r="430" spans="1:19" ht="13" hidden="1">
      <c r="A430" s="1" t="s">
        <v>784</v>
      </c>
      <c r="B430" s="1" t="s">
        <v>254</v>
      </c>
      <c r="C430" s="1" t="s">
        <v>391</v>
      </c>
      <c r="D430" s="1" t="str">
        <f>UPPER(_xlfn.CONCAT(LEFT(Teams[[#This Row],[teamType]], 1), "-", LEFT(SUBSTITUTE(Teams[[#This Row],[nation]], "/", ""), 3), "-", SUBSTITUTE(SUBSTITUTE(SUBSTITUTE(Teams[[#This Row],[name]], ".", ""), " ", ""), "-", "")))</f>
        <v>C-ITA-MONZA</v>
      </c>
      <c r="E430" s="16"/>
      <c r="F430" s="16"/>
      <c r="G430" s="1" t="b">
        <f>COUNTBLANK(Teams[[#This Row],[startDate]:[endDate]]) &lt; 2</f>
        <v>0</v>
      </c>
      <c r="H430" s="1" t="str">
        <f>IF(Teams[[#This Row],[relevant]], COUNTIFS(Fixtures[userTeam], Teams[[#This Row],[name]], Fixtures[APP], TRUE), "")</f>
        <v/>
      </c>
      <c r="I430" s="1" t="str">
        <f>IF(Teams[[#This Row],[relevant]], COUNTIFS(Fixtures[userTeam], Teams[[#This Row],[name]], Fixtures[result], "W", Fixtures[APP], TRUE), "")</f>
        <v/>
      </c>
      <c r="J430" s="1" t="str">
        <f>IF(Teams[[#This Row],[relevant]], COUNTIFS(Fixtures[userTeam], Teams[[#This Row],[name]], Fixtures[result], "D", Fixtures[APP], TRUE), "")</f>
        <v/>
      </c>
      <c r="K430" s="1" t="str">
        <f>IF(Teams[[#This Row],[relevant]], COUNTIFS(Fixtures[userTeam], Teams[[#This Row],[name]], Fixtures[result], "L", Fixtures[APP], TRUE), "")</f>
        <v/>
      </c>
      <c r="L430" s="1" t="str">
        <f>IF(Teams[[#This Row],[relevant]], SUMIFS(Fixtures[G], Fixtures[userTeam], Teams[[#This Row],[name]]), "")</f>
        <v/>
      </c>
      <c r="M430" s="1" t="str">
        <f>IF(Teams[[#This Row],[relevant]], SUMIFS(Fixtures[A], Fixtures[userTeam], Teams[[#This Row],[name]]), "")</f>
        <v/>
      </c>
      <c r="N430" s="1" t="str">
        <f>IF(Teams[[#This Row],[relevant]], SUMIFS(Fixtures[INV], Fixtures[userTeam], Teams[[#This Row],[name]]), "")</f>
        <v/>
      </c>
      <c r="O430" s="1" t="str">
        <f>IF(Teams[[#This Row],[relevant]], SUMIFS(Fixtures[YC], Fixtures[userTeam], Teams[[#This Row],[name]]), "")</f>
        <v/>
      </c>
      <c r="P430" s="1" t="str">
        <f>IF(Teams[[#This Row],[relevant]], SUMIFS(Fixtures[RC], Fixtures[userTeam], Teams[[#This Row],[name]]), "")</f>
        <v/>
      </c>
      <c r="Q430" s="13" t="str">
        <f>IF(Teams[[#This Row],[relevant]], IF(ISERROR(AVERAGEIFS(Fixtures[MR], Fixtures[userTeam], Teams[[#This Row],[name]])), 0, AVERAGEIFS(Fixtures[MR], Fixtures[userTeam], Teams[[#This Row],[name]])), "")</f>
        <v/>
      </c>
      <c r="R430" s="1" t="str">
        <f>IF(Teams[[#This Row],[relevant]], COUNTIFS(Fixtures[userTeam], Teams[[#This Row],[name]], Fixtures[MOTM], TRUE), "")</f>
        <v/>
      </c>
      <c r="S430" s="1" t="str" cm="1">
        <f t="array" ref="S430">IF(Teams[[#This Row],[relevant]], _xlfn.TEXTJOIN(", ", TRUE, _xlfn._xlws.FILTER(Stats[competition]&amp;" ("&amp;Stats[season]&amp;")",(Stats[team]=Teams[[#This Row],[name]])*(Stats[result]="Winner"),"")), "")</f>
        <v/>
      </c>
    </row>
    <row r="431" spans="1:19" ht="13" hidden="1">
      <c r="A431" s="1" t="s">
        <v>785</v>
      </c>
      <c r="B431" s="1" t="s">
        <v>152</v>
      </c>
      <c r="C431" s="1" t="s">
        <v>391</v>
      </c>
      <c r="D431" s="1" t="str">
        <f>UPPER(_xlfn.CONCAT(LEFT(Teams[[#This Row],[teamType]], 1), "-", LEFT(SUBSTITUTE(Teams[[#This Row],[nation]], "/", ""), 3), "-", SUBSTITUTE(SUBSTITUTE(SUBSTITUTE(Teams[[#This Row],[name]], ".", ""), " ", ""), "-", "")))</f>
        <v>C-ENG-MORECAMBE</v>
      </c>
      <c r="E431" s="16"/>
      <c r="F431" s="16"/>
      <c r="G431" s="1" t="b">
        <f>COUNTBLANK(Teams[[#This Row],[startDate]:[endDate]]) &lt; 2</f>
        <v>0</v>
      </c>
      <c r="H431" s="1" t="str">
        <f>IF(Teams[[#This Row],[relevant]], COUNTIFS(Fixtures[userTeam], Teams[[#This Row],[name]], Fixtures[APP], TRUE), "")</f>
        <v/>
      </c>
      <c r="I431" s="1" t="str">
        <f>IF(Teams[[#This Row],[relevant]], COUNTIFS(Fixtures[userTeam], Teams[[#This Row],[name]], Fixtures[result], "W", Fixtures[APP], TRUE), "")</f>
        <v/>
      </c>
      <c r="J431" s="1" t="str">
        <f>IF(Teams[[#This Row],[relevant]], COUNTIFS(Fixtures[userTeam], Teams[[#This Row],[name]], Fixtures[result], "D", Fixtures[APP], TRUE), "")</f>
        <v/>
      </c>
      <c r="K431" s="1" t="str">
        <f>IF(Teams[[#This Row],[relevant]], COUNTIFS(Fixtures[userTeam], Teams[[#This Row],[name]], Fixtures[result], "L", Fixtures[APP], TRUE), "")</f>
        <v/>
      </c>
      <c r="L431" s="1" t="str">
        <f>IF(Teams[[#This Row],[relevant]], SUMIFS(Fixtures[G], Fixtures[userTeam], Teams[[#This Row],[name]]), "")</f>
        <v/>
      </c>
      <c r="M431" s="1" t="str">
        <f>IF(Teams[[#This Row],[relevant]], SUMIFS(Fixtures[A], Fixtures[userTeam], Teams[[#This Row],[name]]), "")</f>
        <v/>
      </c>
      <c r="N431" s="1" t="str">
        <f>IF(Teams[[#This Row],[relevant]], SUMIFS(Fixtures[INV], Fixtures[userTeam], Teams[[#This Row],[name]]), "")</f>
        <v/>
      </c>
      <c r="O431" s="1" t="str">
        <f>IF(Teams[[#This Row],[relevant]], SUMIFS(Fixtures[YC], Fixtures[userTeam], Teams[[#This Row],[name]]), "")</f>
        <v/>
      </c>
      <c r="P431" s="1" t="str">
        <f>IF(Teams[[#This Row],[relevant]], SUMIFS(Fixtures[RC], Fixtures[userTeam], Teams[[#This Row],[name]]), "")</f>
        <v/>
      </c>
      <c r="Q431" s="13" t="str">
        <f>IF(Teams[[#This Row],[relevant]], IF(ISERROR(AVERAGEIFS(Fixtures[MR], Fixtures[userTeam], Teams[[#This Row],[name]])), 0, AVERAGEIFS(Fixtures[MR], Fixtures[userTeam], Teams[[#This Row],[name]])), "")</f>
        <v/>
      </c>
      <c r="R431" s="1" t="str">
        <f>IF(Teams[[#This Row],[relevant]], COUNTIFS(Fixtures[userTeam], Teams[[#This Row],[name]], Fixtures[MOTM], TRUE), "")</f>
        <v/>
      </c>
      <c r="S431" s="1" t="str" cm="1">
        <f t="array" ref="S431">IF(Teams[[#This Row],[relevant]], _xlfn.TEXTJOIN(", ", TRUE, _xlfn._xlws.FILTER(Stats[competition]&amp;" ("&amp;Stats[season]&amp;")",(Stats[team]=Teams[[#This Row],[name]])*(Stats[result]="Winner"),"")), "")</f>
        <v/>
      </c>
    </row>
    <row r="432" spans="1:19" ht="13" hidden="1">
      <c r="A432" s="1" t="s">
        <v>786</v>
      </c>
      <c r="B432" s="1" t="s">
        <v>786</v>
      </c>
      <c r="C432" s="1" t="s">
        <v>459</v>
      </c>
      <c r="D432" s="1" t="str">
        <f>UPPER(_xlfn.CONCAT(LEFT(Teams[[#This Row],[teamType]], 1), "-", LEFT(SUBSTITUTE(Teams[[#This Row],[nation]], "/", ""), 3), "-", SUBSTITUTE(SUBSTITUTE(SUBSTITUTE(Teams[[#This Row],[name]], ".", ""), " ", ""), "-", "")))</f>
        <v>N-MOR-MOROCCO</v>
      </c>
      <c r="E432" s="16"/>
      <c r="F432" s="16"/>
      <c r="G432" s="1" t="b">
        <f>COUNTBLANK(Teams[[#This Row],[startDate]:[endDate]]) &lt; 2</f>
        <v>0</v>
      </c>
      <c r="H432" s="1" t="str">
        <f>IF(Teams[[#This Row],[relevant]], COUNTIFS(Fixtures[userTeam], Teams[[#This Row],[name]], Fixtures[APP], TRUE), "")</f>
        <v/>
      </c>
      <c r="I432" s="1" t="str">
        <f>IF(Teams[[#This Row],[relevant]], COUNTIFS(Fixtures[userTeam], Teams[[#This Row],[name]], Fixtures[result], "W", Fixtures[APP], TRUE), "")</f>
        <v/>
      </c>
      <c r="J432" s="1" t="str">
        <f>IF(Teams[[#This Row],[relevant]], COUNTIFS(Fixtures[userTeam], Teams[[#This Row],[name]], Fixtures[result], "D", Fixtures[APP], TRUE), "")</f>
        <v/>
      </c>
      <c r="K432" s="1" t="str">
        <f>IF(Teams[[#This Row],[relevant]], COUNTIFS(Fixtures[userTeam], Teams[[#This Row],[name]], Fixtures[result], "L", Fixtures[APP], TRUE), "")</f>
        <v/>
      </c>
      <c r="L432" s="1" t="str">
        <f>IF(Teams[[#This Row],[relevant]], SUMIFS(Fixtures[G], Fixtures[userTeam], Teams[[#This Row],[name]]), "")</f>
        <v/>
      </c>
      <c r="M432" s="1" t="str">
        <f>IF(Teams[[#This Row],[relevant]], SUMIFS(Fixtures[A], Fixtures[userTeam], Teams[[#This Row],[name]]), "")</f>
        <v/>
      </c>
      <c r="N432" s="1" t="str">
        <f>IF(Teams[[#This Row],[relevant]], SUMIFS(Fixtures[INV], Fixtures[userTeam], Teams[[#This Row],[name]]), "")</f>
        <v/>
      </c>
      <c r="O432" s="1" t="str">
        <f>IF(Teams[[#This Row],[relevant]], SUMIFS(Fixtures[YC], Fixtures[userTeam], Teams[[#This Row],[name]]), "")</f>
        <v/>
      </c>
      <c r="P432" s="1" t="str">
        <f>IF(Teams[[#This Row],[relevant]], SUMIFS(Fixtures[RC], Fixtures[userTeam], Teams[[#This Row],[name]]), "")</f>
        <v/>
      </c>
      <c r="Q432" s="13" t="str">
        <f>IF(Teams[[#This Row],[relevant]], IF(ISERROR(AVERAGEIFS(Fixtures[MR], Fixtures[userTeam], Teams[[#This Row],[name]])), 0, AVERAGEIFS(Fixtures[MR], Fixtures[userTeam], Teams[[#This Row],[name]])), "")</f>
        <v/>
      </c>
      <c r="R432" s="1" t="str">
        <f>IF(Teams[[#This Row],[relevant]], COUNTIFS(Fixtures[userTeam], Teams[[#This Row],[name]], Fixtures[MOTM], TRUE), "")</f>
        <v/>
      </c>
      <c r="S432" s="1" t="str" cm="1">
        <f t="array" ref="S432">IF(Teams[[#This Row],[relevant]], _xlfn.TEXTJOIN(", ", TRUE, _xlfn._xlws.FILTER(Stats[competition]&amp;" ("&amp;Stats[season]&amp;")",(Stats[team]=Teams[[#This Row],[name]])*(Stats[result]="Winner"),"")), "")</f>
        <v/>
      </c>
    </row>
    <row r="433" spans="1:19" ht="13" hidden="1">
      <c r="A433" s="1" t="s">
        <v>787</v>
      </c>
      <c r="B433" s="1" t="s">
        <v>401</v>
      </c>
      <c r="C433" s="1" t="s">
        <v>391</v>
      </c>
      <c r="D433" s="1" t="str">
        <f>UPPER(_xlfn.CONCAT(LEFT(Teams[[#This Row],[teamType]], 1), "-", LEFT(SUBSTITUTE(Teams[[#This Row],[nation]], "/", ""), 3), "-", SUBSTITUTE(SUBSTITUTE(SUBSTITUTE(Teams[[#This Row],[name]], ".", ""), " ", ""), "-", "")))</f>
        <v>C-SCO-MOTHERWELL</v>
      </c>
      <c r="E433" s="16"/>
      <c r="F433" s="16"/>
      <c r="G433" s="1" t="b">
        <f>COUNTBLANK(Teams[[#This Row],[startDate]:[endDate]]) &lt; 2</f>
        <v>0</v>
      </c>
      <c r="H433" s="1" t="str">
        <f>IF(Teams[[#This Row],[relevant]], COUNTIFS(Fixtures[userTeam], Teams[[#This Row],[name]], Fixtures[APP], TRUE), "")</f>
        <v/>
      </c>
      <c r="I433" s="1" t="str">
        <f>IF(Teams[[#This Row],[relevant]], COUNTIFS(Fixtures[userTeam], Teams[[#This Row],[name]], Fixtures[result], "W", Fixtures[APP], TRUE), "")</f>
        <v/>
      </c>
      <c r="J433" s="1" t="str">
        <f>IF(Teams[[#This Row],[relevant]], COUNTIFS(Fixtures[userTeam], Teams[[#This Row],[name]], Fixtures[result], "D", Fixtures[APP], TRUE), "")</f>
        <v/>
      </c>
      <c r="K433" s="1" t="str">
        <f>IF(Teams[[#This Row],[relevant]], COUNTIFS(Fixtures[userTeam], Teams[[#This Row],[name]], Fixtures[result], "L", Fixtures[APP], TRUE), "")</f>
        <v/>
      </c>
      <c r="L433" s="1" t="str">
        <f>IF(Teams[[#This Row],[relevant]], SUMIFS(Fixtures[G], Fixtures[userTeam], Teams[[#This Row],[name]]), "")</f>
        <v/>
      </c>
      <c r="M433" s="1" t="str">
        <f>IF(Teams[[#This Row],[relevant]], SUMIFS(Fixtures[A], Fixtures[userTeam], Teams[[#This Row],[name]]), "")</f>
        <v/>
      </c>
      <c r="N433" s="1" t="str">
        <f>IF(Teams[[#This Row],[relevant]], SUMIFS(Fixtures[INV], Fixtures[userTeam], Teams[[#This Row],[name]]), "")</f>
        <v/>
      </c>
      <c r="O433" s="1" t="str">
        <f>IF(Teams[[#This Row],[relevant]], SUMIFS(Fixtures[YC], Fixtures[userTeam], Teams[[#This Row],[name]]), "")</f>
        <v/>
      </c>
      <c r="P433" s="1" t="str">
        <f>IF(Teams[[#This Row],[relevant]], SUMIFS(Fixtures[RC], Fixtures[userTeam], Teams[[#This Row],[name]]), "")</f>
        <v/>
      </c>
      <c r="Q433" s="13" t="str">
        <f>IF(Teams[[#This Row],[relevant]], IF(ISERROR(AVERAGEIFS(Fixtures[MR], Fixtures[userTeam], Teams[[#This Row],[name]])), 0, AVERAGEIFS(Fixtures[MR], Fixtures[userTeam], Teams[[#This Row],[name]])), "")</f>
        <v/>
      </c>
      <c r="R433" s="1" t="str">
        <f>IF(Teams[[#This Row],[relevant]], COUNTIFS(Fixtures[userTeam], Teams[[#This Row],[name]], Fixtures[MOTM], TRUE), "")</f>
        <v/>
      </c>
      <c r="S433" s="1" t="str" cm="1">
        <f t="array" ref="S433">IF(Teams[[#This Row],[relevant]], _xlfn.TEXTJOIN(", ", TRUE, _xlfn._xlws.FILTER(Stats[competition]&amp;" ("&amp;Stats[season]&amp;")",(Stats[team]=Teams[[#This Row],[name]])*(Stats[result]="Winner"),"")), "")</f>
        <v/>
      </c>
    </row>
    <row r="434" spans="1:19" ht="13" hidden="1">
      <c r="A434" s="1" t="s">
        <v>788</v>
      </c>
      <c r="B434" s="1" t="s">
        <v>337</v>
      </c>
      <c r="C434" s="1" t="s">
        <v>391</v>
      </c>
      <c r="D434" s="1" t="str">
        <f>UPPER(_xlfn.CONCAT(LEFT(Teams[[#This Row],[teamType]], 1), "-", LEFT(SUBSTITUTE(Teams[[#This Row],[nation]], "/", ""), 3), "-", SUBSTITUTE(SUBSTITUTE(SUBSTITUTE(Teams[[#This Row],[name]], ".", ""), " ", ""), "-", "")))</f>
        <v>C-GER-MSVDUISBURG</v>
      </c>
      <c r="E434" s="16"/>
      <c r="F434" s="16"/>
      <c r="G434" s="1" t="b">
        <f>COUNTBLANK(Teams[[#This Row],[startDate]:[endDate]]) &lt; 2</f>
        <v>0</v>
      </c>
      <c r="H434" s="1" t="str">
        <f>IF(Teams[[#This Row],[relevant]], COUNTIFS(Fixtures[userTeam], Teams[[#This Row],[name]], Fixtures[APP], TRUE), "")</f>
        <v/>
      </c>
      <c r="I434" s="1" t="str">
        <f>IF(Teams[[#This Row],[relevant]], COUNTIFS(Fixtures[userTeam], Teams[[#This Row],[name]], Fixtures[result], "W", Fixtures[APP], TRUE), "")</f>
        <v/>
      </c>
      <c r="J434" s="1" t="str">
        <f>IF(Teams[[#This Row],[relevant]], COUNTIFS(Fixtures[userTeam], Teams[[#This Row],[name]], Fixtures[result], "D", Fixtures[APP], TRUE), "")</f>
        <v/>
      </c>
      <c r="K434" s="1" t="str">
        <f>IF(Teams[[#This Row],[relevant]], COUNTIFS(Fixtures[userTeam], Teams[[#This Row],[name]], Fixtures[result], "L", Fixtures[APP], TRUE), "")</f>
        <v/>
      </c>
      <c r="L434" s="1" t="str">
        <f>IF(Teams[[#This Row],[relevant]], SUMIFS(Fixtures[G], Fixtures[userTeam], Teams[[#This Row],[name]]), "")</f>
        <v/>
      </c>
      <c r="M434" s="1" t="str">
        <f>IF(Teams[[#This Row],[relevant]], SUMIFS(Fixtures[A], Fixtures[userTeam], Teams[[#This Row],[name]]), "")</f>
        <v/>
      </c>
      <c r="N434" s="1" t="str">
        <f>IF(Teams[[#This Row],[relevant]], SUMIFS(Fixtures[INV], Fixtures[userTeam], Teams[[#This Row],[name]]), "")</f>
        <v/>
      </c>
      <c r="O434" s="1" t="str">
        <f>IF(Teams[[#This Row],[relevant]], SUMIFS(Fixtures[YC], Fixtures[userTeam], Teams[[#This Row],[name]]), "")</f>
        <v/>
      </c>
      <c r="P434" s="1" t="str">
        <f>IF(Teams[[#This Row],[relevant]], SUMIFS(Fixtures[RC], Fixtures[userTeam], Teams[[#This Row],[name]]), "")</f>
        <v/>
      </c>
      <c r="Q434" s="13" t="str">
        <f>IF(Teams[[#This Row],[relevant]], IF(ISERROR(AVERAGEIFS(Fixtures[MR], Fixtures[userTeam], Teams[[#This Row],[name]])), 0, AVERAGEIFS(Fixtures[MR], Fixtures[userTeam], Teams[[#This Row],[name]])), "")</f>
        <v/>
      </c>
      <c r="R434" s="1" t="str">
        <f>IF(Teams[[#This Row],[relevant]], COUNTIFS(Fixtures[userTeam], Teams[[#This Row],[name]], Fixtures[MOTM], TRUE), "")</f>
        <v/>
      </c>
      <c r="S434" s="1" t="str" cm="1">
        <f t="array" ref="S434">IF(Teams[[#This Row],[relevant]], _xlfn.TEXTJOIN(", ", TRUE, _xlfn._xlws.FILTER(Stats[competition]&amp;" ("&amp;Stats[season]&amp;")",(Stats[team]=Teams[[#This Row],[name]])*(Stats[result]="Winner"),"")), "")</f>
        <v/>
      </c>
    </row>
    <row r="435" spans="1:19" ht="13" hidden="1">
      <c r="A435" s="1" t="s">
        <v>789</v>
      </c>
      <c r="B435" s="1" t="s">
        <v>473</v>
      </c>
      <c r="C435" s="1" t="s">
        <v>391</v>
      </c>
      <c r="D435" s="1" t="str">
        <f>UPPER(_xlfn.CONCAT(LEFT(Teams[[#This Row],[teamType]], 1), "-", LEFT(SUBSTITUTE(Teams[[#This Row],[nation]], "/", ""), 3), "-", SUBSTITUTE(SUBSTITUTE(SUBSTITUTE(Teams[[#This Row],[name]], ".", ""), " ", ""), "-", "")))</f>
        <v>C-IND-MUMBAICITYFC</v>
      </c>
      <c r="E435" s="16"/>
      <c r="F435" s="16"/>
      <c r="G435" s="1" t="b">
        <f>COUNTBLANK(Teams[[#This Row],[startDate]:[endDate]]) &lt; 2</f>
        <v>0</v>
      </c>
      <c r="H435" s="1" t="str">
        <f>IF(Teams[[#This Row],[relevant]], COUNTIFS(Fixtures[userTeam], Teams[[#This Row],[name]], Fixtures[APP], TRUE), "")</f>
        <v/>
      </c>
      <c r="I435" s="1" t="str">
        <f>IF(Teams[[#This Row],[relevant]], COUNTIFS(Fixtures[userTeam], Teams[[#This Row],[name]], Fixtures[result], "W", Fixtures[APP], TRUE), "")</f>
        <v/>
      </c>
      <c r="J435" s="1" t="str">
        <f>IF(Teams[[#This Row],[relevant]], COUNTIFS(Fixtures[userTeam], Teams[[#This Row],[name]], Fixtures[result], "D", Fixtures[APP], TRUE), "")</f>
        <v/>
      </c>
      <c r="K435" s="1" t="str">
        <f>IF(Teams[[#This Row],[relevant]], COUNTIFS(Fixtures[userTeam], Teams[[#This Row],[name]], Fixtures[result], "L", Fixtures[APP], TRUE), "")</f>
        <v/>
      </c>
      <c r="L435" s="1" t="str">
        <f>IF(Teams[[#This Row],[relevant]], SUMIFS(Fixtures[G], Fixtures[userTeam], Teams[[#This Row],[name]]), "")</f>
        <v/>
      </c>
      <c r="M435" s="1" t="str">
        <f>IF(Teams[[#This Row],[relevant]], SUMIFS(Fixtures[A], Fixtures[userTeam], Teams[[#This Row],[name]]), "")</f>
        <v/>
      </c>
      <c r="N435" s="1" t="str">
        <f>IF(Teams[[#This Row],[relevant]], SUMIFS(Fixtures[INV], Fixtures[userTeam], Teams[[#This Row],[name]]), "")</f>
        <v/>
      </c>
      <c r="O435" s="1" t="str">
        <f>IF(Teams[[#This Row],[relevant]], SUMIFS(Fixtures[YC], Fixtures[userTeam], Teams[[#This Row],[name]]), "")</f>
        <v/>
      </c>
      <c r="P435" s="1" t="str">
        <f>IF(Teams[[#This Row],[relevant]], SUMIFS(Fixtures[RC], Fixtures[userTeam], Teams[[#This Row],[name]]), "")</f>
        <v/>
      </c>
      <c r="Q435" s="13" t="str">
        <f>IF(Teams[[#This Row],[relevant]], IF(ISERROR(AVERAGEIFS(Fixtures[MR], Fixtures[userTeam], Teams[[#This Row],[name]])), 0, AVERAGEIFS(Fixtures[MR], Fixtures[userTeam], Teams[[#This Row],[name]])), "")</f>
        <v/>
      </c>
      <c r="R435" s="1" t="str">
        <f>IF(Teams[[#This Row],[relevant]], COUNTIFS(Fixtures[userTeam], Teams[[#This Row],[name]], Fixtures[MOTM], TRUE), "")</f>
        <v/>
      </c>
      <c r="S435" s="1" t="str" cm="1">
        <f t="array" ref="S435">IF(Teams[[#This Row],[relevant]], _xlfn.TEXTJOIN(", ", TRUE, _xlfn._xlws.FILTER(Stats[competition]&amp;" ("&amp;Stats[season]&amp;")",(Stats[team]=Teams[[#This Row],[name]])*(Stats[result]="Winner"),"")), "")</f>
        <v/>
      </c>
    </row>
    <row r="436" spans="1:19" ht="13" hidden="1">
      <c r="A436" s="1" t="s">
        <v>790</v>
      </c>
      <c r="B436" s="1" t="s">
        <v>396</v>
      </c>
      <c r="C436" s="1" t="s">
        <v>391</v>
      </c>
      <c r="D436" s="1" t="str">
        <f>UPPER(_xlfn.CONCAT(LEFT(Teams[[#This Row],[teamType]], 1), "-", LEFT(SUBSTITUTE(Teams[[#This Row],[nation]], "/", ""), 3), "-", SUBSTITUTE(SUBSTITUTE(SUBSTITUTE(Teams[[#This Row],[name]], ".", ""), " ", ""), "-", "")))</f>
        <v>C-ECU-MUSHUCRUNA</v>
      </c>
      <c r="E436" s="16"/>
      <c r="F436" s="16"/>
      <c r="G436" s="1" t="b">
        <f>COUNTBLANK(Teams[[#This Row],[startDate]:[endDate]]) &lt; 2</f>
        <v>0</v>
      </c>
      <c r="H436" s="1" t="str">
        <f>IF(Teams[[#This Row],[relevant]], COUNTIFS(Fixtures[userTeam], Teams[[#This Row],[name]], Fixtures[APP], TRUE), "")</f>
        <v/>
      </c>
      <c r="I436" s="1" t="str">
        <f>IF(Teams[[#This Row],[relevant]], COUNTIFS(Fixtures[userTeam], Teams[[#This Row],[name]], Fixtures[result], "W", Fixtures[APP], TRUE), "")</f>
        <v/>
      </c>
      <c r="J436" s="1" t="str">
        <f>IF(Teams[[#This Row],[relevant]], COUNTIFS(Fixtures[userTeam], Teams[[#This Row],[name]], Fixtures[result], "D", Fixtures[APP], TRUE), "")</f>
        <v/>
      </c>
      <c r="K436" s="1" t="str">
        <f>IF(Teams[[#This Row],[relevant]], COUNTIFS(Fixtures[userTeam], Teams[[#This Row],[name]], Fixtures[result], "L", Fixtures[APP], TRUE), "")</f>
        <v/>
      </c>
      <c r="L436" s="1" t="str">
        <f>IF(Teams[[#This Row],[relevant]], SUMIFS(Fixtures[G], Fixtures[userTeam], Teams[[#This Row],[name]]), "")</f>
        <v/>
      </c>
      <c r="M436" s="1" t="str">
        <f>IF(Teams[[#This Row],[relevant]], SUMIFS(Fixtures[A], Fixtures[userTeam], Teams[[#This Row],[name]]), "")</f>
        <v/>
      </c>
      <c r="N436" s="1" t="str">
        <f>IF(Teams[[#This Row],[relevant]], SUMIFS(Fixtures[INV], Fixtures[userTeam], Teams[[#This Row],[name]]), "")</f>
        <v/>
      </c>
      <c r="O436" s="1" t="str">
        <f>IF(Teams[[#This Row],[relevant]], SUMIFS(Fixtures[YC], Fixtures[userTeam], Teams[[#This Row],[name]]), "")</f>
        <v/>
      </c>
      <c r="P436" s="1" t="str">
        <f>IF(Teams[[#This Row],[relevant]], SUMIFS(Fixtures[RC], Fixtures[userTeam], Teams[[#This Row],[name]]), "")</f>
        <v/>
      </c>
      <c r="Q436" s="13" t="str">
        <f>IF(Teams[[#This Row],[relevant]], IF(ISERROR(AVERAGEIFS(Fixtures[MR], Fixtures[userTeam], Teams[[#This Row],[name]])), 0, AVERAGEIFS(Fixtures[MR], Fixtures[userTeam], Teams[[#This Row],[name]])), "")</f>
        <v/>
      </c>
      <c r="R436" s="1" t="str">
        <f>IF(Teams[[#This Row],[relevant]], COUNTIFS(Fixtures[userTeam], Teams[[#This Row],[name]], Fixtures[MOTM], TRUE), "")</f>
        <v/>
      </c>
      <c r="S436" s="1" t="str" cm="1">
        <f t="array" ref="S436">IF(Teams[[#This Row],[relevant]], _xlfn.TEXTJOIN(", ", TRUE, _xlfn._xlws.FILTER(Stats[competition]&amp;" ("&amp;Stats[season]&amp;")",(Stats[team]=Teams[[#This Row],[name]])*(Stats[result]="Winner"),"")), "")</f>
        <v/>
      </c>
    </row>
    <row r="437" spans="1:19" ht="13" hidden="1">
      <c r="A437" s="1" t="s">
        <v>791</v>
      </c>
      <c r="B437" s="1" t="s">
        <v>425</v>
      </c>
      <c r="C437" s="1" t="s">
        <v>391</v>
      </c>
      <c r="D437" s="1" t="str">
        <f>UPPER(_xlfn.CONCAT(LEFT(Teams[[#This Row],[teamType]], 1), "-", LEFT(SUBSTITUTE(Teams[[#This Row],[nation]], "/", ""), 3), "-", SUBSTITUTE(SUBSTITUTE(SUBSTITUTE(Teams[[#This Row],[name]], ".", ""), " ", ""), "-", "")))</f>
        <v>C-NET-NECNIJMEGEN</v>
      </c>
      <c r="E437" s="16"/>
      <c r="F437" s="16"/>
      <c r="G437" s="1" t="b">
        <f>COUNTBLANK(Teams[[#This Row],[startDate]:[endDate]]) &lt; 2</f>
        <v>0</v>
      </c>
      <c r="H437" s="1" t="str">
        <f>IF(Teams[[#This Row],[relevant]], COUNTIFS(Fixtures[userTeam], Teams[[#This Row],[name]], Fixtures[APP], TRUE), "")</f>
        <v/>
      </c>
      <c r="I437" s="1" t="str">
        <f>IF(Teams[[#This Row],[relevant]], COUNTIFS(Fixtures[userTeam], Teams[[#This Row],[name]], Fixtures[result], "W", Fixtures[APP], TRUE), "")</f>
        <v/>
      </c>
      <c r="J437" s="1" t="str">
        <f>IF(Teams[[#This Row],[relevant]], COUNTIFS(Fixtures[userTeam], Teams[[#This Row],[name]], Fixtures[result], "D", Fixtures[APP], TRUE), "")</f>
        <v/>
      </c>
      <c r="K437" s="1" t="str">
        <f>IF(Teams[[#This Row],[relevant]], COUNTIFS(Fixtures[userTeam], Teams[[#This Row],[name]], Fixtures[result], "L", Fixtures[APP], TRUE), "")</f>
        <v/>
      </c>
      <c r="L437" s="1" t="str">
        <f>IF(Teams[[#This Row],[relevant]], SUMIFS(Fixtures[G], Fixtures[userTeam], Teams[[#This Row],[name]]), "")</f>
        <v/>
      </c>
      <c r="M437" s="1" t="str">
        <f>IF(Teams[[#This Row],[relevant]], SUMIFS(Fixtures[A], Fixtures[userTeam], Teams[[#This Row],[name]]), "")</f>
        <v/>
      </c>
      <c r="N437" s="1" t="str">
        <f>IF(Teams[[#This Row],[relevant]], SUMIFS(Fixtures[INV], Fixtures[userTeam], Teams[[#This Row],[name]]), "")</f>
        <v/>
      </c>
      <c r="O437" s="1" t="str">
        <f>IF(Teams[[#This Row],[relevant]], SUMIFS(Fixtures[YC], Fixtures[userTeam], Teams[[#This Row],[name]]), "")</f>
        <v/>
      </c>
      <c r="P437" s="1" t="str">
        <f>IF(Teams[[#This Row],[relevant]], SUMIFS(Fixtures[RC], Fixtures[userTeam], Teams[[#This Row],[name]]), "")</f>
        <v/>
      </c>
      <c r="Q437" s="13" t="str">
        <f>IF(Teams[[#This Row],[relevant]], IF(ISERROR(AVERAGEIFS(Fixtures[MR], Fixtures[userTeam], Teams[[#This Row],[name]])), 0, AVERAGEIFS(Fixtures[MR], Fixtures[userTeam], Teams[[#This Row],[name]])), "")</f>
        <v/>
      </c>
      <c r="R437" s="1" t="str">
        <f>IF(Teams[[#This Row],[relevant]], COUNTIFS(Fixtures[userTeam], Teams[[#This Row],[name]], Fixtures[MOTM], TRUE), "")</f>
        <v/>
      </c>
      <c r="S437" s="1" t="str" cm="1">
        <f t="array" ref="S437">IF(Teams[[#This Row],[relevant]], _xlfn.TEXTJOIN(", ", TRUE, _xlfn._xlws.FILTER(Stats[competition]&amp;" ("&amp;Stats[season]&amp;")",(Stats[team]=Teams[[#This Row],[name]])*(Stats[result]="Winner"),"")), "")</f>
        <v/>
      </c>
    </row>
    <row r="438" spans="1:19" ht="13" hidden="1">
      <c r="A438" s="1" t="s">
        <v>792</v>
      </c>
      <c r="B438" s="1" t="s">
        <v>534</v>
      </c>
      <c r="C438" s="1" t="s">
        <v>391</v>
      </c>
      <c r="D438" s="1" t="str">
        <f>UPPER(_xlfn.CONCAT(LEFT(Teams[[#This Row],[teamType]], 1), "-", LEFT(SUBSTITUTE(Teams[[#This Row],[nation]], "/", ""), 3), "-", SUBSTITUTE(SUBSTITUTE(SUBSTITUTE(Teams[[#This Row],[name]], ".", ""), " ", ""), "-", "")))</f>
        <v>C-URU-NACIONAL</v>
      </c>
      <c r="E438" s="16"/>
      <c r="F438" s="16"/>
      <c r="G438" s="1" t="b">
        <f>COUNTBLANK(Teams[[#This Row],[startDate]:[endDate]]) &lt; 2</f>
        <v>0</v>
      </c>
      <c r="H438" s="1" t="str">
        <f>IF(Teams[[#This Row],[relevant]], COUNTIFS(Fixtures[userTeam], Teams[[#This Row],[name]], Fixtures[APP], TRUE), "")</f>
        <v/>
      </c>
      <c r="I438" s="1" t="str">
        <f>IF(Teams[[#This Row],[relevant]], COUNTIFS(Fixtures[userTeam], Teams[[#This Row],[name]], Fixtures[result], "W", Fixtures[APP], TRUE), "")</f>
        <v/>
      </c>
      <c r="J438" s="1" t="str">
        <f>IF(Teams[[#This Row],[relevant]], COUNTIFS(Fixtures[userTeam], Teams[[#This Row],[name]], Fixtures[result], "D", Fixtures[APP], TRUE), "")</f>
        <v/>
      </c>
      <c r="K438" s="1" t="str">
        <f>IF(Teams[[#This Row],[relevant]], COUNTIFS(Fixtures[userTeam], Teams[[#This Row],[name]], Fixtures[result], "L", Fixtures[APP], TRUE), "")</f>
        <v/>
      </c>
      <c r="L438" s="1" t="str">
        <f>IF(Teams[[#This Row],[relevant]], SUMIFS(Fixtures[G], Fixtures[userTeam], Teams[[#This Row],[name]]), "")</f>
        <v/>
      </c>
      <c r="M438" s="1" t="str">
        <f>IF(Teams[[#This Row],[relevant]], SUMIFS(Fixtures[A], Fixtures[userTeam], Teams[[#This Row],[name]]), "")</f>
        <v/>
      </c>
      <c r="N438" s="1" t="str">
        <f>IF(Teams[[#This Row],[relevant]], SUMIFS(Fixtures[INV], Fixtures[userTeam], Teams[[#This Row],[name]]), "")</f>
        <v/>
      </c>
      <c r="O438" s="1" t="str">
        <f>IF(Teams[[#This Row],[relevant]], SUMIFS(Fixtures[YC], Fixtures[userTeam], Teams[[#This Row],[name]]), "")</f>
        <v/>
      </c>
      <c r="P438" s="1" t="str">
        <f>IF(Teams[[#This Row],[relevant]], SUMIFS(Fixtures[RC], Fixtures[userTeam], Teams[[#This Row],[name]]), "")</f>
        <v/>
      </c>
      <c r="Q438" s="13" t="str">
        <f>IF(Teams[[#This Row],[relevant]], IF(ISERROR(AVERAGEIFS(Fixtures[MR], Fixtures[userTeam], Teams[[#This Row],[name]])), 0, AVERAGEIFS(Fixtures[MR], Fixtures[userTeam], Teams[[#This Row],[name]])), "")</f>
        <v/>
      </c>
      <c r="R438" s="1" t="str">
        <f>IF(Teams[[#This Row],[relevant]], COUNTIFS(Fixtures[userTeam], Teams[[#This Row],[name]], Fixtures[MOTM], TRUE), "")</f>
        <v/>
      </c>
      <c r="S438" s="1" t="str" cm="1">
        <f t="array" ref="S438">IF(Teams[[#This Row],[relevant]], _xlfn.TEXTJOIN(", ", TRUE, _xlfn._xlws.FILTER(Stats[competition]&amp;" ("&amp;Stats[season]&amp;")",(Stats[team]=Teams[[#This Row],[name]])*(Stats[result]="Winner"),"")), "")</f>
        <v/>
      </c>
    </row>
    <row r="439" spans="1:19" ht="13" hidden="1">
      <c r="A439" s="1" t="s">
        <v>793</v>
      </c>
      <c r="B439" s="1" t="s">
        <v>254</v>
      </c>
      <c r="C439" s="1" t="s">
        <v>391</v>
      </c>
      <c r="D439" s="1" t="str">
        <f>UPPER(_xlfn.CONCAT(LEFT(Teams[[#This Row],[teamType]], 1), "-", LEFT(SUBSTITUTE(Teams[[#This Row],[nation]], "/", ""), 3), "-", SUBSTITUTE(SUBSTITUTE(SUBSTITUTE(Teams[[#This Row],[name]], ".", ""), " ", ""), "-", "")))</f>
        <v>C-ITA-NAPOLIFC**</v>
      </c>
      <c r="E439" s="16"/>
      <c r="F439" s="16"/>
      <c r="G439" s="1" t="b">
        <f>COUNTBLANK(Teams[[#This Row],[startDate]:[endDate]]) &lt; 2</f>
        <v>0</v>
      </c>
      <c r="H439" s="1" t="str">
        <f>IF(Teams[[#This Row],[relevant]], COUNTIFS(Fixtures[userTeam], Teams[[#This Row],[name]], Fixtures[APP], TRUE), "")</f>
        <v/>
      </c>
      <c r="I439" s="1" t="str">
        <f>IF(Teams[[#This Row],[relevant]], COUNTIFS(Fixtures[userTeam], Teams[[#This Row],[name]], Fixtures[result], "W", Fixtures[APP], TRUE), "")</f>
        <v/>
      </c>
      <c r="J439" s="1" t="str">
        <f>IF(Teams[[#This Row],[relevant]], COUNTIFS(Fixtures[userTeam], Teams[[#This Row],[name]], Fixtures[result], "D", Fixtures[APP], TRUE), "")</f>
        <v/>
      </c>
      <c r="K439" s="1" t="str">
        <f>IF(Teams[[#This Row],[relevant]], COUNTIFS(Fixtures[userTeam], Teams[[#This Row],[name]], Fixtures[result], "L", Fixtures[APP], TRUE), "")</f>
        <v/>
      </c>
      <c r="L439" s="1" t="str">
        <f>IF(Teams[[#This Row],[relevant]], SUMIFS(Fixtures[G], Fixtures[userTeam], Teams[[#This Row],[name]]), "")</f>
        <v/>
      </c>
      <c r="M439" s="1" t="str">
        <f>IF(Teams[[#This Row],[relevant]], SUMIFS(Fixtures[A], Fixtures[userTeam], Teams[[#This Row],[name]]), "")</f>
        <v/>
      </c>
      <c r="N439" s="1" t="str">
        <f>IF(Teams[[#This Row],[relevant]], SUMIFS(Fixtures[INV], Fixtures[userTeam], Teams[[#This Row],[name]]), "")</f>
        <v/>
      </c>
      <c r="O439" s="1" t="str">
        <f>IF(Teams[[#This Row],[relevant]], SUMIFS(Fixtures[YC], Fixtures[userTeam], Teams[[#This Row],[name]]), "")</f>
        <v/>
      </c>
      <c r="P439" s="1" t="str">
        <f>IF(Teams[[#This Row],[relevant]], SUMIFS(Fixtures[RC], Fixtures[userTeam], Teams[[#This Row],[name]]), "")</f>
        <v/>
      </c>
      <c r="Q439" s="13" t="str">
        <f>IF(Teams[[#This Row],[relevant]], IF(ISERROR(AVERAGEIFS(Fixtures[MR], Fixtures[userTeam], Teams[[#This Row],[name]])), 0, AVERAGEIFS(Fixtures[MR], Fixtures[userTeam], Teams[[#This Row],[name]])), "")</f>
        <v/>
      </c>
      <c r="R439" s="1" t="str">
        <f>IF(Teams[[#This Row],[relevant]], COUNTIFS(Fixtures[userTeam], Teams[[#This Row],[name]], Fixtures[MOTM], TRUE), "")</f>
        <v/>
      </c>
      <c r="S439" s="1" t="str" cm="1">
        <f t="array" ref="S439">IF(Teams[[#This Row],[relevant]], _xlfn.TEXTJOIN(", ", TRUE, _xlfn._xlws.FILTER(Stats[competition]&amp;" ("&amp;Stats[season]&amp;")",(Stats[team]=Teams[[#This Row],[name]])*(Stats[result]="Winner"),"")), "")</f>
        <v/>
      </c>
    </row>
    <row r="440" spans="1:19" ht="13" hidden="1">
      <c r="A440" s="1" t="s">
        <v>794</v>
      </c>
      <c r="B440" s="1" t="s">
        <v>16</v>
      </c>
      <c r="C440" s="1" t="s">
        <v>391</v>
      </c>
      <c r="D440" s="1" t="str">
        <f>UPPER(_xlfn.CONCAT(LEFT(Teams[[#This Row],[teamType]], 1), "-", LEFT(SUBSTITUTE(Teams[[#This Row],[nation]], "/", ""), 3), "-", SUBSTITUTE(SUBSTITUTE(SUBSTITUTE(Teams[[#This Row],[name]], ".", ""), " ", ""), "-", "")))</f>
        <v>C-UNI-NASHVILLESC</v>
      </c>
      <c r="E440" s="16"/>
      <c r="F440" s="16"/>
      <c r="G440" s="1" t="b">
        <f>COUNTBLANK(Teams[[#This Row],[startDate]:[endDate]]) &lt; 2</f>
        <v>0</v>
      </c>
      <c r="H440" s="1" t="str">
        <f>IF(Teams[[#This Row],[relevant]], COUNTIFS(Fixtures[userTeam], Teams[[#This Row],[name]], Fixtures[APP], TRUE), "")</f>
        <v/>
      </c>
      <c r="I440" s="1" t="str">
        <f>IF(Teams[[#This Row],[relevant]], COUNTIFS(Fixtures[userTeam], Teams[[#This Row],[name]], Fixtures[result], "W", Fixtures[APP], TRUE), "")</f>
        <v/>
      </c>
      <c r="J440" s="1" t="str">
        <f>IF(Teams[[#This Row],[relevant]], COUNTIFS(Fixtures[userTeam], Teams[[#This Row],[name]], Fixtures[result], "D", Fixtures[APP], TRUE), "")</f>
        <v/>
      </c>
      <c r="K440" s="1" t="str">
        <f>IF(Teams[[#This Row],[relevant]], COUNTIFS(Fixtures[userTeam], Teams[[#This Row],[name]], Fixtures[result], "L", Fixtures[APP], TRUE), "")</f>
        <v/>
      </c>
      <c r="L440" s="1" t="str">
        <f>IF(Teams[[#This Row],[relevant]], SUMIFS(Fixtures[G], Fixtures[userTeam], Teams[[#This Row],[name]]), "")</f>
        <v/>
      </c>
      <c r="M440" s="1" t="str">
        <f>IF(Teams[[#This Row],[relevant]], SUMIFS(Fixtures[A], Fixtures[userTeam], Teams[[#This Row],[name]]), "")</f>
        <v/>
      </c>
      <c r="N440" s="1" t="str">
        <f>IF(Teams[[#This Row],[relevant]], SUMIFS(Fixtures[INV], Fixtures[userTeam], Teams[[#This Row],[name]]), "")</f>
        <v/>
      </c>
      <c r="O440" s="1" t="str">
        <f>IF(Teams[[#This Row],[relevant]], SUMIFS(Fixtures[YC], Fixtures[userTeam], Teams[[#This Row],[name]]), "")</f>
        <v/>
      </c>
      <c r="P440" s="1" t="str">
        <f>IF(Teams[[#This Row],[relevant]], SUMIFS(Fixtures[RC], Fixtures[userTeam], Teams[[#This Row],[name]]), "")</f>
        <v/>
      </c>
      <c r="Q440" s="13" t="str">
        <f>IF(Teams[[#This Row],[relevant]], IF(ISERROR(AVERAGEIFS(Fixtures[MR], Fixtures[userTeam], Teams[[#This Row],[name]])), 0, AVERAGEIFS(Fixtures[MR], Fixtures[userTeam], Teams[[#This Row],[name]])), "")</f>
        <v/>
      </c>
      <c r="R440" s="1" t="str">
        <f>IF(Teams[[#This Row],[relevant]], COUNTIFS(Fixtures[userTeam], Teams[[#This Row],[name]], Fixtures[MOTM], TRUE), "")</f>
        <v/>
      </c>
      <c r="S440" s="1" t="str" cm="1">
        <f t="array" ref="S440">IF(Teams[[#This Row],[relevant]], _xlfn.TEXTJOIN(", ", TRUE, _xlfn._xlws.FILTER(Stats[competition]&amp;" ("&amp;Stats[season]&amp;")",(Stats[team]=Teams[[#This Row],[name]])*(Stats[result]="Winner"),"")), "")</f>
        <v/>
      </c>
    </row>
    <row r="441" spans="1:19" ht="13" hidden="1">
      <c r="A441" s="1" t="s">
        <v>425</v>
      </c>
      <c r="B441" s="1" t="s">
        <v>425</v>
      </c>
      <c r="C441" s="1" t="s">
        <v>459</v>
      </c>
      <c r="D441" s="1" t="str">
        <f>UPPER(_xlfn.CONCAT(LEFT(Teams[[#This Row],[teamType]], 1), "-", LEFT(SUBSTITUTE(Teams[[#This Row],[nation]], "/", ""), 3), "-", SUBSTITUTE(SUBSTITUTE(SUBSTITUTE(Teams[[#This Row],[name]], ".", ""), " ", ""), "-", "")))</f>
        <v>N-NET-NETHERLANDS</v>
      </c>
      <c r="E441" s="16"/>
      <c r="F441" s="16"/>
      <c r="G441" s="1" t="b">
        <f>COUNTBLANK(Teams[[#This Row],[startDate]:[endDate]]) &lt; 2</f>
        <v>0</v>
      </c>
      <c r="H441" s="1" t="str">
        <f>IF(Teams[[#This Row],[relevant]], COUNTIFS(Fixtures[userTeam], Teams[[#This Row],[name]], Fixtures[APP], TRUE), "")</f>
        <v/>
      </c>
      <c r="I441" s="1" t="str">
        <f>IF(Teams[[#This Row],[relevant]], COUNTIFS(Fixtures[userTeam], Teams[[#This Row],[name]], Fixtures[result], "W", Fixtures[APP], TRUE), "")</f>
        <v/>
      </c>
      <c r="J441" s="1" t="str">
        <f>IF(Teams[[#This Row],[relevant]], COUNTIFS(Fixtures[userTeam], Teams[[#This Row],[name]], Fixtures[result], "D", Fixtures[APP], TRUE), "")</f>
        <v/>
      </c>
      <c r="K441" s="1" t="str">
        <f>IF(Teams[[#This Row],[relevant]], COUNTIFS(Fixtures[userTeam], Teams[[#This Row],[name]], Fixtures[result], "L", Fixtures[APP], TRUE), "")</f>
        <v/>
      </c>
      <c r="L441" s="1" t="str">
        <f>IF(Teams[[#This Row],[relevant]], SUMIFS(Fixtures[G], Fixtures[userTeam], Teams[[#This Row],[name]]), "")</f>
        <v/>
      </c>
      <c r="M441" s="1" t="str">
        <f>IF(Teams[[#This Row],[relevant]], SUMIFS(Fixtures[A], Fixtures[userTeam], Teams[[#This Row],[name]]), "")</f>
        <v/>
      </c>
      <c r="N441" s="1" t="str">
        <f>IF(Teams[[#This Row],[relevant]], SUMIFS(Fixtures[INV], Fixtures[userTeam], Teams[[#This Row],[name]]), "")</f>
        <v/>
      </c>
      <c r="O441" s="1" t="str">
        <f>IF(Teams[[#This Row],[relevant]], SUMIFS(Fixtures[YC], Fixtures[userTeam], Teams[[#This Row],[name]]), "")</f>
        <v/>
      </c>
      <c r="P441" s="1" t="str">
        <f>IF(Teams[[#This Row],[relevant]], SUMIFS(Fixtures[RC], Fixtures[userTeam], Teams[[#This Row],[name]]), "")</f>
        <v/>
      </c>
      <c r="Q441" s="13" t="str">
        <f>IF(Teams[[#This Row],[relevant]], IF(ISERROR(AVERAGEIFS(Fixtures[MR], Fixtures[userTeam], Teams[[#This Row],[name]])), 0, AVERAGEIFS(Fixtures[MR], Fixtures[userTeam], Teams[[#This Row],[name]])), "")</f>
        <v/>
      </c>
      <c r="R441" s="1" t="str">
        <f>IF(Teams[[#This Row],[relevant]], COUNTIFS(Fixtures[userTeam], Teams[[#This Row],[name]], Fixtures[MOTM], TRUE), "")</f>
        <v/>
      </c>
      <c r="S441" s="1" t="str" cm="1">
        <f t="array" ref="S441">IF(Teams[[#This Row],[relevant]], _xlfn.TEXTJOIN(", ", TRUE, _xlfn._xlws.FILTER(Stats[competition]&amp;" ("&amp;Stats[season]&amp;")",(Stats[team]=Teams[[#This Row],[name]])*(Stats[result]="Winner"),"")), "")</f>
        <v/>
      </c>
    </row>
    <row r="442" spans="1:19" ht="13" hidden="1">
      <c r="A442" s="1" t="s">
        <v>795</v>
      </c>
      <c r="B442" s="1" t="s">
        <v>16</v>
      </c>
      <c r="C442" s="1" t="s">
        <v>391</v>
      </c>
      <c r="D442" s="1" t="str">
        <f>UPPER(_xlfn.CONCAT(LEFT(Teams[[#This Row],[teamType]], 1), "-", LEFT(SUBSTITUTE(Teams[[#This Row],[nation]], "/", ""), 3), "-", SUBSTITUTE(SUBSTITUTE(SUBSTITUTE(Teams[[#This Row],[name]], ".", ""), " ", ""), "-", "")))</f>
        <v>C-UNI-NEWENGLAND</v>
      </c>
      <c r="E442" s="16"/>
      <c r="F442" s="16"/>
      <c r="G442" s="1" t="b">
        <f>COUNTBLANK(Teams[[#This Row],[startDate]:[endDate]]) &lt; 2</f>
        <v>0</v>
      </c>
      <c r="H442" s="1" t="str">
        <f>IF(Teams[[#This Row],[relevant]], COUNTIFS(Fixtures[userTeam], Teams[[#This Row],[name]], Fixtures[APP], TRUE), "")</f>
        <v/>
      </c>
      <c r="I442" s="1" t="str">
        <f>IF(Teams[[#This Row],[relevant]], COUNTIFS(Fixtures[userTeam], Teams[[#This Row],[name]], Fixtures[result], "W", Fixtures[APP], TRUE), "")</f>
        <v/>
      </c>
      <c r="J442" s="1" t="str">
        <f>IF(Teams[[#This Row],[relevant]], COUNTIFS(Fixtures[userTeam], Teams[[#This Row],[name]], Fixtures[result], "D", Fixtures[APP], TRUE), "")</f>
        <v/>
      </c>
      <c r="K442" s="1" t="str">
        <f>IF(Teams[[#This Row],[relevant]], COUNTIFS(Fixtures[userTeam], Teams[[#This Row],[name]], Fixtures[result], "L", Fixtures[APP], TRUE), "")</f>
        <v/>
      </c>
      <c r="L442" s="1" t="str">
        <f>IF(Teams[[#This Row],[relevant]], SUMIFS(Fixtures[G], Fixtures[userTeam], Teams[[#This Row],[name]]), "")</f>
        <v/>
      </c>
      <c r="M442" s="1" t="str">
        <f>IF(Teams[[#This Row],[relevant]], SUMIFS(Fixtures[A], Fixtures[userTeam], Teams[[#This Row],[name]]), "")</f>
        <v/>
      </c>
      <c r="N442" s="1" t="str">
        <f>IF(Teams[[#This Row],[relevant]], SUMIFS(Fixtures[INV], Fixtures[userTeam], Teams[[#This Row],[name]]), "")</f>
        <v/>
      </c>
      <c r="O442" s="1" t="str">
        <f>IF(Teams[[#This Row],[relevant]], SUMIFS(Fixtures[YC], Fixtures[userTeam], Teams[[#This Row],[name]]), "")</f>
        <v/>
      </c>
      <c r="P442" s="1" t="str">
        <f>IF(Teams[[#This Row],[relevant]], SUMIFS(Fixtures[RC], Fixtures[userTeam], Teams[[#This Row],[name]]), "")</f>
        <v/>
      </c>
      <c r="Q442" s="13" t="str">
        <f>IF(Teams[[#This Row],[relevant]], IF(ISERROR(AVERAGEIFS(Fixtures[MR], Fixtures[userTeam], Teams[[#This Row],[name]])), 0, AVERAGEIFS(Fixtures[MR], Fixtures[userTeam], Teams[[#This Row],[name]])), "")</f>
        <v/>
      </c>
      <c r="R442" s="1" t="str">
        <f>IF(Teams[[#This Row],[relevant]], COUNTIFS(Fixtures[userTeam], Teams[[#This Row],[name]], Fixtures[MOTM], TRUE), "")</f>
        <v/>
      </c>
      <c r="S442" s="1" t="str" cm="1">
        <f t="array" ref="S442">IF(Teams[[#This Row],[relevant]], _xlfn.TEXTJOIN(", ", TRUE, _xlfn._xlws.FILTER(Stats[competition]&amp;" ("&amp;Stats[season]&amp;")",(Stats[team]=Teams[[#This Row],[name]])*(Stats[result]="Winner"),"")), "")</f>
        <v/>
      </c>
    </row>
    <row r="443" spans="1:19" ht="13" hidden="1">
      <c r="A443" s="1" t="s">
        <v>796</v>
      </c>
      <c r="B443" s="1" t="s">
        <v>16</v>
      </c>
      <c r="C443" s="1" t="s">
        <v>391</v>
      </c>
      <c r="D443" s="1" t="str">
        <f>UPPER(_xlfn.CONCAT(LEFT(Teams[[#This Row],[teamType]], 1), "-", LEFT(SUBSTITUTE(Teams[[#This Row],[nation]], "/", ""), 3), "-", SUBSTITUTE(SUBSTITUTE(SUBSTITUTE(Teams[[#This Row],[name]], ".", ""), " ", ""), "-", "")))</f>
        <v>C-UNI-NEWYORKCITYFC</v>
      </c>
      <c r="E443" s="16"/>
      <c r="F443" s="16"/>
      <c r="G443" s="1" t="b">
        <f>COUNTBLANK(Teams[[#This Row],[startDate]:[endDate]]) &lt; 2</f>
        <v>0</v>
      </c>
      <c r="H443" s="1" t="str">
        <f>IF(Teams[[#This Row],[relevant]], COUNTIFS(Fixtures[userTeam], Teams[[#This Row],[name]], Fixtures[APP], TRUE), "")</f>
        <v/>
      </c>
      <c r="I443" s="1" t="str">
        <f>IF(Teams[[#This Row],[relevant]], COUNTIFS(Fixtures[userTeam], Teams[[#This Row],[name]], Fixtures[result], "W", Fixtures[APP], TRUE), "")</f>
        <v/>
      </c>
      <c r="J443" s="1" t="str">
        <f>IF(Teams[[#This Row],[relevant]], COUNTIFS(Fixtures[userTeam], Teams[[#This Row],[name]], Fixtures[result], "D", Fixtures[APP], TRUE), "")</f>
        <v/>
      </c>
      <c r="K443" s="1" t="str">
        <f>IF(Teams[[#This Row],[relevant]], COUNTIFS(Fixtures[userTeam], Teams[[#This Row],[name]], Fixtures[result], "L", Fixtures[APP], TRUE), "")</f>
        <v/>
      </c>
      <c r="L443" s="1" t="str">
        <f>IF(Teams[[#This Row],[relevant]], SUMIFS(Fixtures[G], Fixtures[userTeam], Teams[[#This Row],[name]]), "")</f>
        <v/>
      </c>
      <c r="M443" s="1" t="str">
        <f>IF(Teams[[#This Row],[relevant]], SUMIFS(Fixtures[A], Fixtures[userTeam], Teams[[#This Row],[name]]), "")</f>
        <v/>
      </c>
      <c r="N443" s="1" t="str">
        <f>IF(Teams[[#This Row],[relevant]], SUMIFS(Fixtures[INV], Fixtures[userTeam], Teams[[#This Row],[name]]), "")</f>
        <v/>
      </c>
      <c r="O443" s="1" t="str">
        <f>IF(Teams[[#This Row],[relevant]], SUMIFS(Fixtures[YC], Fixtures[userTeam], Teams[[#This Row],[name]]), "")</f>
        <v/>
      </c>
      <c r="P443" s="1" t="str">
        <f>IF(Teams[[#This Row],[relevant]], SUMIFS(Fixtures[RC], Fixtures[userTeam], Teams[[#This Row],[name]]), "")</f>
        <v/>
      </c>
      <c r="Q443" s="13" t="str">
        <f>IF(Teams[[#This Row],[relevant]], IF(ISERROR(AVERAGEIFS(Fixtures[MR], Fixtures[userTeam], Teams[[#This Row],[name]])), 0, AVERAGEIFS(Fixtures[MR], Fixtures[userTeam], Teams[[#This Row],[name]])), "")</f>
        <v/>
      </c>
      <c r="R443" s="1" t="str">
        <f>IF(Teams[[#This Row],[relevant]], COUNTIFS(Fixtures[userTeam], Teams[[#This Row],[name]], Fixtures[MOTM], TRUE), "")</f>
        <v/>
      </c>
      <c r="S443" s="1" t="str" cm="1">
        <f t="array" ref="S443">IF(Teams[[#This Row],[relevant]], _xlfn.TEXTJOIN(", ", TRUE, _xlfn._xlws.FILTER(Stats[competition]&amp;" ("&amp;Stats[season]&amp;")",(Stats[team]=Teams[[#This Row],[name]])*(Stats[result]="Winner"),"")), "")</f>
        <v/>
      </c>
    </row>
    <row r="444" spans="1:19" ht="13" hidden="1">
      <c r="A444" s="1" t="s">
        <v>347</v>
      </c>
      <c r="B444" s="1" t="s">
        <v>347</v>
      </c>
      <c r="C444" s="1" t="s">
        <v>459</v>
      </c>
      <c r="D444" s="1" t="str">
        <f>UPPER(_xlfn.CONCAT(LEFT(Teams[[#This Row],[teamType]], 1), "-", LEFT(SUBSTITUTE(Teams[[#This Row],[nation]], "/", ""), 3), "-", SUBSTITUTE(SUBSTITUTE(SUBSTITUTE(Teams[[#This Row],[name]], ".", ""), " ", ""), "-", "")))</f>
        <v>N-NEW-NEWZEALAND</v>
      </c>
      <c r="E444" s="16"/>
      <c r="F444" s="16"/>
      <c r="G444" s="1" t="b">
        <f>COUNTBLANK(Teams[[#This Row],[startDate]:[endDate]]) &lt; 2</f>
        <v>0</v>
      </c>
      <c r="H444" s="1" t="str">
        <f>IF(Teams[[#This Row],[relevant]], COUNTIFS(Fixtures[userTeam], Teams[[#This Row],[name]], Fixtures[APP], TRUE), "")</f>
        <v/>
      </c>
      <c r="I444" s="1" t="str">
        <f>IF(Teams[[#This Row],[relevant]], COUNTIFS(Fixtures[userTeam], Teams[[#This Row],[name]], Fixtures[result], "W", Fixtures[APP], TRUE), "")</f>
        <v/>
      </c>
      <c r="J444" s="1" t="str">
        <f>IF(Teams[[#This Row],[relevant]], COUNTIFS(Fixtures[userTeam], Teams[[#This Row],[name]], Fixtures[result], "D", Fixtures[APP], TRUE), "")</f>
        <v/>
      </c>
      <c r="K444" s="1" t="str">
        <f>IF(Teams[[#This Row],[relevant]], COUNTIFS(Fixtures[userTeam], Teams[[#This Row],[name]], Fixtures[result], "L", Fixtures[APP], TRUE), "")</f>
        <v/>
      </c>
      <c r="L444" s="1" t="str">
        <f>IF(Teams[[#This Row],[relevant]], SUMIFS(Fixtures[G], Fixtures[userTeam], Teams[[#This Row],[name]]), "")</f>
        <v/>
      </c>
      <c r="M444" s="1" t="str">
        <f>IF(Teams[[#This Row],[relevant]], SUMIFS(Fixtures[A], Fixtures[userTeam], Teams[[#This Row],[name]]), "")</f>
        <v/>
      </c>
      <c r="N444" s="1" t="str">
        <f>IF(Teams[[#This Row],[relevant]], SUMIFS(Fixtures[INV], Fixtures[userTeam], Teams[[#This Row],[name]]), "")</f>
        <v/>
      </c>
      <c r="O444" s="1" t="str">
        <f>IF(Teams[[#This Row],[relevant]], SUMIFS(Fixtures[YC], Fixtures[userTeam], Teams[[#This Row],[name]]), "")</f>
        <v/>
      </c>
      <c r="P444" s="1" t="str">
        <f>IF(Teams[[#This Row],[relevant]], SUMIFS(Fixtures[RC], Fixtures[userTeam], Teams[[#This Row],[name]]), "")</f>
        <v/>
      </c>
      <c r="Q444" s="13" t="str">
        <f>IF(Teams[[#This Row],[relevant]], IF(ISERROR(AVERAGEIFS(Fixtures[MR], Fixtures[userTeam], Teams[[#This Row],[name]])), 0, AVERAGEIFS(Fixtures[MR], Fixtures[userTeam], Teams[[#This Row],[name]])), "")</f>
        <v/>
      </c>
      <c r="R444" s="1" t="str">
        <f>IF(Teams[[#This Row],[relevant]], COUNTIFS(Fixtures[userTeam], Teams[[#This Row],[name]], Fixtures[MOTM], TRUE), "")</f>
        <v/>
      </c>
      <c r="S444" s="1" t="str" cm="1">
        <f t="array" ref="S444">IF(Teams[[#This Row],[relevant]], _xlfn.TEXTJOIN(", ", TRUE, _xlfn._xlws.FILTER(Stats[competition]&amp;" ("&amp;Stats[season]&amp;")",(Stats[team]=Teams[[#This Row],[name]])*(Stats[result]="Winner"),"")), "")</f>
        <v/>
      </c>
    </row>
    <row r="445" spans="1:19" ht="13" hidden="1">
      <c r="A445" s="1" t="s">
        <v>797</v>
      </c>
      <c r="B445" s="1" t="s">
        <v>410</v>
      </c>
      <c r="C445" s="1" t="s">
        <v>391</v>
      </c>
      <c r="D445" s="1" t="str">
        <f>UPPER(_xlfn.CONCAT(LEFT(Teams[[#This Row],[teamType]], 1), "-", LEFT(SUBSTITUTE(Teams[[#This Row],[nation]], "/", ""), 3), "-", SUBSTITUTE(SUBSTITUTE(SUBSTITUTE(Teams[[#This Row],[name]], ".", ""), " ", ""), "-", "")))</f>
        <v>C-AUS-NEWCASTLEJETS</v>
      </c>
      <c r="E445" s="16"/>
      <c r="F445" s="16"/>
      <c r="G445" s="1" t="b">
        <f>COUNTBLANK(Teams[[#This Row],[startDate]:[endDate]]) &lt; 2</f>
        <v>0</v>
      </c>
      <c r="H445" s="1" t="str">
        <f>IF(Teams[[#This Row],[relevant]], COUNTIFS(Fixtures[userTeam], Teams[[#This Row],[name]], Fixtures[APP], TRUE), "")</f>
        <v/>
      </c>
      <c r="I445" s="1" t="str">
        <f>IF(Teams[[#This Row],[relevant]], COUNTIFS(Fixtures[userTeam], Teams[[#This Row],[name]], Fixtures[result], "W", Fixtures[APP], TRUE), "")</f>
        <v/>
      </c>
      <c r="J445" s="1" t="str">
        <f>IF(Teams[[#This Row],[relevant]], COUNTIFS(Fixtures[userTeam], Teams[[#This Row],[name]], Fixtures[result], "D", Fixtures[APP], TRUE), "")</f>
        <v/>
      </c>
      <c r="K445" s="1" t="str">
        <f>IF(Teams[[#This Row],[relevant]], COUNTIFS(Fixtures[userTeam], Teams[[#This Row],[name]], Fixtures[result], "L", Fixtures[APP], TRUE), "")</f>
        <v/>
      </c>
      <c r="L445" s="1" t="str">
        <f>IF(Teams[[#This Row],[relevant]], SUMIFS(Fixtures[G], Fixtures[userTeam], Teams[[#This Row],[name]]), "")</f>
        <v/>
      </c>
      <c r="M445" s="1" t="str">
        <f>IF(Teams[[#This Row],[relevant]], SUMIFS(Fixtures[A], Fixtures[userTeam], Teams[[#This Row],[name]]), "")</f>
        <v/>
      </c>
      <c r="N445" s="1" t="str">
        <f>IF(Teams[[#This Row],[relevant]], SUMIFS(Fixtures[INV], Fixtures[userTeam], Teams[[#This Row],[name]]), "")</f>
        <v/>
      </c>
      <c r="O445" s="1" t="str">
        <f>IF(Teams[[#This Row],[relevant]], SUMIFS(Fixtures[YC], Fixtures[userTeam], Teams[[#This Row],[name]]), "")</f>
        <v/>
      </c>
      <c r="P445" s="1" t="str">
        <f>IF(Teams[[#This Row],[relevant]], SUMIFS(Fixtures[RC], Fixtures[userTeam], Teams[[#This Row],[name]]), "")</f>
        <v/>
      </c>
      <c r="Q445" s="13" t="str">
        <f>IF(Teams[[#This Row],[relevant]], IF(ISERROR(AVERAGEIFS(Fixtures[MR], Fixtures[userTeam], Teams[[#This Row],[name]])), 0, AVERAGEIFS(Fixtures[MR], Fixtures[userTeam], Teams[[#This Row],[name]])), "")</f>
        <v/>
      </c>
      <c r="R445" s="1" t="str">
        <f>IF(Teams[[#This Row],[relevant]], COUNTIFS(Fixtures[userTeam], Teams[[#This Row],[name]], Fixtures[MOTM], TRUE), "")</f>
        <v/>
      </c>
      <c r="S445" s="1" t="str" cm="1">
        <f t="array" ref="S445">IF(Teams[[#This Row],[relevant]], _xlfn.TEXTJOIN(", ", TRUE, _xlfn._xlws.FILTER(Stats[competition]&amp;" ("&amp;Stats[season]&amp;")",(Stats[team]=Teams[[#This Row],[name]])*(Stats[result]="Winner"),"")), "")</f>
        <v/>
      </c>
    </row>
    <row r="446" spans="1:19" ht="13" hidden="1">
      <c r="A446" s="1" t="s">
        <v>798</v>
      </c>
      <c r="B446" s="1" t="s">
        <v>152</v>
      </c>
      <c r="C446" s="1" t="s">
        <v>391</v>
      </c>
      <c r="D446" s="1" t="str">
        <f>UPPER(_xlfn.CONCAT(LEFT(Teams[[#This Row],[teamType]], 1), "-", LEFT(SUBSTITUTE(Teams[[#This Row],[nation]], "/", ""), 3), "-", SUBSTITUTE(SUBSTITUTE(SUBSTITUTE(Teams[[#This Row],[name]], ".", ""), " ", ""), "-", "")))</f>
        <v>C-ENG-NEWCASTLEUTD</v>
      </c>
      <c r="E446" s="16"/>
      <c r="F446" s="16"/>
      <c r="G446" s="1" t="b">
        <f>COUNTBLANK(Teams[[#This Row],[startDate]:[endDate]]) &lt; 2</f>
        <v>0</v>
      </c>
      <c r="H446" s="1" t="str">
        <f>IF(Teams[[#This Row],[relevant]], COUNTIFS(Fixtures[userTeam], Teams[[#This Row],[name]], Fixtures[APP], TRUE), "")</f>
        <v/>
      </c>
      <c r="I446" s="1" t="str">
        <f>IF(Teams[[#This Row],[relevant]], COUNTIFS(Fixtures[userTeam], Teams[[#This Row],[name]], Fixtures[result], "W", Fixtures[APP], TRUE), "")</f>
        <v/>
      </c>
      <c r="J446" s="1" t="str">
        <f>IF(Teams[[#This Row],[relevant]], COUNTIFS(Fixtures[userTeam], Teams[[#This Row],[name]], Fixtures[result], "D", Fixtures[APP], TRUE), "")</f>
        <v/>
      </c>
      <c r="K446" s="1" t="str">
        <f>IF(Teams[[#This Row],[relevant]], COUNTIFS(Fixtures[userTeam], Teams[[#This Row],[name]], Fixtures[result], "L", Fixtures[APP], TRUE), "")</f>
        <v/>
      </c>
      <c r="L446" s="1" t="str">
        <f>IF(Teams[[#This Row],[relevant]], SUMIFS(Fixtures[G], Fixtures[userTeam], Teams[[#This Row],[name]]), "")</f>
        <v/>
      </c>
      <c r="M446" s="1" t="str">
        <f>IF(Teams[[#This Row],[relevant]], SUMIFS(Fixtures[A], Fixtures[userTeam], Teams[[#This Row],[name]]), "")</f>
        <v/>
      </c>
      <c r="N446" s="1" t="str">
        <f>IF(Teams[[#This Row],[relevant]], SUMIFS(Fixtures[INV], Fixtures[userTeam], Teams[[#This Row],[name]]), "")</f>
        <v/>
      </c>
      <c r="O446" s="1" t="str">
        <f>IF(Teams[[#This Row],[relevant]], SUMIFS(Fixtures[YC], Fixtures[userTeam], Teams[[#This Row],[name]]), "")</f>
        <v/>
      </c>
      <c r="P446" s="1" t="str">
        <f>IF(Teams[[#This Row],[relevant]], SUMIFS(Fixtures[RC], Fixtures[userTeam], Teams[[#This Row],[name]]), "")</f>
        <v/>
      </c>
      <c r="Q446" s="13" t="str">
        <f>IF(Teams[[#This Row],[relevant]], IF(ISERROR(AVERAGEIFS(Fixtures[MR], Fixtures[userTeam], Teams[[#This Row],[name]])), 0, AVERAGEIFS(Fixtures[MR], Fixtures[userTeam], Teams[[#This Row],[name]])), "")</f>
        <v/>
      </c>
      <c r="R446" s="1" t="str">
        <f>IF(Teams[[#This Row],[relevant]], COUNTIFS(Fixtures[userTeam], Teams[[#This Row],[name]], Fixtures[MOTM], TRUE), "")</f>
        <v/>
      </c>
      <c r="S446" s="1" t="str" cm="1">
        <f t="array" ref="S446">IF(Teams[[#This Row],[relevant]], _xlfn.TEXTJOIN(", ", TRUE, _xlfn._xlws.FILTER(Stats[competition]&amp;" ("&amp;Stats[season]&amp;")",(Stats[team]=Teams[[#This Row],[name]])*(Stats[result]="Winner"),"")), "")</f>
        <v/>
      </c>
    </row>
    <row r="447" spans="1:19" ht="13" hidden="1">
      <c r="A447" s="1" t="s">
        <v>799</v>
      </c>
      <c r="B447" s="1" t="s">
        <v>131</v>
      </c>
      <c r="C447" s="1" t="s">
        <v>391</v>
      </c>
      <c r="D447" s="1" t="str">
        <f>UPPER(_xlfn.CONCAT(LEFT(Teams[[#This Row],[teamType]], 1), "-", LEFT(SUBSTITUTE(Teams[[#This Row],[nation]], "/", ""), 3), "-", SUBSTITUTE(SUBSTITUTE(SUBSTITUTE(Teams[[#This Row],[name]], ".", ""), " ", ""), "-", "")))</f>
        <v>C-ARG-NEWELL'S</v>
      </c>
      <c r="E447" s="16"/>
      <c r="F447" s="16"/>
      <c r="G447" s="1" t="b">
        <f>COUNTBLANK(Teams[[#This Row],[startDate]:[endDate]]) &lt; 2</f>
        <v>0</v>
      </c>
      <c r="H447" s="1" t="str">
        <f>IF(Teams[[#This Row],[relevant]], COUNTIFS(Fixtures[userTeam], Teams[[#This Row],[name]], Fixtures[APP], TRUE), "")</f>
        <v/>
      </c>
      <c r="I447" s="1" t="str">
        <f>IF(Teams[[#This Row],[relevant]], COUNTIFS(Fixtures[userTeam], Teams[[#This Row],[name]], Fixtures[result], "W", Fixtures[APP], TRUE), "")</f>
        <v/>
      </c>
      <c r="J447" s="1" t="str">
        <f>IF(Teams[[#This Row],[relevant]], COUNTIFS(Fixtures[userTeam], Teams[[#This Row],[name]], Fixtures[result], "D", Fixtures[APP], TRUE), "")</f>
        <v/>
      </c>
      <c r="K447" s="1" t="str">
        <f>IF(Teams[[#This Row],[relevant]], COUNTIFS(Fixtures[userTeam], Teams[[#This Row],[name]], Fixtures[result], "L", Fixtures[APP], TRUE), "")</f>
        <v/>
      </c>
      <c r="L447" s="1" t="str">
        <f>IF(Teams[[#This Row],[relevant]], SUMIFS(Fixtures[G], Fixtures[userTeam], Teams[[#This Row],[name]]), "")</f>
        <v/>
      </c>
      <c r="M447" s="1" t="str">
        <f>IF(Teams[[#This Row],[relevant]], SUMIFS(Fixtures[A], Fixtures[userTeam], Teams[[#This Row],[name]]), "")</f>
        <v/>
      </c>
      <c r="N447" s="1" t="str">
        <f>IF(Teams[[#This Row],[relevant]], SUMIFS(Fixtures[INV], Fixtures[userTeam], Teams[[#This Row],[name]]), "")</f>
        <v/>
      </c>
      <c r="O447" s="1" t="str">
        <f>IF(Teams[[#This Row],[relevant]], SUMIFS(Fixtures[YC], Fixtures[userTeam], Teams[[#This Row],[name]]), "")</f>
        <v/>
      </c>
      <c r="P447" s="1" t="str">
        <f>IF(Teams[[#This Row],[relevant]], SUMIFS(Fixtures[RC], Fixtures[userTeam], Teams[[#This Row],[name]]), "")</f>
        <v/>
      </c>
      <c r="Q447" s="13" t="str">
        <f>IF(Teams[[#This Row],[relevant]], IF(ISERROR(AVERAGEIFS(Fixtures[MR], Fixtures[userTeam], Teams[[#This Row],[name]])), 0, AVERAGEIFS(Fixtures[MR], Fixtures[userTeam], Teams[[#This Row],[name]])), "")</f>
        <v/>
      </c>
      <c r="R447" s="1" t="str">
        <f>IF(Teams[[#This Row],[relevant]], COUNTIFS(Fixtures[userTeam], Teams[[#This Row],[name]], Fixtures[MOTM], TRUE), "")</f>
        <v/>
      </c>
      <c r="S447" s="1" t="str" cm="1">
        <f t="array" ref="S447">IF(Teams[[#This Row],[relevant]], _xlfn.TEXTJOIN(", ", TRUE, _xlfn._xlws.FILTER(Stats[competition]&amp;" ("&amp;Stats[season]&amp;")",(Stats[team]=Teams[[#This Row],[name]])*(Stats[result]="Winner"),"")), "")</f>
        <v/>
      </c>
    </row>
    <row r="448" spans="1:19" ht="13" hidden="1">
      <c r="A448" s="1" t="s">
        <v>800</v>
      </c>
      <c r="B448" s="1" t="s">
        <v>152</v>
      </c>
      <c r="C448" s="1" t="s">
        <v>391</v>
      </c>
      <c r="D448" s="1" t="str">
        <f>UPPER(_xlfn.CONCAT(LEFT(Teams[[#This Row],[teamType]], 1), "-", LEFT(SUBSTITUTE(Teams[[#This Row],[nation]], "/", ""), 3), "-", SUBSTITUTE(SUBSTITUTE(SUBSTITUTE(Teams[[#This Row],[name]], ".", ""), " ", ""), "-", "")))</f>
        <v>C-ENG-NEWPORTCOUNTY</v>
      </c>
      <c r="E448" s="16"/>
      <c r="F448" s="16"/>
      <c r="G448" s="1" t="b">
        <f>COUNTBLANK(Teams[[#This Row],[startDate]:[endDate]]) &lt; 2</f>
        <v>0</v>
      </c>
      <c r="H448" s="1" t="str">
        <f>IF(Teams[[#This Row],[relevant]], COUNTIFS(Fixtures[userTeam], Teams[[#This Row],[name]], Fixtures[APP], TRUE), "")</f>
        <v/>
      </c>
      <c r="I448" s="1" t="str">
        <f>IF(Teams[[#This Row],[relevant]], COUNTIFS(Fixtures[userTeam], Teams[[#This Row],[name]], Fixtures[result], "W", Fixtures[APP], TRUE), "")</f>
        <v/>
      </c>
      <c r="J448" s="1" t="str">
        <f>IF(Teams[[#This Row],[relevant]], COUNTIFS(Fixtures[userTeam], Teams[[#This Row],[name]], Fixtures[result], "D", Fixtures[APP], TRUE), "")</f>
        <v/>
      </c>
      <c r="K448" s="1" t="str">
        <f>IF(Teams[[#This Row],[relevant]], COUNTIFS(Fixtures[userTeam], Teams[[#This Row],[name]], Fixtures[result], "L", Fixtures[APP], TRUE), "")</f>
        <v/>
      </c>
      <c r="L448" s="1" t="str">
        <f>IF(Teams[[#This Row],[relevant]], SUMIFS(Fixtures[G], Fixtures[userTeam], Teams[[#This Row],[name]]), "")</f>
        <v/>
      </c>
      <c r="M448" s="1" t="str">
        <f>IF(Teams[[#This Row],[relevant]], SUMIFS(Fixtures[A], Fixtures[userTeam], Teams[[#This Row],[name]]), "")</f>
        <v/>
      </c>
      <c r="N448" s="1" t="str">
        <f>IF(Teams[[#This Row],[relevant]], SUMIFS(Fixtures[INV], Fixtures[userTeam], Teams[[#This Row],[name]]), "")</f>
        <v/>
      </c>
      <c r="O448" s="1" t="str">
        <f>IF(Teams[[#This Row],[relevant]], SUMIFS(Fixtures[YC], Fixtures[userTeam], Teams[[#This Row],[name]]), "")</f>
        <v/>
      </c>
      <c r="P448" s="1" t="str">
        <f>IF(Teams[[#This Row],[relevant]], SUMIFS(Fixtures[RC], Fixtures[userTeam], Teams[[#This Row],[name]]), "")</f>
        <v/>
      </c>
      <c r="Q448" s="13" t="str">
        <f>IF(Teams[[#This Row],[relevant]], IF(ISERROR(AVERAGEIFS(Fixtures[MR], Fixtures[userTeam], Teams[[#This Row],[name]])), 0, AVERAGEIFS(Fixtures[MR], Fixtures[userTeam], Teams[[#This Row],[name]])), "")</f>
        <v/>
      </c>
      <c r="R448" s="1" t="str">
        <f>IF(Teams[[#This Row],[relevant]], COUNTIFS(Fixtures[userTeam], Teams[[#This Row],[name]], Fixtures[MOTM], TRUE), "")</f>
        <v/>
      </c>
      <c r="S448" s="1" t="str" cm="1">
        <f t="array" ref="S448">IF(Teams[[#This Row],[relevant]], _xlfn.TEXTJOIN(", ", TRUE, _xlfn._xlws.FILTER(Stats[competition]&amp;" ("&amp;Stats[season]&amp;")",(Stats[team]=Teams[[#This Row],[name]])*(Stats[result]="Winner"),"")), "")</f>
        <v/>
      </c>
    </row>
    <row r="449" spans="1:19" ht="13" hidden="1">
      <c r="A449" s="1" t="s">
        <v>801</v>
      </c>
      <c r="B449" s="1" t="s">
        <v>339</v>
      </c>
      <c r="C449" s="1" t="s">
        <v>391</v>
      </c>
      <c r="D449" s="1" t="str">
        <f>UPPER(_xlfn.CONCAT(LEFT(Teams[[#This Row],[teamType]], 1), "-", LEFT(SUBSTITUTE(Teams[[#This Row],[nation]], "/", ""), 3), "-", SUBSTITUTE(SUBSTITUTE(SUBSTITUTE(Teams[[#This Row],[name]], ".", ""), " ", ""), "-", "")))</f>
        <v>C-FRA-NÎMESOLYMPIQUE</v>
      </c>
      <c r="E449" s="16"/>
      <c r="F449" s="16"/>
      <c r="G449" s="1" t="b">
        <f>COUNTBLANK(Teams[[#This Row],[startDate]:[endDate]]) &lt; 2</f>
        <v>0</v>
      </c>
      <c r="H449" s="1" t="str">
        <f>IF(Teams[[#This Row],[relevant]], COUNTIFS(Fixtures[userTeam], Teams[[#This Row],[name]], Fixtures[APP], TRUE), "")</f>
        <v/>
      </c>
      <c r="I449" s="1" t="str">
        <f>IF(Teams[[#This Row],[relevant]], COUNTIFS(Fixtures[userTeam], Teams[[#This Row],[name]], Fixtures[result], "W", Fixtures[APP], TRUE), "")</f>
        <v/>
      </c>
      <c r="J449" s="1" t="str">
        <f>IF(Teams[[#This Row],[relevant]], COUNTIFS(Fixtures[userTeam], Teams[[#This Row],[name]], Fixtures[result], "D", Fixtures[APP], TRUE), "")</f>
        <v/>
      </c>
      <c r="K449" s="1" t="str">
        <f>IF(Teams[[#This Row],[relevant]], COUNTIFS(Fixtures[userTeam], Teams[[#This Row],[name]], Fixtures[result], "L", Fixtures[APP], TRUE), "")</f>
        <v/>
      </c>
      <c r="L449" s="1" t="str">
        <f>IF(Teams[[#This Row],[relevant]], SUMIFS(Fixtures[G], Fixtures[userTeam], Teams[[#This Row],[name]]), "")</f>
        <v/>
      </c>
      <c r="M449" s="1" t="str">
        <f>IF(Teams[[#This Row],[relevant]], SUMIFS(Fixtures[A], Fixtures[userTeam], Teams[[#This Row],[name]]), "")</f>
        <v/>
      </c>
      <c r="N449" s="1" t="str">
        <f>IF(Teams[[#This Row],[relevant]], SUMIFS(Fixtures[INV], Fixtures[userTeam], Teams[[#This Row],[name]]), "")</f>
        <v/>
      </c>
      <c r="O449" s="1" t="str">
        <f>IF(Teams[[#This Row],[relevant]], SUMIFS(Fixtures[YC], Fixtures[userTeam], Teams[[#This Row],[name]]), "")</f>
        <v/>
      </c>
      <c r="P449" s="1" t="str">
        <f>IF(Teams[[#This Row],[relevant]], SUMIFS(Fixtures[RC], Fixtures[userTeam], Teams[[#This Row],[name]]), "")</f>
        <v/>
      </c>
      <c r="Q449" s="13" t="str">
        <f>IF(Teams[[#This Row],[relevant]], IF(ISERROR(AVERAGEIFS(Fixtures[MR], Fixtures[userTeam], Teams[[#This Row],[name]])), 0, AVERAGEIFS(Fixtures[MR], Fixtures[userTeam], Teams[[#This Row],[name]])), "")</f>
        <v/>
      </c>
      <c r="R449" s="1" t="str">
        <f>IF(Teams[[#This Row],[relevant]], COUNTIFS(Fixtures[userTeam], Teams[[#This Row],[name]], Fixtures[MOTM], TRUE), "")</f>
        <v/>
      </c>
      <c r="S449" s="1" t="str" cm="1">
        <f t="array" ref="S449">IF(Teams[[#This Row],[relevant]], _xlfn.TEXTJOIN(", ", TRUE, _xlfn._xlws.FILTER(Stats[competition]&amp;" ("&amp;Stats[season]&amp;")",(Stats[team]=Teams[[#This Row],[name]])*(Stats[result]="Winner"),"")), "")</f>
        <v/>
      </c>
    </row>
    <row r="450" spans="1:19" ht="13" hidden="1">
      <c r="A450" s="1" t="s">
        <v>802</v>
      </c>
      <c r="B450" s="1" t="s">
        <v>339</v>
      </c>
      <c r="C450" s="1" t="s">
        <v>391</v>
      </c>
      <c r="D450" s="1" t="str">
        <f>UPPER(_xlfn.CONCAT(LEFT(Teams[[#This Row],[teamType]], 1), "-", LEFT(SUBSTITUTE(Teams[[#This Row],[nation]], "/", ""), 3), "-", SUBSTITUTE(SUBSTITUTE(SUBSTITUTE(Teams[[#This Row],[name]], ".", ""), " ", ""), "-", "")))</f>
        <v>C-FRA-NIORT</v>
      </c>
      <c r="E450" s="16"/>
      <c r="F450" s="16"/>
      <c r="G450" s="1" t="b">
        <f>COUNTBLANK(Teams[[#This Row],[startDate]:[endDate]]) &lt; 2</f>
        <v>0</v>
      </c>
      <c r="H450" s="1" t="str">
        <f>IF(Teams[[#This Row],[relevant]], COUNTIFS(Fixtures[userTeam], Teams[[#This Row],[name]], Fixtures[APP], TRUE), "")</f>
        <v/>
      </c>
      <c r="I450" s="1" t="str">
        <f>IF(Teams[[#This Row],[relevant]], COUNTIFS(Fixtures[userTeam], Teams[[#This Row],[name]], Fixtures[result], "W", Fixtures[APP], TRUE), "")</f>
        <v/>
      </c>
      <c r="J450" s="1" t="str">
        <f>IF(Teams[[#This Row],[relevant]], COUNTIFS(Fixtures[userTeam], Teams[[#This Row],[name]], Fixtures[result], "D", Fixtures[APP], TRUE), "")</f>
        <v/>
      </c>
      <c r="K450" s="1" t="str">
        <f>IF(Teams[[#This Row],[relevant]], COUNTIFS(Fixtures[userTeam], Teams[[#This Row],[name]], Fixtures[result], "L", Fixtures[APP], TRUE), "")</f>
        <v/>
      </c>
      <c r="L450" s="1" t="str">
        <f>IF(Teams[[#This Row],[relevant]], SUMIFS(Fixtures[G], Fixtures[userTeam], Teams[[#This Row],[name]]), "")</f>
        <v/>
      </c>
      <c r="M450" s="1" t="str">
        <f>IF(Teams[[#This Row],[relevant]], SUMIFS(Fixtures[A], Fixtures[userTeam], Teams[[#This Row],[name]]), "")</f>
        <v/>
      </c>
      <c r="N450" s="1" t="str">
        <f>IF(Teams[[#This Row],[relevant]], SUMIFS(Fixtures[INV], Fixtures[userTeam], Teams[[#This Row],[name]]), "")</f>
        <v/>
      </c>
      <c r="O450" s="1" t="str">
        <f>IF(Teams[[#This Row],[relevant]], SUMIFS(Fixtures[YC], Fixtures[userTeam], Teams[[#This Row],[name]]), "")</f>
        <v/>
      </c>
      <c r="P450" s="1" t="str">
        <f>IF(Teams[[#This Row],[relevant]], SUMIFS(Fixtures[RC], Fixtures[userTeam], Teams[[#This Row],[name]]), "")</f>
        <v/>
      </c>
      <c r="Q450" s="13" t="str">
        <f>IF(Teams[[#This Row],[relevant]], IF(ISERROR(AVERAGEIFS(Fixtures[MR], Fixtures[userTeam], Teams[[#This Row],[name]])), 0, AVERAGEIFS(Fixtures[MR], Fixtures[userTeam], Teams[[#This Row],[name]])), "")</f>
        <v/>
      </c>
      <c r="R450" s="1" t="str">
        <f>IF(Teams[[#This Row],[relevant]], COUNTIFS(Fixtures[userTeam], Teams[[#This Row],[name]], Fixtures[MOTM], TRUE), "")</f>
        <v/>
      </c>
      <c r="S450" s="1" t="str" cm="1">
        <f t="array" ref="S450">IF(Teams[[#This Row],[relevant]], _xlfn.TEXTJOIN(", ", TRUE, _xlfn._xlws.FILTER(Stats[competition]&amp;" ("&amp;Stats[season]&amp;")",(Stats[team]=Teams[[#This Row],[name]])*(Stats[result]="Winner"),"")), "")</f>
        <v/>
      </c>
    </row>
    <row r="451" spans="1:19" ht="13" hidden="1">
      <c r="A451" s="1" t="s">
        <v>803</v>
      </c>
      <c r="B451" s="1" t="s">
        <v>152</v>
      </c>
      <c r="C451" s="1" t="s">
        <v>391</v>
      </c>
      <c r="D451" s="1" t="str">
        <f>UPPER(_xlfn.CONCAT(LEFT(Teams[[#This Row],[teamType]], 1), "-", LEFT(SUBSTITUTE(Teams[[#This Row],[nation]], "/", ""), 3), "-", SUBSTITUTE(SUBSTITUTE(SUBSTITUTE(Teams[[#This Row],[name]], ".", ""), " ", ""), "-", "")))</f>
        <v>C-ENG-NORTHAMPTON</v>
      </c>
      <c r="E451" s="16"/>
      <c r="F451" s="16"/>
      <c r="G451" s="1" t="b">
        <f>COUNTBLANK(Teams[[#This Row],[startDate]:[endDate]]) &lt; 2</f>
        <v>0</v>
      </c>
      <c r="H451" s="1" t="str">
        <f>IF(Teams[[#This Row],[relevant]], COUNTIFS(Fixtures[userTeam], Teams[[#This Row],[name]], Fixtures[APP], TRUE), "")</f>
        <v/>
      </c>
      <c r="I451" s="1" t="str">
        <f>IF(Teams[[#This Row],[relevant]], COUNTIFS(Fixtures[userTeam], Teams[[#This Row],[name]], Fixtures[result], "W", Fixtures[APP], TRUE), "")</f>
        <v/>
      </c>
      <c r="J451" s="1" t="str">
        <f>IF(Teams[[#This Row],[relevant]], COUNTIFS(Fixtures[userTeam], Teams[[#This Row],[name]], Fixtures[result], "D", Fixtures[APP], TRUE), "")</f>
        <v/>
      </c>
      <c r="K451" s="1" t="str">
        <f>IF(Teams[[#This Row],[relevant]], COUNTIFS(Fixtures[userTeam], Teams[[#This Row],[name]], Fixtures[result], "L", Fixtures[APP], TRUE), "")</f>
        <v/>
      </c>
      <c r="L451" s="1" t="str">
        <f>IF(Teams[[#This Row],[relevant]], SUMIFS(Fixtures[G], Fixtures[userTeam], Teams[[#This Row],[name]]), "")</f>
        <v/>
      </c>
      <c r="M451" s="1" t="str">
        <f>IF(Teams[[#This Row],[relevant]], SUMIFS(Fixtures[A], Fixtures[userTeam], Teams[[#This Row],[name]]), "")</f>
        <v/>
      </c>
      <c r="N451" s="1" t="str">
        <f>IF(Teams[[#This Row],[relevant]], SUMIFS(Fixtures[INV], Fixtures[userTeam], Teams[[#This Row],[name]]), "")</f>
        <v/>
      </c>
      <c r="O451" s="1" t="str">
        <f>IF(Teams[[#This Row],[relevant]], SUMIFS(Fixtures[YC], Fixtures[userTeam], Teams[[#This Row],[name]]), "")</f>
        <v/>
      </c>
      <c r="P451" s="1" t="str">
        <f>IF(Teams[[#This Row],[relevant]], SUMIFS(Fixtures[RC], Fixtures[userTeam], Teams[[#This Row],[name]]), "")</f>
        <v/>
      </c>
      <c r="Q451" s="13" t="str">
        <f>IF(Teams[[#This Row],[relevant]], IF(ISERROR(AVERAGEIFS(Fixtures[MR], Fixtures[userTeam], Teams[[#This Row],[name]])), 0, AVERAGEIFS(Fixtures[MR], Fixtures[userTeam], Teams[[#This Row],[name]])), "")</f>
        <v/>
      </c>
      <c r="R451" s="1" t="str">
        <f>IF(Teams[[#This Row],[relevant]], COUNTIFS(Fixtures[userTeam], Teams[[#This Row],[name]], Fixtures[MOTM], TRUE), "")</f>
        <v/>
      </c>
      <c r="S451" s="1" t="str" cm="1">
        <f t="array" ref="S451">IF(Teams[[#This Row],[relevant]], _xlfn.TEXTJOIN(", ", TRUE, _xlfn._xlws.FILTER(Stats[competition]&amp;" ("&amp;Stats[season]&amp;")",(Stats[team]=Teams[[#This Row],[name]])*(Stats[result]="Winner"),"")), "")</f>
        <v/>
      </c>
    </row>
    <row r="452" spans="1:19" ht="13" hidden="1">
      <c r="A452" s="1" t="s">
        <v>804</v>
      </c>
      <c r="B452" s="1" t="s">
        <v>473</v>
      </c>
      <c r="C452" s="1" t="s">
        <v>391</v>
      </c>
      <c r="D452" s="1" t="str">
        <f>UPPER(_xlfn.CONCAT(LEFT(Teams[[#This Row],[teamType]], 1), "-", LEFT(SUBSTITUTE(Teams[[#This Row],[nation]], "/", ""), 3), "-", SUBSTITUTE(SUBSTITUTE(SUBSTITUTE(Teams[[#This Row],[name]], ".", ""), " ", ""), "-", "")))</f>
        <v>C-IND-NORTHEASTUNITED</v>
      </c>
      <c r="E452" s="16"/>
      <c r="F452" s="16"/>
      <c r="G452" s="1" t="b">
        <f>COUNTBLANK(Teams[[#This Row],[startDate]:[endDate]]) &lt; 2</f>
        <v>0</v>
      </c>
      <c r="H452" s="1" t="str">
        <f>IF(Teams[[#This Row],[relevant]], COUNTIFS(Fixtures[userTeam], Teams[[#This Row],[name]], Fixtures[APP], TRUE), "")</f>
        <v/>
      </c>
      <c r="I452" s="1" t="str">
        <f>IF(Teams[[#This Row],[relevant]], COUNTIFS(Fixtures[userTeam], Teams[[#This Row],[name]], Fixtures[result], "W", Fixtures[APP], TRUE), "")</f>
        <v/>
      </c>
      <c r="J452" s="1" t="str">
        <f>IF(Teams[[#This Row],[relevant]], COUNTIFS(Fixtures[userTeam], Teams[[#This Row],[name]], Fixtures[result], "D", Fixtures[APP], TRUE), "")</f>
        <v/>
      </c>
      <c r="K452" s="1" t="str">
        <f>IF(Teams[[#This Row],[relevant]], COUNTIFS(Fixtures[userTeam], Teams[[#This Row],[name]], Fixtures[result], "L", Fixtures[APP], TRUE), "")</f>
        <v/>
      </c>
      <c r="L452" s="1" t="str">
        <f>IF(Teams[[#This Row],[relevant]], SUMIFS(Fixtures[G], Fixtures[userTeam], Teams[[#This Row],[name]]), "")</f>
        <v/>
      </c>
      <c r="M452" s="1" t="str">
        <f>IF(Teams[[#This Row],[relevant]], SUMIFS(Fixtures[A], Fixtures[userTeam], Teams[[#This Row],[name]]), "")</f>
        <v/>
      </c>
      <c r="N452" s="1" t="str">
        <f>IF(Teams[[#This Row],[relevant]], SUMIFS(Fixtures[INV], Fixtures[userTeam], Teams[[#This Row],[name]]), "")</f>
        <v/>
      </c>
      <c r="O452" s="1" t="str">
        <f>IF(Teams[[#This Row],[relevant]], SUMIFS(Fixtures[YC], Fixtures[userTeam], Teams[[#This Row],[name]]), "")</f>
        <v/>
      </c>
      <c r="P452" s="1" t="str">
        <f>IF(Teams[[#This Row],[relevant]], SUMIFS(Fixtures[RC], Fixtures[userTeam], Teams[[#This Row],[name]]), "")</f>
        <v/>
      </c>
      <c r="Q452" s="13" t="str">
        <f>IF(Teams[[#This Row],[relevant]], IF(ISERROR(AVERAGEIFS(Fixtures[MR], Fixtures[userTeam], Teams[[#This Row],[name]])), 0, AVERAGEIFS(Fixtures[MR], Fixtures[userTeam], Teams[[#This Row],[name]])), "")</f>
        <v/>
      </c>
      <c r="R452" s="1" t="str">
        <f>IF(Teams[[#This Row],[relevant]], COUNTIFS(Fixtures[userTeam], Teams[[#This Row],[name]], Fixtures[MOTM], TRUE), "")</f>
        <v/>
      </c>
      <c r="S452" s="1" t="str" cm="1">
        <f t="array" ref="S452">IF(Teams[[#This Row],[relevant]], _xlfn.TEXTJOIN(", ", TRUE, _xlfn._xlws.FILTER(Stats[competition]&amp;" ("&amp;Stats[season]&amp;")",(Stats[team]=Teams[[#This Row],[name]])*(Stats[result]="Winner"),"")), "")</f>
        <v/>
      </c>
    </row>
    <row r="453" spans="1:19" ht="13" hidden="1">
      <c r="A453" s="1" t="s">
        <v>226</v>
      </c>
      <c r="B453" s="1" t="s">
        <v>226</v>
      </c>
      <c r="C453" s="1" t="s">
        <v>459</v>
      </c>
      <c r="D453" s="1" t="str">
        <f>UPPER(_xlfn.CONCAT(LEFT(Teams[[#This Row],[teamType]], 1), "-", LEFT(SUBSTITUTE(Teams[[#This Row],[nation]], "/", ""), 3), "-", SUBSTITUTE(SUBSTITUTE(SUBSTITUTE(Teams[[#This Row],[name]], ".", ""), " ", ""), "-", "")))</f>
        <v>N-NOR-NORTHERNIRELAND</v>
      </c>
      <c r="E453" s="16"/>
      <c r="F453" s="16"/>
      <c r="G453" s="1" t="b">
        <f>COUNTBLANK(Teams[[#This Row],[startDate]:[endDate]]) &lt; 2</f>
        <v>0</v>
      </c>
      <c r="H453" s="1" t="str">
        <f>IF(Teams[[#This Row],[relevant]], COUNTIFS(Fixtures[userTeam], Teams[[#This Row],[name]], Fixtures[APP], TRUE), "")</f>
        <v/>
      </c>
      <c r="I453" s="1" t="str">
        <f>IF(Teams[[#This Row],[relevant]], COUNTIFS(Fixtures[userTeam], Teams[[#This Row],[name]], Fixtures[result], "W", Fixtures[APP], TRUE), "")</f>
        <v/>
      </c>
      <c r="J453" s="1" t="str">
        <f>IF(Teams[[#This Row],[relevant]], COUNTIFS(Fixtures[userTeam], Teams[[#This Row],[name]], Fixtures[result], "D", Fixtures[APP], TRUE), "")</f>
        <v/>
      </c>
      <c r="K453" s="1" t="str">
        <f>IF(Teams[[#This Row],[relevant]], COUNTIFS(Fixtures[userTeam], Teams[[#This Row],[name]], Fixtures[result], "L", Fixtures[APP], TRUE), "")</f>
        <v/>
      </c>
      <c r="L453" s="1" t="str">
        <f>IF(Teams[[#This Row],[relevant]], SUMIFS(Fixtures[G], Fixtures[userTeam], Teams[[#This Row],[name]]), "")</f>
        <v/>
      </c>
      <c r="M453" s="1" t="str">
        <f>IF(Teams[[#This Row],[relevant]], SUMIFS(Fixtures[A], Fixtures[userTeam], Teams[[#This Row],[name]]), "")</f>
        <v/>
      </c>
      <c r="N453" s="1" t="str">
        <f>IF(Teams[[#This Row],[relevant]], SUMIFS(Fixtures[INV], Fixtures[userTeam], Teams[[#This Row],[name]]), "")</f>
        <v/>
      </c>
      <c r="O453" s="1" t="str">
        <f>IF(Teams[[#This Row],[relevant]], SUMIFS(Fixtures[YC], Fixtures[userTeam], Teams[[#This Row],[name]]), "")</f>
        <v/>
      </c>
      <c r="P453" s="1" t="str">
        <f>IF(Teams[[#This Row],[relevant]], SUMIFS(Fixtures[RC], Fixtures[userTeam], Teams[[#This Row],[name]]), "")</f>
        <v/>
      </c>
      <c r="Q453" s="13" t="str">
        <f>IF(Teams[[#This Row],[relevant]], IF(ISERROR(AVERAGEIFS(Fixtures[MR], Fixtures[userTeam], Teams[[#This Row],[name]])), 0, AVERAGEIFS(Fixtures[MR], Fixtures[userTeam], Teams[[#This Row],[name]])), "")</f>
        <v/>
      </c>
      <c r="R453" s="1" t="str">
        <f>IF(Teams[[#This Row],[relevant]], COUNTIFS(Fixtures[userTeam], Teams[[#This Row],[name]], Fixtures[MOTM], TRUE), "")</f>
        <v/>
      </c>
      <c r="S453" s="1" t="str" cm="1">
        <f t="array" ref="S453">IF(Teams[[#This Row],[relevant]], _xlfn.TEXTJOIN(", ", TRUE, _xlfn._xlws.FILTER(Stats[competition]&amp;" ("&amp;Stats[season]&amp;")",(Stats[team]=Teams[[#This Row],[name]])*(Stats[result]="Winner"),"")), "")</f>
        <v/>
      </c>
    </row>
    <row r="454" spans="1:19" ht="13" hidden="1">
      <c r="A454" s="1" t="s">
        <v>286</v>
      </c>
      <c r="B454" s="1" t="s">
        <v>286</v>
      </c>
      <c r="C454" s="1" t="s">
        <v>459</v>
      </c>
      <c r="D454" s="1" t="str">
        <f>UPPER(_xlfn.CONCAT(LEFT(Teams[[#This Row],[teamType]], 1), "-", LEFT(SUBSTITUTE(Teams[[#This Row],[nation]], "/", ""), 3), "-", SUBSTITUTE(SUBSTITUTE(SUBSTITUTE(Teams[[#This Row],[name]], ".", ""), " ", ""), "-", "")))</f>
        <v>N-NOR-NORWAY</v>
      </c>
      <c r="E454" s="16"/>
      <c r="F454" s="16"/>
      <c r="G454" s="1" t="b">
        <f>COUNTBLANK(Teams[[#This Row],[startDate]:[endDate]]) &lt; 2</f>
        <v>0</v>
      </c>
      <c r="H454" s="1" t="str">
        <f>IF(Teams[[#This Row],[relevant]], COUNTIFS(Fixtures[userTeam], Teams[[#This Row],[name]], Fixtures[APP], TRUE), "")</f>
        <v/>
      </c>
      <c r="I454" s="1" t="str">
        <f>IF(Teams[[#This Row],[relevant]], COUNTIFS(Fixtures[userTeam], Teams[[#This Row],[name]], Fixtures[result], "W", Fixtures[APP], TRUE), "")</f>
        <v/>
      </c>
      <c r="J454" s="1" t="str">
        <f>IF(Teams[[#This Row],[relevant]], COUNTIFS(Fixtures[userTeam], Teams[[#This Row],[name]], Fixtures[result], "D", Fixtures[APP], TRUE), "")</f>
        <v/>
      </c>
      <c r="K454" s="1" t="str">
        <f>IF(Teams[[#This Row],[relevant]], COUNTIFS(Fixtures[userTeam], Teams[[#This Row],[name]], Fixtures[result], "L", Fixtures[APP], TRUE), "")</f>
        <v/>
      </c>
      <c r="L454" s="1" t="str">
        <f>IF(Teams[[#This Row],[relevant]], SUMIFS(Fixtures[G], Fixtures[userTeam], Teams[[#This Row],[name]]), "")</f>
        <v/>
      </c>
      <c r="M454" s="1" t="str">
        <f>IF(Teams[[#This Row],[relevant]], SUMIFS(Fixtures[A], Fixtures[userTeam], Teams[[#This Row],[name]]), "")</f>
        <v/>
      </c>
      <c r="N454" s="1" t="str">
        <f>IF(Teams[[#This Row],[relevant]], SUMIFS(Fixtures[INV], Fixtures[userTeam], Teams[[#This Row],[name]]), "")</f>
        <v/>
      </c>
      <c r="O454" s="1" t="str">
        <f>IF(Teams[[#This Row],[relevant]], SUMIFS(Fixtures[YC], Fixtures[userTeam], Teams[[#This Row],[name]]), "")</f>
        <v/>
      </c>
      <c r="P454" s="1" t="str">
        <f>IF(Teams[[#This Row],[relevant]], SUMIFS(Fixtures[RC], Fixtures[userTeam], Teams[[#This Row],[name]]), "")</f>
        <v/>
      </c>
      <c r="Q454" s="13" t="str">
        <f>IF(Teams[[#This Row],[relevant]], IF(ISERROR(AVERAGEIFS(Fixtures[MR], Fixtures[userTeam], Teams[[#This Row],[name]])), 0, AVERAGEIFS(Fixtures[MR], Fixtures[userTeam], Teams[[#This Row],[name]])), "")</f>
        <v/>
      </c>
      <c r="R454" s="1" t="str">
        <f>IF(Teams[[#This Row],[relevant]], COUNTIFS(Fixtures[userTeam], Teams[[#This Row],[name]], Fixtures[MOTM], TRUE), "")</f>
        <v/>
      </c>
      <c r="S454" s="1" t="str" cm="1">
        <f t="array" ref="S454">IF(Teams[[#This Row],[relevant]], _xlfn.TEXTJOIN(", ", TRUE, _xlfn._xlws.FILTER(Stats[competition]&amp;" ("&amp;Stats[season]&amp;")",(Stats[team]=Teams[[#This Row],[name]])*(Stats[result]="Winner"),"")), "")</f>
        <v/>
      </c>
    </row>
    <row r="455" spans="1:19" ht="13" hidden="1">
      <c r="A455" s="1" t="s">
        <v>247</v>
      </c>
      <c r="B455" s="1" t="s">
        <v>152</v>
      </c>
      <c r="C455" s="1" t="s">
        <v>391</v>
      </c>
      <c r="D455" s="1" t="str">
        <f>UPPER(_xlfn.CONCAT(LEFT(Teams[[#This Row],[teamType]], 1), "-", LEFT(SUBSTITUTE(Teams[[#This Row],[nation]], "/", ""), 3), "-", SUBSTITUTE(SUBSTITUTE(SUBSTITUTE(Teams[[#This Row],[name]], ".", ""), " ", ""), "-", "")))</f>
        <v>C-ENG-NORWICH</v>
      </c>
      <c r="E455" s="16"/>
      <c r="F455" s="16"/>
      <c r="G455" s="1" t="b">
        <f>COUNTBLANK(Teams[[#This Row],[startDate]:[endDate]]) &lt; 2</f>
        <v>0</v>
      </c>
      <c r="H455" s="1" t="str">
        <f>IF(Teams[[#This Row],[relevant]], COUNTIFS(Fixtures[userTeam], Teams[[#This Row],[name]], Fixtures[APP], TRUE), "")</f>
        <v/>
      </c>
      <c r="I455" s="1" t="str">
        <f>IF(Teams[[#This Row],[relevant]], COUNTIFS(Fixtures[userTeam], Teams[[#This Row],[name]], Fixtures[result], "W", Fixtures[APP], TRUE), "")</f>
        <v/>
      </c>
      <c r="J455" s="1" t="str">
        <f>IF(Teams[[#This Row],[relevant]], COUNTIFS(Fixtures[userTeam], Teams[[#This Row],[name]], Fixtures[result], "D", Fixtures[APP], TRUE), "")</f>
        <v/>
      </c>
      <c r="K455" s="1" t="str">
        <f>IF(Teams[[#This Row],[relevant]], COUNTIFS(Fixtures[userTeam], Teams[[#This Row],[name]], Fixtures[result], "L", Fixtures[APP], TRUE), "")</f>
        <v/>
      </c>
      <c r="L455" s="1" t="str">
        <f>IF(Teams[[#This Row],[relevant]], SUMIFS(Fixtures[G], Fixtures[userTeam], Teams[[#This Row],[name]]), "")</f>
        <v/>
      </c>
      <c r="M455" s="1" t="str">
        <f>IF(Teams[[#This Row],[relevant]], SUMIFS(Fixtures[A], Fixtures[userTeam], Teams[[#This Row],[name]]), "")</f>
        <v/>
      </c>
      <c r="N455" s="1" t="str">
        <f>IF(Teams[[#This Row],[relevant]], SUMIFS(Fixtures[INV], Fixtures[userTeam], Teams[[#This Row],[name]]), "")</f>
        <v/>
      </c>
      <c r="O455" s="1" t="str">
        <f>IF(Teams[[#This Row],[relevant]], SUMIFS(Fixtures[YC], Fixtures[userTeam], Teams[[#This Row],[name]]), "")</f>
        <v/>
      </c>
      <c r="P455" s="1" t="str">
        <f>IF(Teams[[#This Row],[relevant]], SUMIFS(Fixtures[RC], Fixtures[userTeam], Teams[[#This Row],[name]]), "")</f>
        <v/>
      </c>
      <c r="Q455" s="13" t="str">
        <f>IF(Teams[[#This Row],[relevant]], IF(ISERROR(AVERAGEIFS(Fixtures[MR], Fixtures[userTeam], Teams[[#This Row],[name]])), 0, AVERAGEIFS(Fixtures[MR], Fixtures[userTeam], Teams[[#This Row],[name]])), "")</f>
        <v/>
      </c>
      <c r="R455" s="1" t="str">
        <f>IF(Teams[[#This Row],[relevant]], COUNTIFS(Fixtures[userTeam], Teams[[#This Row],[name]], Fixtures[MOTM], TRUE), "")</f>
        <v/>
      </c>
      <c r="S455" s="1" t="str" cm="1">
        <f t="array" ref="S455">IF(Teams[[#This Row],[relevant]], _xlfn.TEXTJOIN(", ", TRUE, _xlfn._xlws.FILTER(Stats[competition]&amp;" ("&amp;Stats[season]&amp;")",(Stats[team]=Teams[[#This Row],[name]])*(Stats[result]="Winner"),"")), "")</f>
        <v/>
      </c>
    </row>
    <row r="456" spans="1:19" ht="13" hidden="1">
      <c r="A456" s="1" t="s">
        <v>805</v>
      </c>
      <c r="B456" s="1" t="s">
        <v>152</v>
      </c>
      <c r="C456" s="1" t="s">
        <v>391</v>
      </c>
      <c r="D456" s="1" t="str">
        <f>UPPER(_xlfn.CONCAT(LEFT(Teams[[#This Row],[teamType]], 1), "-", LEFT(SUBSTITUTE(Teams[[#This Row],[nation]], "/", ""), 3), "-", SUBSTITUTE(SUBSTITUTE(SUBSTITUTE(Teams[[#This Row],[name]], ".", ""), " ", ""), "-", "")))</f>
        <v>C-ENG-NOTT'MFOREST</v>
      </c>
      <c r="E456" s="16"/>
      <c r="F456" s="16"/>
      <c r="G456" s="1" t="b">
        <f>COUNTBLANK(Teams[[#This Row],[startDate]:[endDate]]) &lt; 2</f>
        <v>0</v>
      </c>
      <c r="H456" s="1" t="str">
        <f>IF(Teams[[#This Row],[relevant]], COUNTIFS(Fixtures[userTeam], Teams[[#This Row],[name]], Fixtures[APP], TRUE), "")</f>
        <v/>
      </c>
      <c r="I456" s="1" t="str">
        <f>IF(Teams[[#This Row],[relevant]], COUNTIFS(Fixtures[userTeam], Teams[[#This Row],[name]], Fixtures[result], "W", Fixtures[APP], TRUE), "")</f>
        <v/>
      </c>
      <c r="J456" s="1" t="str">
        <f>IF(Teams[[#This Row],[relevant]], COUNTIFS(Fixtures[userTeam], Teams[[#This Row],[name]], Fixtures[result], "D", Fixtures[APP], TRUE), "")</f>
        <v/>
      </c>
      <c r="K456" s="1" t="str">
        <f>IF(Teams[[#This Row],[relevant]], COUNTIFS(Fixtures[userTeam], Teams[[#This Row],[name]], Fixtures[result], "L", Fixtures[APP], TRUE), "")</f>
        <v/>
      </c>
      <c r="L456" s="1" t="str">
        <f>IF(Teams[[#This Row],[relevant]], SUMIFS(Fixtures[G], Fixtures[userTeam], Teams[[#This Row],[name]]), "")</f>
        <v/>
      </c>
      <c r="M456" s="1" t="str">
        <f>IF(Teams[[#This Row],[relevant]], SUMIFS(Fixtures[A], Fixtures[userTeam], Teams[[#This Row],[name]]), "")</f>
        <v/>
      </c>
      <c r="N456" s="1" t="str">
        <f>IF(Teams[[#This Row],[relevant]], SUMIFS(Fixtures[INV], Fixtures[userTeam], Teams[[#This Row],[name]]), "")</f>
        <v/>
      </c>
      <c r="O456" s="1" t="str">
        <f>IF(Teams[[#This Row],[relevant]], SUMIFS(Fixtures[YC], Fixtures[userTeam], Teams[[#This Row],[name]]), "")</f>
        <v/>
      </c>
      <c r="P456" s="1" t="str">
        <f>IF(Teams[[#This Row],[relevant]], SUMIFS(Fixtures[RC], Fixtures[userTeam], Teams[[#This Row],[name]]), "")</f>
        <v/>
      </c>
      <c r="Q456" s="13" t="str">
        <f>IF(Teams[[#This Row],[relevant]], IF(ISERROR(AVERAGEIFS(Fixtures[MR], Fixtures[userTeam], Teams[[#This Row],[name]])), 0, AVERAGEIFS(Fixtures[MR], Fixtures[userTeam], Teams[[#This Row],[name]])), "")</f>
        <v/>
      </c>
      <c r="R456" s="1" t="str">
        <f>IF(Teams[[#This Row],[relevant]], COUNTIFS(Fixtures[userTeam], Teams[[#This Row],[name]], Fixtures[MOTM], TRUE), "")</f>
        <v/>
      </c>
      <c r="S456" s="1" t="str" cm="1">
        <f t="array" ref="S456">IF(Teams[[#This Row],[relevant]], _xlfn.TEXTJOIN(", ", TRUE, _xlfn._xlws.FILTER(Stats[competition]&amp;" ("&amp;Stats[season]&amp;")",(Stats[team]=Teams[[#This Row],[name]])*(Stats[result]="Winner"),"")), "")</f>
        <v/>
      </c>
    </row>
    <row r="457" spans="1:19" ht="13" hidden="1">
      <c r="A457" s="1" t="s">
        <v>806</v>
      </c>
      <c r="B457" s="1" t="s">
        <v>152</v>
      </c>
      <c r="C457" s="1" t="s">
        <v>391</v>
      </c>
      <c r="D457" s="1" t="str">
        <f>UPPER(_xlfn.CONCAT(LEFT(Teams[[#This Row],[teamType]], 1), "-", LEFT(SUBSTITUTE(Teams[[#This Row],[nation]], "/", ""), 3), "-", SUBSTITUTE(SUBSTITUTE(SUBSTITUTE(Teams[[#This Row],[name]], ".", ""), " ", ""), "-", "")))</f>
        <v>C-ENG-NOTTSCOUNTY</v>
      </c>
      <c r="E457" s="16"/>
      <c r="F457" s="16"/>
      <c r="G457" s="1" t="b">
        <f>COUNTBLANK(Teams[[#This Row],[startDate]:[endDate]]) &lt; 2</f>
        <v>0</v>
      </c>
      <c r="H457" s="1" t="str">
        <f>IF(Teams[[#This Row],[relevant]], COUNTIFS(Fixtures[userTeam], Teams[[#This Row],[name]], Fixtures[APP], TRUE), "")</f>
        <v/>
      </c>
      <c r="I457" s="1" t="str">
        <f>IF(Teams[[#This Row],[relevant]], COUNTIFS(Fixtures[userTeam], Teams[[#This Row],[name]], Fixtures[result], "W", Fixtures[APP], TRUE), "")</f>
        <v/>
      </c>
      <c r="J457" s="1" t="str">
        <f>IF(Teams[[#This Row],[relevant]], COUNTIFS(Fixtures[userTeam], Teams[[#This Row],[name]], Fixtures[result], "D", Fixtures[APP], TRUE), "")</f>
        <v/>
      </c>
      <c r="K457" s="1" t="str">
        <f>IF(Teams[[#This Row],[relevant]], COUNTIFS(Fixtures[userTeam], Teams[[#This Row],[name]], Fixtures[result], "L", Fixtures[APP], TRUE), "")</f>
        <v/>
      </c>
      <c r="L457" s="1" t="str">
        <f>IF(Teams[[#This Row],[relevant]], SUMIFS(Fixtures[G], Fixtures[userTeam], Teams[[#This Row],[name]]), "")</f>
        <v/>
      </c>
      <c r="M457" s="1" t="str">
        <f>IF(Teams[[#This Row],[relevant]], SUMIFS(Fixtures[A], Fixtures[userTeam], Teams[[#This Row],[name]]), "")</f>
        <v/>
      </c>
      <c r="N457" s="1" t="str">
        <f>IF(Teams[[#This Row],[relevant]], SUMIFS(Fixtures[INV], Fixtures[userTeam], Teams[[#This Row],[name]]), "")</f>
        <v/>
      </c>
      <c r="O457" s="1" t="str">
        <f>IF(Teams[[#This Row],[relevant]], SUMIFS(Fixtures[YC], Fixtures[userTeam], Teams[[#This Row],[name]]), "")</f>
        <v/>
      </c>
      <c r="P457" s="1" t="str">
        <f>IF(Teams[[#This Row],[relevant]], SUMIFS(Fixtures[RC], Fixtures[userTeam], Teams[[#This Row],[name]]), "")</f>
        <v/>
      </c>
      <c r="Q457" s="13" t="str">
        <f>IF(Teams[[#This Row],[relevant]], IF(ISERROR(AVERAGEIFS(Fixtures[MR], Fixtures[userTeam], Teams[[#This Row],[name]])), 0, AVERAGEIFS(Fixtures[MR], Fixtures[userTeam], Teams[[#This Row],[name]])), "")</f>
        <v/>
      </c>
      <c r="R457" s="1" t="str">
        <f>IF(Teams[[#This Row],[relevant]], COUNTIFS(Fixtures[userTeam], Teams[[#This Row],[name]], Fixtures[MOTM], TRUE), "")</f>
        <v/>
      </c>
      <c r="S457" s="1" t="str" cm="1">
        <f t="array" ref="S457">IF(Teams[[#This Row],[relevant]], _xlfn.TEXTJOIN(", ", TRUE, _xlfn._xlws.FILTER(Stats[competition]&amp;" ("&amp;Stats[season]&amp;")",(Stats[team]=Teams[[#This Row],[name]])*(Stats[result]="Winner"),"")), "")</f>
        <v/>
      </c>
    </row>
    <row r="458" spans="1:19" ht="13" hidden="1">
      <c r="A458" s="1" t="s">
        <v>807</v>
      </c>
      <c r="B458" s="1" t="s">
        <v>456</v>
      </c>
      <c r="C458" s="1" t="s">
        <v>391</v>
      </c>
      <c r="D458" s="1" t="str">
        <f>UPPER(_xlfn.CONCAT(LEFT(Teams[[#This Row],[teamType]], 1), "-", LEFT(SUBSTITUTE(Teams[[#This Row],[nation]], "/", ""), 3), "-", SUBSTITUTE(SUBSTITUTE(SUBSTITUTE(Teams[[#This Row],[name]], ".", ""), " ", ""), "-", "")))</f>
        <v>C-CHI-ÑUBLENSE</v>
      </c>
      <c r="E458" s="16"/>
      <c r="F458" s="16"/>
      <c r="G458" s="1" t="b">
        <f>COUNTBLANK(Teams[[#This Row],[startDate]:[endDate]]) &lt; 2</f>
        <v>0</v>
      </c>
      <c r="H458" s="1" t="str">
        <f>IF(Teams[[#This Row],[relevant]], COUNTIFS(Fixtures[userTeam], Teams[[#This Row],[name]], Fixtures[APP], TRUE), "")</f>
        <v/>
      </c>
      <c r="I458" s="1" t="str">
        <f>IF(Teams[[#This Row],[relevant]], COUNTIFS(Fixtures[userTeam], Teams[[#This Row],[name]], Fixtures[result], "W", Fixtures[APP], TRUE), "")</f>
        <v/>
      </c>
      <c r="J458" s="1" t="str">
        <f>IF(Teams[[#This Row],[relevant]], COUNTIFS(Fixtures[userTeam], Teams[[#This Row],[name]], Fixtures[result], "D", Fixtures[APP], TRUE), "")</f>
        <v/>
      </c>
      <c r="K458" s="1" t="str">
        <f>IF(Teams[[#This Row],[relevant]], COUNTIFS(Fixtures[userTeam], Teams[[#This Row],[name]], Fixtures[result], "L", Fixtures[APP], TRUE), "")</f>
        <v/>
      </c>
      <c r="L458" s="1" t="str">
        <f>IF(Teams[[#This Row],[relevant]], SUMIFS(Fixtures[G], Fixtures[userTeam], Teams[[#This Row],[name]]), "")</f>
        <v/>
      </c>
      <c r="M458" s="1" t="str">
        <f>IF(Teams[[#This Row],[relevant]], SUMIFS(Fixtures[A], Fixtures[userTeam], Teams[[#This Row],[name]]), "")</f>
        <v/>
      </c>
      <c r="N458" s="1" t="str">
        <f>IF(Teams[[#This Row],[relevant]], SUMIFS(Fixtures[INV], Fixtures[userTeam], Teams[[#This Row],[name]]), "")</f>
        <v/>
      </c>
      <c r="O458" s="1" t="str">
        <f>IF(Teams[[#This Row],[relevant]], SUMIFS(Fixtures[YC], Fixtures[userTeam], Teams[[#This Row],[name]]), "")</f>
        <v/>
      </c>
      <c r="P458" s="1" t="str">
        <f>IF(Teams[[#This Row],[relevant]], SUMIFS(Fixtures[RC], Fixtures[userTeam], Teams[[#This Row],[name]]), "")</f>
        <v/>
      </c>
      <c r="Q458" s="13" t="str">
        <f>IF(Teams[[#This Row],[relevant]], IF(ISERROR(AVERAGEIFS(Fixtures[MR], Fixtures[userTeam], Teams[[#This Row],[name]])), 0, AVERAGEIFS(Fixtures[MR], Fixtures[userTeam], Teams[[#This Row],[name]])), "")</f>
        <v/>
      </c>
      <c r="R458" s="1" t="str">
        <f>IF(Teams[[#This Row],[relevant]], COUNTIFS(Fixtures[userTeam], Teams[[#This Row],[name]], Fixtures[MOTM], TRUE), "")</f>
        <v/>
      </c>
      <c r="S458" s="1" t="str" cm="1">
        <f t="array" ref="S458">IF(Teams[[#This Row],[relevant]], _xlfn.TEXTJOIN(", ", TRUE, _xlfn._xlws.FILTER(Stats[competition]&amp;" ("&amp;Stats[season]&amp;")",(Stats[team]=Teams[[#This Row],[name]])*(Stats[result]="Winner"),"")), "")</f>
        <v/>
      </c>
    </row>
    <row r="459" spans="1:19" ht="13" hidden="1">
      <c r="A459" s="1" t="s">
        <v>808</v>
      </c>
      <c r="B459" s="1" t="s">
        <v>447</v>
      </c>
      <c r="C459" s="1" t="s">
        <v>391</v>
      </c>
      <c r="D459" s="1" t="str">
        <f>UPPER(_xlfn.CONCAT(LEFT(Teams[[#This Row],[teamType]], 1), "-", LEFT(SUBSTITUTE(Teams[[#This Row],[nation]], "/", ""), 3), "-", SUBSTITUTE(SUBSTITUTE(SUBSTITUTE(Teams[[#This Row],[name]], ".", ""), " ", ""), "-", "")))</f>
        <v>C-BOL-OPETROLERO</v>
      </c>
      <c r="E459" s="16"/>
      <c r="F459" s="16"/>
      <c r="G459" s="1" t="b">
        <f>COUNTBLANK(Teams[[#This Row],[startDate]:[endDate]]) &lt; 2</f>
        <v>0</v>
      </c>
      <c r="H459" s="1" t="str">
        <f>IF(Teams[[#This Row],[relevant]], COUNTIFS(Fixtures[userTeam], Teams[[#This Row],[name]], Fixtures[APP], TRUE), "")</f>
        <v/>
      </c>
      <c r="I459" s="1" t="str">
        <f>IF(Teams[[#This Row],[relevant]], COUNTIFS(Fixtures[userTeam], Teams[[#This Row],[name]], Fixtures[result], "W", Fixtures[APP], TRUE), "")</f>
        <v/>
      </c>
      <c r="J459" s="1" t="str">
        <f>IF(Teams[[#This Row],[relevant]], COUNTIFS(Fixtures[userTeam], Teams[[#This Row],[name]], Fixtures[result], "D", Fixtures[APP], TRUE), "")</f>
        <v/>
      </c>
      <c r="K459" s="1" t="str">
        <f>IF(Teams[[#This Row],[relevant]], COUNTIFS(Fixtures[userTeam], Teams[[#This Row],[name]], Fixtures[result], "L", Fixtures[APP], TRUE), "")</f>
        <v/>
      </c>
      <c r="L459" s="1" t="str">
        <f>IF(Teams[[#This Row],[relevant]], SUMIFS(Fixtures[G], Fixtures[userTeam], Teams[[#This Row],[name]]), "")</f>
        <v/>
      </c>
      <c r="M459" s="1" t="str">
        <f>IF(Teams[[#This Row],[relevant]], SUMIFS(Fixtures[A], Fixtures[userTeam], Teams[[#This Row],[name]]), "")</f>
        <v/>
      </c>
      <c r="N459" s="1" t="str">
        <f>IF(Teams[[#This Row],[relevant]], SUMIFS(Fixtures[INV], Fixtures[userTeam], Teams[[#This Row],[name]]), "")</f>
        <v/>
      </c>
      <c r="O459" s="1" t="str">
        <f>IF(Teams[[#This Row],[relevant]], SUMIFS(Fixtures[YC], Fixtures[userTeam], Teams[[#This Row],[name]]), "")</f>
        <v/>
      </c>
      <c r="P459" s="1" t="str">
        <f>IF(Teams[[#This Row],[relevant]], SUMIFS(Fixtures[RC], Fixtures[userTeam], Teams[[#This Row],[name]]), "")</f>
        <v/>
      </c>
      <c r="Q459" s="13" t="str">
        <f>IF(Teams[[#This Row],[relevant]], IF(ISERROR(AVERAGEIFS(Fixtures[MR], Fixtures[userTeam], Teams[[#This Row],[name]])), 0, AVERAGEIFS(Fixtures[MR], Fixtures[userTeam], Teams[[#This Row],[name]])), "")</f>
        <v/>
      </c>
      <c r="R459" s="1" t="str">
        <f>IF(Teams[[#This Row],[relevant]], COUNTIFS(Fixtures[userTeam], Teams[[#This Row],[name]], Fixtures[MOTM], TRUE), "")</f>
        <v/>
      </c>
      <c r="S459" s="1" t="str" cm="1">
        <f t="array" ref="S459">IF(Teams[[#This Row],[relevant]], _xlfn.TEXTJOIN(", ", TRUE, _xlfn._xlws.FILTER(Stats[competition]&amp;" ("&amp;Stats[season]&amp;")",(Stats[team]=Teams[[#This Row],[name]])*(Stats[result]="Winner"),"")), "")</f>
        <v/>
      </c>
    </row>
    <row r="460" spans="1:19" ht="13" hidden="1">
      <c r="A460" s="1" t="s">
        <v>809</v>
      </c>
      <c r="B460" s="1" t="s">
        <v>286</v>
      </c>
      <c r="C460" s="1" t="s">
        <v>391</v>
      </c>
      <c r="D460" s="1" t="str">
        <f>UPPER(_xlfn.CONCAT(LEFT(Teams[[#This Row],[teamType]], 1), "-", LEFT(SUBSTITUTE(Teams[[#This Row],[nation]], "/", ""), 3), "-", SUBSTITUTE(SUBSTITUTE(SUBSTITUTE(Teams[[#This Row],[name]], ".", ""), " ", ""), "-", "")))</f>
        <v>C-NOR-ODDSBK</v>
      </c>
      <c r="E460" s="16"/>
      <c r="F460" s="16"/>
      <c r="G460" s="1" t="b">
        <f>COUNTBLANK(Teams[[#This Row],[startDate]:[endDate]]) &lt; 2</f>
        <v>0</v>
      </c>
      <c r="H460" s="1" t="str">
        <f>IF(Teams[[#This Row],[relevant]], COUNTIFS(Fixtures[userTeam], Teams[[#This Row],[name]], Fixtures[APP], TRUE), "")</f>
        <v/>
      </c>
      <c r="I460" s="1" t="str">
        <f>IF(Teams[[#This Row],[relevant]], COUNTIFS(Fixtures[userTeam], Teams[[#This Row],[name]], Fixtures[result], "W", Fixtures[APP], TRUE), "")</f>
        <v/>
      </c>
      <c r="J460" s="1" t="str">
        <f>IF(Teams[[#This Row],[relevant]], COUNTIFS(Fixtures[userTeam], Teams[[#This Row],[name]], Fixtures[result], "D", Fixtures[APP], TRUE), "")</f>
        <v/>
      </c>
      <c r="K460" s="1" t="str">
        <f>IF(Teams[[#This Row],[relevant]], COUNTIFS(Fixtures[userTeam], Teams[[#This Row],[name]], Fixtures[result], "L", Fixtures[APP], TRUE), "")</f>
        <v/>
      </c>
      <c r="L460" s="1" t="str">
        <f>IF(Teams[[#This Row],[relevant]], SUMIFS(Fixtures[G], Fixtures[userTeam], Teams[[#This Row],[name]]), "")</f>
        <v/>
      </c>
      <c r="M460" s="1" t="str">
        <f>IF(Teams[[#This Row],[relevant]], SUMIFS(Fixtures[A], Fixtures[userTeam], Teams[[#This Row],[name]]), "")</f>
        <v/>
      </c>
      <c r="N460" s="1" t="str">
        <f>IF(Teams[[#This Row],[relevant]], SUMIFS(Fixtures[INV], Fixtures[userTeam], Teams[[#This Row],[name]]), "")</f>
        <v/>
      </c>
      <c r="O460" s="1" t="str">
        <f>IF(Teams[[#This Row],[relevant]], SUMIFS(Fixtures[YC], Fixtures[userTeam], Teams[[#This Row],[name]]), "")</f>
        <v/>
      </c>
      <c r="P460" s="1" t="str">
        <f>IF(Teams[[#This Row],[relevant]], SUMIFS(Fixtures[RC], Fixtures[userTeam], Teams[[#This Row],[name]]), "")</f>
        <v/>
      </c>
      <c r="Q460" s="13" t="str">
        <f>IF(Teams[[#This Row],[relevant]], IF(ISERROR(AVERAGEIFS(Fixtures[MR], Fixtures[userTeam], Teams[[#This Row],[name]])), 0, AVERAGEIFS(Fixtures[MR], Fixtures[userTeam], Teams[[#This Row],[name]])), "")</f>
        <v/>
      </c>
      <c r="R460" s="1" t="str">
        <f>IF(Teams[[#This Row],[relevant]], COUNTIFS(Fixtures[userTeam], Teams[[#This Row],[name]], Fixtures[MOTM], TRUE), "")</f>
        <v/>
      </c>
      <c r="S460" s="1" t="str" cm="1">
        <f t="array" ref="S460">IF(Teams[[#This Row],[relevant]], _xlfn.TEXTJOIN(", ", TRUE, _xlfn._xlws.FILTER(Stats[competition]&amp;" ("&amp;Stats[season]&amp;")",(Stats[team]=Teams[[#This Row],[name]])*(Stats[result]="Winner"),"")), "")</f>
        <v/>
      </c>
    </row>
    <row r="461" spans="1:19" ht="13" hidden="1">
      <c r="A461" s="1" t="s">
        <v>810</v>
      </c>
      <c r="B461" s="1" t="s">
        <v>398</v>
      </c>
      <c r="C461" s="1" t="s">
        <v>391</v>
      </c>
      <c r="D461" s="1" t="str">
        <f>UPPER(_xlfn.CONCAT(LEFT(Teams[[#This Row],[teamType]], 1), "-", LEFT(SUBSTITUTE(Teams[[#This Row],[nation]], "/", ""), 3), "-", SUBSTITUTE(SUBSTITUTE(SUBSTITUTE(Teams[[#This Row],[name]], ".", ""), " ", ""), "-", "")))</f>
        <v>C-DEN-ODENSEBK</v>
      </c>
      <c r="E461" s="16"/>
      <c r="F461" s="16"/>
      <c r="G461" s="1" t="b">
        <f>COUNTBLANK(Teams[[#This Row],[startDate]:[endDate]]) &lt; 2</f>
        <v>0</v>
      </c>
      <c r="H461" s="1" t="str">
        <f>IF(Teams[[#This Row],[relevant]], COUNTIFS(Fixtures[userTeam], Teams[[#This Row],[name]], Fixtures[APP], TRUE), "")</f>
        <v/>
      </c>
      <c r="I461" s="1" t="str">
        <f>IF(Teams[[#This Row],[relevant]], COUNTIFS(Fixtures[userTeam], Teams[[#This Row],[name]], Fixtures[result], "W", Fixtures[APP], TRUE), "")</f>
        <v/>
      </c>
      <c r="J461" s="1" t="str">
        <f>IF(Teams[[#This Row],[relevant]], COUNTIFS(Fixtures[userTeam], Teams[[#This Row],[name]], Fixtures[result], "D", Fixtures[APP], TRUE), "")</f>
        <v/>
      </c>
      <c r="K461" s="1" t="str">
        <f>IF(Teams[[#This Row],[relevant]], COUNTIFS(Fixtures[userTeam], Teams[[#This Row],[name]], Fixtures[result], "L", Fixtures[APP], TRUE), "")</f>
        <v/>
      </c>
      <c r="L461" s="1" t="str">
        <f>IF(Teams[[#This Row],[relevant]], SUMIFS(Fixtures[G], Fixtures[userTeam], Teams[[#This Row],[name]]), "")</f>
        <v/>
      </c>
      <c r="M461" s="1" t="str">
        <f>IF(Teams[[#This Row],[relevant]], SUMIFS(Fixtures[A], Fixtures[userTeam], Teams[[#This Row],[name]]), "")</f>
        <v/>
      </c>
      <c r="N461" s="1" t="str">
        <f>IF(Teams[[#This Row],[relevant]], SUMIFS(Fixtures[INV], Fixtures[userTeam], Teams[[#This Row],[name]]), "")</f>
        <v/>
      </c>
      <c r="O461" s="1" t="str">
        <f>IF(Teams[[#This Row],[relevant]], SUMIFS(Fixtures[YC], Fixtures[userTeam], Teams[[#This Row],[name]]), "")</f>
        <v/>
      </c>
      <c r="P461" s="1" t="str">
        <f>IF(Teams[[#This Row],[relevant]], SUMIFS(Fixtures[RC], Fixtures[userTeam], Teams[[#This Row],[name]]), "")</f>
        <v/>
      </c>
      <c r="Q461" s="13" t="str">
        <f>IF(Teams[[#This Row],[relevant]], IF(ISERROR(AVERAGEIFS(Fixtures[MR], Fixtures[userTeam], Teams[[#This Row],[name]])), 0, AVERAGEIFS(Fixtures[MR], Fixtures[userTeam], Teams[[#This Row],[name]])), "")</f>
        <v/>
      </c>
      <c r="R461" s="1" t="str">
        <f>IF(Teams[[#This Row],[relevant]], COUNTIFS(Fixtures[userTeam], Teams[[#This Row],[name]], Fixtures[MOTM], TRUE), "")</f>
        <v/>
      </c>
      <c r="S461" s="1" t="str" cm="1">
        <f t="array" ref="S461">IF(Teams[[#This Row],[relevant]], _xlfn.TEXTJOIN(", ", TRUE, _xlfn._xlws.FILTER(Stats[competition]&amp;" ("&amp;Stats[season]&amp;")",(Stats[team]=Teams[[#This Row],[name]])*(Stats[result]="Winner"),"")), "")</f>
        <v/>
      </c>
    </row>
    <row r="462" spans="1:19" ht="13" hidden="1">
      <c r="A462" s="1" t="s">
        <v>811</v>
      </c>
      <c r="B462" s="1" t="s">
        <v>473</v>
      </c>
      <c r="C462" s="1" t="s">
        <v>391</v>
      </c>
      <c r="D462" s="1" t="str">
        <f>UPPER(_xlfn.CONCAT(LEFT(Teams[[#This Row],[teamType]], 1), "-", LEFT(SUBSTITUTE(Teams[[#This Row],[nation]], "/", ""), 3), "-", SUBSTITUTE(SUBSTITUTE(SUBSTITUTE(Teams[[#This Row],[name]], ".", ""), " ", ""), "-", "")))</f>
        <v>C-IND-ODISHAFC</v>
      </c>
      <c r="E462" s="16"/>
      <c r="F462" s="16"/>
      <c r="G462" s="1" t="b">
        <f>COUNTBLANK(Teams[[#This Row],[startDate]:[endDate]]) &lt; 2</f>
        <v>0</v>
      </c>
      <c r="H462" s="1" t="str">
        <f>IF(Teams[[#This Row],[relevant]], COUNTIFS(Fixtures[userTeam], Teams[[#This Row],[name]], Fixtures[APP], TRUE), "")</f>
        <v/>
      </c>
      <c r="I462" s="1" t="str">
        <f>IF(Teams[[#This Row],[relevant]], COUNTIFS(Fixtures[userTeam], Teams[[#This Row],[name]], Fixtures[result], "W", Fixtures[APP], TRUE), "")</f>
        <v/>
      </c>
      <c r="J462" s="1" t="str">
        <f>IF(Teams[[#This Row],[relevant]], COUNTIFS(Fixtures[userTeam], Teams[[#This Row],[name]], Fixtures[result], "D", Fixtures[APP], TRUE), "")</f>
        <v/>
      </c>
      <c r="K462" s="1" t="str">
        <f>IF(Teams[[#This Row],[relevant]], COUNTIFS(Fixtures[userTeam], Teams[[#This Row],[name]], Fixtures[result], "L", Fixtures[APP], TRUE), "")</f>
        <v/>
      </c>
      <c r="L462" s="1" t="str">
        <f>IF(Teams[[#This Row],[relevant]], SUMIFS(Fixtures[G], Fixtures[userTeam], Teams[[#This Row],[name]]), "")</f>
        <v/>
      </c>
      <c r="M462" s="1" t="str">
        <f>IF(Teams[[#This Row],[relevant]], SUMIFS(Fixtures[A], Fixtures[userTeam], Teams[[#This Row],[name]]), "")</f>
        <v/>
      </c>
      <c r="N462" s="1" t="str">
        <f>IF(Teams[[#This Row],[relevant]], SUMIFS(Fixtures[INV], Fixtures[userTeam], Teams[[#This Row],[name]]), "")</f>
        <v/>
      </c>
      <c r="O462" s="1" t="str">
        <f>IF(Teams[[#This Row],[relevant]], SUMIFS(Fixtures[YC], Fixtures[userTeam], Teams[[#This Row],[name]]), "")</f>
        <v/>
      </c>
      <c r="P462" s="1" t="str">
        <f>IF(Teams[[#This Row],[relevant]], SUMIFS(Fixtures[RC], Fixtures[userTeam], Teams[[#This Row],[name]]), "")</f>
        <v/>
      </c>
      <c r="Q462" s="13" t="str">
        <f>IF(Teams[[#This Row],[relevant]], IF(ISERROR(AVERAGEIFS(Fixtures[MR], Fixtures[userTeam], Teams[[#This Row],[name]])), 0, AVERAGEIFS(Fixtures[MR], Fixtures[userTeam], Teams[[#This Row],[name]])), "")</f>
        <v/>
      </c>
      <c r="R462" s="1" t="str">
        <f>IF(Teams[[#This Row],[relevant]], COUNTIFS(Fixtures[userTeam], Teams[[#This Row],[name]], Fixtures[MOTM], TRUE), "")</f>
        <v/>
      </c>
      <c r="S462" s="1" t="str" cm="1">
        <f t="array" ref="S462">IF(Teams[[#This Row],[relevant]], _xlfn.TEXTJOIN(", ", TRUE, _xlfn._xlws.FILTER(Stats[competition]&amp;" ("&amp;Stats[season]&amp;")",(Stats[team]=Teams[[#This Row],[name]])*(Stats[result]="Winner"),"")), "")</f>
        <v/>
      </c>
    </row>
    <row r="463" spans="1:19" ht="13" hidden="1">
      <c r="A463" s="1" t="s">
        <v>812</v>
      </c>
      <c r="B463" s="1" t="s">
        <v>339</v>
      </c>
      <c r="C463" s="1" t="s">
        <v>391</v>
      </c>
      <c r="D463" s="1" t="str">
        <f>UPPER(_xlfn.CONCAT(LEFT(Teams[[#This Row],[teamType]], 1), "-", LEFT(SUBSTITUTE(Teams[[#This Row],[nation]], "/", ""), 3), "-", SUBSTITUTE(SUBSTITUTE(SUBSTITUTE(Teams[[#This Row],[name]], ".", ""), " ", ""), "-", "")))</f>
        <v>C-FRA-OGCNICE</v>
      </c>
      <c r="E463" s="16"/>
      <c r="F463" s="16"/>
      <c r="G463" s="1" t="b">
        <f>COUNTBLANK(Teams[[#This Row],[startDate]:[endDate]]) &lt; 2</f>
        <v>0</v>
      </c>
      <c r="H463" s="1" t="str">
        <f>IF(Teams[[#This Row],[relevant]], COUNTIFS(Fixtures[userTeam], Teams[[#This Row],[name]], Fixtures[APP], TRUE), "")</f>
        <v/>
      </c>
      <c r="I463" s="1" t="str">
        <f>IF(Teams[[#This Row],[relevant]], COUNTIFS(Fixtures[userTeam], Teams[[#This Row],[name]], Fixtures[result], "W", Fixtures[APP], TRUE), "")</f>
        <v/>
      </c>
      <c r="J463" s="1" t="str">
        <f>IF(Teams[[#This Row],[relevant]], COUNTIFS(Fixtures[userTeam], Teams[[#This Row],[name]], Fixtures[result], "D", Fixtures[APP], TRUE), "")</f>
        <v/>
      </c>
      <c r="K463" s="1" t="str">
        <f>IF(Teams[[#This Row],[relevant]], COUNTIFS(Fixtures[userTeam], Teams[[#This Row],[name]], Fixtures[result], "L", Fixtures[APP], TRUE), "")</f>
        <v/>
      </c>
      <c r="L463" s="1" t="str">
        <f>IF(Teams[[#This Row],[relevant]], SUMIFS(Fixtures[G], Fixtures[userTeam], Teams[[#This Row],[name]]), "")</f>
        <v/>
      </c>
      <c r="M463" s="1" t="str">
        <f>IF(Teams[[#This Row],[relevant]], SUMIFS(Fixtures[A], Fixtures[userTeam], Teams[[#This Row],[name]]), "")</f>
        <v/>
      </c>
      <c r="N463" s="1" t="str">
        <f>IF(Teams[[#This Row],[relevant]], SUMIFS(Fixtures[INV], Fixtures[userTeam], Teams[[#This Row],[name]]), "")</f>
        <v/>
      </c>
      <c r="O463" s="1" t="str">
        <f>IF(Teams[[#This Row],[relevant]], SUMIFS(Fixtures[YC], Fixtures[userTeam], Teams[[#This Row],[name]]), "")</f>
        <v/>
      </c>
      <c r="P463" s="1" t="str">
        <f>IF(Teams[[#This Row],[relevant]], SUMIFS(Fixtures[RC], Fixtures[userTeam], Teams[[#This Row],[name]]), "")</f>
        <v/>
      </c>
      <c r="Q463" s="13" t="str">
        <f>IF(Teams[[#This Row],[relevant]], IF(ISERROR(AVERAGEIFS(Fixtures[MR], Fixtures[userTeam], Teams[[#This Row],[name]])), 0, AVERAGEIFS(Fixtures[MR], Fixtures[userTeam], Teams[[#This Row],[name]])), "")</f>
        <v/>
      </c>
      <c r="R463" s="1" t="str">
        <f>IF(Teams[[#This Row],[relevant]], COUNTIFS(Fixtures[userTeam], Teams[[#This Row],[name]], Fixtures[MOTM], TRUE), "")</f>
        <v/>
      </c>
      <c r="S463" s="1" t="str" cm="1">
        <f t="array" ref="S463">IF(Teams[[#This Row],[relevant]], _xlfn.TEXTJOIN(", ", TRUE, _xlfn._xlws.FILTER(Stats[competition]&amp;" ("&amp;Stats[season]&amp;")",(Stats[team]=Teams[[#This Row],[name]])*(Stats[result]="Winner"),"")), "")</f>
        <v/>
      </c>
    </row>
    <row r="464" spans="1:19" ht="13" hidden="1">
      <c r="A464" s="1" t="s">
        <v>126</v>
      </c>
      <c r="B464" s="1" t="s">
        <v>144</v>
      </c>
      <c r="C464" s="1" t="s">
        <v>391</v>
      </c>
      <c r="D464" s="1" t="str">
        <f>UPPER(_xlfn.CONCAT(LEFT(Teams[[#This Row],[teamType]], 1), "-", LEFT(SUBSTITUTE(Teams[[#This Row],[nation]], "/", ""), 3), "-", SUBSTITUTE(SUBSTITUTE(SUBSTITUTE(Teams[[#This Row],[name]], ".", ""), " ", ""), "-", "")))</f>
        <v>C-BEL-OHLEUVEN</v>
      </c>
      <c r="E464" s="16"/>
      <c r="F464" s="16"/>
      <c r="G464" s="1" t="b">
        <f>COUNTBLANK(Teams[[#This Row],[startDate]:[endDate]]) &lt; 2</f>
        <v>0</v>
      </c>
      <c r="H464" s="1" t="str">
        <f>IF(Teams[[#This Row],[relevant]], COUNTIFS(Fixtures[userTeam], Teams[[#This Row],[name]], Fixtures[APP], TRUE), "")</f>
        <v/>
      </c>
      <c r="I464" s="1" t="str">
        <f>IF(Teams[[#This Row],[relevant]], COUNTIFS(Fixtures[userTeam], Teams[[#This Row],[name]], Fixtures[result], "W", Fixtures[APP], TRUE), "")</f>
        <v/>
      </c>
      <c r="J464" s="1" t="str">
        <f>IF(Teams[[#This Row],[relevant]], COUNTIFS(Fixtures[userTeam], Teams[[#This Row],[name]], Fixtures[result], "D", Fixtures[APP], TRUE), "")</f>
        <v/>
      </c>
      <c r="K464" s="1" t="str">
        <f>IF(Teams[[#This Row],[relevant]], COUNTIFS(Fixtures[userTeam], Teams[[#This Row],[name]], Fixtures[result], "L", Fixtures[APP], TRUE), "")</f>
        <v/>
      </c>
      <c r="L464" s="1" t="str">
        <f>IF(Teams[[#This Row],[relevant]], SUMIFS(Fixtures[G], Fixtures[userTeam], Teams[[#This Row],[name]]), "")</f>
        <v/>
      </c>
      <c r="M464" s="1" t="str">
        <f>IF(Teams[[#This Row],[relevant]], SUMIFS(Fixtures[A], Fixtures[userTeam], Teams[[#This Row],[name]]), "")</f>
        <v/>
      </c>
      <c r="N464" s="1" t="str">
        <f>IF(Teams[[#This Row],[relevant]], SUMIFS(Fixtures[INV], Fixtures[userTeam], Teams[[#This Row],[name]]), "")</f>
        <v/>
      </c>
      <c r="O464" s="1" t="str">
        <f>IF(Teams[[#This Row],[relevant]], SUMIFS(Fixtures[YC], Fixtures[userTeam], Teams[[#This Row],[name]]), "")</f>
        <v/>
      </c>
      <c r="P464" s="1" t="str">
        <f>IF(Teams[[#This Row],[relevant]], SUMIFS(Fixtures[RC], Fixtures[userTeam], Teams[[#This Row],[name]]), "")</f>
        <v/>
      </c>
      <c r="Q464" s="13" t="str">
        <f>IF(Teams[[#This Row],[relevant]], IF(ISERROR(AVERAGEIFS(Fixtures[MR], Fixtures[userTeam], Teams[[#This Row],[name]])), 0, AVERAGEIFS(Fixtures[MR], Fixtures[userTeam], Teams[[#This Row],[name]])), "")</f>
        <v/>
      </c>
      <c r="R464" s="1" t="str">
        <f>IF(Teams[[#This Row],[relevant]], COUNTIFS(Fixtures[userTeam], Teams[[#This Row],[name]], Fixtures[MOTM], TRUE), "")</f>
        <v/>
      </c>
      <c r="S464" s="1" t="str" cm="1">
        <f t="array" ref="S464">IF(Teams[[#This Row],[relevant]], _xlfn.TEXTJOIN(", ", TRUE, _xlfn._xlws.FILTER(Stats[competition]&amp;" ("&amp;Stats[season]&amp;")",(Stats[team]=Teams[[#This Row],[name]])*(Stats[result]="Winner"),"")), "")</f>
        <v/>
      </c>
    </row>
    <row r="465" spans="1:19" ht="13" hidden="1">
      <c r="A465" s="1" t="s">
        <v>172</v>
      </c>
      <c r="B465" s="1" t="s">
        <v>339</v>
      </c>
      <c r="C465" s="1" t="s">
        <v>391</v>
      </c>
      <c r="D465" s="1" t="str">
        <f>UPPER(_xlfn.CONCAT(LEFT(Teams[[#This Row],[teamType]], 1), "-", LEFT(SUBSTITUTE(Teams[[#This Row],[nation]], "/", ""), 3), "-", SUBSTITUTE(SUBSTITUTE(SUBSTITUTE(Teams[[#This Row],[name]], ".", ""), " ", ""), "-", "")))</f>
        <v>C-FRA-OL</v>
      </c>
      <c r="E465" s="16"/>
      <c r="F465" s="16"/>
      <c r="G465" s="1" t="b">
        <f>COUNTBLANK(Teams[[#This Row],[startDate]:[endDate]]) &lt; 2</f>
        <v>0</v>
      </c>
      <c r="H465" s="1" t="str">
        <f>IF(Teams[[#This Row],[relevant]], COUNTIFS(Fixtures[userTeam], Teams[[#This Row],[name]], Fixtures[APP], TRUE), "")</f>
        <v/>
      </c>
      <c r="I465" s="1" t="str">
        <f>IF(Teams[[#This Row],[relevant]], COUNTIFS(Fixtures[userTeam], Teams[[#This Row],[name]], Fixtures[result], "W", Fixtures[APP], TRUE), "")</f>
        <v/>
      </c>
      <c r="J465" s="1" t="str">
        <f>IF(Teams[[#This Row],[relevant]], COUNTIFS(Fixtures[userTeam], Teams[[#This Row],[name]], Fixtures[result], "D", Fixtures[APP], TRUE), "")</f>
        <v/>
      </c>
      <c r="K465" s="1" t="str">
        <f>IF(Teams[[#This Row],[relevant]], COUNTIFS(Fixtures[userTeam], Teams[[#This Row],[name]], Fixtures[result], "L", Fixtures[APP], TRUE), "")</f>
        <v/>
      </c>
      <c r="L465" s="1" t="str">
        <f>IF(Teams[[#This Row],[relevant]], SUMIFS(Fixtures[G], Fixtures[userTeam], Teams[[#This Row],[name]]), "")</f>
        <v/>
      </c>
      <c r="M465" s="1" t="str">
        <f>IF(Teams[[#This Row],[relevant]], SUMIFS(Fixtures[A], Fixtures[userTeam], Teams[[#This Row],[name]]), "")</f>
        <v/>
      </c>
      <c r="N465" s="1" t="str">
        <f>IF(Teams[[#This Row],[relevant]], SUMIFS(Fixtures[INV], Fixtures[userTeam], Teams[[#This Row],[name]]), "")</f>
        <v/>
      </c>
      <c r="O465" s="1" t="str">
        <f>IF(Teams[[#This Row],[relevant]], SUMIFS(Fixtures[YC], Fixtures[userTeam], Teams[[#This Row],[name]]), "")</f>
        <v/>
      </c>
      <c r="P465" s="1" t="str">
        <f>IF(Teams[[#This Row],[relevant]], SUMIFS(Fixtures[RC], Fixtures[userTeam], Teams[[#This Row],[name]]), "")</f>
        <v/>
      </c>
      <c r="Q465" s="13" t="str">
        <f>IF(Teams[[#This Row],[relevant]], IF(ISERROR(AVERAGEIFS(Fixtures[MR], Fixtures[userTeam], Teams[[#This Row],[name]])), 0, AVERAGEIFS(Fixtures[MR], Fixtures[userTeam], Teams[[#This Row],[name]])), "")</f>
        <v/>
      </c>
      <c r="R465" s="1" t="str">
        <f>IF(Teams[[#This Row],[relevant]], COUNTIFS(Fixtures[userTeam], Teams[[#This Row],[name]], Fixtures[MOTM], TRUE), "")</f>
        <v/>
      </c>
      <c r="S465" s="1" t="str" cm="1">
        <f t="array" ref="S465">IF(Teams[[#This Row],[relevant]], _xlfn.TEXTJOIN(", ", TRUE, _xlfn._xlws.FILTER(Stats[competition]&amp;" ("&amp;Stats[season]&amp;")",(Stats[team]=Teams[[#This Row],[name]])*(Stats[result]="Winner"),"")), "")</f>
        <v/>
      </c>
    </row>
    <row r="466" spans="1:19" ht="13" hidden="1">
      <c r="A466" s="1" t="s">
        <v>813</v>
      </c>
      <c r="B466" s="1" t="s">
        <v>536</v>
      </c>
      <c r="C466" s="1" t="s">
        <v>391</v>
      </c>
      <c r="D466" s="1" t="str">
        <f>UPPER(_xlfn.CONCAT(LEFT(Teams[[#This Row],[teamType]], 1), "-", LEFT(SUBSTITUTE(Teams[[#This Row],[nation]], "/", ""), 3), "-", SUBSTITUTE(SUBSTITUTE(SUBSTITUTE(Teams[[#This Row],[name]], ".", ""), " ", ""), "-", "")))</f>
        <v>C-PAR-OLIMPIA</v>
      </c>
      <c r="E466" s="16"/>
      <c r="F466" s="16"/>
      <c r="G466" s="1" t="b">
        <f>COUNTBLANK(Teams[[#This Row],[startDate]:[endDate]]) &lt; 2</f>
        <v>0</v>
      </c>
      <c r="H466" s="1" t="str">
        <f>IF(Teams[[#This Row],[relevant]], COUNTIFS(Fixtures[userTeam], Teams[[#This Row],[name]], Fixtures[APP], TRUE), "")</f>
        <v/>
      </c>
      <c r="I466" s="1" t="str">
        <f>IF(Teams[[#This Row],[relevant]], COUNTIFS(Fixtures[userTeam], Teams[[#This Row],[name]], Fixtures[result], "W", Fixtures[APP], TRUE), "")</f>
        <v/>
      </c>
      <c r="J466" s="1" t="str">
        <f>IF(Teams[[#This Row],[relevant]], COUNTIFS(Fixtures[userTeam], Teams[[#This Row],[name]], Fixtures[result], "D", Fixtures[APP], TRUE), "")</f>
        <v/>
      </c>
      <c r="K466" s="1" t="str">
        <f>IF(Teams[[#This Row],[relevant]], COUNTIFS(Fixtures[userTeam], Teams[[#This Row],[name]], Fixtures[result], "L", Fixtures[APP], TRUE), "")</f>
        <v/>
      </c>
      <c r="L466" s="1" t="str">
        <f>IF(Teams[[#This Row],[relevant]], SUMIFS(Fixtures[G], Fixtures[userTeam], Teams[[#This Row],[name]]), "")</f>
        <v/>
      </c>
      <c r="M466" s="1" t="str">
        <f>IF(Teams[[#This Row],[relevant]], SUMIFS(Fixtures[A], Fixtures[userTeam], Teams[[#This Row],[name]]), "")</f>
        <v/>
      </c>
      <c r="N466" s="1" t="str">
        <f>IF(Teams[[#This Row],[relevant]], SUMIFS(Fixtures[INV], Fixtures[userTeam], Teams[[#This Row],[name]]), "")</f>
        <v/>
      </c>
      <c r="O466" s="1" t="str">
        <f>IF(Teams[[#This Row],[relevant]], SUMIFS(Fixtures[YC], Fixtures[userTeam], Teams[[#This Row],[name]]), "")</f>
        <v/>
      </c>
      <c r="P466" s="1" t="str">
        <f>IF(Teams[[#This Row],[relevant]], SUMIFS(Fixtures[RC], Fixtures[userTeam], Teams[[#This Row],[name]]), "")</f>
        <v/>
      </c>
      <c r="Q466" s="13" t="str">
        <f>IF(Teams[[#This Row],[relevant]], IF(ISERROR(AVERAGEIFS(Fixtures[MR], Fixtures[userTeam], Teams[[#This Row],[name]])), 0, AVERAGEIFS(Fixtures[MR], Fixtures[userTeam], Teams[[#This Row],[name]])), "")</f>
        <v/>
      </c>
      <c r="R466" s="1" t="str">
        <f>IF(Teams[[#This Row],[relevant]], COUNTIFS(Fixtures[userTeam], Teams[[#This Row],[name]], Fixtures[MOTM], TRUE), "")</f>
        <v/>
      </c>
      <c r="S466" s="1" t="str" cm="1">
        <f t="array" ref="S466">IF(Teams[[#This Row],[relevant]], _xlfn.TEXTJOIN(", ", TRUE, _xlfn._xlws.FILTER(Stats[competition]&amp;" ("&amp;Stats[season]&amp;")",(Stats[team]=Teams[[#This Row],[name]])*(Stats[result]="Winner"),"")), "")</f>
        <v/>
      </c>
    </row>
    <row r="467" spans="1:19" ht="13" hidden="1">
      <c r="A467" s="1" t="s">
        <v>281</v>
      </c>
      <c r="B467" s="1" t="s">
        <v>339</v>
      </c>
      <c r="C467" s="1" t="s">
        <v>391</v>
      </c>
      <c r="D467" s="1" t="str">
        <f>UPPER(_xlfn.CONCAT(LEFT(Teams[[#This Row],[teamType]], 1), "-", LEFT(SUBSTITUTE(Teams[[#This Row],[nation]], "/", ""), 3), "-", SUBSTITUTE(SUBSTITUTE(SUBSTITUTE(Teams[[#This Row],[name]], ".", ""), " ", ""), "-", "")))</f>
        <v>C-FRA-OM</v>
      </c>
      <c r="E467" s="16"/>
      <c r="F467" s="16"/>
      <c r="G467" s="1" t="b">
        <f>COUNTBLANK(Teams[[#This Row],[startDate]:[endDate]]) &lt; 2</f>
        <v>0</v>
      </c>
      <c r="H467" s="1" t="str">
        <f>IF(Teams[[#This Row],[relevant]], COUNTIFS(Fixtures[userTeam], Teams[[#This Row],[name]], Fixtures[APP], TRUE), "")</f>
        <v/>
      </c>
      <c r="I467" s="1" t="str">
        <f>IF(Teams[[#This Row],[relevant]], COUNTIFS(Fixtures[userTeam], Teams[[#This Row],[name]], Fixtures[result], "W", Fixtures[APP], TRUE), "")</f>
        <v/>
      </c>
      <c r="J467" s="1" t="str">
        <f>IF(Teams[[#This Row],[relevant]], COUNTIFS(Fixtures[userTeam], Teams[[#This Row],[name]], Fixtures[result], "D", Fixtures[APP], TRUE), "")</f>
        <v/>
      </c>
      <c r="K467" s="1" t="str">
        <f>IF(Teams[[#This Row],[relevant]], COUNTIFS(Fixtures[userTeam], Teams[[#This Row],[name]], Fixtures[result], "L", Fixtures[APP], TRUE), "")</f>
        <v/>
      </c>
      <c r="L467" s="1" t="str">
        <f>IF(Teams[[#This Row],[relevant]], SUMIFS(Fixtures[G], Fixtures[userTeam], Teams[[#This Row],[name]]), "")</f>
        <v/>
      </c>
      <c r="M467" s="1" t="str">
        <f>IF(Teams[[#This Row],[relevant]], SUMIFS(Fixtures[A], Fixtures[userTeam], Teams[[#This Row],[name]]), "")</f>
        <v/>
      </c>
      <c r="N467" s="1" t="str">
        <f>IF(Teams[[#This Row],[relevant]], SUMIFS(Fixtures[INV], Fixtures[userTeam], Teams[[#This Row],[name]]), "")</f>
        <v/>
      </c>
      <c r="O467" s="1" t="str">
        <f>IF(Teams[[#This Row],[relevant]], SUMIFS(Fixtures[YC], Fixtures[userTeam], Teams[[#This Row],[name]]), "")</f>
        <v/>
      </c>
      <c r="P467" s="1" t="str">
        <f>IF(Teams[[#This Row],[relevant]], SUMIFS(Fixtures[RC], Fixtures[userTeam], Teams[[#This Row],[name]]), "")</f>
        <v/>
      </c>
      <c r="Q467" s="13" t="str">
        <f>IF(Teams[[#This Row],[relevant]], IF(ISERROR(AVERAGEIFS(Fixtures[MR], Fixtures[userTeam], Teams[[#This Row],[name]])), 0, AVERAGEIFS(Fixtures[MR], Fixtures[userTeam], Teams[[#This Row],[name]])), "")</f>
        <v/>
      </c>
      <c r="R467" s="1" t="str">
        <f>IF(Teams[[#This Row],[relevant]], COUNTIFS(Fixtures[userTeam], Teams[[#This Row],[name]], Fixtures[MOTM], TRUE), "")</f>
        <v/>
      </c>
      <c r="S467" s="1" t="str" cm="1">
        <f t="array" ref="S467">IF(Teams[[#This Row],[relevant]], _xlfn.TEXTJOIN(", ", TRUE, _xlfn._xlws.FILTER(Stats[competition]&amp;" ("&amp;Stats[season]&amp;")",(Stats[team]=Teams[[#This Row],[name]])*(Stats[result]="Winner"),"")), "")</f>
        <v/>
      </c>
    </row>
    <row r="468" spans="1:19" ht="13" hidden="1">
      <c r="A468" s="1" t="s">
        <v>814</v>
      </c>
      <c r="B468" s="1" t="s">
        <v>16</v>
      </c>
      <c r="C468" s="1" t="s">
        <v>391</v>
      </c>
      <c r="D468" s="1" t="str">
        <f>UPPER(_xlfn.CONCAT(LEFT(Teams[[#This Row],[teamType]], 1), "-", LEFT(SUBSTITUTE(Teams[[#This Row],[nation]], "/", ""), 3), "-", SUBSTITUTE(SUBSTITUTE(SUBSTITUTE(Teams[[#This Row],[name]], ".", ""), " ", ""), "-", "")))</f>
        <v>C-UNI-ORLANDOCITY</v>
      </c>
      <c r="E468" s="16"/>
      <c r="F468" s="16"/>
      <c r="G468" s="1" t="b">
        <f>COUNTBLANK(Teams[[#This Row],[startDate]:[endDate]]) &lt; 2</f>
        <v>0</v>
      </c>
      <c r="H468" s="1" t="str">
        <f>IF(Teams[[#This Row],[relevant]], COUNTIFS(Fixtures[userTeam], Teams[[#This Row],[name]], Fixtures[APP], TRUE), "")</f>
        <v/>
      </c>
      <c r="I468" s="1" t="str">
        <f>IF(Teams[[#This Row],[relevant]], COUNTIFS(Fixtures[userTeam], Teams[[#This Row],[name]], Fixtures[result], "W", Fixtures[APP], TRUE), "")</f>
        <v/>
      </c>
      <c r="J468" s="1" t="str">
        <f>IF(Teams[[#This Row],[relevant]], COUNTIFS(Fixtures[userTeam], Teams[[#This Row],[name]], Fixtures[result], "D", Fixtures[APP], TRUE), "")</f>
        <v/>
      </c>
      <c r="K468" s="1" t="str">
        <f>IF(Teams[[#This Row],[relevant]], COUNTIFS(Fixtures[userTeam], Teams[[#This Row],[name]], Fixtures[result], "L", Fixtures[APP], TRUE), "")</f>
        <v/>
      </c>
      <c r="L468" s="1" t="str">
        <f>IF(Teams[[#This Row],[relevant]], SUMIFS(Fixtures[G], Fixtures[userTeam], Teams[[#This Row],[name]]), "")</f>
        <v/>
      </c>
      <c r="M468" s="1" t="str">
        <f>IF(Teams[[#This Row],[relevant]], SUMIFS(Fixtures[A], Fixtures[userTeam], Teams[[#This Row],[name]]), "")</f>
        <v/>
      </c>
      <c r="N468" s="1" t="str">
        <f>IF(Teams[[#This Row],[relevant]], SUMIFS(Fixtures[INV], Fixtures[userTeam], Teams[[#This Row],[name]]), "")</f>
        <v/>
      </c>
      <c r="O468" s="1" t="str">
        <f>IF(Teams[[#This Row],[relevant]], SUMIFS(Fixtures[YC], Fixtures[userTeam], Teams[[#This Row],[name]]), "")</f>
        <v/>
      </c>
      <c r="P468" s="1" t="str">
        <f>IF(Teams[[#This Row],[relevant]], SUMIFS(Fixtures[RC], Fixtures[userTeam], Teams[[#This Row],[name]]), "")</f>
        <v/>
      </c>
      <c r="Q468" s="13" t="str">
        <f>IF(Teams[[#This Row],[relevant]], IF(ISERROR(AVERAGEIFS(Fixtures[MR], Fixtures[userTeam], Teams[[#This Row],[name]])), 0, AVERAGEIFS(Fixtures[MR], Fixtures[userTeam], Teams[[#This Row],[name]])), "")</f>
        <v/>
      </c>
      <c r="R468" s="1" t="str">
        <f>IF(Teams[[#This Row],[relevant]], COUNTIFS(Fixtures[userTeam], Teams[[#This Row],[name]], Fixtures[MOTM], TRUE), "")</f>
        <v/>
      </c>
      <c r="S468" s="1" t="str" cm="1">
        <f t="array" ref="S468">IF(Teams[[#This Row],[relevant]], _xlfn.TEXTJOIN(", ", TRUE, _xlfn._xlws.FILTER(Stats[competition]&amp;" ("&amp;Stats[season]&amp;")",(Stats[team]=Teams[[#This Row],[name]])*(Stats[result]="Winner"),"")), "")</f>
        <v/>
      </c>
    </row>
    <row r="469" spans="1:19" ht="13" hidden="1">
      <c r="A469" s="1" t="s">
        <v>815</v>
      </c>
      <c r="B469" s="1" t="s">
        <v>728</v>
      </c>
      <c r="C469" s="1" t="s">
        <v>391</v>
      </c>
      <c r="D469" s="1" t="str">
        <f>UPPER(_xlfn.CONCAT(LEFT(Teams[[#This Row],[teamType]], 1), "-", LEFT(SUBSTITUTE(Teams[[#This Row],[nation]], "/", ""), 3), "-", SUBSTITUTE(SUBSTITUTE(SUBSTITUTE(Teams[[#This Row],[name]], ".", ""), " ", ""), "-", "")))</f>
        <v>C-SOU-ORLANDOPIRATES</v>
      </c>
      <c r="E469" s="16"/>
      <c r="F469" s="16"/>
      <c r="G469" s="1" t="b">
        <f>COUNTBLANK(Teams[[#This Row],[startDate]:[endDate]]) &lt; 2</f>
        <v>0</v>
      </c>
      <c r="H469" s="1" t="str">
        <f>IF(Teams[[#This Row],[relevant]], COUNTIFS(Fixtures[userTeam], Teams[[#This Row],[name]], Fixtures[APP], TRUE), "")</f>
        <v/>
      </c>
      <c r="I469" s="1" t="str">
        <f>IF(Teams[[#This Row],[relevant]], COUNTIFS(Fixtures[userTeam], Teams[[#This Row],[name]], Fixtures[result], "W", Fixtures[APP], TRUE), "")</f>
        <v/>
      </c>
      <c r="J469" s="1" t="str">
        <f>IF(Teams[[#This Row],[relevant]], COUNTIFS(Fixtures[userTeam], Teams[[#This Row],[name]], Fixtures[result], "D", Fixtures[APP], TRUE), "")</f>
        <v/>
      </c>
      <c r="K469" s="1" t="str">
        <f>IF(Teams[[#This Row],[relevant]], COUNTIFS(Fixtures[userTeam], Teams[[#This Row],[name]], Fixtures[result], "L", Fixtures[APP], TRUE), "")</f>
        <v/>
      </c>
      <c r="L469" s="1" t="str">
        <f>IF(Teams[[#This Row],[relevant]], SUMIFS(Fixtures[G], Fixtures[userTeam], Teams[[#This Row],[name]]), "")</f>
        <v/>
      </c>
      <c r="M469" s="1" t="str">
        <f>IF(Teams[[#This Row],[relevant]], SUMIFS(Fixtures[A], Fixtures[userTeam], Teams[[#This Row],[name]]), "")</f>
        <v/>
      </c>
      <c r="N469" s="1" t="str">
        <f>IF(Teams[[#This Row],[relevant]], SUMIFS(Fixtures[INV], Fixtures[userTeam], Teams[[#This Row],[name]]), "")</f>
        <v/>
      </c>
      <c r="O469" s="1" t="str">
        <f>IF(Teams[[#This Row],[relevant]], SUMIFS(Fixtures[YC], Fixtures[userTeam], Teams[[#This Row],[name]]), "")</f>
        <v/>
      </c>
      <c r="P469" s="1" t="str">
        <f>IF(Teams[[#This Row],[relevant]], SUMIFS(Fixtures[RC], Fixtures[userTeam], Teams[[#This Row],[name]]), "")</f>
        <v/>
      </c>
      <c r="Q469" s="13" t="str">
        <f>IF(Teams[[#This Row],[relevant]], IF(ISERROR(AVERAGEIFS(Fixtures[MR], Fixtures[userTeam], Teams[[#This Row],[name]])), 0, AVERAGEIFS(Fixtures[MR], Fixtures[userTeam], Teams[[#This Row],[name]])), "")</f>
        <v/>
      </c>
      <c r="R469" s="1" t="str">
        <f>IF(Teams[[#This Row],[relevant]], COUNTIFS(Fixtures[userTeam], Teams[[#This Row],[name]], Fixtures[MOTM], TRUE), "")</f>
        <v/>
      </c>
      <c r="S469" s="1" t="str" cm="1">
        <f t="array" ref="S469">IF(Teams[[#This Row],[relevant]], _xlfn.TEXTJOIN(", ", TRUE, _xlfn._xlws.FILTER(Stats[competition]&amp;" ("&amp;Stats[season]&amp;")",(Stats[team]=Teams[[#This Row],[name]])*(Stats[result]="Winner"),"")), "")</f>
        <v/>
      </c>
    </row>
    <row r="470" spans="1:19" ht="13" hidden="1">
      <c r="A470" s="1" t="s">
        <v>816</v>
      </c>
      <c r="B470" s="1" t="s">
        <v>152</v>
      </c>
      <c r="C470" s="1" t="s">
        <v>391</v>
      </c>
      <c r="D470" s="1" t="str">
        <f>UPPER(_xlfn.CONCAT(LEFT(Teams[[#This Row],[teamType]], 1), "-", LEFT(SUBSTITUTE(Teams[[#This Row],[nation]], "/", ""), 3), "-", SUBSTITUTE(SUBSTITUTE(SUBSTITUTE(Teams[[#This Row],[name]], ".", ""), " ", ""), "-", "")))</f>
        <v>C-ENG-OXFORDUNITED</v>
      </c>
      <c r="E470" s="16"/>
      <c r="F470" s="16"/>
      <c r="G470" s="1" t="b">
        <f>COUNTBLANK(Teams[[#This Row],[startDate]:[endDate]]) &lt; 2</f>
        <v>0</v>
      </c>
      <c r="H470" s="1" t="str">
        <f>IF(Teams[[#This Row],[relevant]], COUNTIFS(Fixtures[userTeam], Teams[[#This Row],[name]], Fixtures[APP], TRUE), "")</f>
        <v/>
      </c>
      <c r="I470" s="1" t="str">
        <f>IF(Teams[[#This Row],[relevant]], COUNTIFS(Fixtures[userTeam], Teams[[#This Row],[name]], Fixtures[result], "W", Fixtures[APP], TRUE), "")</f>
        <v/>
      </c>
      <c r="J470" s="1" t="str">
        <f>IF(Teams[[#This Row],[relevant]], COUNTIFS(Fixtures[userTeam], Teams[[#This Row],[name]], Fixtures[result], "D", Fixtures[APP], TRUE), "")</f>
        <v/>
      </c>
      <c r="K470" s="1" t="str">
        <f>IF(Teams[[#This Row],[relevant]], COUNTIFS(Fixtures[userTeam], Teams[[#This Row],[name]], Fixtures[result], "L", Fixtures[APP], TRUE), "")</f>
        <v/>
      </c>
      <c r="L470" s="1" t="str">
        <f>IF(Teams[[#This Row],[relevant]], SUMIFS(Fixtures[G], Fixtures[userTeam], Teams[[#This Row],[name]]), "")</f>
        <v/>
      </c>
      <c r="M470" s="1" t="str">
        <f>IF(Teams[[#This Row],[relevant]], SUMIFS(Fixtures[A], Fixtures[userTeam], Teams[[#This Row],[name]]), "")</f>
        <v/>
      </c>
      <c r="N470" s="1" t="str">
        <f>IF(Teams[[#This Row],[relevant]], SUMIFS(Fixtures[INV], Fixtures[userTeam], Teams[[#This Row],[name]]), "")</f>
        <v/>
      </c>
      <c r="O470" s="1" t="str">
        <f>IF(Teams[[#This Row],[relevant]], SUMIFS(Fixtures[YC], Fixtures[userTeam], Teams[[#This Row],[name]]), "")</f>
        <v/>
      </c>
      <c r="P470" s="1" t="str">
        <f>IF(Teams[[#This Row],[relevant]], SUMIFS(Fixtures[RC], Fixtures[userTeam], Teams[[#This Row],[name]]), "")</f>
        <v/>
      </c>
      <c r="Q470" s="13" t="str">
        <f>IF(Teams[[#This Row],[relevant]], IF(ISERROR(AVERAGEIFS(Fixtures[MR], Fixtures[userTeam], Teams[[#This Row],[name]])), 0, AVERAGEIFS(Fixtures[MR], Fixtures[userTeam], Teams[[#This Row],[name]])), "")</f>
        <v/>
      </c>
      <c r="R470" s="1" t="str">
        <f>IF(Teams[[#This Row],[relevant]], COUNTIFS(Fixtures[userTeam], Teams[[#This Row],[name]], Fixtures[MOTM], TRUE), "")</f>
        <v/>
      </c>
      <c r="S470" s="1" t="str" cm="1">
        <f t="array" ref="S470">IF(Teams[[#This Row],[relevant]], _xlfn.TEXTJOIN(", ", TRUE, _xlfn._xlws.FILTER(Stats[competition]&amp;" ("&amp;Stats[season]&amp;")",(Stats[team]=Teams[[#This Row],[name]])*(Stats[result]="Winner"),"")), "")</f>
        <v/>
      </c>
    </row>
    <row r="471" spans="1:19" ht="13" hidden="1">
      <c r="A471" s="1" t="s">
        <v>817</v>
      </c>
      <c r="B471" s="1" t="s">
        <v>463</v>
      </c>
      <c r="C471" s="1" t="s">
        <v>391</v>
      </c>
      <c r="D471" s="1" t="str">
        <f>UPPER(_xlfn.CONCAT(LEFT(Teams[[#This Row],[teamType]], 1), "-", LEFT(SUBSTITUTE(Teams[[#This Row],[nation]], "/", ""), 3), "-", SUBSTITUTE(SUBSTITUTE(SUBSTITUTE(Teams[[#This Row],[name]], ".", ""), " ", ""), "-", "")))</f>
        <v>C-POR-PAÇOSFERREIRA</v>
      </c>
      <c r="E471" s="16"/>
      <c r="F471" s="16"/>
      <c r="G471" s="1" t="b">
        <f>COUNTBLANK(Teams[[#This Row],[startDate]:[endDate]]) &lt; 2</f>
        <v>0</v>
      </c>
      <c r="H471" s="1" t="str">
        <f>IF(Teams[[#This Row],[relevant]], COUNTIFS(Fixtures[userTeam], Teams[[#This Row],[name]], Fixtures[APP], TRUE), "")</f>
        <v/>
      </c>
      <c r="I471" s="1" t="str">
        <f>IF(Teams[[#This Row],[relevant]], COUNTIFS(Fixtures[userTeam], Teams[[#This Row],[name]], Fixtures[result], "W", Fixtures[APP], TRUE), "")</f>
        <v/>
      </c>
      <c r="J471" s="1" t="str">
        <f>IF(Teams[[#This Row],[relevant]], COUNTIFS(Fixtures[userTeam], Teams[[#This Row],[name]], Fixtures[result], "D", Fixtures[APP], TRUE), "")</f>
        <v/>
      </c>
      <c r="K471" s="1" t="str">
        <f>IF(Teams[[#This Row],[relevant]], COUNTIFS(Fixtures[userTeam], Teams[[#This Row],[name]], Fixtures[result], "L", Fixtures[APP], TRUE), "")</f>
        <v/>
      </c>
      <c r="L471" s="1" t="str">
        <f>IF(Teams[[#This Row],[relevant]], SUMIFS(Fixtures[G], Fixtures[userTeam], Teams[[#This Row],[name]]), "")</f>
        <v/>
      </c>
      <c r="M471" s="1" t="str">
        <f>IF(Teams[[#This Row],[relevant]], SUMIFS(Fixtures[A], Fixtures[userTeam], Teams[[#This Row],[name]]), "")</f>
        <v/>
      </c>
      <c r="N471" s="1" t="str">
        <f>IF(Teams[[#This Row],[relevant]], SUMIFS(Fixtures[INV], Fixtures[userTeam], Teams[[#This Row],[name]]), "")</f>
        <v/>
      </c>
      <c r="O471" s="1" t="str">
        <f>IF(Teams[[#This Row],[relevant]], SUMIFS(Fixtures[YC], Fixtures[userTeam], Teams[[#This Row],[name]]), "")</f>
        <v/>
      </c>
      <c r="P471" s="1" t="str">
        <f>IF(Teams[[#This Row],[relevant]], SUMIFS(Fixtures[RC], Fixtures[userTeam], Teams[[#This Row],[name]]), "")</f>
        <v/>
      </c>
      <c r="Q471" s="13" t="str">
        <f>IF(Teams[[#This Row],[relevant]], IF(ISERROR(AVERAGEIFS(Fixtures[MR], Fixtures[userTeam], Teams[[#This Row],[name]])), 0, AVERAGEIFS(Fixtures[MR], Fixtures[userTeam], Teams[[#This Row],[name]])), "")</f>
        <v/>
      </c>
      <c r="R471" s="1" t="str">
        <f>IF(Teams[[#This Row],[relevant]], COUNTIFS(Fixtures[userTeam], Teams[[#This Row],[name]], Fixtures[MOTM], TRUE), "")</f>
        <v/>
      </c>
      <c r="S471" s="1" t="str" cm="1">
        <f t="array" ref="S471">IF(Teams[[#This Row],[relevant]], _xlfn.TEXTJOIN(", ", TRUE, _xlfn._xlws.FILTER(Stats[competition]&amp;" ("&amp;Stats[season]&amp;")",(Stats[team]=Teams[[#This Row],[name]])*(Stats[result]="Winner"),"")), "")</f>
        <v/>
      </c>
    </row>
    <row r="472" spans="1:19" ht="13" hidden="1">
      <c r="A472" s="1" t="s">
        <v>818</v>
      </c>
      <c r="B472" s="1" t="s">
        <v>254</v>
      </c>
      <c r="C472" s="1" t="s">
        <v>391</v>
      </c>
      <c r="D472" s="1" t="str">
        <f>UPPER(_xlfn.CONCAT(LEFT(Teams[[#This Row],[teamType]], 1), "-", LEFT(SUBSTITUTE(Teams[[#This Row],[nation]], "/", ""), 3), "-", SUBSTITUTE(SUBSTITUTE(SUBSTITUTE(Teams[[#This Row],[name]], ".", ""), " ", ""), "-", "")))</f>
        <v>C-ITA-PALERMO</v>
      </c>
      <c r="E472" s="16"/>
      <c r="F472" s="16"/>
      <c r="G472" s="1" t="b">
        <f>COUNTBLANK(Teams[[#This Row],[startDate]:[endDate]]) &lt; 2</f>
        <v>0</v>
      </c>
      <c r="H472" s="1" t="str">
        <f>IF(Teams[[#This Row],[relevant]], COUNTIFS(Fixtures[userTeam], Teams[[#This Row],[name]], Fixtures[APP], TRUE), "")</f>
        <v/>
      </c>
      <c r="I472" s="1" t="str">
        <f>IF(Teams[[#This Row],[relevant]], COUNTIFS(Fixtures[userTeam], Teams[[#This Row],[name]], Fixtures[result], "W", Fixtures[APP], TRUE), "")</f>
        <v/>
      </c>
      <c r="J472" s="1" t="str">
        <f>IF(Teams[[#This Row],[relevant]], COUNTIFS(Fixtures[userTeam], Teams[[#This Row],[name]], Fixtures[result], "D", Fixtures[APP], TRUE), "")</f>
        <v/>
      </c>
      <c r="K472" s="1" t="str">
        <f>IF(Teams[[#This Row],[relevant]], COUNTIFS(Fixtures[userTeam], Teams[[#This Row],[name]], Fixtures[result], "L", Fixtures[APP], TRUE), "")</f>
        <v/>
      </c>
      <c r="L472" s="1" t="str">
        <f>IF(Teams[[#This Row],[relevant]], SUMIFS(Fixtures[G], Fixtures[userTeam], Teams[[#This Row],[name]]), "")</f>
        <v/>
      </c>
      <c r="M472" s="1" t="str">
        <f>IF(Teams[[#This Row],[relevant]], SUMIFS(Fixtures[A], Fixtures[userTeam], Teams[[#This Row],[name]]), "")</f>
        <v/>
      </c>
      <c r="N472" s="1" t="str">
        <f>IF(Teams[[#This Row],[relevant]], SUMIFS(Fixtures[INV], Fixtures[userTeam], Teams[[#This Row],[name]]), "")</f>
        <v/>
      </c>
      <c r="O472" s="1" t="str">
        <f>IF(Teams[[#This Row],[relevant]], SUMIFS(Fixtures[YC], Fixtures[userTeam], Teams[[#This Row],[name]]), "")</f>
        <v/>
      </c>
      <c r="P472" s="1" t="str">
        <f>IF(Teams[[#This Row],[relevant]], SUMIFS(Fixtures[RC], Fixtures[userTeam], Teams[[#This Row],[name]]), "")</f>
        <v/>
      </c>
      <c r="Q472" s="13" t="str">
        <f>IF(Teams[[#This Row],[relevant]], IF(ISERROR(AVERAGEIFS(Fixtures[MR], Fixtures[userTeam], Teams[[#This Row],[name]])), 0, AVERAGEIFS(Fixtures[MR], Fixtures[userTeam], Teams[[#This Row],[name]])), "")</f>
        <v/>
      </c>
      <c r="R472" s="1" t="str">
        <f>IF(Teams[[#This Row],[relevant]], COUNTIFS(Fixtures[userTeam], Teams[[#This Row],[name]], Fixtures[MOTM], TRUE), "")</f>
        <v/>
      </c>
      <c r="S472" s="1" t="str" cm="1">
        <f t="array" ref="S472">IF(Teams[[#This Row],[relevant]], _xlfn.TEXTJOIN(", ", TRUE, _xlfn._xlws.FILTER(Stats[competition]&amp;" ("&amp;Stats[season]&amp;")",(Stats[team]=Teams[[#This Row],[name]])*(Stats[result]="Winner"),"")), "")</f>
        <v/>
      </c>
    </row>
    <row r="473" spans="1:19" ht="13" hidden="1">
      <c r="A473" s="1" t="s">
        <v>819</v>
      </c>
      <c r="B473" s="1" t="s">
        <v>451</v>
      </c>
      <c r="C473" s="1" t="s">
        <v>391</v>
      </c>
      <c r="D473" s="1" t="str">
        <f>UPPER(_xlfn.CONCAT(LEFT(Teams[[#This Row],[teamType]], 1), "-", LEFT(SUBSTITUTE(Teams[[#This Row],[nation]], "/", ""), 3), "-", SUBSTITUTE(SUBSTITUTE(SUBSTITUTE(Teams[[#This Row],[name]], ".", ""), " ", ""), "-", "")))</f>
        <v>C-BRA-PALMEIRAS</v>
      </c>
      <c r="E473" s="16"/>
      <c r="F473" s="16"/>
      <c r="G473" s="1" t="b">
        <f>COUNTBLANK(Teams[[#This Row],[startDate]:[endDate]]) &lt; 2</f>
        <v>0</v>
      </c>
      <c r="H473" s="1" t="str">
        <f>IF(Teams[[#This Row],[relevant]], COUNTIFS(Fixtures[userTeam], Teams[[#This Row],[name]], Fixtures[APP], TRUE), "")</f>
        <v/>
      </c>
      <c r="I473" s="1" t="str">
        <f>IF(Teams[[#This Row],[relevant]], COUNTIFS(Fixtures[userTeam], Teams[[#This Row],[name]], Fixtures[result], "W", Fixtures[APP], TRUE), "")</f>
        <v/>
      </c>
      <c r="J473" s="1" t="str">
        <f>IF(Teams[[#This Row],[relevant]], COUNTIFS(Fixtures[userTeam], Teams[[#This Row],[name]], Fixtures[result], "D", Fixtures[APP], TRUE), "")</f>
        <v/>
      </c>
      <c r="K473" s="1" t="str">
        <f>IF(Teams[[#This Row],[relevant]], COUNTIFS(Fixtures[userTeam], Teams[[#This Row],[name]], Fixtures[result], "L", Fixtures[APP], TRUE), "")</f>
        <v/>
      </c>
      <c r="L473" s="1" t="str">
        <f>IF(Teams[[#This Row],[relevant]], SUMIFS(Fixtures[G], Fixtures[userTeam], Teams[[#This Row],[name]]), "")</f>
        <v/>
      </c>
      <c r="M473" s="1" t="str">
        <f>IF(Teams[[#This Row],[relevant]], SUMIFS(Fixtures[A], Fixtures[userTeam], Teams[[#This Row],[name]]), "")</f>
        <v/>
      </c>
      <c r="N473" s="1" t="str">
        <f>IF(Teams[[#This Row],[relevant]], SUMIFS(Fixtures[INV], Fixtures[userTeam], Teams[[#This Row],[name]]), "")</f>
        <v/>
      </c>
      <c r="O473" s="1" t="str">
        <f>IF(Teams[[#This Row],[relevant]], SUMIFS(Fixtures[YC], Fixtures[userTeam], Teams[[#This Row],[name]]), "")</f>
        <v/>
      </c>
      <c r="P473" s="1" t="str">
        <f>IF(Teams[[#This Row],[relevant]], SUMIFS(Fixtures[RC], Fixtures[userTeam], Teams[[#This Row],[name]]), "")</f>
        <v/>
      </c>
      <c r="Q473" s="13" t="str">
        <f>IF(Teams[[#This Row],[relevant]], IF(ISERROR(AVERAGEIFS(Fixtures[MR], Fixtures[userTeam], Teams[[#This Row],[name]])), 0, AVERAGEIFS(Fixtures[MR], Fixtures[userTeam], Teams[[#This Row],[name]])), "")</f>
        <v/>
      </c>
      <c r="R473" s="1" t="str">
        <f>IF(Teams[[#This Row],[relevant]], COUNTIFS(Fixtures[userTeam], Teams[[#This Row],[name]], Fixtures[MOTM], TRUE), "")</f>
        <v/>
      </c>
      <c r="S473" s="1" t="str" cm="1">
        <f t="array" ref="S473">IF(Teams[[#This Row],[relevant]], _xlfn.TEXTJOIN(", ", TRUE, _xlfn._xlws.FILTER(Stats[competition]&amp;" ("&amp;Stats[season]&amp;")",(Stats[team]=Teams[[#This Row],[name]])*(Stats[result]="Winner"),"")), "")</f>
        <v/>
      </c>
    </row>
    <row r="474" spans="1:19" ht="13" hidden="1">
      <c r="A474" s="1" t="s">
        <v>820</v>
      </c>
      <c r="B474" s="1" t="s">
        <v>416</v>
      </c>
      <c r="C474" s="1" t="s">
        <v>391</v>
      </c>
      <c r="D474" s="1" t="str">
        <f>UPPER(_xlfn.CONCAT(LEFT(Teams[[#This Row],[teamType]], 1), "-", LEFT(SUBSTITUTE(Teams[[#This Row],[nation]], "/", ""), 3), "-", SUBSTITUTE(SUBSTITUTE(SUBSTITUTE(Teams[[#This Row],[name]], ".", ""), " ", ""), "-", "")))</f>
        <v>C-GRE-PANATHINAIKOS</v>
      </c>
      <c r="E474" s="16"/>
      <c r="F474" s="16"/>
      <c r="G474" s="1" t="b">
        <f>COUNTBLANK(Teams[[#This Row],[startDate]:[endDate]]) &lt; 2</f>
        <v>0</v>
      </c>
      <c r="H474" s="1" t="str">
        <f>IF(Teams[[#This Row],[relevant]], COUNTIFS(Fixtures[userTeam], Teams[[#This Row],[name]], Fixtures[APP], TRUE), "")</f>
        <v/>
      </c>
      <c r="I474" s="1" t="str">
        <f>IF(Teams[[#This Row],[relevant]], COUNTIFS(Fixtures[userTeam], Teams[[#This Row],[name]], Fixtures[result], "W", Fixtures[APP], TRUE), "")</f>
        <v/>
      </c>
      <c r="J474" s="1" t="str">
        <f>IF(Teams[[#This Row],[relevant]], COUNTIFS(Fixtures[userTeam], Teams[[#This Row],[name]], Fixtures[result], "D", Fixtures[APP], TRUE), "")</f>
        <v/>
      </c>
      <c r="K474" s="1" t="str">
        <f>IF(Teams[[#This Row],[relevant]], COUNTIFS(Fixtures[userTeam], Teams[[#This Row],[name]], Fixtures[result], "L", Fixtures[APP], TRUE), "")</f>
        <v/>
      </c>
      <c r="L474" s="1" t="str">
        <f>IF(Teams[[#This Row],[relevant]], SUMIFS(Fixtures[G], Fixtures[userTeam], Teams[[#This Row],[name]]), "")</f>
        <v/>
      </c>
      <c r="M474" s="1" t="str">
        <f>IF(Teams[[#This Row],[relevant]], SUMIFS(Fixtures[A], Fixtures[userTeam], Teams[[#This Row],[name]]), "")</f>
        <v/>
      </c>
      <c r="N474" s="1" t="str">
        <f>IF(Teams[[#This Row],[relevant]], SUMIFS(Fixtures[INV], Fixtures[userTeam], Teams[[#This Row],[name]]), "")</f>
        <v/>
      </c>
      <c r="O474" s="1" t="str">
        <f>IF(Teams[[#This Row],[relevant]], SUMIFS(Fixtures[YC], Fixtures[userTeam], Teams[[#This Row],[name]]), "")</f>
        <v/>
      </c>
      <c r="P474" s="1" t="str">
        <f>IF(Teams[[#This Row],[relevant]], SUMIFS(Fixtures[RC], Fixtures[userTeam], Teams[[#This Row],[name]]), "")</f>
        <v/>
      </c>
      <c r="Q474" s="13" t="str">
        <f>IF(Teams[[#This Row],[relevant]], IF(ISERROR(AVERAGEIFS(Fixtures[MR], Fixtures[userTeam], Teams[[#This Row],[name]])), 0, AVERAGEIFS(Fixtures[MR], Fixtures[userTeam], Teams[[#This Row],[name]])), "")</f>
        <v/>
      </c>
      <c r="R474" s="1" t="str">
        <f>IF(Teams[[#This Row],[relevant]], COUNTIFS(Fixtures[userTeam], Teams[[#This Row],[name]], Fixtures[MOTM], TRUE), "")</f>
        <v/>
      </c>
      <c r="S474" s="1" t="str" cm="1">
        <f t="array" ref="S474">IF(Teams[[#This Row],[relevant]], _xlfn.TEXTJOIN(", ", TRUE, _xlfn._xlws.FILTER(Stats[competition]&amp;" ("&amp;Stats[season]&amp;")",(Stats[team]=Teams[[#This Row],[name]])*(Stats[result]="Winner"),"")), "")</f>
        <v/>
      </c>
    </row>
    <row r="475" spans="1:19" ht="13" hidden="1">
      <c r="A475" s="1" t="s">
        <v>821</v>
      </c>
      <c r="B475" s="1" t="s">
        <v>416</v>
      </c>
      <c r="C475" s="1" t="s">
        <v>391</v>
      </c>
      <c r="D475" s="1" t="str">
        <f>UPPER(_xlfn.CONCAT(LEFT(Teams[[#This Row],[teamType]], 1), "-", LEFT(SUBSTITUTE(Teams[[#This Row],[nation]], "/", ""), 3), "-", SUBSTITUTE(SUBSTITUTE(SUBSTITUTE(Teams[[#This Row],[name]], ".", ""), " ", ""), "-", "")))</f>
        <v>C-GRE-PAOKFC</v>
      </c>
      <c r="E475" s="16"/>
      <c r="F475" s="16"/>
      <c r="G475" s="1" t="b">
        <f>COUNTBLANK(Teams[[#This Row],[startDate]:[endDate]]) &lt; 2</f>
        <v>0</v>
      </c>
      <c r="H475" s="1" t="str">
        <f>IF(Teams[[#This Row],[relevant]], COUNTIFS(Fixtures[userTeam], Teams[[#This Row],[name]], Fixtures[APP], TRUE), "")</f>
        <v/>
      </c>
      <c r="I475" s="1" t="str">
        <f>IF(Teams[[#This Row],[relevant]], COUNTIFS(Fixtures[userTeam], Teams[[#This Row],[name]], Fixtures[result], "W", Fixtures[APP], TRUE), "")</f>
        <v/>
      </c>
      <c r="J475" s="1" t="str">
        <f>IF(Teams[[#This Row],[relevant]], COUNTIFS(Fixtures[userTeam], Teams[[#This Row],[name]], Fixtures[result], "D", Fixtures[APP], TRUE), "")</f>
        <v/>
      </c>
      <c r="K475" s="1" t="str">
        <f>IF(Teams[[#This Row],[relevant]], COUNTIFS(Fixtures[userTeam], Teams[[#This Row],[name]], Fixtures[result], "L", Fixtures[APP], TRUE), "")</f>
        <v/>
      </c>
      <c r="L475" s="1" t="str">
        <f>IF(Teams[[#This Row],[relevant]], SUMIFS(Fixtures[G], Fixtures[userTeam], Teams[[#This Row],[name]]), "")</f>
        <v/>
      </c>
      <c r="M475" s="1" t="str">
        <f>IF(Teams[[#This Row],[relevant]], SUMIFS(Fixtures[A], Fixtures[userTeam], Teams[[#This Row],[name]]), "")</f>
        <v/>
      </c>
      <c r="N475" s="1" t="str">
        <f>IF(Teams[[#This Row],[relevant]], SUMIFS(Fixtures[INV], Fixtures[userTeam], Teams[[#This Row],[name]]), "")</f>
        <v/>
      </c>
      <c r="O475" s="1" t="str">
        <f>IF(Teams[[#This Row],[relevant]], SUMIFS(Fixtures[YC], Fixtures[userTeam], Teams[[#This Row],[name]]), "")</f>
        <v/>
      </c>
      <c r="P475" s="1" t="str">
        <f>IF(Teams[[#This Row],[relevant]], SUMIFS(Fixtures[RC], Fixtures[userTeam], Teams[[#This Row],[name]]), "")</f>
        <v/>
      </c>
      <c r="Q475" s="13" t="str">
        <f>IF(Teams[[#This Row],[relevant]], IF(ISERROR(AVERAGEIFS(Fixtures[MR], Fixtures[userTeam], Teams[[#This Row],[name]])), 0, AVERAGEIFS(Fixtures[MR], Fixtures[userTeam], Teams[[#This Row],[name]])), "")</f>
        <v/>
      </c>
      <c r="R475" s="1" t="str">
        <f>IF(Teams[[#This Row],[relevant]], COUNTIFS(Fixtures[userTeam], Teams[[#This Row],[name]], Fixtures[MOTM], TRUE), "")</f>
        <v/>
      </c>
      <c r="S475" s="1" t="str" cm="1">
        <f t="array" ref="S475">IF(Teams[[#This Row],[relevant]], _xlfn.TEXTJOIN(", ", TRUE, _xlfn._xlws.FILTER(Stats[competition]&amp;" ("&amp;Stats[season]&amp;")",(Stats[team]=Teams[[#This Row],[name]])*(Stats[result]="Winner"),"")), "")</f>
        <v/>
      </c>
    </row>
    <row r="476" spans="1:19" ht="13" hidden="1">
      <c r="A476" s="1" t="s">
        <v>822</v>
      </c>
      <c r="B476" s="1" t="s">
        <v>339</v>
      </c>
      <c r="C476" s="1" t="s">
        <v>391</v>
      </c>
      <c r="D476" s="1" t="str">
        <f>UPPER(_xlfn.CONCAT(LEFT(Teams[[#This Row],[teamType]], 1), "-", LEFT(SUBSTITUTE(Teams[[#This Row],[nation]], "/", ""), 3), "-", SUBSTITUTE(SUBSTITUTE(SUBSTITUTE(Teams[[#This Row],[name]], ".", ""), " ", ""), "-", "")))</f>
        <v>C-FRA-PARISFC</v>
      </c>
      <c r="E476" s="16"/>
      <c r="F476" s="16"/>
      <c r="G476" s="1" t="b">
        <f>COUNTBLANK(Teams[[#This Row],[startDate]:[endDate]]) &lt; 2</f>
        <v>0</v>
      </c>
      <c r="H476" s="1" t="str">
        <f>IF(Teams[[#This Row],[relevant]], COUNTIFS(Fixtures[userTeam], Teams[[#This Row],[name]], Fixtures[APP], TRUE), "")</f>
        <v/>
      </c>
      <c r="I476" s="1" t="str">
        <f>IF(Teams[[#This Row],[relevant]], COUNTIFS(Fixtures[userTeam], Teams[[#This Row],[name]], Fixtures[result], "W", Fixtures[APP], TRUE), "")</f>
        <v/>
      </c>
      <c r="J476" s="1" t="str">
        <f>IF(Teams[[#This Row],[relevant]], COUNTIFS(Fixtures[userTeam], Teams[[#This Row],[name]], Fixtures[result], "D", Fixtures[APP], TRUE), "")</f>
        <v/>
      </c>
      <c r="K476" s="1" t="str">
        <f>IF(Teams[[#This Row],[relevant]], COUNTIFS(Fixtures[userTeam], Teams[[#This Row],[name]], Fixtures[result], "L", Fixtures[APP], TRUE), "")</f>
        <v/>
      </c>
      <c r="L476" s="1" t="str">
        <f>IF(Teams[[#This Row],[relevant]], SUMIFS(Fixtures[G], Fixtures[userTeam], Teams[[#This Row],[name]]), "")</f>
        <v/>
      </c>
      <c r="M476" s="1" t="str">
        <f>IF(Teams[[#This Row],[relevant]], SUMIFS(Fixtures[A], Fixtures[userTeam], Teams[[#This Row],[name]]), "")</f>
        <v/>
      </c>
      <c r="N476" s="1" t="str">
        <f>IF(Teams[[#This Row],[relevant]], SUMIFS(Fixtures[INV], Fixtures[userTeam], Teams[[#This Row],[name]]), "")</f>
        <v/>
      </c>
      <c r="O476" s="1" t="str">
        <f>IF(Teams[[#This Row],[relevant]], SUMIFS(Fixtures[YC], Fixtures[userTeam], Teams[[#This Row],[name]]), "")</f>
        <v/>
      </c>
      <c r="P476" s="1" t="str">
        <f>IF(Teams[[#This Row],[relevant]], SUMIFS(Fixtures[RC], Fixtures[userTeam], Teams[[#This Row],[name]]), "")</f>
        <v/>
      </c>
      <c r="Q476" s="13" t="str">
        <f>IF(Teams[[#This Row],[relevant]], IF(ISERROR(AVERAGEIFS(Fixtures[MR], Fixtures[userTeam], Teams[[#This Row],[name]])), 0, AVERAGEIFS(Fixtures[MR], Fixtures[userTeam], Teams[[#This Row],[name]])), "")</f>
        <v/>
      </c>
      <c r="R476" s="1" t="str">
        <f>IF(Teams[[#This Row],[relevant]], COUNTIFS(Fixtures[userTeam], Teams[[#This Row],[name]], Fixtures[MOTM], TRUE), "")</f>
        <v/>
      </c>
      <c r="S476" s="1" t="str" cm="1">
        <f t="array" ref="S476">IF(Teams[[#This Row],[relevant]], _xlfn.TEXTJOIN(", ", TRUE, _xlfn._xlws.FILTER(Stats[competition]&amp;" ("&amp;Stats[season]&amp;")",(Stats[team]=Teams[[#This Row],[name]])*(Stats[result]="Winner"),"")), "")</f>
        <v/>
      </c>
    </row>
    <row r="477" spans="1:19" ht="13" hidden="1">
      <c r="A477" s="1" t="s">
        <v>328</v>
      </c>
      <c r="B477" s="1" t="s">
        <v>339</v>
      </c>
      <c r="C477" s="1" t="s">
        <v>391</v>
      </c>
      <c r="D477" s="1" t="str">
        <f>UPPER(_xlfn.CONCAT(LEFT(Teams[[#This Row],[teamType]], 1), "-", LEFT(SUBSTITUTE(Teams[[#This Row],[nation]], "/", ""), 3), "-", SUBSTITUTE(SUBSTITUTE(SUBSTITUTE(Teams[[#This Row],[name]], ".", ""), " ", ""), "-", "")))</f>
        <v>C-FRA-PARISSG</v>
      </c>
      <c r="E477" s="16"/>
      <c r="F477" s="16"/>
      <c r="G477" s="1" t="b">
        <f>COUNTBLANK(Teams[[#This Row],[startDate]:[endDate]]) &lt; 2</f>
        <v>0</v>
      </c>
      <c r="H477" s="1" t="str">
        <f>IF(Teams[[#This Row],[relevant]], COUNTIFS(Fixtures[userTeam], Teams[[#This Row],[name]], Fixtures[APP], TRUE), "")</f>
        <v/>
      </c>
      <c r="I477" s="1" t="str">
        <f>IF(Teams[[#This Row],[relevant]], COUNTIFS(Fixtures[userTeam], Teams[[#This Row],[name]], Fixtures[result], "W", Fixtures[APP], TRUE), "")</f>
        <v/>
      </c>
      <c r="J477" s="1" t="str">
        <f>IF(Teams[[#This Row],[relevant]], COUNTIFS(Fixtures[userTeam], Teams[[#This Row],[name]], Fixtures[result], "D", Fixtures[APP], TRUE), "")</f>
        <v/>
      </c>
      <c r="K477" s="1" t="str">
        <f>IF(Teams[[#This Row],[relevant]], COUNTIFS(Fixtures[userTeam], Teams[[#This Row],[name]], Fixtures[result], "L", Fixtures[APP], TRUE), "")</f>
        <v/>
      </c>
      <c r="L477" s="1" t="str">
        <f>IF(Teams[[#This Row],[relevant]], SUMIFS(Fixtures[G], Fixtures[userTeam], Teams[[#This Row],[name]]), "")</f>
        <v/>
      </c>
      <c r="M477" s="1" t="str">
        <f>IF(Teams[[#This Row],[relevant]], SUMIFS(Fixtures[A], Fixtures[userTeam], Teams[[#This Row],[name]]), "")</f>
        <v/>
      </c>
      <c r="N477" s="1" t="str">
        <f>IF(Teams[[#This Row],[relevant]], SUMIFS(Fixtures[INV], Fixtures[userTeam], Teams[[#This Row],[name]]), "")</f>
        <v/>
      </c>
      <c r="O477" s="1" t="str">
        <f>IF(Teams[[#This Row],[relevant]], SUMIFS(Fixtures[YC], Fixtures[userTeam], Teams[[#This Row],[name]]), "")</f>
        <v/>
      </c>
      <c r="P477" s="1" t="str">
        <f>IF(Teams[[#This Row],[relevant]], SUMIFS(Fixtures[RC], Fixtures[userTeam], Teams[[#This Row],[name]]), "")</f>
        <v/>
      </c>
      <c r="Q477" s="13" t="str">
        <f>IF(Teams[[#This Row],[relevant]], IF(ISERROR(AVERAGEIFS(Fixtures[MR], Fixtures[userTeam], Teams[[#This Row],[name]])), 0, AVERAGEIFS(Fixtures[MR], Fixtures[userTeam], Teams[[#This Row],[name]])), "")</f>
        <v/>
      </c>
      <c r="R477" s="1" t="str">
        <f>IF(Teams[[#This Row],[relevant]], COUNTIFS(Fixtures[userTeam], Teams[[#This Row],[name]], Fixtures[MOTM], TRUE), "")</f>
        <v/>
      </c>
      <c r="S477" s="1" t="str" cm="1">
        <f t="array" ref="S477">IF(Teams[[#This Row],[relevant]], _xlfn.TEXTJOIN(", ", TRUE, _xlfn._xlws.FILTER(Stats[competition]&amp;" ("&amp;Stats[season]&amp;")",(Stats[team]=Teams[[#This Row],[name]])*(Stats[result]="Winner"),"")), "")</f>
        <v/>
      </c>
    </row>
    <row r="478" spans="1:19" ht="13" hidden="1">
      <c r="A478" s="1" t="s">
        <v>823</v>
      </c>
      <c r="B478" s="1" t="s">
        <v>254</v>
      </c>
      <c r="C478" s="1" t="s">
        <v>391</v>
      </c>
      <c r="D478" s="1" t="str">
        <f>UPPER(_xlfn.CONCAT(LEFT(Teams[[#This Row],[teamType]], 1), "-", LEFT(SUBSTITUTE(Teams[[#This Row],[nation]], "/", ""), 3), "-", SUBSTITUTE(SUBSTITUTE(SUBSTITUTE(Teams[[#This Row],[name]], ".", ""), " ", ""), "-", "")))</f>
        <v>C-ITA-PARMA</v>
      </c>
      <c r="E478" s="16"/>
      <c r="F478" s="16"/>
      <c r="G478" s="1" t="b">
        <f>COUNTBLANK(Teams[[#This Row],[startDate]:[endDate]]) &lt; 2</f>
        <v>0</v>
      </c>
      <c r="H478" s="1" t="str">
        <f>IF(Teams[[#This Row],[relevant]], COUNTIFS(Fixtures[userTeam], Teams[[#This Row],[name]], Fixtures[APP], TRUE), "")</f>
        <v/>
      </c>
      <c r="I478" s="1" t="str">
        <f>IF(Teams[[#This Row],[relevant]], COUNTIFS(Fixtures[userTeam], Teams[[#This Row],[name]], Fixtures[result], "W", Fixtures[APP], TRUE), "")</f>
        <v/>
      </c>
      <c r="J478" s="1" t="str">
        <f>IF(Teams[[#This Row],[relevant]], COUNTIFS(Fixtures[userTeam], Teams[[#This Row],[name]], Fixtures[result], "D", Fixtures[APP], TRUE), "")</f>
        <v/>
      </c>
      <c r="K478" s="1" t="str">
        <f>IF(Teams[[#This Row],[relevant]], COUNTIFS(Fixtures[userTeam], Teams[[#This Row],[name]], Fixtures[result], "L", Fixtures[APP], TRUE), "")</f>
        <v/>
      </c>
      <c r="L478" s="1" t="str">
        <f>IF(Teams[[#This Row],[relevant]], SUMIFS(Fixtures[G], Fixtures[userTeam], Teams[[#This Row],[name]]), "")</f>
        <v/>
      </c>
      <c r="M478" s="1" t="str">
        <f>IF(Teams[[#This Row],[relevant]], SUMIFS(Fixtures[A], Fixtures[userTeam], Teams[[#This Row],[name]]), "")</f>
        <v/>
      </c>
      <c r="N478" s="1" t="str">
        <f>IF(Teams[[#This Row],[relevant]], SUMIFS(Fixtures[INV], Fixtures[userTeam], Teams[[#This Row],[name]]), "")</f>
        <v/>
      </c>
      <c r="O478" s="1" t="str">
        <f>IF(Teams[[#This Row],[relevant]], SUMIFS(Fixtures[YC], Fixtures[userTeam], Teams[[#This Row],[name]]), "")</f>
        <v/>
      </c>
      <c r="P478" s="1" t="str">
        <f>IF(Teams[[#This Row],[relevant]], SUMIFS(Fixtures[RC], Fixtures[userTeam], Teams[[#This Row],[name]]), "")</f>
        <v/>
      </c>
      <c r="Q478" s="13" t="str">
        <f>IF(Teams[[#This Row],[relevant]], IF(ISERROR(AVERAGEIFS(Fixtures[MR], Fixtures[userTeam], Teams[[#This Row],[name]])), 0, AVERAGEIFS(Fixtures[MR], Fixtures[userTeam], Teams[[#This Row],[name]])), "")</f>
        <v/>
      </c>
      <c r="R478" s="1" t="str">
        <f>IF(Teams[[#This Row],[relevant]], COUNTIFS(Fixtures[userTeam], Teams[[#This Row],[name]], Fixtures[MOTM], TRUE), "")</f>
        <v/>
      </c>
      <c r="S478" s="1" t="str" cm="1">
        <f t="array" ref="S478">IF(Teams[[#This Row],[relevant]], _xlfn.TEXTJOIN(", ", TRUE, _xlfn._xlws.FILTER(Stats[competition]&amp;" ("&amp;Stats[season]&amp;")",(Stats[team]=Teams[[#This Row],[name]])*(Stats[result]="Winner"),"")), "")</f>
        <v/>
      </c>
    </row>
    <row r="479" spans="1:19" ht="13" hidden="1">
      <c r="A479" s="1" t="s">
        <v>824</v>
      </c>
      <c r="B479" s="1" t="s">
        <v>131</v>
      </c>
      <c r="C479" s="1" t="s">
        <v>391</v>
      </c>
      <c r="D479" s="1" t="str">
        <f>UPPER(_xlfn.CONCAT(LEFT(Teams[[#This Row],[teamType]], 1), "-", LEFT(SUBSTITUTE(Teams[[#This Row],[nation]], "/", ""), 3), "-", SUBSTITUTE(SUBSTITUTE(SUBSTITUTE(Teams[[#This Row],[name]], ".", ""), " ", ""), "-", "")))</f>
        <v>C-ARG-PATRONATO</v>
      </c>
      <c r="E479" s="16"/>
      <c r="F479" s="16"/>
      <c r="G479" s="1" t="b">
        <f>COUNTBLANK(Teams[[#This Row],[startDate]:[endDate]]) &lt; 2</f>
        <v>0</v>
      </c>
      <c r="H479" s="1" t="str">
        <f>IF(Teams[[#This Row],[relevant]], COUNTIFS(Fixtures[userTeam], Teams[[#This Row],[name]], Fixtures[APP], TRUE), "")</f>
        <v/>
      </c>
      <c r="I479" s="1" t="str">
        <f>IF(Teams[[#This Row],[relevant]], COUNTIFS(Fixtures[userTeam], Teams[[#This Row],[name]], Fixtures[result], "W", Fixtures[APP], TRUE), "")</f>
        <v/>
      </c>
      <c r="J479" s="1" t="str">
        <f>IF(Teams[[#This Row],[relevant]], COUNTIFS(Fixtures[userTeam], Teams[[#This Row],[name]], Fixtures[result], "D", Fixtures[APP], TRUE), "")</f>
        <v/>
      </c>
      <c r="K479" s="1" t="str">
        <f>IF(Teams[[#This Row],[relevant]], COUNTIFS(Fixtures[userTeam], Teams[[#This Row],[name]], Fixtures[result], "L", Fixtures[APP], TRUE), "")</f>
        <v/>
      </c>
      <c r="L479" s="1" t="str">
        <f>IF(Teams[[#This Row],[relevant]], SUMIFS(Fixtures[G], Fixtures[userTeam], Teams[[#This Row],[name]]), "")</f>
        <v/>
      </c>
      <c r="M479" s="1" t="str">
        <f>IF(Teams[[#This Row],[relevant]], SUMIFS(Fixtures[A], Fixtures[userTeam], Teams[[#This Row],[name]]), "")</f>
        <v/>
      </c>
      <c r="N479" s="1" t="str">
        <f>IF(Teams[[#This Row],[relevant]], SUMIFS(Fixtures[INV], Fixtures[userTeam], Teams[[#This Row],[name]]), "")</f>
        <v/>
      </c>
      <c r="O479" s="1" t="str">
        <f>IF(Teams[[#This Row],[relevant]], SUMIFS(Fixtures[YC], Fixtures[userTeam], Teams[[#This Row],[name]]), "")</f>
        <v/>
      </c>
      <c r="P479" s="1" t="str">
        <f>IF(Teams[[#This Row],[relevant]], SUMIFS(Fixtures[RC], Fixtures[userTeam], Teams[[#This Row],[name]]), "")</f>
        <v/>
      </c>
      <c r="Q479" s="13" t="str">
        <f>IF(Teams[[#This Row],[relevant]], IF(ISERROR(AVERAGEIFS(Fixtures[MR], Fixtures[userTeam], Teams[[#This Row],[name]])), 0, AVERAGEIFS(Fixtures[MR], Fixtures[userTeam], Teams[[#This Row],[name]])), "")</f>
        <v/>
      </c>
      <c r="R479" s="1" t="str">
        <f>IF(Teams[[#This Row],[relevant]], COUNTIFS(Fixtures[userTeam], Teams[[#This Row],[name]], Fixtures[MOTM], TRUE), "")</f>
        <v/>
      </c>
      <c r="S479" s="1" t="str" cm="1">
        <f t="array" ref="S479">IF(Teams[[#This Row],[relevant]], _xlfn.TEXTJOIN(", ", TRUE, _xlfn._xlws.FILTER(Stats[competition]&amp;" ("&amp;Stats[season]&amp;")",(Stats[team]=Teams[[#This Row],[name]])*(Stats[result]="Winner"),"")), "")</f>
        <v/>
      </c>
    </row>
    <row r="480" spans="1:19" ht="13" hidden="1">
      <c r="A480" s="1" t="s">
        <v>825</v>
      </c>
      <c r="B480" s="1" t="s">
        <v>339</v>
      </c>
      <c r="C480" s="1" t="s">
        <v>391</v>
      </c>
      <c r="D480" s="1" t="str">
        <f>UPPER(_xlfn.CONCAT(LEFT(Teams[[#This Row],[teamType]], 1), "-", LEFT(SUBSTITUTE(Teams[[#This Row],[nation]], "/", ""), 3), "-", SUBSTITUTE(SUBSTITUTE(SUBSTITUTE(Teams[[#This Row],[name]], ".", ""), " ", ""), "-", "")))</f>
        <v>C-FRA-PAUFC</v>
      </c>
      <c r="E480" s="16"/>
      <c r="F480" s="16"/>
      <c r="G480" s="1" t="b">
        <f>COUNTBLANK(Teams[[#This Row],[startDate]:[endDate]]) &lt; 2</f>
        <v>0</v>
      </c>
      <c r="H480" s="1" t="str">
        <f>IF(Teams[[#This Row],[relevant]], COUNTIFS(Fixtures[userTeam], Teams[[#This Row],[name]], Fixtures[APP], TRUE), "")</f>
        <v/>
      </c>
      <c r="I480" s="1" t="str">
        <f>IF(Teams[[#This Row],[relevant]], COUNTIFS(Fixtures[userTeam], Teams[[#This Row],[name]], Fixtures[result], "W", Fixtures[APP], TRUE), "")</f>
        <v/>
      </c>
      <c r="J480" s="1" t="str">
        <f>IF(Teams[[#This Row],[relevant]], COUNTIFS(Fixtures[userTeam], Teams[[#This Row],[name]], Fixtures[result], "D", Fixtures[APP], TRUE), "")</f>
        <v/>
      </c>
      <c r="K480" s="1" t="str">
        <f>IF(Teams[[#This Row],[relevant]], COUNTIFS(Fixtures[userTeam], Teams[[#This Row],[name]], Fixtures[result], "L", Fixtures[APP], TRUE), "")</f>
        <v/>
      </c>
      <c r="L480" s="1" t="str">
        <f>IF(Teams[[#This Row],[relevant]], SUMIFS(Fixtures[G], Fixtures[userTeam], Teams[[#This Row],[name]]), "")</f>
        <v/>
      </c>
      <c r="M480" s="1" t="str">
        <f>IF(Teams[[#This Row],[relevant]], SUMIFS(Fixtures[A], Fixtures[userTeam], Teams[[#This Row],[name]]), "")</f>
        <v/>
      </c>
      <c r="N480" s="1" t="str">
        <f>IF(Teams[[#This Row],[relevant]], SUMIFS(Fixtures[INV], Fixtures[userTeam], Teams[[#This Row],[name]]), "")</f>
        <v/>
      </c>
      <c r="O480" s="1" t="str">
        <f>IF(Teams[[#This Row],[relevant]], SUMIFS(Fixtures[YC], Fixtures[userTeam], Teams[[#This Row],[name]]), "")</f>
        <v/>
      </c>
      <c r="P480" s="1" t="str">
        <f>IF(Teams[[#This Row],[relevant]], SUMIFS(Fixtures[RC], Fixtures[userTeam], Teams[[#This Row],[name]]), "")</f>
        <v/>
      </c>
      <c r="Q480" s="13" t="str">
        <f>IF(Teams[[#This Row],[relevant]], IF(ISERROR(AVERAGEIFS(Fixtures[MR], Fixtures[userTeam], Teams[[#This Row],[name]])), 0, AVERAGEIFS(Fixtures[MR], Fixtures[userTeam], Teams[[#This Row],[name]])), "")</f>
        <v/>
      </c>
      <c r="R480" s="1" t="str">
        <f>IF(Teams[[#This Row],[relevant]], COUNTIFS(Fixtures[userTeam], Teams[[#This Row],[name]], Fixtures[MOTM], TRUE), "")</f>
        <v/>
      </c>
      <c r="S480" s="1" t="str" cm="1">
        <f t="array" ref="S480">IF(Teams[[#This Row],[relevant]], _xlfn.TEXTJOIN(", ", TRUE, _xlfn._xlws.FILTER(Stats[competition]&amp;" ("&amp;Stats[season]&amp;")",(Stats[team]=Teams[[#This Row],[name]])*(Stats[result]="Winner"),"")), "")</f>
        <v/>
      </c>
    </row>
    <row r="481" spans="1:19" ht="13" hidden="1">
      <c r="A481" s="1" t="s">
        <v>826</v>
      </c>
      <c r="B481" s="1" t="s">
        <v>534</v>
      </c>
      <c r="C481" s="1" t="s">
        <v>391</v>
      </c>
      <c r="D481" s="1" t="str">
        <f>UPPER(_xlfn.CONCAT(LEFT(Teams[[#This Row],[teamType]], 1), "-", LEFT(SUBSTITUTE(Teams[[#This Row],[nation]], "/", ""), 3), "-", SUBSTITUTE(SUBSTITUTE(SUBSTITUTE(Teams[[#This Row],[name]], ".", ""), " ", ""), "-", "")))</f>
        <v>C-URU-PEÑAROL</v>
      </c>
      <c r="E481" s="16"/>
      <c r="F481" s="16"/>
      <c r="G481" s="1" t="b">
        <f>COUNTBLANK(Teams[[#This Row],[startDate]:[endDate]]) &lt; 2</f>
        <v>0</v>
      </c>
      <c r="H481" s="1" t="str">
        <f>IF(Teams[[#This Row],[relevant]], COUNTIFS(Fixtures[userTeam], Teams[[#This Row],[name]], Fixtures[APP], TRUE), "")</f>
        <v/>
      </c>
      <c r="I481" s="1" t="str">
        <f>IF(Teams[[#This Row],[relevant]], COUNTIFS(Fixtures[userTeam], Teams[[#This Row],[name]], Fixtures[result], "W", Fixtures[APP], TRUE), "")</f>
        <v/>
      </c>
      <c r="J481" s="1" t="str">
        <f>IF(Teams[[#This Row],[relevant]], COUNTIFS(Fixtures[userTeam], Teams[[#This Row],[name]], Fixtures[result], "D", Fixtures[APP], TRUE), "")</f>
        <v/>
      </c>
      <c r="K481" s="1" t="str">
        <f>IF(Teams[[#This Row],[relevant]], COUNTIFS(Fixtures[userTeam], Teams[[#This Row],[name]], Fixtures[result], "L", Fixtures[APP], TRUE), "")</f>
        <v/>
      </c>
      <c r="L481" s="1" t="str">
        <f>IF(Teams[[#This Row],[relevant]], SUMIFS(Fixtures[G], Fixtures[userTeam], Teams[[#This Row],[name]]), "")</f>
        <v/>
      </c>
      <c r="M481" s="1" t="str">
        <f>IF(Teams[[#This Row],[relevant]], SUMIFS(Fixtures[A], Fixtures[userTeam], Teams[[#This Row],[name]]), "")</f>
        <v/>
      </c>
      <c r="N481" s="1" t="str">
        <f>IF(Teams[[#This Row],[relevant]], SUMIFS(Fixtures[INV], Fixtures[userTeam], Teams[[#This Row],[name]]), "")</f>
        <v/>
      </c>
      <c r="O481" s="1" t="str">
        <f>IF(Teams[[#This Row],[relevant]], SUMIFS(Fixtures[YC], Fixtures[userTeam], Teams[[#This Row],[name]]), "")</f>
        <v/>
      </c>
      <c r="P481" s="1" t="str">
        <f>IF(Teams[[#This Row],[relevant]], SUMIFS(Fixtures[RC], Fixtures[userTeam], Teams[[#This Row],[name]]), "")</f>
        <v/>
      </c>
      <c r="Q481" s="13" t="str">
        <f>IF(Teams[[#This Row],[relevant]], IF(ISERROR(AVERAGEIFS(Fixtures[MR], Fixtures[userTeam], Teams[[#This Row],[name]])), 0, AVERAGEIFS(Fixtures[MR], Fixtures[userTeam], Teams[[#This Row],[name]])), "")</f>
        <v/>
      </c>
      <c r="R481" s="1" t="str">
        <f>IF(Teams[[#This Row],[relevant]], COUNTIFS(Fixtures[userTeam], Teams[[#This Row],[name]], Fixtures[MOTM], TRUE), "")</f>
        <v/>
      </c>
      <c r="S481" s="1" t="str" cm="1">
        <f t="array" ref="S481">IF(Teams[[#This Row],[relevant]], _xlfn.TEXTJOIN(", ", TRUE, _xlfn._xlws.FILTER(Stats[competition]&amp;" ("&amp;Stats[season]&amp;")",(Stats[team]=Teams[[#This Row],[name]])*(Stats[result]="Winner"),"")), "")</f>
        <v/>
      </c>
    </row>
    <row r="482" spans="1:19" ht="13" hidden="1">
      <c r="A482" s="1" t="s">
        <v>827</v>
      </c>
      <c r="B482" s="1" t="s">
        <v>410</v>
      </c>
      <c r="C482" s="1" t="s">
        <v>391</v>
      </c>
      <c r="D482" s="1" t="str">
        <f>UPPER(_xlfn.CONCAT(LEFT(Teams[[#This Row],[teamType]], 1), "-", LEFT(SUBSTITUTE(Teams[[#This Row],[nation]], "/", ""), 3), "-", SUBSTITUTE(SUBSTITUTE(SUBSTITUTE(Teams[[#This Row],[name]], ".", ""), " ", ""), "-", "")))</f>
        <v>C-AUS-PERTHGLORY</v>
      </c>
      <c r="E482" s="16"/>
      <c r="F482" s="16"/>
      <c r="G482" s="1" t="b">
        <f>COUNTBLANK(Teams[[#This Row],[startDate]:[endDate]]) &lt; 2</f>
        <v>0</v>
      </c>
      <c r="H482" s="1" t="str">
        <f>IF(Teams[[#This Row],[relevant]], COUNTIFS(Fixtures[userTeam], Teams[[#This Row],[name]], Fixtures[APP], TRUE), "")</f>
        <v/>
      </c>
      <c r="I482" s="1" t="str">
        <f>IF(Teams[[#This Row],[relevant]], COUNTIFS(Fixtures[userTeam], Teams[[#This Row],[name]], Fixtures[result], "W", Fixtures[APP], TRUE), "")</f>
        <v/>
      </c>
      <c r="J482" s="1" t="str">
        <f>IF(Teams[[#This Row],[relevant]], COUNTIFS(Fixtures[userTeam], Teams[[#This Row],[name]], Fixtures[result], "D", Fixtures[APP], TRUE), "")</f>
        <v/>
      </c>
      <c r="K482" s="1" t="str">
        <f>IF(Teams[[#This Row],[relevant]], COUNTIFS(Fixtures[userTeam], Teams[[#This Row],[name]], Fixtures[result], "L", Fixtures[APP], TRUE), "")</f>
        <v/>
      </c>
      <c r="L482" s="1" t="str">
        <f>IF(Teams[[#This Row],[relevant]], SUMIFS(Fixtures[G], Fixtures[userTeam], Teams[[#This Row],[name]]), "")</f>
        <v/>
      </c>
      <c r="M482" s="1" t="str">
        <f>IF(Teams[[#This Row],[relevant]], SUMIFS(Fixtures[A], Fixtures[userTeam], Teams[[#This Row],[name]]), "")</f>
        <v/>
      </c>
      <c r="N482" s="1" t="str">
        <f>IF(Teams[[#This Row],[relevant]], SUMIFS(Fixtures[INV], Fixtures[userTeam], Teams[[#This Row],[name]]), "")</f>
        <v/>
      </c>
      <c r="O482" s="1" t="str">
        <f>IF(Teams[[#This Row],[relevant]], SUMIFS(Fixtures[YC], Fixtures[userTeam], Teams[[#This Row],[name]]), "")</f>
        <v/>
      </c>
      <c r="P482" s="1" t="str">
        <f>IF(Teams[[#This Row],[relevant]], SUMIFS(Fixtures[RC], Fixtures[userTeam], Teams[[#This Row],[name]]), "")</f>
        <v/>
      </c>
      <c r="Q482" s="13" t="str">
        <f>IF(Teams[[#This Row],[relevant]], IF(ISERROR(AVERAGEIFS(Fixtures[MR], Fixtures[userTeam], Teams[[#This Row],[name]])), 0, AVERAGEIFS(Fixtures[MR], Fixtures[userTeam], Teams[[#This Row],[name]])), "")</f>
        <v/>
      </c>
      <c r="R482" s="1" t="str">
        <f>IF(Teams[[#This Row],[relevant]], COUNTIFS(Fixtures[userTeam], Teams[[#This Row],[name]], Fixtures[MOTM], TRUE), "")</f>
        <v/>
      </c>
      <c r="S482" s="1" t="str" cm="1">
        <f t="array" ref="S482">IF(Teams[[#This Row],[relevant]], _xlfn.TEXTJOIN(", ", TRUE, _xlfn._xlws.FILTER(Stats[competition]&amp;" ("&amp;Stats[season]&amp;")",(Stats[team]=Teams[[#This Row],[name]])*(Stats[result]="Winner"),"")), "")</f>
        <v/>
      </c>
    </row>
    <row r="483" spans="1:19" ht="13" hidden="1">
      <c r="A483" s="1" t="s">
        <v>828</v>
      </c>
      <c r="B483" s="1" t="s">
        <v>254</v>
      </c>
      <c r="C483" s="1" t="s">
        <v>391</v>
      </c>
      <c r="D483" s="1" t="str">
        <f>UPPER(_xlfn.CONCAT(LEFT(Teams[[#This Row],[teamType]], 1), "-", LEFT(SUBSTITUTE(Teams[[#This Row],[nation]], "/", ""), 3), "-", SUBSTITUTE(SUBSTITUTE(SUBSTITUTE(Teams[[#This Row],[name]], ".", ""), " ", ""), "-", "")))</f>
        <v>C-ITA-PERUGIA</v>
      </c>
      <c r="E483" s="16"/>
      <c r="F483" s="16"/>
      <c r="G483" s="1" t="b">
        <f>COUNTBLANK(Teams[[#This Row],[startDate]:[endDate]]) &lt; 2</f>
        <v>0</v>
      </c>
      <c r="H483" s="1" t="str">
        <f>IF(Teams[[#This Row],[relevant]], COUNTIFS(Fixtures[userTeam], Teams[[#This Row],[name]], Fixtures[APP], TRUE), "")</f>
        <v/>
      </c>
      <c r="I483" s="1" t="str">
        <f>IF(Teams[[#This Row],[relevant]], COUNTIFS(Fixtures[userTeam], Teams[[#This Row],[name]], Fixtures[result], "W", Fixtures[APP], TRUE), "")</f>
        <v/>
      </c>
      <c r="J483" s="1" t="str">
        <f>IF(Teams[[#This Row],[relevant]], COUNTIFS(Fixtures[userTeam], Teams[[#This Row],[name]], Fixtures[result], "D", Fixtures[APP], TRUE), "")</f>
        <v/>
      </c>
      <c r="K483" s="1" t="str">
        <f>IF(Teams[[#This Row],[relevant]], COUNTIFS(Fixtures[userTeam], Teams[[#This Row],[name]], Fixtures[result], "L", Fixtures[APP], TRUE), "")</f>
        <v/>
      </c>
      <c r="L483" s="1" t="str">
        <f>IF(Teams[[#This Row],[relevant]], SUMIFS(Fixtures[G], Fixtures[userTeam], Teams[[#This Row],[name]]), "")</f>
        <v/>
      </c>
      <c r="M483" s="1" t="str">
        <f>IF(Teams[[#This Row],[relevant]], SUMIFS(Fixtures[A], Fixtures[userTeam], Teams[[#This Row],[name]]), "")</f>
        <v/>
      </c>
      <c r="N483" s="1" t="str">
        <f>IF(Teams[[#This Row],[relevant]], SUMIFS(Fixtures[INV], Fixtures[userTeam], Teams[[#This Row],[name]]), "")</f>
        <v/>
      </c>
      <c r="O483" s="1" t="str">
        <f>IF(Teams[[#This Row],[relevant]], SUMIFS(Fixtures[YC], Fixtures[userTeam], Teams[[#This Row],[name]]), "")</f>
        <v/>
      </c>
      <c r="P483" s="1" t="str">
        <f>IF(Teams[[#This Row],[relevant]], SUMIFS(Fixtures[RC], Fixtures[userTeam], Teams[[#This Row],[name]]), "")</f>
        <v/>
      </c>
      <c r="Q483" s="13" t="str">
        <f>IF(Teams[[#This Row],[relevant]], IF(ISERROR(AVERAGEIFS(Fixtures[MR], Fixtures[userTeam], Teams[[#This Row],[name]])), 0, AVERAGEIFS(Fixtures[MR], Fixtures[userTeam], Teams[[#This Row],[name]])), "")</f>
        <v/>
      </c>
      <c r="R483" s="1" t="str">
        <f>IF(Teams[[#This Row],[relevant]], COUNTIFS(Fixtures[userTeam], Teams[[#This Row],[name]], Fixtures[MOTM], TRUE), "")</f>
        <v/>
      </c>
      <c r="S483" s="1" t="str" cm="1">
        <f t="array" ref="S483">IF(Teams[[#This Row],[relevant]], _xlfn.TEXTJOIN(", ", TRUE, _xlfn._xlws.FILTER(Stats[competition]&amp;" ("&amp;Stats[season]&amp;")",(Stats[team]=Teams[[#This Row],[name]])*(Stats[result]="Winner"),"")), "")</f>
        <v/>
      </c>
    </row>
    <row r="484" spans="1:19" ht="13" hidden="1">
      <c r="A484" s="1" t="s">
        <v>829</v>
      </c>
      <c r="B484" s="1" t="s">
        <v>152</v>
      </c>
      <c r="C484" s="1" t="s">
        <v>391</v>
      </c>
      <c r="D484" s="1" t="str">
        <f>UPPER(_xlfn.CONCAT(LEFT(Teams[[#This Row],[teamType]], 1), "-", LEFT(SUBSTITUTE(Teams[[#This Row],[nation]], "/", ""), 3), "-", SUBSTITUTE(SUBSTITUTE(SUBSTITUTE(Teams[[#This Row],[name]], ".", ""), " ", ""), "-", "")))</f>
        <v>C-ENG-PETERBOROUGH</v>
      </c>
      <c r="E484" s="16"/>
      <c r="F484" s="16"/>
      <c r="G484" s="1" t="b">
        <f>COUNTBLANK(Teams[[#This Row],[startDate]:[endDate]]) &lt; 2</f>
        <v>0</v>
      </c>
      <c r="H484" s="1" t="str">
        <f>IF(Teams[[#This Row],[relevant]], COUNTIFS(Fixtures[userTeam], Teams[[#This Row],[name]], Fixtures[APP], TRUE), "")</f>
        <v/>
      </c>
      <c r="I484" s="1" t="str">
        <f>IF(Teams[[#This Row],[relevant]], COUNTIFS(Fixtures[userTeam], Teams[[#This Row],[name]], Fixtures[result], "W", Fixtures[APP], TRUE), "")</f>
        <v/>
      </c>
      <c r="J484" s="1" t="str">
        <f>IF(Teams[[#This Row],[relevant]], COUNTIFS(Fixtures[userTeam], Teams[[#This Row],[name]], Fixtures[result], "D", Fixtures[APP], TRUE), "")</f>
        <v/>
      </c>
      <c r="K484" s="1" t="str">
        <f>IF(Teams[[#This Row],[relevant]], COUNTIFS(Fixtures[userTeam], Teams[[#This Row],[name]], Fixtures[result], "L", Fixtures[APP], TRUE), "")</f>
        <v/>
      </c>
      <c r="L484" s="1" t="str">
        <f>IF(Teams[[#This Row],[relevant]], SUMIFS(Fixtures[G], Fixtures[userTeam], Teams[[#This Row],[name]]), "")</f>
        <v/>
      </c>
      <c r="M484" s="1" t="str">
        <f>IF(Teams[[#This Row],[relevant]], SUMIFS(Fixtures[A], Fixtures[userTeam], Teams[[#This Row],[name]]), "")</f>
        <v/>
      </c>
      <c r="N484" s="1" t="str">
        <f>IF(Teams[[#This Row],[relevant]], SUMIFS(Fixtures[INV], Fixtures[userTeam], Teams[[#This Row],[name]]), "")</f>
        <v/>
      </c>
      <c r="O484" s="1" t="str">
        <f>IF(Teams[[#This Row],[relevant]], SUMIFS(Fixtures[YC], Fixtures[userTeam], Teams[[#This Row],[name]]), "")</f>
        <v/>
      </c>
      <c r="P484" s="1" t="str">
        <f>IF(Teams[[#This Row],[relevant]], SUMIFS(Fixtures[RC], Fixtures[userTeam], Teams[[#This Row],[name]]), "")</f>
        <v/>
      </c>
      <c r="Q484" s="13" t="str">
        <f>IF(Teams[[#This Row],[relevant]], IF(ISERROR(AVERAGEIFS(Fixtures[MR], Fixtures[userTeam], Teams[[#This Row],[name]])), 0, AVERAGEIFS(Fixtures[MR], Fixtures[userTeam], Teams[[#This Row],[name]])), "")</f>
        <v/>
      </c>
      <c r="R484" s="1" t="str">
        <f>IF(Teams[[#This Row],[relevant]], COUNTIFS(Fixtures[userTeam], Teams[[#This Row],[name]], Fixtures[MOTM], TRUE), "")</f>
        <v/>
      </c>
      <c r="S484" s="1" t="str" cm="1">
        <f t="array" ref="S484">IF(Teams[[#This Row],[relevant]], _xlfn.TEXTJOIN(", ", TRUE, _xlfn._xlws.FILTER(Stats[competition]&amp;" ("&amp;Stats[season]&amp;")",(Stats[team]=Teams[[#This Row],[name]])*(Stats[result]="Winner"),"")), "")</f>
        <v/>
      </c>
    </row>
    <row r="485" spans="1:19" ht="13" hidden="1">
      <c r="A485" s="1" t="s">
        <v>830</v>
      </c>
      <c r="B485" s="1" t="s">
        <v>16</v>
      </c>
      <c r="C485" s="1" t="s">
        <v>391</v>
      </c>
      <c r="D485" s="1" t="str">
        <f>UPPER(_xlfn.CONCAT(LEFT(Teams[[#This Row],[teamType]], 1), "-", LEFT(SUBSTITUTE(Teams[[#This Row],[nation]], "/", ""), 3), "-", SUBSTITUTE(SUBSTITUTE(SUBSTITUTE(Teams[[#This Row],[name]], ".", ""), " ", ""), "-", "")))</f>
        <v>C-UNI-PHILADELPHIA</v>
      </c>
      <c r="E485" s="16"/>
      <c r="F485" s="16"/>
      <c r="G485" s="1" t="b">
        <f>COUNTBLANK(Teams[[#This Row],[startDate]:[endDate]]) &lt; 2</f>
        <v>0</v>
      </c>
      <c r="H485" s="1" t="str">
        <f>IF(Teams[[#This Row],[relevant]], COUNTIFS(Fixtures[userTeam], Teams[[#This Row],[name]], Fixtures[APP], TRUE), "")</f>
        <v/>
      </c>
      <c r="I485" s="1" t="str">
        <f>IF(Teams[[#This Row],[relevant]], COUNTIFS(Fixtures[userTeam], Teams[[#This Row],[name]], Fixtures[result], "W", Fixtures[APP], TRUE), "")</f>
        <v/>
      </c>
      <c r="J485" s="1" t="str">
        <f>IF(Teams[[#This Row],[relevant]], COUNTIFS(Fixtures[userTeam], Teams[[#This Row],[name]], Fixtures[result], "D", Fixtures[APP], TRUE), "")</f>
        <v/>
      </c>
      <c r="K485" s="1" t="str">
        <f>IF(Teams[[#This Row],[relevant]], COUNTIFS(Fixtures[userTeam], Teams[[#This Row],[name]], Fixtures[result], "L", Fixtures[APP], TRUE), "")</f>
        <v/>
      </c>
      <c r="L485" s="1" t="str">
        <f>IF(Teams[[#This Row],[relevant]], SUMIFS(Fixtures[G], Fixtures[userTeam], Teams[[#This Row],[name]]), "")</f>
        <v/>
      </c>
      <c r="M485" s="1" t="str">
        <f>IF(Teams[[#This Row],[relevant]], SUMIFS(Fixtures[A], Fixtures[userTeam], Teams[[#This Row],[name]]), "")</f>
        <v/>
      </c>
      <c r="N485" s="1" t="str">
        <f>IF(Teams[[#This Row],[relevant]], SUMIFS(Fixtures[INV], Fixtures[userTeam], Teams[[#This Row],[name]]), "")</f>
        <v/>
      </c>
      <c r="O485" s="1" t="str">
        <f>IF(Teams[[#This Row],[relevant]], SUMIFS(Fixtures[YC], Fixtures[userTeam], Teams[[#This Row],[name]]), "")</f>
        <v/>
      </c>
      <c r="P485" s="1" t="str">
        <f>IF(Teams[[#This Row],[relevant]], SUMIFS(Fixtures[RC], Fixtures[userTeam], Teams[[#This Row],[name]]), "")</f>
        <v/>
      </c>
      <c r="Q485" s="13" t="str">
        <f>IF(Teams[[#This Row],[relevant]], IF(ISERROR(AVERAGEIFS(Fixtures[MR], Fixtures[userTeam], Teams[[#This Row],[name]])), 0, AVERAGEIFS(Fixtures[MR], Fixtures[userTeam], Teams[[#This Row],[name]])), "")</f>
        <v/>
      </c>
      <c r="R485" s="1" t="str">
        <f>IF(Teams[[#This Row],[relevant]], COUNTIFS(Fixtures[userTeam], Teams[[#This Row],[name]], Fixtures[MOTM], TRUE), "")</f>
        <v/>
      </c>
      <c r="S485" s="1" t="str" cm="1">
        <f t="array" ref="S485">IF(Teams[[#This Row],[relevant]], _xlfn.TEXTJOIN(", ", TRUE, _xlfn._xlws.FILTER(Stats[competition]&amp;" ("&amp;Stats[season]&amp;")",(Stats[team]=Teams[[#This Row],[name]])*(Stats[result]="Winner"),"")), "")</f>
        <v/>
      </c>
    </row>
    <row r="486" spans="1:19" ht="13" hidden="1">
      <c r="A486" s="1" t="s">
        <v>831</v>
      </c>
      <c r="B486" s="1" t="s">
        <v>213</v>
      </c>
      <c r="C486" s="1" t="s">
        <v>391</v>
      </c>
      <c r="D486" s="1" t="str">
        <f>UPPER(_xlfn.CONCAT(LEFT(Teams[[#This Row],[teamType]], 1), "-", LEFT(SUBSTITUTE(Teams[[#This Row],[nation]], "/", ""), 3), "-", SUBSTITUTE(SUBSTITUTE(SUBSTITUTE(Teams[[#This Row],[name]], ".", ""), " ", ""), "-", "")))</f>
        <v>C-POL-PIASTGLIWICE</v>
      </c>
      <c r="E486" s="16"/>
      <c r="F486" s="16"/>
      <c r="G486" s="1" t="b">
        <f>COUNTBLANK(Teams[[#This Row],[startDate]:[endDate]]) &lt; 2</f>
        <v>0</v>
      </c>
      <c r="H486" s="1" t="str">
        <f>IF(Teams[[#This Row],[relevant]], COUNTIFS(Fixtures[userTeam], Teams[[#This Row],[name]], Fixtures[APP], TRUE), "")</f>
        <v/>
      </c>
      <c r="I486" s="1" t="str">
        <f>IF(Teams[[#This Row],[relevant]], COUNTIFS(Fixtures[userTeam], Teams[[#This Row],[name]], Fixtures[result], "W", Fixtures[APP], TRUE), "")</f>
        <v/>
      </c>
      <c r="J486" s="1" t="str">
        <f>IF(Teams[[#This Row],[relevant]], COUNTIFS(Fixtures[userTeam], Teams[[#This Row],[name]], Fixtures[result], "D", Fixtures[APP], TRUE), "")</f>
        <v/>
      </c>
      <c r="K486" s="1" t="str">
        <f>IF(Teams[[#This Row],[relevant]], COUNTIFS(Fixtures[userTeam], Teams[[#This Row],[name]], Fixtures[result], "L", Fixtures[APP], TRUE), "")</f>
        <v/>
      </c>
      <c r="L486" s="1" t="str">
        <f>IF(Teams[[#This Row],[relevant]], SUMIFS(Fixtures[G], Fixtures[userTeam], Teams[[#This Row],[name]]), "")</f>
        <v/>
      </c>
      <c r="M486" s="1" t="str">
        <f>IF(Teams[[#This Row],[relevant]], SUMIFS(Fixtures[A], Fixtures[userTeam], Teams[[#This Row],[name]]), "")</f>
        <v/>
      </c>
      <c r="N486" s="1" t="str">
        <f>IF(Teams[[#This Row],[relevant]], SUMIFS(Fixtures[INV], Fixtures[userTeam], Teams[[#This Row],[name]]), "")</f>
        <v/>
      </c>
      <c r="O486" s="1" t="str">
        <f>IF(Teams[[#This Row],[relevant]], SUMIFS(Fixtures[YC], Fixtures[userTeam], Teams[[#This Row],[name]]), "")</f>
        <v/>
      </c>
      <c r="P486" s="1" t="str">
        <f>IF(Teams[[#This Row],[relevant]], SUMIFS(Fixtures[RC], Fixtures[userTeam], Teams[[#This Row],[name]]), "")</f>
        <v/>
      </c>
      <c r="Q486" s="13" t="str">
        <f>IF(Teams[[#This Row],[relevant]], IF(ISERROR(AVERAGEIFS(Fixtures[MR], Fixtures[userTeam], Teams[[#This Row],[name]])), 0, AVERAGEIFS(Fixtures[MR], Fixtures[userTeam], Teams[[#This Row],[name]])), "")</f>
        <v/>
      </c>
      <c r="R486" s="1" t="str">
        <f>IF(Teams[[#This Row],[relevant]], COUNTIFS(Fixtures[userTeam], Teams[[#This Row],[name]], Fixtures[MOTM], TRUE), "")</f>
        <v/>
      </c>
      <c r="S486" s="1" t="str" cm="1">
        <f t="array" ref="S486">IF(Teams[[#This Row],[relevant]], _xlfn.TEXTJOIN(", ", TRUE, _xlfn._xlws.FILTER(Stats[competition]&amp;" ("&amp;Stats[season]&amp;")",(Stats[team]=Teams[[#This Row],[name]])*(Stats[result]="Winner"),"")), "")</f>
        <v/>
      </c>
    </row>
    <row r="487" spans="1:19" ht="13" hidden="1">
      <c r="A487" s="1" t="s">
        <v>832</v>
      </c>
      <c r="B487" s="1" t="s">
        <v>254</v>
      </c>
      <c r="C487" s="1" t="s">
        <v>391</v>
      </c>
      <c r="D487" s="1" t="str">
        <f>UPPER(_xlfn.CONCAT(LEFT(Teams[[#This Row],[teamType]], 1), "-", LEFT(SUBSTITUTE(Teams[[#This Row],[nation]], "/", ""), 3), "-", SUBSTITUTE(SUBSTITUTE(SUBSTITUTE(Teams[[#This Row],[name]], ".", ""), " ", ""), "-", "")))</f>
        <v>C-ITA-PISA</v>
      </c>
      <c r="E487" s="16"/>
      <c r="F487" s="16"/>
      <c r="G487" s="1" t="b">
        <f>COUNTBLANK(Teams[[#This Row],[startDate]:[endDate]]) &lt; 2</f>
        <v>0</v>
      </c>
      <c r="H487" s="1" t="str">
        <f>IF(Teams[[#This Row],[relevant]], COUNTIFS(Fixtures[userTeam], Teams[[#This Row],[name]], Fixtures[APP], TRUE), "")</f>
        <v/>
      </c>
      <c r="I487" s="1" t="str">
        <f>IF(Teams[[#This Row],[relevant]], COUNTIFS(Fixtures[userTeam], Teams[[#This Row],[name]], Fixtures[result], "W", Fixtures[APP], TRUE), "")</f>
        <v/>
      </c>
      <c r="J487" s="1" t="str">
        <f>IF(Teams[[#This Row],[relevant]], COUNTIFS(Fixtures[userTeam], Teams[[#This Row],[name]], Fixtures[result], "D", Fixtures[APP], TRUE), "")</f>
        <v/>
      </c>
      <c r="K487" s="1" t="str">
        <f>IF(Teams[[#This Row],[relevant]], COUNTIFS(Fixtures[userTeam], Teams[[#This Row],[name]], Fixtures[result], "L", Fixtures[APP], TRUE), "")</f>
        <v/>
      </c>
      <c r="L487" s="1" t="str">
        <f>IF(Teams[[#This Row],[relevant]], SUMIFS(Fixtures[G], Fixtures[userTeam], Teams[[#This Row],[name]]), "")</f>
        <v/>
      </c>
      <c r="M487" s="1" t="str">
        <f>IF(Teams[[#This Row],[relevant]], SUMIFS(Fixtures[A], Fixtures[userTeam], Teams[[#This Row],[name]]), "")</f>
        <v/>
      </c>
      <c r="N487" s="1" t="str">
        <f>IF(Teams[[#This Row],[relevant]], SUMIFS(Fixtures[INV], Fixtures[userTeam], Teams[[#This Row],[name]]), "")</f>
        <v/>
      </c>
      <c r="O487" s="1" t="str">
        <f>IF(Teams[[#This Row],[relevant]], SUMIFS(Fixtures[YC], Fixtures[userTeam], Teams[[#This Row],[name]]), "")</f>
        <v/>
      </c>
      <c r="P487" s="1" t="str">
        <f>IF(Teams[[#This Row],[relevant]], SUMIFS(Fixtures[RC], Fixtures[userTeam], Teams[[#This Row],[name]]), "")</f>
        <v/>
      </c>
      <c r="Q487" s="13" t="str">
        <f>IF(Teams[[#This Row],[relevant]], IF(ISERROR(AVERAGEIFS(Fixtures[MR], Fixtures[userTeam], Teams[[#This Row],[name]])), 0, AVERAGEIFS(Fixtures[MR], Fixtures[userTeam], Teams[[#This Row],[name]])), "")</f>
        <v/>
      </c>
      <c r="R487" s="1" t="str">
        <f>IF(Teams[[#This Row],[relevant]], COUNTIFS(Fixtures[userTeam], Teams[[#This Row],[name]], Fixtures[MOTM], TRUE), "")</f>
        <v/>
      </c>
      <c r="S487" s="1" t="str" cm="1">
        <f t="array" ref="S487">IF(Teams[[#This Row],[relevant]], _xlfn.TEXTJOIN(", ", TRUE, _xlfn._xlws.FILTER(Stats[competition]&amp;" ("&amp;Stats[season]&amp;")",(Stats[team]=Teams[[#This Row],[name]])*(Stats[result]="Winner"),"")), "")</f>
        <v/>
      </c>
    </row>
    <row r="488" spans="1:19" ht="13" hidden="1">
      <c r="A488" s="1" t="s">
        <v>833</v>
      </c>
      <c r="B488" s="1" t="s">
        <v>131</v>
      </c>
      <c r="C488" s="1" t="s">
        <v>391</v>
      </c>
      <c r="D488" s="1" t="str">
        <f>UPPER(_xlfn.CONCAT(LEFT(Teams[[#This Row],[teamType]], 1), "-", LEFT(SUBSTITUTE(Teams[[#This Row],[nation]], "/", ""), 3), "-", SUBSTITUTE(SUBSTITUTE(SUBSTITUTE(Teams[[#This Row],[name]], ".", ""), " ", ""), "-", "")))</f>
        <v>C-ARG-PLATENSE</v>
      </c>
      <c r="E488" s="16"/>
      <c r="F488" s="16"/>
      <c r="G488" s="1" t="b">
        <f>COUNTBLANK(Teams[[#This Row],[startDate]:[endDate]]) &lt; 2</f>
        <v>0</v>
      </c>
      <c r="H488" s="1" t="str">
        <f>IF(Teams[[#This Row],[relevant]], COUNTIFS(Fixtures[userTeam], Teams[[#This Row],[name]], Fixtures[APP], TRUE), "")</f>
        <v/>
      </c>
      <c r="I488" s="1" t="str">
        <f>IF(Teams[[#This Row],[relevant]], COUNTIFS(Fixtures[userTeam], Teams[[#This Row],[name]], Fixtures[result], "W", Fixtures[APP], TRUE), "")</f>
        <v/>
      </c>
      <c r="J488" s="1" t="str">
        <f>IF(Teams[[#This Row],[relevant]], COUNTIFS(Fixtures[userTeam], Teams[[#This Row],[name]], Fixtures[result], "D", Fixtures[APP], TRUE), "")</f>
        <v/>
      </c>
      <c r="K488" s="1" t="str">
        <f>IF(Teams[[#This Row],[relevant]], COUNTIFS(Fixtures[userTeam], Teams[[#This Row],[name]], Fixtures[result], "L", Fixtures[APP], TRUE), "")</f>
        <v/>
      </c>
      <c r="L488" s="1" t="str">
        <f>IF(Teams[[#This Row],[relevant]], SUMIFS(Fixtures[G], Fixtures[userTeam], Teams[[#This Row],[name]]), "")</f>
        <v/>
      </c>
      <c r="M488" s="1" t="str">
        <f>IF(Teams[[#This Row],[relevant]], SUMIFS(Fixtures[A], Fixtures[userTeam], Teams[[#This Row],[name]]), "")</f>
        <v/>
      </c>
      <c r="N488" s="1" t="str">
        <f>IF(Teams[[#This Row],[relevant]], SUMIFS(Fixtures[INV], Fixtures[userTeam], Teams[[#This Row],[name]]), "")</f>
        <v/>
      </c>
      <c r="O488" s="1" t="str">
        <f>IF(Teams[[#This Row],[relevant]], SUMIFS(Fixtures[YC], Fixtures[userTeam], Teams[[#This Row],[name]]), "")</f>
        <v/>
      </c>
      <c r="P488" s="1" t="str">
        <f>IF(Teams[[#This Row],[relevant]], SUMIFS(Fixtures[RC], Fixtures[userTeam], Teams[[#This Row],[name]]), "")</f>
        <v/>
      </c>
      <c r="Q488" s="13" t="str">
        <f>IF(Teams[[#This Row],[relevant]], IF(ISERROR(AVERAGEIFS(Fixtures[MR], Fixtures[userTeam], Teams[[#This Row],[name]])), 0, AVERAGEIFS(Fixtures[MR], Fixtures[userTeam], Teams[[#This Row],[name]])), "")</f>
        <v/>
      </c>
      <c r="R488" s="1" t="str">
        <f>IF(Teams[[#This Row],[relevant]], COUNTIFS(Fixtures[userTeam], Teams[[#This Row],[name]], Fixtures[MOTM], TRUE), "")</f>
        <v/>
      </c>
      <c r="S488" s="1" t="str" cm="1">
        <f t="array" ref="S488">IF(Teams[[#This Row],[relevant]], _xlfn.TEXTJOIN(", ", TRUE, _xlfn._xlws.FILTER(Stats[competition]&amp;" ("&amp;Stats[season]&amp;")",(Stats[team]=Teams[[#This Row],[name]])*(Stats[result]="Winner"),"")), "")</f>
        <v/>
      </c>
    </row>
    <row r="489" spans="1:19" ht="13" hidden="1">
      <c r="A489" s="1" t="s">
        <v>834</v>
      </c>
      <c r="B489" s="1" t="s">
        <v>152</v>
      </c>
      <c r="C489" s="1" t="s">
        <v>391</v>
      </c>
      <c r="D489" s="1" t="str">
        <f>UPPER(_xlfn.CONCAT(LEFT(Teams[[#This Row],[teamType]], 1), "-", LEFT(SUBSTITUTE(Teams[[#This Row],[nation]], "/", ""), 3), "-", SUBSTITUTE(SUBSTITUTE(SUBSTITUTE(Teams[[#This Row],[name]], ".", ""), " ", ""), "-", "")))</f>
        <v>C-ENG-PLYMOUTHARGYLE</v>
      </c>
      <c r="E489" s="16"/>
      <c r="F489" s="16"/>
      <c r="G489" s="1" t="b">
        <f>COUNTBLANK(Teams[[#This Row],[startDate]:[endDate]]) &lt; 2</f>
        <v>0</v>
      </c>
      <c r="H489" s="1" t="str">
        <f>IF(Teams[[#This Row],[relevant]], COUNTIFS(Fixtures[userTeam], Teams[[#This Row],[name]], Fixtures[APP], TRUE), "")</f>
        <v/>
      </c>
      <c r="I489" s="1" t="str">
        <f>IF(Teams[[#This Row],[relevant]], COUNTIFS(Fixtures[userTeam], Teams[[#This Row],[name]], Fixtures[result], "W", Fixtures[APP], TRUE), "")</f>
        <v/>
      </c>
      <c r="J489" s="1" t="str">
        <f>IF(Teams[[#This Row],[relevant]], COUNTIFS(Fixtures[userTeam], Teams[[#This Row],[name]], Fixtures[result], "D", Fixtures[APP], TRUE), "")</f>
        <v/>
      </c>
      <c r="K489" s="1" t="str">
        <f>IF(Teams[[#This Row],[relevant]], COUNTIFS(Fixtures[userTeam], Teams[[#This Row],[name]], Fixtures[result], "L", Fixtures[APP], TRUE), "")</f>
        <v/>
      </c>
      <c r="L489" s="1" t="str">
        <f>IF(Teams[[#This Row],[relevant]], SUMIFS(Fixtures[G], Fixtures[userTeam], Teams[[#This Row],[name]]), "")</f>
        <v/>
      </c>
      <c r="M489" s="1" t="str">
        <f>IF(Teams[[#This Row],[relevant]], SUMIFS(Fixtures[A], Fixtures[userTeam], Teams[[#This Row],[name]]), "")</f>
        <v/>
      </c>
      <c r="N489" s="1" t="str">
        <f>IF(Teams[[#This Row],[relevant]], SUMIFS(Fixtures[INV], Fixtures[userTeam], Teams[[#This Row],[name]]), "")</f>
        <v/>
      </c>
      <c r="O489" s="1" t="str">
        <f>IF(Teams[[#This Row],[relevant]], SUMIFS(Fixtures[YC], Fixtures[userTeam], Teams[[#This Row],[name]]), "")</f>
        <v/>
      </c>
      <c r="P489" s="1" t="str">
        <f>IF(Teams[[#This Row],[relevant]], SUMIFS(Fixtures[RC], Fixtures[userTeam], Teams[[#This Row],[name]]), "")</f>
        <v/>
      </c>
      <c r="Q489" s="13" t="str">
        <f>IF(Teams[[#This Row],[relevant]], IF(ISERROR(AVERAGEIFS(Fixtures[MR], Fixtures[userTeam], Teams[[#This Row],[name]])), 0, AVERAGEIFS(Fixtures[MR], Fixtures[userTeam], Teams[[#This Row],[name]])), "")</f>
        <v/>
      </c>
      <c r="R489" s="1" t="str">
        <f>IF(Teams[[#This Row],[relevant]], COUNTIFS(Fixtures[userTeam], Teams[[#This Row],[name]], Fixtures[MOTM], TRUE), "")</f>
        <v/>
      </c>
      <c r="S489" s="1" t="str" cm="1">
        <f t="array" ref="S489">IF(Teams[[#This Row],[relevant]], _xlfn.TEXTJOIN(", ", TRUE, _xlfn._xlws.FILTER(Stats[competition]&amp;" ("&amp;Stats[season]&amp;")",(Stats[team]=Teams[[#This Row],[name]])*(Stats[result]="Winner"),"")), "")</f>
        <v/>
      </c>
    </row>
    <row r="490" spans="1:19" ht="13" hidden="1">
      <c r="A490" s="1" t="s">
        <v>835</v>
      </c>
      <c r="B490" s="1" t="s">
        <v>213</v>
      </c>
      <c r="C490" s="1" t="s">
        <v>391</v>
      </c>
      <c r="D490" s="1" t="str">
        <f>UPPER(_xlfn.CONCAT(LEFT(Teams[[#This Row],[teamType]], 1), "-", LEFT(SUBSTITUTE(Teams[[#This Row],[nation]], "/", ""), 3), "-", SUBSTITUTE(SUBSTITUTE(SUBSTITUTE(Teams[[#This Row],[name]], ".", ""), " ", ""), "-", "")))</f>
        <v>C-POL-POGOŃSZCZECIN</v>
      </c>
      <c r="E490" s="16"/>
      <c r="F490" s="16"/>
      <c r="G490" s="1" t="b">
        <f>COUNTBLANK(Teams[[#This Row],[startDate]:[endDate]]) &lt; 2</f>
        <v>0</v>
      </c>
      <c r="H490" s="1" t="str">
        <f>IF(Teams[[#This Row],[relevant]], COUNTIFS(Fixtures[userTeam], Teams[[#This Row],[name]], Fixtures[APP], TRUE), "")</f>
        <v/>
      </c>
      <c r="I490" s="1" t="str">
        <f>IF(Teams[[#This Row],[relevant]], COUNTIFS(Fixtures[userTeam], Teams[[#This Row],[name]], Fixtures[result], "W", Fixtures[APP], TRUE), "")</f>
        <v/>
      </c>
      <c r="J490" s="1" t="str">
        <f>IF(Teams[[#This Row],[relevant]], COUNTIFS(Fixtures[userTeam], Teams[[#This Row],[name]], Fixtures[result], "D", Fixtures[APP], TRUE), "")</f>
        <v/>
      </c>
      <c r="K490" s="1" t="str">
        <f>IF(Teams[[#This Row],[relevant]], COUNTIFS(Fixtures[userTeam], Teams[[#This Row],[name]], Fixtures[result], "L", Fixtures[APP], TRUE), "")</f>
        <v/>
      </c>
      <c r="L490" s="1" t="str">
        <f>IF(Teams[[#This Row],[relevant]], SUMIFS(Fixtures[G], Fixtures[userTeam], Teams[[#This Row],[name]]), "")</f>
        <v/>
      </c>
      <c r="M490" s="1" t="str">
        <f>IF(Teams[[#This Row],[relevant]], SUMIFS(Fixtures[A], Fixtures[userTeam], Teams[[#This Row],[name]]), "")</f>
        <v/>
      </c>
      <c r="N490" s="1" t="str">
        <f>IF(Teams[[#This Row],[relevant]], SUMIFS(Fixtures[INV], Fixtures[userTeam], Teams[[#This Row],[name]]), "")</f>
        <v/>
      </c>
      <c r="O490" s="1" t="str">
        <f>IF(Teams[[#This Row],[relevant]], SUMIFS(Fixtures[YC], Fixtures[userTeam], Teams[[#This Row],[name]]), "")</f>
        <v/>
      </c>
      <c r="P490" s="1" t="str">
        <f>IF(Teams[[#This Row],[relevant]], SUMIFS(Fixtures[RC], Fixtures[userTeam], Teams[[#This Row],[name]]), "")</f>
        <v/>
      </c>
      <c r="Q490" s="13" t="str">
        <f>IF(Teams[[#This Row],[relevant]], IF(ISERROR(AVERAGEIFS(Fixtures[MR], Fixtures[userTeam], Teams[[#This Row],[name]])), 0, AVERAGEIFS(Fixtures[MR], Fixtures[userTeam], Teams[[#This Row],[name]])), "")</f>
        <v/>
      </c>
      <c r="R490" s="1" t="str">
        <f>IF(Teams[[#This Row],[relevant]], COUNTIFS(Fixtures[userTeam], Teams[[#This Row],[name]], Fixtures[MOTM], TRUE), "")</f>
        <v/>
      </c>
      <c r="S490" s="1" t="str" cm="1">
        <f t="array" ref="S490">IF(Teams[[#This Row],[relevant]], _xlfn.TEXTJOIN(", ", TRUE, _xlfn._xlws.FILTER(Stats[competition]&amp;" ("&amp;Stats[season]&amp;")",(Stats[team]=Teams[[#This Row],[name]])*(Stats[result]="Winner"),"")), "")</f>
        <v/>
      </c>
    </row>
    <row r="491" spans="1:19" ht="13" hidden="1">
      <c r="A491" s="1" t="s">
        <v>836</v>
      </c>
      <c r="B491" s="1" t="s">
        <v>568</v>
      </c>
      <c r="C491" s="1" t="s">
        <v>391</v>
      </c>
      <c r="D491" s="1" t="str">
        <f>UPPER(_xlfn.CONCAT(LEFT(Teams[[#This Row],[teamType]], 1), "-", LEFT(SUBSTITUTE(Teams[[#This Row],[nation]], "/", ""), 3), "-", SUBSTITUTE(SUBSTITUTE(SUBSTITUTE(Teams[[#This Row],[name]], ".", ""), " ", ""), "-", "")))</f>
        <v>C-KOR-POHANGSTEELERS</v>
      </c>
      <c r="E491" s="16"/>
      <c r="F491" s="16"/>
      <c r="G491" s="1" t="b">
        <f>COUNTBLANK(Teams[[#This Row],[startDate]:[endDate]]) &lt; 2</f>
        <v>0</v>
      </c>
      <c r="H491" s="1" t="str">
        <f>IF(Teams[[#This Row],[relevant]], COUNTIFS(Fixtures[userTeam], Teams[[#This Row],[name]], Fixtures[APP], TRUE), "")</f>
        <v/>
      </c>
      <c r="I491" s="1" t="str">
        <f>IF(Teams[[#This Row],[relevant]], COUNTIFS(Fixtures[userTeam], Teams[[#This Row],[name]], Fixtures[result], "W", Fixtures[APP], TRUE), "")</f>
        <v/>
      </c>
      <c r="J491" s="1" t="str">
        <f>IF(Teams[[#This Row],[relevant]], COUNTIFS(Fixtures[userTeam], Teams[[#This Row],[name]], Fixtures[result], "D", Fixtures[APP], TRUE), "")</f>
        <v/>
      </c>
      <c r="K491" s="1" t="str">
        <f>IF(Teams[[#This Row],[relevant]], COUNTIFS(Fixtures[userTeam], Teams[[#This Row],[name]], Fixtures[result], "L", Fixtures[APP], TRUE), "")</f>
        <v/>
      </c>
      <c r="L491" s="1" t="str">
        <f>IF(Teams[[#This Row],[relevant]], SUMIFS(Fixtures[G], Fixtures[userTeam], Teams[[#This Row],[name]]), "")</f>
        <v/>
      </c>
      <c r="M491" s="1" t="str">
        <f>IF(Teams[[#This Row],[relevant]], SUMIFS(Fixtures[A], Fixtures[userTeam], Teams[[#This Row],[name]]), "")</f>
        <v/>
      </c>
      <c r="N491" s="1" t="str">
        <f>IF(Teams[[#This Row],[relevant]], SUMIFS(Fixtures[INV], Fixtures[userTeam], Teams[[#This Row],[name]]), "")</f>
        <v/>
      </c>
      <c r="O491" s="1" t="str">
        <f>IF(Teams[[#This Row],[relevant]], SUMIFS(Fixtures[YC], Fixtures[userTeam], Teams[[#This Row],[name]]), "")</f>
        <v/>
      </c>
      <c r="P491" s="1" t="str">
        <f>IF(Teams[[#This Row],[relevant]], SUMIFS(Fixtures[RC], Fixtures[userTeam], Teams[[#This Row],[name]]), "")</f>
        <v/>
      </c>
      <c r="Q491" s="13" t="str">
        <f>IF(Teams[[#This Row],[relevant]], IF(ISERROR(AVERAGEIFS(Fixtures[MR], Fixtures[userTeam], Teams[[#This Row],[name]])), 0, AVERAGEIFS(Fixtures[MR], Fixtures[userTeam], Teams[[#This Row],[name]])), "")</f>
        <v/>
      </c>
      <c r="R491" s="1" t="str">
        <f>IF(Teams[[#This Row],[relevant]], COUNTIFS(Fixtures[userTeam], Teams[[#This Row],[name]], Fixtures[MOTM], TRUE), "")</f>
        <v/>
      </c>
      <c r="S491" s="1" t="str" cm="1">
        <f t="array" ref="S491">IF(Teams[[#This Row],[relevant]], _xlfn.TEXTJOIN(", ", TRUE, _xlfn._xlws.FILTER(Stats[competition]&amp;" ("&amp;Stats[season]&amp;")",(Stats[team]=Teams[[#This Row],[name]])*(Stats[result]="Winner"),"")), "")</f>
        <v/>
      </c>
    </row>
    <row r="492" spans="1:19" ht="13" hidden="1">
      <c r="A492" s="1" t="s">
        <v>213</v>
      </c>
      <c r="B492" s="1" t="s">
        <v>213</v>
      </c>
      <c r="C492" s="1" t="s">
        <v>459</v>
      </c>
      <c r="D492" s="1" t="str">
        <f>UPPER(_xlfn.CONCAT(LEFT(Teams[[#This Row],[teamType]], 1), "-", LEFT(SUBSTITUTE(Teams[[#This Row],[nation]], "/", ""), 3), "-", SUBSTITUTE(SUBSTITUTE(SUBSTITUTE(Teams[[#This Row],[name]], ".", ""), " ", ""), "-", "")))</f>
        <v>N-POL-POLAND</v>
      </c>
      <c r="E492" s="16"/>
      <c r="F492" s="16"/>
      <c r="G492" s="1" t="b">
        <f>COUNTBLANK(Teams[[#This Row],[startDate]:[endDate]]) &lt; 2</f>
        <v>0</v>
      </c>
      <c r="H492" s="1" t="str">
        <f>IF(Teams[[#This Row],[relevant]], COUNTIFS(Fixtures[userTeam], Teams[[#This Row],[name]], Fixtures[APP], TRUE), "")</f>
        <v/>
      </c>
      <c r="I492" s="1" t="str">
        <f>IF(Teams[[#This Row],[relevant]], COUNTIFS(Fixtures[userTeam], Teams[[#This Row],[name]], Fixtures[result], "W", Fixtures[APP], TRUE), "")</f>
        <v/>
      </c>
      <c r="J492" s="1" t="str">
        <f>IF(Teams[[#This Row],[relevant]], COUNTIFS(Fixtures[userTeam], Teams[[#This Row],[name]], Fixtures[result], "D", Fixtures[APP], TRUE), "")</f>
        <v/>
      </c>
      <c r="K492" s="1" t="str">
        <f>IF(Teams[[#This Row],[relevant]], COUNTIFS(Fixtures[userTeam], Teams[[#This Row],[name]], Fixtures[result], "L", Fixtures[APP], TRUE), "")</f>
        <v/>
      </c>
      <c r="L492" s="1" t="str">
        <f>IF(Teams[[#This Row],[relevant]], SUMIFS(Fixtures[G], Fixtures[userTeam], Teams[[#This Row],[name]]), "")</f>
        <v/>
      </c>
      <c r="M492" s="1" t="str">
        <f>IF(Teams[[#This Row],[relevant]], SUMIFS(Fixtures[A], Fixtures[userTeam], Teams[[#This Row],[name]]), "")</f>
        <v/>
      </c>
      <c r="N492" s="1" t="str">
        <f>IF(Teams[[#This Row],[relevant]], SUMIFS(Fixtures[INV], Fixtures[userTeam], Teams[[#This Row],[name]]), "")</f>
        <v/>
      </c>
      <c r="O492" s="1" t="str">
        <f>IF(Teams[[#This Row],[relevant]], SUMIFS(Fixtures[YC], Fixtures[userTeam], Teams[[#This Row],[name]]), "")</f>
        <v/>
      </c>
      <c r="P492" s="1" t="str">
        <f>IF(Teams[[#This Row],[relevant]], SUMIFS(Fixtures[RC], Fixtures[userTeam], Teams[[#This Row],[name]]), "")</f>
        <v/>
      </c>
      <c r="Q492" s="13" t="str">
        <f>IF(Teams[[#This Row],[relevant]], IF(ISERROR(AVERAGEIFS(Fixtures[MR], Fixtures[userTeam], Teams[[#This Row],[name]])), 0, AVERAGEIFS(Fixtures[MR], Fixtures[userTeam], Teams[[#This Row],[name]])), "")</f>
        <v/>
      </c>
      <c r="R492" s="1" t="str">
        <f>IF(Teams[[#This Row],[relevant]], COUNTIFS(Fixtures[userTeam], Teams[[#This Row],[name]], Fixtures[MOTM], TRUE), "")</f>
        <v/>
      </c>
      <c r="S492" s="1" t="str" cm="1">
        <f t="array" ref="S492">IF(Teams[[#This Row],[relevant]], _xlfn.TEXTJOIN(", ", TRUE, _xlfn._xlws.FILTER(Stats[competition]&amp;" ("&amp;Stats[season]&amp;")",(Stats[team]=Teams[[#This Row],[name]])*(Stats[result]="Winner"),"")), "")</f>
        <v/>
      </c>
    </row>
    <row r="493" spans="1:19" ht="13" hidden="1">
      <c r="A493" s="1" t="s">
        <v>837</v>
      </c>
      <c r="B493" s="1" t="s">
        <v>152</v>
      </c>
      <c r="C493" s="1" t="s">
        <v>391</v>
      </c>
      <c r="D493" s="1" t="str">
        <f>UPPER(_xlfn.CONCAT(LEFT(Teams[[#This Row],[teamType]], 1), "-", LEFT(SUBSTITUTE(Teams[[#This Row],[nation]], "/", ""), 3), "-", SUBSTITUTE(SUBSTITUTE(SUBSTITUTE(Teams[[#This Row],[name]], ".", ""), " ", ""), "-", "")))</f>
        <v>C-ENG-PORTVALE</v>
      </c>
      <c r="E493" s="16"/>
      <c r="F493" s="16"/>
      <c r="G493" s="1" t="b">
        <f>COUNTBLANK(Teams[[#This Row],[startDate]:[endDate]]) &lt; 2</f>
        <v>0</v>
      </c>
      <c r="H493" s="1" t="str">
        <f>IF(Teams[[#This Row],[relevant]], COUNTIFS(Fixtures[userTeam], Teams[[#This Row],[name]], Fixtures[APP], TRUE), "")</f>
        <v/>
      </c>
      <c r="I493" s="1" t="str">
        <f>IF(Teams[[#This Row],[relevant]], COUNTIFS(Fixtures[userTeam], Teams[[#This Row],[name]], Fixtures[result], "W", Fixtures[APP], TRUE), "")</f>
        <v/>
      </c>
      <c r="J493" s="1" t="str">
        <f>IF(Teams[[#This Row],[relevant]], COUNTIFS(Fixtures[userTeam], Teams[[#This Row],[name]], Fixtures[result], "D", Fixtures[APP], TRUE), "")</f>
        <v/>
      </c>
      <c r="K493" s="1" t="str">
        <f>IF(Teams[[#This Row],[relevant]], COUNTIFS(Fixtures[userTeam], Teams[[#This Row],[name]], Fixtures[result], "L", Fixtures[APP], TRUE), "")</f>
        <v/>
      </c>
      <c r="L493" s="1" t="str">
        <f>IF(Teams[[#This Row],[relevant]], SUMIFS(Fixtures[G], Fixtures[userTeam], Teams[[#This Row],[name]]), "")</f>
        <v/>
      </c>
      <c r="M493" s="1" t="str">
        <f>IF(Teams[[#This Row],[relevant]], SUMIFS(Fixtures[A], Fixtures[userTeam], Teams[[#This Row],[name]]), "")</f>
        <v/>
      </c>
      <c r="N493" s="1" t="str">
        <f>IF(Teams[[#This Row],[relevant]], SUMIFS(Fixtures[INV], Fixtures[userTeam], Teams[[#This Row],[name]]), "")</f>
        <v/>
      </c>
      <c r="O493" s="1" t="str">
        <f>IF(Teams[[#This Row],[relevant]], SUMIFS(Fixtures[YC], Fixtures[userTeam], Teams[[#This Row],[name]]), "")</f>
        <v/>
      </c>
      <c r="P493" s="1" t="str">
        <f>IF(Teams[[#This Row],[relevant]], SUMIFS(Fixtures[RC], Fixtures[userTeam], Teams[[#This Row],[name]]), "")</f>
        <v/>
      </c>
      <c r="Q493" s="13" t="str">
        <f>IF(Teams[[#This Row],[relevant]], IF(ISERROR(AVERAGEIFS(Fixtures[MR], Fixtures[userTeam], Teams[[#This Row],[name]])), 0, AVERAGEIFS(Fixtures[MR], Fixtures[userTeam], Teams[[#This Row],[name]])), "")</f>
        <v/>
      </c>
      <c r="R493" s="1" t="str">
        <f>IF(Teams[[#This Row],[relevant]], COUNTIFS(Fixtures[userTeam], Teams[[#This Row],[name]], Fixtures[MOTM], TRUE), "")</f>
        <v/>
      </c>
      <c r="S493" s="1" t="str" cm="1">
        <f t="array" ref="S493">IF(Teams[[#This Row],[relevant]], _xlfn.TEXTJOIN(", ", TRUE, _xlfn._xlws.FILTER(Stats[competition]&amp;" ("&amp;Stats[season]&amp;")",(Stats[team]=Teams[[#This Row],[name]])*(Stats[result]="Winner"),"")), "")</f>
        <v/>
      </c>
    </row>
    <row r="494" spans="1:19" ht="13" hidden="1">
      <c r="A494" s="1" t="s">
        <v>838</v>
      </c>
      <c r="B494" s="1" t="s">
        <v>463</v>
      </c>
      <c r="C494" s="1" t="s">
        <v>391</v>
      </c>
      <c r="D494" s="1" t="str">
        <f>UPPER(_xlfn.CONCAT(LEFT(Teams[[#This Row],[teamType]], 1), "-", LEFT(SUBSTITUTE(Teams[[#This Row],[nation]], "/", ""), 3), "-", SUBSTITUTE(SUBSTITUTE(SUBSTITUTE(Teams[[#This Row],[name]], ".", ""), " ", ""), "-", "")))</f>
        <v>C-POR-PORTIMONENSESC</v>
      </c>
      <c r="E494" s="16"/>
      <c r="F494" s="16"/>
      <c r="G494" s="1" t="b">
        <f>COUNTBLANK(Teams[[#This Row],[startDate]:[endDate]]) &lt; 2</f>
        <v>0</v>
      </c>
      <c r="H494" s="1" t="str">
        <f>IF(Teams[[#This Row],[relevant]], COUNTIFS(Fixtures[userTeam], Teams[[#This Row],[name]], Fixtures[APP], TRUE), "")</f>
        <v/>
      </c>
      <c r="I494" s="1" t="str">
        <f>IF(Teams[[#This Row],[relevant]], COUNTIFS(Fixtures[userTeam], Teams[[#This Row],[name]], Fixtures[result], "W", Fixtures[APP], TRUE), "")</f>
        <v/>
      </c>
      <c r="J494" s="1" t="str">
        <f>IF(Teams[[#This Row],[relevant]], COUNTIFS(Fixtures[userTeam], Teams[[#This Row],[name]], Fixtures[result], "D", Fixtures[APP], TRUE), "")</f>
        <v/>
      </c>
      <c r="K494" s="1" t="str">
        <f>IF(Teams[[#This Row],[relevant]], COUNTIFS(Fixtures[userTeam], Teams[[#This Row],[name]], Fixtures[result], "L", Fixtures[APP], TRUE), "")</f>
        <v/>
      </c>
      <c r="L494" s="1" t="str">
        <f>IF(Teams[[#This Row],[relevant]], SUMIFS(Fixtures[G], Fixtures[userTeam], Teams[[#This Row],[name]]), "")</f>
        <v/>
      </c>
      <c r="M494" s="1" t="str">
        <f>IF(Teams[[#This Row],[relevant]], SUMIFS(Fixtures[A], Fixtures[userTeam], Teams[[#This Row],[name]]), "")</f>
        <v/>
      </c>
      <c r="N494" s="1" t="str">
        <f>IF(Teams[[#This Row],[relevant]], SUMIFS(Fixtures[INV], Fixtures[userTeam], Teams[[#This Row],[name]]), "")</f>
        <v/>
      </c>
      <c r="O494" s="1" t="str">
        <f>IF(Teams[[#This Row],[relevant]], SUMIFS(Fixtures[YC], Fixtures[userTeam], Teams[[#This Row],[name]]), "")</f>
        <v/>
      </c>
      <c r="P494" s="1" t="str">
        <f>IF(Teams[[#This Row],[relevant]], SUMIFS(Fixtures[RC], Fixtures[userTeam], Teams[[#This Row],[name]]), "")</f>
        <v/>
      </c>
      <c r="Q494" s="13" t="str">
        <f>IF(Teams[[#This Row],[relevant]], IF(ISERROR(AVERAGEIFS(Fixtures[MR], Fixtures[userTeam], Teams[[#This Row],[name]])), 0, AVERAGEIFS(Fixtures[MR], Fixtures[userTeam], Teams[[#This Row],[name]])), "")</f>
        <v/>
      </c>
      <c r="R494" s="1" t="str">
        <f>IF(Teams[[#This Row],[relevant]], COUNTIFS(Fixtures[userTeam], Teams[[#This Row],[name]], Fixtures[MOTM], TRUE), "")</f>
        <v/>
      </c>
      <c r="S494" s="1" t="str" cm="1">
        <f t="array" ref="S494">IF(Teams[[#This Row],[relevant]], _xlfn.TEXTJOIN(", ", TRUE, _xlfn._xlws.FILTER(Stats[competition]&amp;" ("&amp;Stats[season]&amp;")",(Stats[team]=Teams[[#This Row],[name]])*(Stats[result]="Winner"),"")), "")</f>
        <v/>
      </c>
    </row>
    <row r="495" spans="1:19" ht="13" hidden="1">
      <c r="A495" s="1" t="s">
        <v>839</v>
      </c>
      <c r="B495" s="1" t="s">
        <v>16</v>
      </c>
      <c r="C495" s="1" t="s">
        <v>391</v>
      </c>
      <c r="D495" s="1" t="str">
        <f>UPPER(_xlfn.CONCAT(LEFT(Teams[[#This Row],[teamType]], 1), "-", LEFT(SUBSTITUTE(Teams[[#This Row],[nation]], "/", ""), 3), "-", SUBSTITUTE(SUBSTITUTE(SUBSTITUTE(Teams[[#This Row],[name]], ".", ""), " ", ""), "-", "")))</f>
        <v>C-UNI-PORTLANDTIMBERS</v>
      </c>
      <c r="E495" s="16"/>
      <c r="F495" s="16"/>
      <c r="G495" s="1" t="b">
        <f>COUNTBLANK(Teams[[#This Row],[startDate]:[endDate]]) &lt; 2</f>
        <v>0</v>
      </c>
      <c r="H495" s="1" t="str">
        <f>IF(Teams[[#This Row],[relevant]], COUNTIFS(Fixtures[userTeam], Teams[[#This Row],[name]], Fixtures[APP], TRUE), "")</f>
        <v/>
      </c>
      <c r="I495" s="1" t="str">
        <f>IF(Teams[[#This Row],[relevant]], COUNTIFS(Fixtures[userTeam], Teams[[#This Row],[name]], Fixtures[result], "W", Fixtures[APP], TRUE), "")</f>
        <v/>
      </c>
      <c r="J495" s="1" t="str">
        <f>IF(Teams[[#This Row],[relevant]], COUNTIFS(Fixtures[userTeam], Teams[[#This Row],[name]], Fixtures[result], "D", Fixtures[APP], TRUE), "")</f>
        <v/>
      </c>
      <c r="K495" s="1" t="str">
        <f>IF(Teams[[#This Row],[relevant]], COUNTIFS(Fixtures[userTeam], Teams[[#This Row],[name]], Fixtures[result], "L", Fixtures[APP], TRUE), "")</f>
        <v/>
      </c>
      <c r="L495" s="1" t="str">
        <f>IF(Teams[[#This Row],[relevant]], SUMIFS(Fixtures[G], Fixtures[userTeam], Teams[[#This Row],[name]]), "")</f>
        <v/>
      </c>
      <c r="M495" s="1" t="str">
        <f>IF(Teams[[#This Row],[relevant]], SUMIFS(Fixtures[A], Fixtures[userTeam], Teams[[#This Row],[name]]), "")</f>
        <v/>
      </c>
      <c r="N495" s="1" t="str">
        <f>IF(Teams[[#This Row],[relevant]], SUMIFS(Fixtures[INV], Fixtures[userTeam], Teams[[#This Row],[name]]), "")</f>
        <v/>
      </c>
      <c r="O495" s="1" t="str">
        <f>IF(Teams[[#This Row],[relevant]], SUMIFS(Fixtures[YC], Fixtures[userTeam], Teams[[#This Row],[name]]), "")</f>
        <v/>
      </c>
      <c r="P495" s="1" t="str">
        <f>IF(Teams[[#This Row],[relevant]], SUMIFS(Fixtures[RC], Fixtures[userTeam], Teams[[#This Row],[name]]), "")</f>
        <v/>
      </c>
      <c r="Q495" s="13" t="str">
        <f>IF(Teams[[#This Row],[relevant]], IF(ISERROR(AVERAGEIFS(Fixtures[MR], Fixtures[userTeam], Teams[[#This Row],[name]])), 0, AVERAGEIFS(Fixtures[MR], Fixtures[userTeam], Teams[[#This Row],[name]])), "")</f>
        <v/>
      </c>
      <c r="R495" s="1" t="str">
        <f>IF(Teams[[#This Row],[relevant]], COUNTIFS(Fixtures[userTeam], Teams[[#This Row],[name]], Fixtures[MOTM], TRUE), "")</f>
        <v/>
      </c>
      <c r="S495" s="1" t="str" cm="1">
        <f t="array" ref="S495">IF(Teams[[#This Row],[relevant]], _xlfn.TEXTJOIN(", ", TRUE, _xlfn._xlws.FILTER(Stats[competition]&amp;" ("&amp;Stats[season]&amp;")",(Stats[team]=Teams[[#This Row],[name]])*(Stats[result]="Winner"),"")), "")</f>
        <v/>
      </c>
    </row>
    <row r="496" spans="1:19" ht="13" hidden="1">
      <c r="A496" s="1" t="s">
        <v>840</v>
      </c>
      <c r="B496" s="1" t="s">
        <v>152</v>
      </c>
      <c r="C496" s="1" t="s">
        <v>391</v>
      </c>
      <c r="D496" s="1" t="str">
        <f>UPPER(_xlfn.CONCAT(LEFT(Teams[[#This Row],[teamType]], 1), "-", LEFT(SUBSTITUTE(Teams[[#This Row],[nation]], "/", ""), 3), "-", SUBSTITUTE(SUBSTITUTE(SUBSTITUTE(Teams[[#This Row],[name]], ".", ""), " ", ""), "-", "")))</f>
        <v>C-ENG-PORTSMOUTH</v>
      </c>
      <c r="E496" s="16"/>
      <c r="F496" s="16"/>
      <c r="G496" s="1" t="b">
        <f>COUNTBLANK(Teams[[#This Row],[startDate]:[endDate]]) &lt; 2</f>
        <v>0</v>
      </c>
      <c r="H496" s="1" t="str">
        <f>IF(Teams[[#This Row],[relevant]], COUNTIFS(Fixtures[userTeam], Teams[[#This Row],[name]], Fixtures[APP], TRUE), "")</f>
        <v/>
      </c>
      <c r="I496" s="1" t="str">
        <f>IF(Teams[[#This Row],[relevant]], COUNTIFS(Fixtures[userTeam], Teams[[#This Row],[name]], Fixtures[result], "W", Fixtures[APP], TRUE), "")</f>
        <v/>
      </c>
      <c r="J496" s="1" t="str">
        <f>IF(Teams[[#This Row],[relevant]], COUNTIFS(Fixtures[userTeam], Teams[[#This Row],[name]], Fixtures[result], "D", Fixtures[APP], TRUE), "")</f>
        <v/>
      </c>
      <c r="K496" s="1" t="str">
        <f>IF(Teams[[#This Row],[relevant]], COUNTIFS(Fixtures[userTeam], Teams[[#This Row],[name]], Fixtures[result], "L", Fixtures[APP], TRUE), "")</f>
        <v/>
      </c>
      <c r="L496" s="1" t="str">
        <f>IF(Teams[[#This Row],[relevant]], SUMIFS(Fixtures[G], Fixtures[userTeam], Teams[[#This Row],[name]]), "")</f>
        <v/>
      </c>
      <c r="M496" s="1" t="str">
        <f>IF(Teams[[#This Row],[relevant]], SUMIFS(Fixtures[A], Fixtures[userTeam], Teams[[#This Row],[name]]), "")</f>
        <v/>
      </c>
      <c r="N496" s="1" t="str">
        <f>IF(Teams[[#This Row],[relevant]], SUMIFS(Fixtures[INV], Fixtures[userTeam], Teams[[#This Row],[name]]), "")</f>
        <v/>
      </c>
      <c r="O496" s="1" t="str">
        <f>IF(Teams[[#This Row],[relevant]], SUMIFS(Fixtures[YC], Fixtures[userTeam], Teams[[#This Row],[name]]), "")</f>
        <v/>
      </c>
      <c r="P496" s="1" t="str">
        <f>IF(Teams[[#This Row],[relevant]], SUMIFS(Fixtures[RC], Fixtures[userTeam], Teams[[#This Row],[name]]), "")</f>
        <v/>
      </c>
      <c r="Q496" s="13" t="str">
        <f>IF(Teams[[#This Row],[relevant]], IF(ISERROR(AVERAGEIFS(Fixtures[MR], Fixtures[userTeam], Teams[[#This Row],[name]])), 0, AVERAGEIFS(Fixtures[MR], Fixtures[userTeam], Teams[[#This Row],[name]])), "")</f>
        <v/>
      </c>
      <c r="R496" s="1" t="str">
        <f>IF(Teams[[#This Row],[relevant]], COUNTIFS(Fixtures[userTeam], Teams[[#This Row],[name]], Fixtures[MOTM], TRUE), "")</f>
        <v/>
      </c>
      <c r="S496" s="1" t="str" cm="1">
        <f t="array" ref="S496">IF(Teams[[#This Row],[relevant]], _xlfn.TEXTJOIN(", ", TRUE, _xlfn._xlws.FILTER(Stats[competition]&amp;" ("&amp;Stats[season]&amp;")",(Stats[team]=Teams[[#This Row],[name]])*(Stats[result]="Winner"),"")), "")</f>
        <v/>
      </c>
    </row>
    <row r="497" spans="1:19" ht="13" hidden="1">
      <c r="A497" s="1" t="s">
        <v>463</v>
      </c>
      <c r="B497" s="1" t="s">
        <v>463</v>
      </c>
      <c r="C497" s="1" t="s">
        <v>459</v>
      </c>
      <c r="D497" s="1" t="str">
        <f>UPPER(_xlfn.CONCAT(LEFT(Teams[[#This Row],[teamType]], 1), "-", LEFT(SUBSTITUTE(Teams[[#This Row],[nation]], "/", ""), 3), "-", SUBSTITUTE(SUBSTITUTE(SUBSTITUTE(Teams[[#This Row],[name]], ".", ""), " ", ""), "-", "")))</f>
        <v>N-POR-PORTUGAL</v>
      </c>
      <c r="E497" s="16"/>
      <c r="F497" s="16"/>
      <c r="G497" s="1" t="b">
        <f>COUNTBLANK(Teams[[#This Row],[startDate]:[endDate]]) &lt; 2</f>
        <v>0</v>
      </c>
      <c r="H497" s="1" t="str">
        <f>IF(Teams[[#This Row],[relevant]], COUNTIFS(Fixtures[userTeam], Teams[[#This Row],[name]], Fixtures[APP], TRUE), "")</f>
        <v/>
      </c>
      <c r="I497" s="1" t="str">
        <f>IF(Teams[[#This Row],[relevant]], COUNTIFS(Fixtures[userTeam], Teams[[#This Row],[name]], Fixtures[result], "W", Fixtures[APP], TRUE), "")</f>
        <v/>
      </c>
      <c r="J497" s="1" t="str">
        <f>IF(Teams[[#This Row],[relevant]], COUNTIFS(Fixtures[userTeam], Teams[[#This Row],[name]], Fixtures[result], "D", Fixtures[APP], TRUE), "")</f>
        <v/>
      </c>
      <c r="K497" s="1" t="str">
        <f>IF(Teams[[#This Row],[relevant]], COUNTIFS(Fixtures[userTeam], Teams[[#This Row],[name]], Fixtures[result], "L", Fixtures[APP], TRUE), "")</f>
        <v/>
      </c>
      <c r="L497" s="1" t="str">
        <f>IF(Teams[[#This Row],[relevant]], SUMIFS(Fixtures[G], Fixtures[userTeam], Teams[[#This Row],[name]]), "")</f>
        <v/>
      </c>
      <c r="M497" s="1" t="str">
        <f>IF(Teams[[#This Row],[relevant]], SUMIFS(Fixtures[A], Fixtures[userTeam], Teams[[#This Row],[name]]), "")</f>
        <v/>
      </c>
      <c r="N497" s="1" t="str">
        <f>IF(Teams[[#This Row],[relevant]], SUMIFS(Fixtures[INV], Fixtures[userTeam], Teams[[#This Row],[name]]), "")</f>
        <v/>
      </c>
      <c r="O497" s="1" t="str">
        <f>IF(Teams[[#This Row],[relevant]], SUMIFS(Fixtures[YC], Fixtures[userTeam], Teams[[#This Row],[name]]), "")</f>
        <v/>
      </c>
      <c r="P497" s="1" t="str">
        <f>IF(Teams[[#This Row],[relevant]], SUMIFS(Fixtures[RC], Fixtures[userTeam], Teams[[#This Row],[name]]), "")</f>
        <v/>
      </c>
      <c r="Q497" s="13" t="str">
        <f>IF(Teams[[#This Row],[relevant]], IF(ISERROR(AVERAGEIFS(Fixtures[MR], Fixtures[userTeam], Teams[[#This Row],[name]])), 0, AVERAGEIFS(Fixtures[MR], Fixtures[userTeam], Teams[[#This Row],[name]])), "")</f>
        <v/>
      </c>
      <c r="R497" s="1" t="str">
        <f>IF(Teams[[#This Row],[relevant]], COUNTIFS(Fixtures[userTeam], Teams[[#This Row],[name]], Fixtures[MOTM], TRUE), "")</f>
        <v/>
      </c>
      <c r="S497" s="1" t="str" cm="1">
        <f t="array" ref="S497">IF(Teams[[#This Row],[relevant]], _xlfn.TEXTJOIN(", ", TRUE, _xlfn._xlws.FILTER(Stats[competition]&amp;" ("&amp;Stats[season]&amp;")",(Stats[team]=Teams[[#This Row],[name]])*(Stats[result]="Winner"),"")), "")</f>
        <v/>
      </c>
    </row>
    <row r="498" spans="1:19" ht="13" hidden="1">
      <c r="A498" s="1" t="s">
        <v>225</v>
      </c>
      <c r="B498" s="1" t="s">
        <v>152</v>
      </c>
      <c r="C498" s="1" t="s">
        <v>391</v>
      </c>
      <c r="D498" s="1" t="str">
        <f>UPPER(_xlfn.CONCAT(LEFT(Teams[[#This Row],[teamType]], 1), "-", LEFT(SUBSTITUTE(Teams[[#This Row],[nation]], "/", ""), 3), "-", SUBSTITUTE(SUBSTITUTE(SUBSTITUTE(Teams[[#This Row],[name]], ".", ""), " ", ""), "-", "")))</f>
        <v>C-ENG-PRESTON</v>
      </c>
      <c r="E498" s="16"/>
      <c r="F498" s="16"/>
      <c r="G498" s="1" t="b">
        <f>COUNTBLANK(Teams[[#This Row],[startDate]:[endDate]]) &lt; 2</f>
        <v>0</v>
      </c>
      <c r="H498" s="1" t="str">
        <f>IF(Teams[[#This Row],[relevant]], COUNTIFS(Fixtures[userTeam], Teams[[#This Row],[name]], Fixtures[APP], TRUE), "")</f>
        <v/>
      </c>
      <c r="I498" s="1" t="str">
        <f>IF(Teams[[#This Row],[relevant]], COUNTIFS(Fixtures[userTeam], Teams[[#This Row],[name]], Fixtures[result], "W", Fixtures[APP], TRUE), "")</f>
        <v/>
      </c>
      <c r="J498" s="1" t="str">
        <f>IF(Teams[[#This Row],[relevant]], COUNTIFS(Fixtures[userTeam], Teams[[#This Row],[name]], Fixtures[result], "D", Fixtures[APP], TRUE), "")</f>
        <v/>
      </c>
      <c r="K498" s="1" t="str">
        <f>IF(Teams[[#This Row],[relevant]], COUNTIFS(Fixtures[userTeam], Teams[[#This Row],[name]], Fixtures[result], "L", Fixtures[APP], TRUE), "")</f>
        <v/>
      </c>
      <c r="L498" s="1" t="str">
        <f>IF(Teams[[#This Row],[relevant]], SUMIFS(Fixtures[G], Fixtures[userTeam], Teams[[#This Row],[name]]), "")</f>
        <v/>
      </c>
      <c r="M498" s="1" t="str">
        <f>IF(Teams[[#This Row],[relevant]], SUMIFS(Fixtures[A], Fixtures[userTeam], Teams[[#This Row],[name]]), "")</f>
        <v/>
      </c>
      <c r="N498" s="1" t="str">
        <f>IF(Teams[[#This Row],[relevant]], SUMIFS(Fixtures[INV], Fixtures[userTeam], Teams[[#This Row],[name]]), "")</f>
        <v/>
      </c>
      <c r="O498" s="1" t="str">
        <f>IF(Teams[[#This Row],[relevant]], SUMIFS(Fixtures[YC], Fixtures[userTeam], Teams[[#This Row],[name]]), "")</f>
        <v/>
      </c>
      <c r="P498" s="1" t="str">
        <f>IF(Teams[[#This Row],[relevant]], SUMIFS(Fixtures[RC], Fixtures[userTeam], Teams[[#This Row],[name]]), "")</f>
        <v/>
      </c>
      <c r="Q498" s="13" t="str">
        <f>IF(Teams[[#This Row],[relevant]], IF(ISERROR(AVERAGEIFS(Fixtures[MR], Fixtures[userTeam], Teams[[#This Row],[name]])), 0, AVERAGEIFS(Fixtures[MR], Fixtures[userTeam], Teams[[#This Row],[name]])), "")</f>
        <v/>
      </c>
      <c r="R498" s="1" t="str">
        <f>IF(Teams[[#This Row],[relevant]], COUNTIFS(Fixtures[userTeam], Teams[[#This Row],[name]], Fixtures[MOTM], TRUE), "")</f>
        <v/>
      </c>
      <c r="S498" s="1" t="str" cm="1">
        <f t="array" ref="S498">IF(Teams[[#This Row],[relevant]], _xlfn.TEXTJOIN(", ", TRUE, _xlfn._xlws.FILTER(Stats[competition]&amp;" ("&amp;Stats[season]&amp;")",(Stats[team]=Teams[[#This Row],[name]])*(Stats[result]="Winner"),"")), "")</f>
        <v/>
      </c>
    </row>
    <row r="499" spans="1:19" ht="13" hidden="1">
      <c r="A499" s="1" t="s">
        <v>841</v>
      </c>
      <c r="B499" s="1" t="s">
        <v>425</v>
      </c>
      <c r="C499" s="1" t="s">
        <v>391</v>
      </c>
      <c r="D499" s="1" t="str">
        <f>UPPER(_xlfn.CONCAT(LEFT(Teams[[#This Row],[teamType]], 1), "-", LEFT(SUBSTITUTE(Teams[[#This Row],[nation]], "/", ""), 3), "-", SUBSTITUTE(SUBSTITUTE(SUBSTITUTE(Teams[[#This Row],[name]], ".", ""), " ", ""), "-", "")))</f>
        <v>C-NET-PSV</v>
      </c>
      <c r="E499" s="16"/>
      <c r="F499" s="16"/>
      <c r="G499" s="1" t="b">
        <f>COUNTBLANK(Teams[[#This Row],[startDate]:[endDate]]) &lt; 2</f>
        <v>0</v>
      </c>
      <c r="H499" s="1" t="str">
        <f>IF(Teams[[#This Row],[relevant]], COUNTIFS(Fixtures[userTeam], Teams[[#This Row],[name]], Fixtures[APP], TRUE), "")</f>
        <v/>
      </c>
      <c r="I499" s="1" t="str">
        <f>IF(Teams[[#This Row],[relevant]], COUNTIFS(Fixtures[userTeam], Teams[[#This Row],[name]], Fixtures[result], "W", Fixtures[APP], TRUE), "")</f>
        <v/>
      </c>
      <c r="J499" s="1" t="str">
        <f>IF(Teams[[#This Row],[relevant]], COUNTIFS(Fixtures[userTeam], Teams[[#This Row],[name]], Fixtures[result], "D", Fixtures[APP], TRUE), "")</f>
        <v/>
      </c>
      <c r="K499" s="1" t="str">
        <f>IF(Teams[[#This Row],[relevant]], COUNTIFS(Fixtures[userTeam], Teams[[#This Row],[name]], Fixtures[result], "L", Fixtures[APP], TRUE), "")</f>
        <v/>
      </c>
      <c r="L499" s="1" t="str">
        <f>IF(Teams[[#This Row],[relevant]], SUMIFS(Fixtures[G], Fixtures[userTeam], Teams[[#This Row],[name]]), "")</f>
        <v/>
      </c>
      <c r="M499" s="1" t="str">
        <f>IF(Teams[[#This Row],[relevant]], SUMIFS(Fixtures[A], Fixtures[userTeam], Teams[[#This Row],[name]]), "")</f>
        <v/>
      </c>
      <c r="N499" s="1" t="str">
        <f>IF(Teams[[#This Row],[relevant]], SUMIFS(Fixtures[INV], Fixtures[userTeam], Teams[[#This Row],[name]]), "")</f>
        <v/>
      </c>
      <c r="O499" s="1" t="str">
        <f>IF(Teams[[#This Row],[relevant]], SUMIFS(Fixtures[YC], Fixtures[userTeam], Teams[[#This Row],[name]]), "")</f>
        <v/>
      </c>
      <c r="P499" s="1" t="str">
        <f>IF(Teams[[#This Row],[relevant]], SUMIFS(Fixtures[RC], Fixtures[userTeam], Teams[[#This Row],[name]]), "")</f>
        <v/>
      </c>
      <c r="Q499" s="13" t="str">
        <f>IF(Teams[[#This Row],[relevant]], IF(ISERROR(AVERAGEIFS(Fixtures[MR], Fixtures[userTeam], Teams[[#This Row],[name]])), 0, AVERAGEIFS(Fixtures[MR], Fixtures[userTeam], Teams[[#This Row],[name]])), "")</f>
        <v/>
      </c>
      <c r="R499" s="1" t="str">
        <f>IF(Teams[[#This Row],[relevant]], COUNTIFS(Fixtures[userTeam], Teams[[#This Row],[name]], Fixtures[MOTM], TRUE), "")</f>
        <v/>
      </c>
      <c r="S499" s="1" t="str" cm="1">
        <f t="array" ref="S499">IF(Teams[[#This Row],[relevant]], _xlfn.TEXTJOIN(", ", TRUE, _xlfn._xlws.FILTER(Stats[competition]&amp;" ("&amp;Stats[season]&amp;")",(Stats[team]=Teams[[#This Row],[name]])*(Stats[result]="Winner"),"")), "")</f>
        <v/>
      </c>
    </row>
    <row r="500" spans="1:19" ht="13" hidden="1">
      <c r="A500" s="1" t="s">
        <v>129</v>
      </c>
      <c r="B500" s="1" t="s">
        <v>129</v>
      </c>
      <c r="C500" s="1" t="s">
        <v>459</v>
      </c>
      <c r="D500" s="1" t="str">
        <f>UPPER(_xlfn.CONCAT(LEFT(Teams[[#This Row],[teamType]], 1), "-", LEFT(SUBSTITUTE(Teams[[#This Row],[nation]], "/", ""), 3), "-", SUBSTITUTE(SUBSTITUTE(SUBSTITUTE(Teams[[#This Row],[name]], ".", ""), " ", ""), "-", "")))</f>
        <v>N-QAT-QATAR</v>
      </c>
      <c r="E500" s="16"/>
      <c r="F500" s="16"/>
      <c r="G500" s="1" t="b">
        <f>COUNTBLANK(Teams[[#This Row],[startDate]:[endDate]]) &lt; 2</f>
        <v>0</v>
      </c>
      <c r="H500" s="1" t="str">
        <f>IF(Teams[[#This Row],[relevant]], COUNTIFS(Fixtures[userTeam], Teams[[#This Row],[name]], Fixtures[APP], TRUE), "")</f>
        <v/>
      </c>
      <c r="I500" s="1" t="str">
        <f>IF(Teams[[#This Row],[relevant]], COUNTIFS(Fixtures[userTeam], Teams[[#This Row],[name]], Fixtures[result], "W", Fixtures[APP], TRUE), "")</f>
        <v/>
      </c>
      <c r="J500" s="1" t="str">
        <f>IF(Teams[[#This Row],[relevant]], COUNTIFS(Fixtures[userTeam], Teams[[#This Row],[name]], Fixtures[result], "D", Fixtures[APP], TRUE), "")</f>
        <v/>
      </c>
      <c r="K500" s="1" t="str">
        <f>IF(Teams[[#This Row],[relevant]], COUNTIFS(Fixtures[userTeam], Teams[[#This Row],[name]], Fixtures[result], "L", Fixtures[APP], TRUE), "")</f>
        <v/>
      </c>
      <c r="L500" s="1" t="str">
        <f>IF(Teams[[#This Row],[relevant]], SUMIFS(Fixtures[G], Fixtures[userTeam], Teams[[#This Row],[name]]), "")</f>
        <v/>
      </c>
      <c r="M500" s="1" t="str">
        <f>IF(Teams[[#This Row],[relevant]], SUMIFS(Fixtures[A], Fixtures[userTeam], Teams[[#This Row],[name]]), "")</f>
        <v/>
      </c>
      <c r="N500" s="1" t="str">
        <f>IF(Teams[[#This Row],[relevant]], SUMIFS(Fixtures[INV], Fixtures[userTeam], Teams[[#This Row],[name]]), "")</f>
        <v/>
      </c>
      <c r="O500" s="1" t="str">
        <f>IF(Teams[[#This Row],[relevant]], SUMIFS(Fixtures[YC], Fixtures[userTeam], Teams[[#This Row],[name]]), "")</f>
        <v/>
      </c>
      <c r="P500" s="1" t="str">
        <f>IF(Teams[[#This Row],[relevant]], SUMIFS(Fixtures[RC], Fixtures[userTeam], Teams[[#This Row],[name]]), "")</f>
        <v/>
      </c>
      <c r="Q500" s="13" t="str">
        <f>IF(Teams[[#This Row],[relevant]], IF(ISERROR(AVERAGEIFS(Fixtures[MR], Fixtures[userTeam], Teams[[#This Row],[name]])), 0, AVERAGEIFS(Fixtures[MR], Fixtures[userTeam], Teams[[#This Row],[name]])), "")</f>
        <v/>
      </c>
      <c r="R500" s="1" t="str">
        <f>IF(Teams[[#This Row],[relevant]], COUNTIFS(Fixtures[userTeam], Teams[[#This Row],[name]], Fixtures[MOTM], TRUE), "")</f>
        <v/>
      </c>
      <c r="S500" s="1" t="str" cm="1">
        <f t="array" ref="S500">IF(Teams[[#This Row],[relevant]], _xlfn.TEXTJOIN(", ", TRUE, _xlfn._xlws.FILTER(Stats[competition]&amp;" ("&amp;Stats[season]&amp;")",(Stats[team]=Teams[[#This Row],[name]])*(Stats[result]="Winner"),"")), "")</f>
        <v/>
      </c>
    </row>
    <row r="501" spans="1:19" ht="13" hidden="1">
      <c r="A501" s="1" t="s">
        <v>184</v>
      </c>
      <c r="B501" s="1" t="s">
        <v>152</v>
      </c>
      <c r="C501" s="1" t="s">
        <v>391</v>
      </c>
      <c r="D501" s="1" t="str">
        <f>UPPER(_xlfn.CONCAT(LEFT(Teams[[#This Row],[teamType]], 1), "-", LEFT(SUBSTITUTE(Teams[[#This Row],[nation]], "/", ""), 3), "-", SUBSTITUTE(SUBSTITUTE(SUBSTITUTE(Teams[[#This Row],[name]], ".", ""), " ", ""), "-", "")))</f>
        <v>C-ENG-QPR</v>
      </c>
      <c r="E501" s="16"/>
      <c r="F501" s="16"/>
      <c r="G501" s="1" t="b">
        <f>COUNTBLANK(Teams[[#This Row],[startDate]:[endDate]]) &lt; 2</f>
        <v>0</v>
      </c>
      <c r="H501" s="1" t="str">
        <f>IF(Teams[[#This Row],[relevant]], COUNTIFS(Fixtures[userTeam], Teams[[#This Row],[name]], Fixtures[APP], TRUE), "")</f>
        <v/>
      </c>
      <c r="I501" s="1" t="str">
        <f>IF(Teams[[#This Row],[relevant]], COUNTIFS(Fixtures[userTeam], Teams[[#This Row],[name]], Fixtures[result], "W", Fixtures[APP], TRUE), "")</f>
        <v/>
      </c>
      <c r="J501" s="1" t="str">
        <f>IF(Teams[[#This Row],[relevant]], COUNTIFS(Fixtures[userTeam], Teams[[#This Row],[name]], Fixtures[result], "D", Fixtures[APP], TRUE), "")</f>
        <v/>
      </c>
      <c r="K501" s="1" t="str">
        <f>IF(Teams[[#This Row],[relevant]], COUNTIFS(Fixtures[userTeam], Teams[[#This Row],[name]], Fixtures[result], "L", Fixtures[APP], TRUE), "")</f>
        <v/>
      </c>
      <c r="L501" s="1" t="str">
        <f>IF(Teams[[#This Row],[relevant]], SUMIFS(Fixtures[G], Fixtures[userTeam], Teams[[#This Row],[name]]), "")</f>
        <v/>
      </c>
      <c r="M501" s="1" t="str">
        <f>IF(Teams[[#This Row],[relevant]], SUMIFS(Fixtures[A], Fixtures[userTeam], Teams[[#This Row],[name]]), "")</f>
        <v/>
      </c>
      <c r="N501" s="1" t="str">
        <f>IF(Teams[[#This Row],[relevant]], SUMIFS(Fixtures[INV], Fixtures[userTeam], Teams[[#This Row],[name]]), "")</f>
        <v/>
      </c>
      <c r="O501" s="1" t="str">
        <f>IF(Teams[[#This Row],[relevant]], SUMIFS(Fixtures[YC], Fixtures[userTeam], Teams[[#This Row],[name]]), "")</f>
        <v/>
      </c>
      <c r="P501" s="1" t="str">
        <f>IF(Teams[[#This Row],[relevant]], SUMIFS(Fixtures[RC], Fixtures[userTeam], Teams[[#This Row],[name]]), "")</f>
        <v/>
      </c>
      <c r="Q501" s="13" t="str">
        <f>IF(Teams[[#This Row],[relevant]], IF(ISERROR(AVERAGEIFS(Fixtures[MR], Fixtures[userTeam], Teams[[#This Row],[name]])), 0, AVERAGEIFS(Fixtures[MR], Fixtures[userTeam], Teams[[#This Row],[name]])), "")</f>
        <v/>
      </c>
      <c r="R501" s="1" t="str">
        <f>IF(Teams[[#This Row],[relevant]], COUNTIFS(Fixtures[userTeam], Teams[[#This Row],[name]], Fixtures[MOTM], TRUE), "")</f>
        <v/>
      </c>
      <c r="S501" s="1" t="str" cm="1">
        <f t="array" ref="S501">IF(Teams[[#This Row],[relevant]], _xlfn.TEXTJOIN(", ", TRUE, _xlfn._xlws.FILTER(Stats[competition]&amp;" ("&amp;Stats[season]&amp;")",(Stats[team]=Teams[[#This Row],[name]])*(Stats[result]="Winner"),"")), "")</f>
        <v/>
      </c>
    </row>
    <row r="502" spans="1:19" ht="13" hidden="1">
      <c r="A502" s="1" t="s">
        <v>842</v>
      </c>
      <c r="B502" s="1" t="s">
        <v>339</v>
      </c>
      <c r="C502" s="1" t="s">
        <v>391</v>
      </c>
      <c r="D502" s="1" t="str">
        <f>UPPER(_xlfn.CONCAT(LEFT(Teams[[#This Row],[teamType]], 1), "-", LEFT(SUBSTITUTE(Teams[[#This Row],[nation]], "/", ""), 3), "-", SUBSTITUTE(SUBSTITUTE(SUBSTITUTE(Teams[[#This Row],[name]], ".", ""), " ", ""), "-", "")))</f>
        <v>C-FRA-QUEVILLYROUEN</v>
      </c>
      <c r="E502" s="16"/>
      <c r="F502" s="16"/>
      <c r="G502" s="1" t="b">
        <f>COUNTBLANK(Teams[[#This Row],[startDate]:[endDate]]) &lt; 2</f>
        <v>0</v>
      </c>
      <c r="H502" s="1" t="str">
        <f>IF(Teams[[#This Row],[relevant]], COUNTIFS(Fixtures[userTeam], Teams[[#This Row],[name]], Fixtures[APP], TRUE), "")</f>
        <v/>
      </c>
      <c r="I502" s="1" t="str">
        <f>IF(Teams[[#This Row],[relevant]], COUNTIFS(Fixtures[userTeam], Teams[[#This Row],[name]], Fixtures[result], "W", Fixtures[APP], TRUE), "")</f>
        <v/>
      </c>
      <c r="J502" s="1" t="str">
        <f>IF(Teams[[#This Row],[relevant]], COUNTIFS(Fixtures[userTeam], Teams[[#This Row],[name]], Fixtures[result], "D", Fixtures[APP], TRUE), "")</f>
        <v/>
      </c>
      <c r="K502" s="1" t="str">
        <f>IF(Teams[[#This Row],[relevant]], COUNTIFS(Fixtures[userTeam], Teams[[#This Row],[name]], Fixtures[result], "L", Fixtures[APP], TRUE), "")</f>
        <v/>
      </c>
      <c r="L502" s="1" t="str">
        <f>IF(Teams[[#This Row],[relevant]], SUMIFS(Fixtures[G], Fixtures[userTeam], Teams[[#This Row],[name]]), "")</f>
        <v/>
      </c>
      <c r="M502" s="1" t="str">
        <f>IF(Teams[[#This Row],[relevant]], SUMIFS(Fixtures[A], Fixtures[userTeam], Teams[[#This Row],[name]]), "")</f>
        <v/>
      </c>
      <c r="N502" s="1" t="str">
        <f>IF(Teams[[#This Row],[relevant]], SUMIFS(Fixtures[INV], Fixtures[userTeam], Teams[[#This Row],[name]]), "")</f>
        <v/>
      </c>
      <c r="O502" s="1" t="str">
        <f>IF(Teams[[#This Row],[relevant]], SUMIFS(Fixtures[YC], Fixtures[userTeam], Teams[[#This Row],[name]]), "")</f>
        <v/>
      </c>
      <c r="P502" s="1" t="str">
        <f>IF(Teams[[#This Row],[relevant]], SUMIFS(Fixtures[RC], Fixtures[userTeam], Teams[[#This Row],[name]]), "")</f>
        <v/>
      </c>
      <c r="Q502" s="13" t="str">
        <f>IF(Teams[[#This Row],[relevant]], IF(ISERROR(AVERAGEIFS(Fixtures[MR], Fixtures[userTeam], Teams[[#This Row],[name]])), 0, AVERAGEIFS(Fixtures[MR], Fixtures[userTeam], Teams[[#This Row],[name]])), "")</f>
        <v/>
      </c>
      <c r="R502" s="1" t="str">
        <f>IF(Teams[[#This Row],[relevant]], COUNTIFS(Fixtures[userTeam], Teams[[#This Row],[name]], Fixtures[MOTM], TRUE), "")</f>
        <v/>
      </c>
      <c r="S502" s="1" t="str" cm="1">
        <f t="array" ref="S502">IF(Teams[[#This Row],[relevant]], _xlfn.TEXTJOIN(", ", TRUE, _xlfn._xlws.FILTER(Stats[competition]&amp;" ("&amp;Stats[season]&amp;")",(Stats[team]=Teams[[#This Row],[name]])*(Stats[result]="Winner"),"")), "")</f>
        <v/>
      </c>
    </row>
    <row r="503" spans="1:19" ht="13" hidden="1">
      <c r="A503" s="1" t="s">
        <v>843</v>
      </c>
      <c r="B503" s="1" t="s">
        <v>163</v>
      </c>
      <c r="C503" s="1" t="s">
        <v>391</v>
      </c>
      <c r="D503" s="1" t="str">
        <f>UPPER(_xlfn.CONCAT(LEFT(Teams[[#This Row],[teamType]], 1), "-", LEFT(SUBSTITUTE(Teams[[#This Row],[nation]], "/", ""), 3), "-", SUBSTITUTE(SUBSTITUTE(SUBSTITUTE(Teams[[#This Row],[name]], ".", ""), " ", ""), "-", "")))</f>
        <v>C-SPA-ROVIEDO</v>
      </c>
      <c r="E503" s="16"/>
      <c r="F503" s="16"/>
      <c r="G503" s="1" t="b">
        <f>COUNTBLANK(Teams[[#This Row],[startDate]:[endDate]]) &lt; 2</f>
        <v>0</v>
      </c>
      <c r="H503" s="1" t="str">
        <f>IF(Teams[[#This Row],[relevant]], COUNTIFS(Fixtures[userTeam], Teams[[#This Row],[name]], Fixtures[APP], TRUE), "")</f>
        <v/>
      </c>
      <c r="I503" s="1" t="str">
        <f>IF(Teams[[#This Row],[relevant]], COUNTIFS(Fixtures[userTeam], Teams[[#This Row],[name]], Fixtures[result], "W", Fixtures[APP], TRUE), "")</f>
        <v/>
      </c>
      <c r="J503" s="1" t="str">
        <f>IF(Teams[[#This Row],[relevant]], COUNTIFS(Fixtures[userTeam], Teams[[#This Row],[name]], Fixtures[result], "D", Fixtures[APP], TRUE), "")</f>
        <v/>
      </c>
      <c r="K503" s="1" t="str">
        <f>IF(Teams[[#This Row],[relevant]], COUNTIFS(Fixtures[userTeam], Teams[[#This Row],[name]], Fixtures[result], "L", Fixtures[APP], TRUE), "")</f>
        <v/>
      </c>
      <c r="L503" s="1" t="str">
        <f>IF(Teams[[#This Row],[relevant]], SUMIFS(Fixtures[G], Fixtures[userTeam], Teams[[#This Row],[name]]), "")</f>
        <v/>
      </c>
      <c r="M503" s="1" t="str">
        <f>IF(Teams[[#This Row],[relevant]], SUMIFS(Fixtures[A], Fixtures[userTeam], Teams[[#This Row],[name]]), "")</f>
        <v/>
      </c>
      <c r="N503" s="1" t="str">
        <f>IF(Teams[[#This Row],[relevant]], SUMIFS(Fixtures[INV], Fixtures[userTeam], Teams[[#This Row],[name]]), "")</f>
        <v/>
      </c>
      <c r="O503" s="1" t="str">
        <f>IF(Teams[[#This Row],[relevant]], SUMIFS(Fixtures[YC], Fixtures[userTeam], Teams[[#This Row],[name]]), "")</f>
        <v/>
      </c>
      <c r="P503" s="1" t="str">
        <f>IF(Teams[[#This Row],[relevant]], SUMIFS(Fixtures[RC], Fixtures[userTeam], Teams[[#This Row],[name]]), "")</f>
        <v/>
      </c>
      <c r="Q503" s="13" t="str">
        <f>IF(Teams[[#This Row],[relevant]], IF(ISERROR(AVERAGEIFS(Fixtures[MR], Fixtures[userTeam], Teams[[#This Row],[name]])), 0, AVERAGEIFS(Fixtures[MR], Fixtures[userTeam], Teams[[#This Row],[name]])), "")</f>
        <v/>
      </c>
      <c r="R503" s="1" t="str">
        <f>IF(Teams[[#This Row],[relevant]], COUNTIFS(Fixtures[userTeam], Teams[[#This Row],[name]], Fixtures[MOTM], TRUE), "")</f>
        <v/>
      </c>
      <c r="S503" s="1" t="str" cm="1">
        <f t="array" ref="S503">IF(Teams[[#This Row],[relevant]], _xlfn.TEXTJOIN(", ", TRUE, _xlfn._xlws.FILTER(Stats[competition]&amp;" ("&amp;Stats[season]&amp;")",(Stats[team]=Teams[[#This Row],[name]])*(Stats[result]="Winner"),"")), "")</f>
        <v/>
      </c>
    </row>
    <row r="504" spans="1:19" ht="13" hidden="1">
      <c r="A504" s="1" t="s">
        <v>844</v>
      </c>
      <c r="B504" s="1" t="s">
        <v>163</v>
      </c>
      <c r="C504" s="1" t="s">
        <v>391</v>
      </c>
      <c r="D504" s="1" t="str">
        <f>UPPER(_xlfn.CONCAT(LEFT(Teams[[#This Row],[teamType]], 1), "-", LEFT(SUBSTITUTE(Teams[[#This Row],[nation]], "/", ""), 3), "-", SUBSTITUTE(SUBSTITUTE(SUBSTITUTE(Teams[[#This Row],[name]], ".", ""), " ", ""), "-", "")))</f>
        <v>C-SPA-RRACINGCLUB</v>
      </c>
      <c r="E504" s="16"/>
      <c r="F504" s="16"/>
      <c r="G504" s="1" t="b">
        <f>COUNTBLANK(Teams[[#This Row],[startDate]:[endDate]]) &lt; 2</f>
        <v>0</v>
      </c>
      <c r="H504" s="1" t="str">
        <f>IF(Teams[[#This Row],[relevant]], COUNTIFS(Fixtures[userTeam], Teams[[#This Row],[name]], Fixtures[APP], TRUE), "")</f>
        <v/>
      </c>
      <c r="I504" s="1" t="str">
        <f>IF(Teams[[#This Row],[relevant]], COUNTIFS(Fixtures[userTeam], Teams[[#This Row],[name]], Fixtures[result], "W", Fixtures[APP], TRUE), "")</f>
        <v/>
      </c>
      <c r="J504" s="1" t="str">
        <f>IF(Teams[[#This Row],[relevant]], COUNTIFS(Fixtures[userTeam], Teams[[#This Row],[name]], Fixtures[result], "D", Fixtures[APP], TRUE), "")</f>
        <v/>
      </c>
      <c r="K504" s="1" t="str">
        <f>IF(Teams[[#This Row],[relevant]], COUNTIFS(Fixtures[userTeam], Teams[[#This Row],[name]], Fixtures[result], "L", Fixtures[APP], TRUE), "")</f>
        <v/>
      </c>
      <c r="L504" s="1" t="str">
        <f>IF(Teams[[#This Row],[relevant]], SUMIFS(Fixtures[G], Fixtures[userTeam], Teams[[#This Row],[name]]), "")</f>
        <v/>
      </c>
      <c r="M504" s="1" t="str">
        <f>IF(Teams[[#This Row],[relevant]], SUMIFS(Fixtures[A], Fixtures[userTeam], Teams[[#This Row],[name]]), "")</f>
        <v/>
      </c>
      <c r="N504" s="1" t="str">
        <f>IF(Teams[[#This Row],[relevant]], SUMIFS(Fixtures[INV], Fixtures[userTeam], Teams[[#This Row],[name]]), "")</f>
        <v/>
      </c>
      <c r="O504" s="1" t="str">
        <f>IF(Teams[[#This Row],[relevant]], SUMIFS(Fixtures[YC], Fixtures[userTeam], Teams[[#This Row],[name]]), "")</f>
        <v/>
      </c>
      <c r="P504" s="1" t="str">
        <f>IF(Teams[[#This Row],[relevant]], SUMIFS(Fixtures[RC], Fixtures[userTeam], Teams[[#This Row],[name]]), "")</f>
        <v/>
      </c>
      <c r="Q504" s="13" t="str">
        <f>IF(Teams[[#This Row],[relevant]], IF(ISERROR(AVERAGEIFS(Fixtures[MR], Fixtures[userTeam], Teams[[#This Row],[name]])), 0, AVERAGEIFS(Fixtures[MR], Fixtures[userTeam], Teams[[#This Row],[name]])), "")</f>
        <v/>
      </c>
      <c r="R504" s="1" t="str">
        <f>IF(Teams[[#This Row],[relevant]], COUNTIFS(Fixtures[userTeam], Teams[[#This Row],[name]], Fixtures[MOTM], TRUE), "")</f>
        <v/>
      </c>
      <c r="S504" s="1" t="str" cm="1">
        <f t="array" ref="S504">IF(Teams[[#This Row],[relevant]], _xlfn.TEXTJOIN(", ", TRUE, _xlfn._xlws.FILTER(Stats[competition]&amp;" ("&amp;Stats[season]&amp;")",(Stats[team]=Teams[[#This Row],[name]])*(Stats[result]="Winner"),"")), "")</f>
        <v/>
      </c>
    </row>
    <row r="505" spans="1:19" ht="13" hidden="1">
      <c r="A505" s="1" t="s">
        <v>845</v>
      </c>
      <c r="B505" s="1" t="s">
        <v>163</v>
      </c>
      <c r="C505" s="1" t="s">
        <v>391</v>
      </c>
      <c r="D505" s="1" t="str">
        <f>UPPER(_xlfn.CONCAT(LEFT(Teams[[#This Row],[teamType]], 1), "-", LEFT(SUBSTITUTE(Teams[[#This Row],[nation]], "/", ""), 3), "-", SUBSTITUTE(SUBSTITUTE(SUBSTITUTE(Teams[[#This Row],[name]], ".", ""), " ", ""), "-", "")))</f>
        <v>C-SPA-RSPORTING</v>
      </c>
      <c r="E505" s="16"/>
      <c r="F505" s="16"/>
      <c r="G505" s="1" t="b">
        <f>COUNTBLANK(Teams[[#This Row],[startDate]:[endDate]]) &lt; 2</f>
        <v>0</v>
      </c>
      <c r="H505" s="1" t="str">
        <f>IF(Teams[[#This Row],[relevant]], COUNTIFS(Fixtures[userTeam], Teams[[#This Row],[name]], Fixtures[APP], TRUE), "")</f>
        <v/>
      </c>
      <c r="I505" s="1" t="str">
        <f>IF(Teams[[#This Row],[relevant]], COUNTIFS(Fixtures[userTeam], Teams[[#This Row],[name]], Fixtures[result], "W", Fixtures[APP], TRUE), "")</f>
        <v/>
      </c>
      <c r="J505" s="1" t="str">
        <f>IF(Teams[[#This Row],[relevant]], COUNTIFS(Fixtures[userTeam], Teams[[#This Row],[name]], Fixtures[result], "D", Fixtures[APP], TRUE), "")</f>
        <v/>
      </c>
      <c r="K505" s="1" t="str">
        <f>IF(Teams[[#This Row],[relevant]], COUNTIFS(Fixtures[userTeam], Teams[[#This Row],[name]], Fixtures[result], "L", Fixtures[APP], TRUE), "")</f>
        <v/>
      </c>
      <c r="L505" s="1" t="str">
        <f>IF(Teams[[#This Row],[relevant]], SUMIFS(Fixtures[G], Fixtures[userTeam], Teams[[#This Row],[name]]), "")</f>
        <v/>
      </c>
      <c r="M505" s="1" t="str">
        <f>IF(Teams[[#This Row],[relevant]], SUMIFS(Fixtures[A], Fixtures[userTeam], Teams[[#This Row],[name]]), "")</f>
        <v/>
      </c>
      <c r="N505" s="1" t="str">
        <f>IF(Teams[[#This Row],[relevant]], SUMIFS(Fixtures[INV], Fixtures[userTeam], Teams[[#This Row],[name]]), "")</f>
        <v/>
      </c>
      <c r="O505" s="1" t="str">
        <f>IF(Teams[[#This Row],[relevant]], SUMIFS(Fixtures[YC], Fixtures[userTeam], Teams[[#This Row],[name]]), "")</f>
        <v/>
      </c>
      <c r="P505" s="1" t="str">
        <f>IF(Teams[[#This Row],[relevant]], SUMIFS(Fixtures[RC], Fixtures[userTeam], Teams[[#This Row],[name]]), "")</f>
        <v/>
      </c>
      <c r="Q505" s="13" t="str">
        <f>IF(Teams[[#This Row],[relevant]], IF(ISERROR(AVERAGEIFS(Fixtures[MR], Fixtures[userTeam], Teams[[#This Row],[name]])), 0, AVERAGEIFS(Fixtures[MR], Fixtures[userTeam], Teams[[#This Row],[name]])), "")</f>
        <v/>
      </c>
      <c r="R505" s="1" t="str">
        <f>IF(Teams[[#This Row],[relevant]], COUNTIFS(Fixtures[userTeam], Teams[[#This Row],[name]], Fixtures[MOTM], TRUE), "")</f>
        <v/>
      </c>
      <c r="S505" s="1" t="str" cm="1">
        <f t="array" ref="S505">IF(Teams[[#This Row],[relevant]], _xlfn.TEXTJOIN(", ", TRUE, _xlfn._xlws.FILTER(Stats[competition]&amp;" ("&amp;Stats[season]&amp;")",(Stats[team]=Teams[[#This Row],[name]])*(Stats[result]="Winner"),"")), "")</f>
        <v/>
      </c>
    </row>
    <row r="506" spans="1:19" ht="13" hidden="1">
      <c r="A506" s="1" t="s">
        <v>120</v>
      </c>
      <c r="B506" s="1" t="s">
        <v>144</v>
      </c>
      <c r="C506" s="1" t="s">
        <v>391</v>
      </c>
      <c r="D506" s="1" t="str">
        <f>UPPER(_xlfn.CONCAT(LEFT(Teams[[#This Row],[teamType]], 1), "-", LEFT(SUBSTITUTE(Teams[[#This Row],[nation]], "/", ""), 3), "-", SUBSTITUTE(SUBSTITUTE(SUBSTITUTE(Teams[[#This Row],[name]], ".", ""), " ", ""), "-", "")))</f>
        <v>C-BEL-RUNIONSTG</v>
      </c>
      <c r="E506" s="16"/>
      <c r="F506" s="16"/>
      <c r="G506" s="1" t="b">
        <f>COUNTBLANK(Teams[[#This Row],[startDate]:[endDate]]) &lt; 2</f>
        <v>0</v>
      </c>
      <c r="H506" s="1" t="str">
        <f>IF(Teams[[#This Row],[relevant]], COUNTIFS(Fixtures[userTeam], Teams[[#This Row],[name]], Fixtures[APP], TRUE), "")</f>
        <v/>
      </c>
      <c r="I506" s="1" t="str">
        <f>IF(Teams[[#This Row],[relevant]], COUNTIFS(Fixtures[userTeam], Teams[[#This Row],[name]], Fixtures[result], "W", Fixtures[APP], TRUE), "")</f>
        <v/>
      </c>
      <c r="J506" s="1" t="str">
        <f>IF(Teams[[#This Row],[relevant]], COUNTIFS(Fixtures[userTeam], Teams[[#This Row],[name]], Fixtures[result], "D", Fixtures[APP], TRUE), "")</f>
        <v/>
      </c>
      <c r="K506" s="1" t="str">
        <f>IF(Teams[[#This Row],[relevant]], COUNTIFS(Fixtures[userTeam], Teams[[#This Row],[name]], Fixtures[result], "L", Fixtures[APP], TRUE), "")</f>
        <v/>
      </c>
      <c r="L506" s="1" t="str">
        <f>IF(Teams[[#This Row],[relevant]], SUMIFS(Fixtures[G], Fixtures[userTeam], Teams[[#This Row],[name]]), "")</f>
        <v/>
      </c>
      <c r="M506" s="1" t="str">
        <f>IF(Teams[[#This Row],[relevant]], SUMIFS(Fixtures[A], Fixtures[userTeam], Teams[[#This Row],[name]]), "")</f>
        <v/>
      </c>
      <c r="N506" s="1" t="str">
        <f>IF(Teams[[#This Row],[relevant]], SUMIFS(Fixtures[INV], Fixtures[userTeam], Teams[[#This Row],[name]]), "")</f>
        <v/>
      </c>
      <c r="O506" s="1" t="str">
        <f>IF(Teams[[#This Row],[relevant]], SUMIFS(Fixtures[YC], Fixtures[userTeam], Teams[[#This Row],[name]]), "")</f>
        <v/>
      </c>
      <c r="P506" s="1" t="str">
        <f>IF(Teams[[#This Row],[relevant]], SUMIFS(Fixtures[RC], Fixtures[userTeam], Teams[[#This Row],[name]]), "")</f>
        <v/>
      </c>
      <c r="Q506" s="13" t="str">
        <f>IF(Teams[[#This Row],[relevant]], IF(ISERROR(AVERAGEIFS(Fixtures[MR], Fixtures[userTeam], Teams[[#This Row],[name]])), 0, AVERAGEIFS(Fixtures[MR], Fixtures[userTeam], Teams[[#This Row],[name]])), "")</f>
        <v/>
      </c>
      <c r="R506" s="1" t="str">
        <f>IF(Teams[[#This Row],[relevant]], COUNTIFS(Fixtures[userTeam], Teams[[#This Row],[name]], Fixtures[MOTM], TRUE), "")</f>
        <v/>
      </c>
      <c r="S506" s="1" t="str" cm="1">
        <f t="array" ref="S506">IF(Teams[[#This Row],[relevant]], _xlfn.TEXTJOIN(", ", TRUE, _xlfn._xlws.FILTER(Stats[competition]&amp;" ("&amp;Stats[season]&amp;")",(Stats[team]=Teams[[#This Row],[name]])*(Stats[result]="Winner"),"")), "")</f>
        <v/>
      </c>
    </row>
    <row r="507" spans="1:19" ht="13" hidden="1">
      <c r="A507" s="1" t="s">
        <v>846</v>
      </c>
      <c r="B507" s="1" t="s">
        <v>163</v>
      </c>
      <c r="C507" s="1" t="s">
        <v>391</v>
      </c>
      <c r="D507" s="1" t="str">
        <f>UPPER(_xlfn.CONCAT(LEFT(Teams[[#This Row],[teamType]], 1), "-", LEFT(SUBSTITUTE(Teams[[#This Row],[nation]], "/", ""), 3), "-", SUBSTITUTE(SUBSTITUTE(SUBSTITUTE(Teams[[#This Row],[name]], ".", ""), " ", ""), "-", "")))</f>
        <v>C-SPA-RVALLADOLIDCF</v>
      </c>
      <c r="E507" s="16"/>
      <c r="F507" s="16"/>
      <c r="G507" s="1" t="b">
        <f>COUNTBLANK(Teams[[#This Row],[startDate]:[endDate]]) &lt; 2</f>
        <v>0</v>
      </c>
      <c r="H507" s="1" t="str">
        <f>IF(Teams[[#This Row],[relevant]], COUNTIFS(Fixtures[userTeam], Teams[[#This Row],[name]], Fixtures[APP], TRUE), "")</f>
        <v/>
      </c>
      <c r="I507" s="1" t="str">
        <f>IF(Teams[[#This Row],[relevant]], COUNTIFS(Fixtures[userTeam], Teams[[#This Row],[name]], Fixtures[result], "W", Fixtures[APP], TRUE), "")</f>
        <v/>
      </c>
      <c r="J507" s="1" t="str">
        <f>IF(Teams[[#This Row],[relevant]], COUNTIFS(Fixtures[userTeam], Teams[[#This Row],[name]], Fixtures[result], "D", Fixtures[APP], TRUE), "")</f>
        <v/>
      </c>
      <c r="K507" s="1" t="str">
        <f>IF(Teams[[#This Row],[relevant]], COUNTIFS(Fixtures[userTeam], Teams[[#This Row],[name]], Fixtures[result], "L", Fixtures[APP], TRUE), "")</f>
        <v/>
      </c>
      <c r="L507" s="1" t="str">
        <f>IF(Teams[[#This Row],[relevant]], SUMIFS(Fixtures[G], Fixtures[userTeam], Teams[[#This Row],[name]]), "")</f>
        <v/>
      </c>
      <c r="M507" s="1" t="str">
        <f>IF(Teams[[#This Row],[relevant]], SUMIFS(Fixtures[A], Fixtures[userTeam], Teams[[#This Row],[name]]), "")</f>
        <v/>
      </c>
      <c r="N507" s="1" t="str">
        <f>IF(Teams[[#This Row],[relevant]], SUMIFS(Fixtures[INV], Fixtures[userTeam], Teams[[#This Row],[name]]), "")</f>
        <v/>
      </c>
      <c r="O507" s="1" t="str">
        <f>IF(Teams[[#This Row],[relevant]], SUMIFS(Fixtures[YC], Fixtures[userTeam], Teams[[#This Row],[name]]), "")</f>
        <v/>
      </c>
      <c r="P507" s="1" t="str">
        <f>IF(Teams[[#This Row],[relevant]], SUMIFS(Fixtures[RC], Fixtures[userTeam], Teams[[#This Row],[name]]), "")</f>
        <v/>
      </c>
      <c r="Q507" s="13" t="str">
        <f>IF(Teams[[#This Row],[relevant]], IF(ISERROR(AVERAGEIFS(Fixtures[MR], Fixtures[userTeam], Teams[[#This Row],[name]])), 0, AVERAGEIFS(Fixtures[MR], Fixtures[userTeam], Teams[[#This Row],[name]])), "")</f>
        <v/>
      </c>
      <c r="R507" s="1" t="str">
        <f>IF(Teams[[#This Row],[relevant]], COUNTIFS(Fixtures[userTeam], Teams[[#This Row],[name]], Fixtures[MOTM], TRUE), "")</f>
        <v/>
      </c>
      <c r="S507" s="1" t="str" cm="1">
        <f t="array" ref="S507">IF(Teams[[#This Row],[relevant]], _xlfn.TEXTJOIN(", ", TRUE, _xlfn._xlws.FILTER(Stats[competition]&amp;" ("&amp;Stats[season]&amp;")",(Stats[team]=Teams[[#This Row],[name]])*(Stats[result]="Winner"),"")), "")</f>
        <v/>
      </c>
    </row>
    <row r="508" spans="1:19" ht="13" hidden="1">
      <c r="A508" s="1" t="s">
        <v>847</v>
      </c>
      <c r="B508" s="1" t="s">
        <v>131</v>
      </c>
      <c r="C508" s="1" t="s">
        <v>391</v>
      </c>
      <c r="D508" s="1" t="str">
        <f>UPPER(_xlfn.CONCAT(LEFT(Teams[[#This Row],[teamType]], 1), "-", LEFT(SUBSTITUTE(Teams[[#This Row],[nation]], "/", ""), 3), "-", SUBSTITUTE(SUBSTITUTE(SUBSTITUTE(Teams[[#This Row],[name]], ".", ""), " ", ""), "-", "")))</f>
        <v>C-ARG-RACINGCLUB</v>
      </c>
      <c r="E508" s="16"/>
      <c r="F508" s="16"/>
      <c r="G508" s="1" t="b">
        <f>COUNTBLANK(Teams[[#This Row],[startDate]:[endDate]]) &lt; 2</f>
        <v>0</v>
      </c>
      <c r="H508" s="1" t="str">
        <f>IF(Teams[[#This Row],[relevant]], COUNTIFS(Fixtures[userTeam], Teams[[#This Row],[name]], Fixtures[APP], TRUE), "")</f>
        <v/>
      </c>
      <c r="I508" s="1" t="str">
        <f>IF(Teams[[#This Row],[relevant]], COUNTIFS(Fixtures[userTeam], Teams[[#This Row],[name]], Fixtures[result], "W", Fixtures[APP], TRUE), "")</f>
        <v/>
      </c>
      <c r="J508" s="1" t="str">
        <f>IF(Teams[[#This Row],[relevant]], COUNTIFS(Fixtures[userTeam], Teams[[#This Row],[name]], Fixtures[result], "D", Fixtures[APP], TRUE), "")</f>
        <v/>
      </c>
      <c r="K508" s="1" t="str">
        <f>IF(Teams[[#This Row],[relevant]], COUNTIFS(Fixtures[userTeam], Teams[[#This Row],[name]], Fixtures[result], "L", Fixtures[APP], TRUE), "")</f>
        <v/>
      </c>
      <c r="L508" s="1" t="str">
        <f>IF(Teams[[#This Row],[relevant]], SUMIFS(Fixtures[G], Fixtures[userTeam], Teams[[#This Row],[name]]), "")</f>
        <v/>
      </c>
      <c r="M508" s="1" t="str">
        <f>IF(Teams[[#This Row],[relevant]], SUMIFS(Fixtures[A], Fixtures[userTeam], Teams[[#This Row],[name]]), "")</f>
        <v/>
      </c>
      <c r="N508" s="1" t="str">
        <f>IF(Teams[[#This Row],[relevant]], SUMIFS(Fixtures[INV], Fixtures[userTeam], Teams[[#This Row],[name]]), "")</f>
        <v/>
      </c>
      <c r="O508" s="1" t="str">
        <f>IF(Teams[[#This Row],[relevant]], SUMIFS(Fixtures[YC], Fixtures[userTeam], Teams[[#This Row],[name]]), "")</f>
        <v/>
      </c>
      <c r="P508" s="1" t="str">
        <f>IF(Teams[[#This Row],[relevant]], SUMIFS(Fixtures[RC], Fixtures[userTeam], Teams[[#This Row],[name]]), "")</f>
        <v/>
      </c>
      <c r="Q508" s="13" t="str">
        <f>IF(Teams[[#This Row],[relevant]], IF(ISERROR(AVERAGEIFS(Fixtures[MR], Fixtures[userTeam], Teams[[#This Row],[name]])), 0, AVERAGEIFS(Fixtures[MR], Fixtures[userTeam], Teams[[#This Row],[name]])), "")</f>
        <v/>
      </c>
      <c r="R508" s="1" t="str">
        <f>IF(Teams[[#This Row],[relevant]], COUNTIFS(Fixtures[userTeam], Teams[[#This Row],[name]], Fixtures[MOTM], TRUE), "")</f>
        <v/>
      </c>
      <c r="S508" s="1" t="str" cm="1">
        <f t="array" ref="S508">IF(Teams[[#This Row],[relevant]], _xlfn.TEXTJOIN(", ", TRUE, _xlfn._xlws.FILTER(Stats[competition]&amp;" ("&amp;Stats[season]&amp;")",(Stats[team]=Teams[[#This Row],[name]])*(Stats[result]="Winner"),"")), "")</f>
        <v/>
      </c>
    </row>
    <row r="509" spans="1:19" ht="13" hidden="1">
      <c r="A509" s="1" t="s">
        <v>848</v>
      </c>
      <c r="B509" s="1" t="s">
        <v>213</v>
      </c>
      <c r="C509" s="1" t="s">
        <v>391</v>
      </c>
      <c r="D509" s="1" t="str">
        <f>UPPER(_xlfn.CONCAT(LEFT(Teams[[#This Row],[teamType]], 1), "-", LEFT(SUBSTITUTE(Teams[[#This Row],[nation]], "/", ""), 3), "-", SUBSTITUTE(SUBSTITUTE(SUBSTITUTE(Teams[[#This Row],[name]], ".", ""), " ", ""), "-", "")))</f>
        <v>C-POL-RADOMIAKRADOM</v>
      </c>
      <c r="E509" s="16"/>
      <c r="F509" s="16"/>
      <c r="G509" s="1" t="b">
        <f>COUNTBLANK(Teams[[#This Row],[startDate]:[endDate]]) &lt; 2</f>
        <v>0</v>
      </c>
      <c r="H509" s="1" t="str">
        <f>IF(Teams[[#This Row],[relevant]], COUNTIFS(Fixtures[userTeam], Teams[[#This Row],[name]], Fixtures[APP], TRUE), "")</f>
        <v/>
      </c>
      <c r="I509" s="1" t="str">
        <f>IF(Teams[[#This Row],[relevant]], COUNTIFS(Fixtures[userTeam], Teams[[#This Row],[name]], Fixtures[result], "W", Fixtures[APP], TRUE), "")</f>
        <v/>
      </c>
      <c r="J509" s="1" t="str">
        <f>IF(Teams[[#This Row],[relevant]], COUNTIFS(Fixtures[userTeam], Teams[[#This Row],[name]], Fixtures[result], "D", Fixtures[APP], TRUE), "")</f>
        <v/>
      </c>
      <c r="K509" s="1" t="str">
        <f>IF(Teams[[#This Row],[relevant]], COUNTIFS(Fixtures[userTeam], Teams[[#This Row],[name]], Fixtures[result], "L", Fixtures[APP], TRUE), "")</f>
        <v/>
      </c>
      <c r="L509" s="1" t="str">
        <f>IF(Teams[[#This Row],[relevant]], SUMIFS(Fixtures[G], Fixtures[userTeam], Teams[[#This Row],[name]]), "")</f>
        <v/>
      </c>
      <c r="M509" s="1" t="str">
        <f>IF(Teams[[#This Row],[relevant]], SUMIFS(Fixtures[A], Fixtures[userTeam], Teams[[#This Row],[name]]), "")</f>
        <v/>
      </c>
      <c r="N509" s="1" t="str">
        <f>IF(Teams[[#This Row],[relevant]], SUMIFS(Fixtures[INV], Fixtures[userTeam], Teams[[#This Row],[name]]), "")</f>
        <v/>
      </c>
      <c r="O509" s="1" t="str">
        <f>IF(Teams[[#This Row],[relevant]], SUMIFS(Fixtures[YC], Fixtures[userTeam], Teams[[#This Row],[name]]), "")</f>
        <v/>
      </c>
      <c r="P509" s="1" t="str">
        <f>IF(Teams[[#This Row],[relevant]], SUMIFS(Fixtures[RC], Fixtures[userTeam], Teams[[#This Row],[name]]), "")</f>
        <v/>
      </c>
      <c r="Q509" s="13" t="str">
        <f>IF(Teams[[#This Row],[relevant]], IF(ISERROR(AVERAGEIFS(Fixtures[MR], Fixtures[userTeam], Teams[[#This Row],[name]])), 0, AVERAGEIFS(Fixtures[MR], Fixtures[userTeam], Teams[[#This Row],[name]])), "")</f>
        <v/>
      </c>
      <c r="R509" s="1" t="str">
        <f>IF(Teams[[#This Row],[relevant]], COUNTIFS(Fixtures[userTeam], Teams[[#This Row],[name]], Fixtures[MOTM], TRUE), "")</f>
        <v/>
      </c>
      <c r="S509" s="1" t="str" cm="1">
        <f t="array" ref="S509">IF(Teams[[#This Row],[relevant]], _xlfn.TEXTJOIN(", ", TRUE, _xlfn._xlws.FILTER(Stats[competition]&amp;" ("&amp;Stats[season]&amp;")",(Stats[team]=Teams[[#This Row],[name]])*(Stats[result]="Winner"),"")), "")</f>
        <v/>
      </c>
    </row>
    <row r="510" spans="1:19" ht="13" hidden="1">
      <c r="A510" s="1" t="s">
        <v>849</v>
      </c>
      <c r="B510" s="1" t="s">
        <v>213</v>
      </c>
      <c r="C510" s="1" t="s">
        <v>391</v>
      </c>
      <c r="D510" s="1" t="str">
        <f>UPPER(_xlfn.CONCAT(LEFT(Teams[[#This Row],[teamType]], 1), "-", LEFT(SUBSTITUTE(Teams[[#This Row],[nation]], "/", ""), 3), "-", SUBSTITUTE(SUBSTITUTE(SUBSTITUTE(Teams[[#This Row],[name]], ".", ""), " ", ""), "-", "")))</f>
        <v>C-POL-RAKÓW</v>
      </c>
      <c r="E510" s="16"/>
      <c r="F510" s="16"/>
      <c r="G510" s="1" t="b">
        <f>COUNTBLANK(Teams[[#This Row],[startDate]:[endDate]]) &lt; 2</f>
        <v>0</v>
      </c>
      <c r="H510" s="1" t="str">
        <f>IF(Teams[[#This Row],[relevant]], COUNTIFS(Fixtures[userTeam], Teams[[#This Row],[name]], Fixtures[APP], TRUE), "")</f>
        <v/>
      </c>
      <c r="I510" s="1" t="str">
        <f>IF(Teams[[#This Row],[relevant]], COUNTIFS(Fixtures[userTeam], Teams[[#This Row],[name]], Fixtures[result], "W", Fixtures[APP], TRUE), "")</f>
        <v/>
      </c>
      <c r="J510" s="1" t="str">
        <f>IF(Teams[[#This Row],[relevant]], COUNTIFS(Fixtures[userTeam], Teams[[#This Row],[name]], Fixtures[result], "D", Fixtures[APP], TRUE), "")</f>
        <v/>
      </c>
      <c r="K510" s="1" t="str">
        <f>IF(Teams[[#This Row],[relevant]], COUNTIFS(Fixtures[userTeam], Teams[[#This Row],[name]], Fixtures[result], "L", Fixtures[APP], TRUE), "")</f>
        <v/>
      </c>
      <c r="L510" s="1" t="str">
        <f>IF(Teams[[#This Row],[relevant]], SUMIFS(Fixtures[G], Fixtures[userTeam], Teams[[#This Row],[name]]), "")</f>
        <v/>
      </c>
      <c r="M510" s="1" t="str">
        <f>IF(Teams[[#This Row],[relevant]], SUMIFS(Fixtures[A], Fixtures[userTeam], Teams[[#This Row],[name]]), "")</f>
        <v/>
      </c>
      <c r="N510" s="1" t="str">
        <f>IF(Teams[[#This Row],[relevant]], SUMIFS(Fixtures[INV], Fixtures[userTeam], Teams[[#This Row],[name]]), "")</f>
        <v/>
      </c>
      <c r="O510" s="1" t="str">
        <f>IF(Teams[[#This Row],[relevant]], SUMIFS(Fixtures[YC], Fixtures[userTeam], Teams[[#This Row],[name]]), "")</f>
        <v/>
      </c>
      <c r="P510" s="1" t="str">
        <f>IF(Teams[[#This Row],[relevant]], SUMIFS(Fixtures[RC], Fixtures[userTeam], Teams[[#This Row],[name]]), "")</f>
        <v/>
      </c>
      <c r="Q510" s="13" t="str">
        <f>IF(Teams[[#This Row],[relevant]], IF(ISERROR(AVERAGEIFS(Fixtures[MR], Fixtures[userTeam], Teams[[#This Row],[name]])), 0, AVERAGEIFS(Fixtures[MR], Fixtures[userTeam], Teams[[#This Row],[name]])), "")</f>
        <v/>
      </c>
      <c r="R510" s="1" t="str">
        <f>IF(Teams[[#This Row],[relevant]], COUNTIFS(Fixtures[userTeam], Teams[[#This Row],[name]], Fixtures[MOTM], TRUE), "")</f>
        <v/>
      </c>
      <c r="S510" s="1" t="str" cm="1">
        <f t="array" ref="S510">IF(Teams[[#This Row],[relevant]], _xlfn.TEXTJOIN(", ", TRUE, _xlfn._xlws.FILTER(Stats[competition]&amp;" ("&amp;Stats[season]&amp;")",(Stats[team]=Teams[[#This Row],[name]])*(Stats[result]="Winner"),"")), "")</f>
        <v/>
      </c>
    </row>
    <row r="511" spans="1:19" ht="13" hidden="1">
      <c r="A511" s="1" t="s">
        <v>850</v>
      </c>
      <c r="B511" s="1" t="s">
        <v>398</v>
      </c>
      <c r="C511" s="1" t="s">
        <v>391</v>
      </c>
      <c r="D511" s="1" t="str">
        <f>UPPER(_xlfn.CONCAT(LEFT(Teams[[#This Row],[teamType]], 1), "-", LEFT(SUBSTITUTE(Teams[[#This Row],[nation]], "/", ""), 3), "-", SUBSTITUTE(SUBSTITUTE(SUBSTITUTE(Teams[[#This Row],[name]], ".", ""), " ", ""), "-", "")))</f>
        <v>C-DEN-RANDERSFC</v>
      </c>
      <c r="E511" s="16"/>
      <c r="F511" s="16"/>
      <c r="G511" s="1" t="b">
        <f>COUNTBLANK(Teams[[#This Row],[startDate]:[endDate]]) &lt; 2</f>
        <v>0</v>
      </c>
      <c r="H511" s="1" t="str">
        <f>IF(Teams[[#This Row],[relevant]], COUNTIFS(Fixtures[userTeam], Teams[[#This Row],[name]], Fixtures[APP], TRUE), "")</f>
        <v/>
      </c>
      <c r="I511" s="1" t="str">
        <f>IF(Teams[[#This Row],[relevant]], COUNTIFS(Fixtures[userTeam], Teams[[#This Row],[name]], Fixtures[result], "W", Fixtures[APP], TRUE), "")</f>
        <v/>
      </c>
      <c r="J511" s="1" t="str">
        <f>IF(Teams[[#This Row],[relevant]], COUNTIFS(Fixtures[userTeam], Teams[[#This Row],[name]], Fixtures[result], "D", Fixtures[APP], TRUE), "")</f>
        <v/>
      </c>
      <c r="K511" s="1" t="str">
        <f>IF(Teams[[#This Row],[relevant]], COUNTIFS(Fixtures[userTeam], Teams[[#This Row],[name]], Fixtures[result], "L", Fixtures[APP], TRUE), "")</f>
        <v/>
      </c>
      <c r="L511" s="1" t="str">
        <f>IF(Teams[[#This Row],[relevant]], SUMIFS(Fixtures[G], Fixtures[userTeam], Teams[[#This Row],[name]]), "")</f>
        <v/>
      </c>
      <c r="M511" s="1" t="str">
        <f>IF(Teams[[#This Row],[relevant]], SUMIFS(Fixtures[A], Fixtures[userTeam], Teams[[#This Row],[name]]), "")</f>
        <v/>
      </c>
      <c r="N511" s="1" t="str">
        <f>IF(Teams[[#This Row],[relevant]], SUMIFS(Fixtures[INV], Fixtures[userTeam], Teams[[#This Row],[name]]), "")</f>
        <v/>
      </c>
      <c r="O511" s="1" t="str">
        <f>IF(Teams[[#This Row],[relevant]], SUMIFS(Fixtures[YC], Fixtures[userTeam], Teams[[#This Row],[name]]), "")</f>
        <v/>
      </c>
      <c r="P511" s="1" t="str">
        <f>IF(Teams[[#This Row],[relevant]], SUMIFS(Fixtures[RC], Fixtures[userTeam], Teams[[#This Row],[name]]), "")</f>
        <v/>
      </c>
      <c r="Q511" s="13" t="str">
        <f>IF(Teams[[#This Row],[relevant]], IF(ISERROR(AVERAGEIFS(Fixtures[MR], Fixtures[userTeam], Teams[[#This Row],[name]])), 0, AVERAGEIFS(Fixtures[MR], Fixtures[userTeam], Teams[[#This Row],[name]])), "")</f>
        <v/>
      </c>
      <c r="R511" s="1" t="str">
        <f>IF(Teams[[#This Row],[relevant]], COUNTIFS(Fixtures[userTeam], Teams[[#This Row],[name]], Fixtures[MOTM], TRUE), "")</f>
        <v/>
      </c>
      <c r="S511" s="1" t="str" cm="1">
        <f t="array" ref="S511">IF(Teams[[#This Row],[relevant]], _xlfn.TEXTJOIN(", ", TRUE, _xlfn._xlws.FILTER(Stats[competition]&amp;" ("&amp;Stats[season]&amp;")",(Stats[team]=Teams[[#This Row],[name]])*(Stats[result]="Winner"),"")), "")</f>
        <v/>
      </c>
    </row>
    <row r="512" spans="1:19" ht="13" hidden="1">
      <c r="A512" s="1" t="s">
        <v>159</v>
      </c>
      <c r="B512" s="1" t="s">
        <v>401</v>
      </c>
      <c r="C512" s="1" t="s">
        <v>391</v>
      </c>
      <c r="D512" s="1" t="str">
        <f>UPPER(_xlfn.CONCAT(LEFT(Teams[[#This Row],[teamType]], 1), "-", LEFT(SUBSTITUTE(Teams[[#This Row],[nation]], "/", ""), 3), "-", SUBSTITUTE(SUBSTITUTE(SUBSTITUTE(Teams[[#This Row],[name]], ".", ""), " ", ""), "-", "")))</f>
        <v>C-SCO-RANGERS</v>
      </c>
      <c r="E512" s="16"/>
      <c r="F512" s="16"/>
      <c r="G512" s="1" t="b">
        <f>COUNTBLANK(Teams[[#This Row],[startDate]:[endDate]]) &lt; 2</f>
        <v>0</v>
      </c>
      <c r="H512" s="1" t="str">
        <f>IF(Teams[[#This Row],[relevant]], COUNTIFS(Fixtures[userTeam], Teams[[#This Row],[name]], Fixtures[APP], TRUE), "")</f>
        <v/>
      </c>
      <c r="I512" s="1" t="str">
        <f>IF(Teams[[#This Row],[relevant]], COUNTIFS(Fixtures[userTeam], Teams[[#This Row],[name]], Fixtures[result], "W", Fixtures[APP], TRUE), "")</f>
        <v/>
      </c>
      <c r="J512" s="1" t="str">
        <f>IF(Teams[[#This Row],[relevant]], COUNTIFS(Fixtures[userTeam], Teams[[#This Row],[name]], Fixtures[result], "D", Fixtures[APP], TRUE), "")</f>
        <v/>
      </c>
      <c r="K512" s="1" t="str">
        <f>IF(Teams[[#This Row],[relevant]], COUNTIFS(Fixtures[userTeam], Teams[[#This Row],[name]], Fixtures[result], "L", Fixtures[APP], TRUE), "")</f>
        <v/>
      </c>
      <c r="L512" s="1" t="str">
        <f>IF(Teams[[#This Row],[relevant]], SUMIFS(Fixtures[G], Fixtures[userTeam], Teams[[#This Row],[name]]), "")</f>
        <v/>
      </c>
      <c r="M512" s="1" t="str">
        <f>IF(Teams[[#This Row],[relevant]], SUMIFS(Fixtures[A], Fixtures[userTeam], Teams[[#This Row],[name]]), "")</f>
        <v/>
      </c>
      <c r="N512" s="1" t="str">
        <f>IF(Teams[[#This Row],[relevant]], SUMIFS(Fixtures[INV], Fixtures[userTeam], Teams[[#This Row],[name]]), "")</f>
        <v/>
      </c>
      <c r="O512" s="1" t="str">
        <f>IF(Teams[[#This Row],[relevant]], SUMIFS(Fixtures[YC], Fixtures[userTeam], Teams[[#This Row],[name]]), "")</f>
        <v/>
      </c>
      <c r="P512" s="1" t="str">
        <f>IF(Teams[[#This Row],[relevant]], SUMIFS(Fixtures[RC], Fixtures[userTeam], Teams[[#This Row],[name]]), "")</f>
        <v/>
      </c>
      <c r="Q512" s="13" t="str">
        <f>IF(Teams[[#This Row],[relevant]], IF(ISERROR(AVERAGEIFS(Fixtures[MR], Fixtures[userTeam], Teams[[#This Row],[name]])), 0, AVERAGEIFS(Fixtures[MR], Fixtures[userTeam], Teams[[#This Row],[name]])), "")</f>
        <v/>
      </c>
      <c r="R512" s="1" t="str">
        <f>IF(Teams[[#This Row],[relevant]], COUNTIFS(Fixtures[userTeam], Teams[[#This Row],[name]], Fixtures[MOTM], TRUE), "")</f>
        <v/>
      </c>
      <c r="S512" s="1" t="str" cm="1">
        <f t="array" ref="S512">IF(Teams[[#This Row],[relevant]], _xlfn.TEXTJOIN(", ", TRUE, _xlfn._xlws.FILTER(Stats[competition]&amp;" ("&amp;Stats[season]&amp;")",(Stats[team]=Teams[[#This Row],[name]])*(Stats[result]="Winner"),"")), "")</f>
        <v/>
      </c>
    </row>
    <row r="513" spans="1:19" ht="13" hidden="1">
      <c r="A513" s="1" t="s">
        <v>851</v>
      </c>
      <c r="B513" s="1" t="s">
        <v>163</v>
      </c>
      <c r="C513" s="1" t="s">
        <v>391</v>
      </c>
      <c r="D513" s="1" t="str">
        <f>UPPER(_xlfn.CONCAT(LEFT(Teams[[#This Row],[teamType]], 1), "-", LEFT(SUBSTITUTE(Teams[[#This Row],[nation]], "/", ""), 3), "-", SUBSTITUTE(SUBSTITUTE(SUBSTITUTE(Teams[[#This Row],[name]], ".", ""), " ", ""), "-", "")))</f>
        <v>C-SPA-RAYOVALLECANO</v>
      </c>
      <c r="E513" s="16"/>
      <c r="F513" s="16"/>
      <c r="G513" s="1" t="b">
        <f>COUNTBLANK(Teams[[#This Row],[startDate]:[endDate]]) &lt; 2</f>
        <v>0</v>
      </c>
      <c r="H513" s="1" t="str">
        <f>IF(Teams[[#This Row],[relevant]], COUNTIFS(Fixtures[userTeam], Teams[[#This Row],[name]], Fixtures[APP], TRUE), "")</f>
        <v/>
      </c>
      <c r="I513" s="1" t="str">
        <f>IF(Teams[[#This Row],[relevant]], COUNTIFS(Fixtures[userTeam], Teams[[#This Row],[name]], Fixtures[result], "W", Fixtures[APP], TRUE), "")</f>
        <v/>
      </c>
      <c r="J513" s="1" t="str">
        <f>IF(Teams[[#This Row],[relevant]], COUNTIFS(Fixtures[userTeam], Teams[[#This Row],[name]], Fixtures[result], "D", Fixtures[APP], TRUE), "")</f>
        <v/>
      </c>
      <c r="K513" s="1" t="str">
        <f>IF(Teams[[#This Row],[relevant]], COUNTIFS(Fixtures[userTeam], Teams[[#This Row],[name]], Fixtures[result], "L", Fixtures[APP], TRUE), "")</f>
        <v/>
      </c>
      <c r="L513" s="1" t="str">
        <f>IF(Teams[[#This Row],[relevant]], SUMIFS(Fixtures[G], Fixtures[userTeam], Teams[[#This Row],[name]]), "")</f>
        <v/>
      </c>
      <c r="M513" s="1" t="str">
        <f>IF(Teams[[#This Row],[relevant]], SUMIFS(Fixtures[A], Fixtures[userTeam], Teams[[#This Row],[name]]), "")</f>
        <v/>
      </c>
      <c r="N513" s="1" t="str">
        <f>IF(Teams[[#This Row],[relevant]], SUMIFS(Fixtures[INV], Fixtures[userTeam], Teams[[#This Row],[name]]), "")</f>
        <v/>
      </c>
      <c r="O513" s="1" t="str">
        <f>IF(Teams[[#This Row],[relevant]], SUMIFS(Fixtures[YC], Fixtures[userTeam], Teams[[#This Row],[name]]), "")</f>
        <v/>
      </c>
      <c r="P513" s="1" t="str">
        <f>IF(Teams[[#This Row],[relevant]], SUMIFS(Fixtures[RC], Fixtures[userTeam], Teams[[#This Row],[name]]), "")</f>
        <v/>
      </c>
      <c r="Q513" s="13" t="str">
        <f>IF(Teams[[#This Row],[relevant]], IF(ISERROR(AVERAGEIFS(Fixtures[MR], Fixtures[userTeam], Teams[[#This Row],[name]])), 0, AVERAGEIFS(Fixtures[MR], Fixtures[userTeam], Teams[[#This Row],[name]])), "")</f>
        <v/>
      </c>
      <c r="R513" s="1" t="str">
        <f>IF(Teams[[#This Row],[relevant]], COUNTIFS(Fixtures[userTeam], Teams[[#This Row],[name]], Fixtures[MOTM], TRUE), "")</f>
        <v/>
      </c>
      <c r="S513" s="1" t="str" cm="1">
        <f t="array" ref="S513">IF(Teams[[#This Row],[relevant]], _xlfn.TEXTJOIN(", ", TRUE, _xlfn._xlws.FILTER(Stats[competition]&amp;" ("&amp;Stats[season]&amp;")",(Stats[team]=Teams[[#This Row],[name]])*(Stats[result]="Winner"),"")), "")</f>
        <v/>
      </c>
    </row>
    <row r="514" spans="1:19" ht="13" hidden="1">
      <c r="A514" s="1" t="s">
        <v>852</v>
      </c>
      <c r="B514" s="1" t="s">
        <v>451</v>
      </c>
      <c r="C514" s="1" t="s">
        <v>391</v>
      </c>
      <c r="D514" s="1" t="str">
        <f>UPPER(_xlfn.CONCAT(LEFT(Teams[[#This Row],[teamType]], 1), "-", LEFT(SUBSTITUTE(Teams[[#This Row],[nation]], "/", ""), 3), "-", SUBSTITUTE(SUBSTITUTE(SUBSTITUTE(Teams[[#This Row],[name]], ".", ""), " ", ""), "-", "")))</f>
        <v>C-BRA-RBBRAGANTINO</v>
      </c>
      <c r="E514" s="16"/>
      <c r="F514" s="16"/>
      <c r="G514" s="1" t="b">
        <f>COUNTBLANK(Teams[[#This Row],[startDate]:[endDate]]) &lt; 2</f>
        <v>0</v>
      </c>
      <c r="H514" s="1" t="str">
        <f>IF(Teams[[#This Row],[relevant]], COUNTIFS(Fixtures[userTeam], Teams[[#This Row],[name]], Fixtures[APP], TRUE), "")</f>
        <v/>
      </c>
      <c r="I514" s="1" t="str">
        <f>IF(Teams[[#This Row],[relevant]], COUNTIFS(Fixtures[userTeam], Teams[[#This Row],[name]], Fixtures[result], "W", Fixtures[APP], TRUE), "")</f>
        <v/>
      </c>
      <c r="J514" s="1" t="str">
        <f>IF(Teams[[#This Row],[relevant]], COUNTIFS(Fixtures[userTeam], Teams[[#This Row],[name]], Fixtures[result], "D", Fixtures[APP], TRUE), "")</f>
        <v/>
      </c>
      <c r="K514" s="1" t="str">
        <f>IF(Teams[[#This Row],[relevant]], COUNTIFS(Fixtures[userTeam], Teams[[#This Row],[name]], Fixtures[result], "L", Fixtures[APP], TRUE), "")</f>
        <v/>
      </c>
      <c r="L514" s="1" t="str">
        <f>IF(Teams[[#This Row],[relevant]], SUMIFS(Fixtures[G], Fixtures[userTeam], Teams[[#This Row],[name]]), "")</f>
        <v/>
      </c>
      <c r="M514" s="1" t="str">
        <f>IF(Teams[[#This Row],[relevant]], SUMIFS(Fixtures[A], Fixtures[userTeam], Teams[[#This Row],[name]]), "")</f>
        <v/>
      </c>
      <c r="N514" s="1" t="str">
        <f>IF(Teams[[#This Row],[relevant]], SUMIFS(Fixtures[INV], Fixtures[userTeam], Teams[[#This Row],[name]]), "")</f>
        <v/>
      </c>
      <c r="O514" s="1" t="str">
        <f>IF(Teams[[#This Row],[relevant]], SUMIFS(Fixtures[YC], Fixtures[userTeam], Teams[[#This Row],[name]]), "")</f>
        <v/>
      </c>
      <c r="P514" s="1" t="str">
        <f>IF(Teams[[#This Row],[relevant]], SUMIFS(Fixtures[RC], Fixtures[userTeam], Teams[[#This Row],[name]]), "")</f>
        <v/>
      </c>
      <c r="Q514" s="13" t="str">
        <f>IF(Teams[[#This Row],[relevant]], IF(ISERROR(AVERAGEIFS(Fixtures[MR], Fixtures[userTeam], Teams[[#This Row],[name]])), 0, AVERAGEIFS(Fixtures[MR], Fixtures[userTeam], Teams[[#This Row],[name]])), "")</f>
        <v/>
      </c>
      <c r="R514" s="1" t="str">
        <f>IF(Teams[[#This Row],[relevant]], COUNTIFS(Fixtures[userTeam], Teams[[#This Row],[name]], Fixtures[MOTM], TRUE), "")</f>
        <v/>
      </c>
      <c r="S514" s="1" t="str" cm="1">
        <f t="array" ref="S514">IF(Teams[[#This Row],[relevant]], _xlfn.TEXTJOIN(", ", TRUE, _xlfn._xlws.FILTER(Stats[competition]&amp;" ("&amp;Stats[season]&amp;")",(Stats[team]=Teams[[#This Row],[name]])*(Stats[result]="Winner"),"")), "")</f>
        <v/>
      </c>
    </row>
    <row r="515" spans="1:19" ht="13">
      <c r="A515" s="1" t="s">
        <v>262</v>
      </c>
      <c r="B515" s="1" t="s">
        <v>337</v>
      </c>
      <c r="C515" s="1" t="s">
        <v>391</v>
      </c>
      <c r="D515" s="1" t="str">
        <f>UPPER(_xlfn.CONCAT(LEFT(Teams[[#This Row],[teamType]], 1), "-", LEFT(SUBSTITUTE(Teams[[#This Row],[nation]], "/", ""), 3), "-", SUBSTITUTE(SUBSTITUTE(SUBSTITUTE(Teams[[#This Row],[name]], ".", ""), " ", ""), "-", "")))</f>
        <v>C-GER-RBLEIPZIG</v>
      </c>
      <c r="E515" s="16">
        <v>45839</v>
      </c>
      <c r="F515" s="16">
        <v>46203</v>
      </c>
      <c r="G515" s="1" t="b">
        <f>COUNTBLANK(Teams[[#This Row],[startDate]:[endDate]]) &lt; 2</f>
        <v>1</v>
      </c>
      <c r="H515" s="1">
        <f>IF(Teams[[#This Row],[relevant]], COUNTIFS(Fixtures[userTeam], Teams[[#This Row],[name]], Fixtures[APP], TRUE), "")</f>
        <v>48</v>
      </c>
      <c r="I515" s="1">
        <f>IF(Teams[[#This Row],[relevant]], COUNTIFS(Fixtures[userTeam], Teams[[#This Row],[name]], Fixtures[result], "W", Fixtures[APP], TRUE), "")</f>
        <v>27</v>
      </c>
      <c r="J515" s="1">
        <f>IF(Teams[[#This Row],[relevant]], COUNTIFS(Fixtures[userTeam], Teams[[#This Row],[name]], Fixtures[result], "D", Fixtures[APP], TRUE), "")</f>
        <v>12</v>
      </c>
      <c r="K515" s="1">
        <f>IF(Teams[[#This Row],[relevant]], COUNTIFS(Fixtures[userTeam], Teams[[#This Row],[name]], Fixtures[result], "L", Fixtures[APP], TRUE), "")</f>
        <v>9</v>
      </c>
      <c r="L515" s="1">
        <f>IF(Teams[[#This Row],[relevant]], SUMIFS(Fixtures[G], Fixtures[userTeam], Teams[[#This Row],[name]]), "")</f>
        <v>11</v>
      </c>
      <c r="M515" s="1">
        <f>IF(Teams[[#This Row],[relevant]], SUMIFS(Fixtures[A], Fixtures[userTeam], Teams[[#This Row],[name]]), "")</f>
        <v>19</v>
      </c>
      <c r="N515" s="1">
        <f>IF(Teams[[#This Row],[relevant]], SUMIFS(Fixtures[INV], Fixtures[userTeam], Teams[[#This Row],[name]]), "")</f>
        <v>30</v>
      </c>
      <c r="O515" s="1">
        <f>IF(Teams[[#This Row],[relevant]], SUMIFS(Fixtures[YC], Fixtures[userTeam], Teams[[#This Row],[name]]), "")</f>
        <v>1</v>
      </c>
      <c r="P515" s="1">
        <f>IF(Teams[[#This Row],[relevant]], SUMIFS(Fixtures[RC], Fixtures[userTeam], Teams[[#This Row],[name]]), "")</f>
        <v>0</v>
      </c>
      <c r="Q515" s="13">
        <f>IF(Teams[[#This Row],[relevant]], IF(ISERROR(AVERAGEIFS(Fixtures[MR], Fixtures[userTeam], Teams[[#This Row],[name]])), 0, AVERAGEIFS(Fixtures[MR], Fixtures[userTeam], Teams[[#This Row],[name]])), "")</f>
        <v>7.5479166666666657</v>
      </c>
      <c r="R515" s="1">
        <f>IF(Teams[[#This Row],[relevant]], COUNTIFS(Fixtures[userTeam], Teams[[#This Row],[name]], Fixtures[MOTM], TRUE), "")</f>
        <v>16</v>
      </c>
      <c r="S515" s="1" t="str" cm="1">
        <f t="array" aca="1" ref="S515" ca="1">IF(Teams[[#This Row],[relevant]], _xlfn.TEXTJOIN(", ", TRUE, _xlfn._xlws.FILTER(Stats[competition]&amp;" ("&amp;Stats[season]&amp;")",(Stats[team]=Teams[[#This Row],[name]])*(Stats[result]="Winner"),"")), "")</f>
        <v/>
      </c>
    </row>
    <row r="516" spans="1:19" ht="13" hidden="1">
      <c r="A516" s="1" t="s">
        <v>853</v>
      </c>
      <c r="B516" s="1" t="s">
        <v>414</v>
      </c>
      <c r="C516" s="1" t="s">
        <v>391</v>
      </c>
      <c r="D516" s="1" t="str">
        <f>UPPER(_xlfn.CONCAT(LEFT(Teams[[#This Row],[teamType]], 1), "-", LEFT(SUBSTITUTE(Teams[[#This Row],[nation]], "/", ""), 3), "-", SUBSTITUTE(SUBSTITUTE(SUBSTITUTE(Teams[[#This Row],[name]], ".", ""), " ", ""), "-", "")))</f>
        <v>C-AUS-RBSALZBURG</v>
      </c>
      <c r="E516" s="16"/>
      <c r="F516" s="16"/>
      <c r="G516" s="1" t="b">
        <f>COUNTBLANK(Teams[[#This Row],[startDate]:[endDate]]) &lt; 2</f>
        <v>0</v>
      </c>
      <c r="H516" s="1" t="str">
        <f>IF(Teams[[#This Row],[relevant]], COUNTIFS(Fixtures[userTeam], Teams[[#This Row],[name]], Fixtures[APP], TRUE), "")</f>
        <v/>
      </c>
      <c r="I516" s="1" t="str">
        <f>IF(Teams[[#This Row],[relevant]], COUNTIFS(Fixtures[userTeam], Teams[[#This Row],[name]], Fixtures[result], "W", Fixtures[APP], TRUE), "")</f>
        <v/>
      </c>
      <c r="J516" s="1" t="str">
        <f>IF(Teams[[#This Row],[relevant]], COUNTIFS(Fixtures[userTeam], Teams[[#This Row],[name]], Fixtures[result], "D", Fixtures[APP], TRUE), "")</f>
        <v/>
      </c>
      <c r="K516" s="1" t="str">
        <f>IF(Teams[[#This Row],[relevant]], COUNTIFS(Fixtures[userTeam], Teams[[#This Row],[name]], Fixtures[result], "L", Fixtures[APP], TRUE), "")</f>
        <v/>
      </c>
      <c r="L516" s="1" t="str">
        <f>IF(Teams[[#This Row],[relevant]], SUMIFS(Fixtures[G], Fixtures[userTeam], Teams[[#This Row],[name]]), "")</f>
        <v/>
      </c>
      <c r="M516" s="1" t="str">
        <f>IF(Teams[[#This Row],[relevant]], SUMIFS(Fixtures[A], Fixtures[userTeam], Teams[[#This Row],[name]]), "")</f>
        <v/>
      </c>
      <c r="N516" s="1" t="str">
        <f>IF(Teams[[#This Row],[relevant]], SUMIFS(Fixtures[INV], Fixtures[userTeam], Teams[[#This Row],[name]]), "")</f>
        <v/>
      </c>
      <c r="O516" s="1" t="str">
        <f>IF(Teams[[#This Row],[relevant]], SUMIFS(Fixtures[YC], Fixtures[userTeam], Teams[[#This Row],[name]]), "")</f>
        <v/>
      </c>
      <c r="P516" s="1" t="str">
        <f>IF(Teams[[#This Row],[relevant]], SUMIFS(Fixtures[RC], Fixtures[userTeam], Teams[[#This Row],[name]]), "")</f>
        <v/>
      </c>
      <c r="Q516" s="13" t="str">
        <f>IF(Teams[[#This Row],[relevant]], IF(ISERROR(AVERAGEIFS(Fixtures[MR], Fixtures[userTeam], Teams[[#This Row],[name]])), 0, AVERAGEIFS(Fixtures[MR], Fixtures[userTeam], Teams[[#This Row],[name]])), "")</f>
        <v/>
      </c>
      <c r="R516" s="1" t="str">
        <f>IF(Teams[[#This Row],[relevant]], COUNTIFS(Fixtures[userTeam], Teams[[#This Row],[name]], Fixtures[MOTM], TRUE), "")</f>
        <v/>
      </c>
      <c r="S516" s="1" t="str" cm="1">
        <f t="array" ref="S516">IF(Teams[[#This Row],[relevant]], _xlfn.TEXTJOIN(", ", TRUE, _xlfn._xlws.FILTER(Stats[competition]&amp;" ("&amp;Stats[season]&amp;")",(Stats[team]=Teams[[#This Row],[name]])*(Stats[result]="Winner"),"")), "")</f>
        <v/>
      </c>
    </row>
    <row r="517" spans="1:19" ht="13" hidden="1">
      <c r="A517" s="1" t="s">
        <v>854</v>
      </c>
      <c r="B517" s="1" t="s">
        <v>163</v>
      </c>
      <c r="C517" s="1" t="s">
        <v>391</v>
      </c>
      <c r="D517" s="1" t="str">
        <f>UPPER(_xlfn.CONCAT(LEFT(Teams[[#This Row],[teamType]], 1), "-", LEFT(SUBSTITUTE(Teams[[#This Row],[nation]], "/", ""), 3), "-", SUBSTITUTE(SUBSTITUTE(SUBSTITUTE(Teams[[#This Row],[name]], ".", ""), " ", ""), "-", "")))</f>
        <v>C-SPA-RCCELTA</v>
      </c>
      <c r="E517" s="16"/>
      <c r="F517" s="16"/>
      <c r="G517" s="1" t="b">
        <f>COUNTBLANK(Teams[[#This Row],[startDate]:[endDate]]) &lt; 2</f>
        <v>0</v>
      </c>
      <c r="H517" s="1" t="str">
        <f>IF(Teams[[#This Row],[relevant]], COUNTIFS(Fixtures[userTeam], Teams[[#This Row],[name]], Fixtures[APP], TRUE), "")</f>
        <v/>
      </c>
      <c r="I517" s="1" t="str">
        <f>IF(Teams[[#This Row],[relevant]], COUNTIFS(Fixtures[userTeam], Teams[[#This Row],[name]], Fixtures[result], "W", Fixtures[APP], TRUE), "")</f>
        <v/>
      </c>
      <c r="J517" s="1" t="str">
        <f>IF(Teams[[#This Row],[relevant]], COUNTIFS(Fixtures[userTeam], Teams[[#This Row],[name]], Fixtures[result], "D", Fixtures[APP], TRUE), "")</f>
        <v/>
      </c>
      <c r="K517" s="1" t="str">
        <f>IF(Teams[[#This Row],[relevant]], COUNTIFS(Fixtures[userTeam], Teams[[#This Row],[name]], Fixtures[result], "L", Fixtures[APP], TRUE), "")</f>
        <v/>
      </c>
      <c r="L517" s="1" t="str">
        <f>IF(Teams[[#This Row],[relevant]], SUMIFS(Fixtures[G], Fixtures[userTeam], Teams[[#This Row],[name]]), "")</f>
        <v/>
      </c>
      <c r="M517" s="1" t="str">
        <f>IF(Teams[[#This Row],[relevant]], SUMIFS(Fixtures[A], Fixtures[userTeam], Teams[[#This Row],[name]]), "")</f>
        <v/>
      </c>
      <c r="N517" s="1" t="str">
        <f>IF(Teams[[#This Row],[relevant]], SUMIFS(Fixtures[INV], Fixtures[userTeam], Teams[[#This Row],[name]]), "")</f>
        <v/>
      </c>
      <c r="O517" s="1" t="str">
        <f>IF(Teams[[#This Row],[relevant]], SUMIFS(Fixtures[YC], Fixtures[userTeam], Teams[[#This Row],[name]]), "")</f>
        <v/>
      </c>
      <c r="P517" s="1" t="str">
        <f>IF(Teams[[#This Row],[relevant]], SUMIFS(Fixtures[RC], Fixtures[userTeam], Teams[[#This Row],[name]]), "")</f>
        <v/>
      </c>
      <c r="Q517" s="13" t="str">
        <f>IF(Teams[[#This Row],[relevant]], IF(ISERROR(AVERAGEIFS(Fixtures[MR], Fixtures[userTeam], Teams[[#This Row],[name]])), 0, AVERAGEIFS(Fixtures[MR], Fixtures[userTeam], Teams[[#This Row],[name]])), "")</f>
        <v/>
      </c>
      <c r="R517" s="1" t="str">
        <f>IF(Teams[[#This Row],[relevant]], COUNTIFS(Fixtures[userTeam], Teams[[#This Row],[name]], Fixtures[MOTM], TRUE), "")</f>
        <v/>
      </c>
      <c r="S517" s="1" t="str" cm="1">
        <f t="array" ref="S517">IF(Teams[[#This Row],[relevant]], _xlfn.TEXTJOIN(", ", TRUE, _xlfn._xlws.FILTER(Stats[competition]&amp;" ("&amp;Stats[season]&amp;")",(Stats[team]=Teams[[#This Row],[name]])*(Stats[result]="Winner"),"")), "")</f>
        <v/>
      </c>
    </row>
    <row r="518" spans="1:19" ht="13" hidden="1">
      <c r="A518" s="1" t="s">
        <v>855</v>
      </c>
      <c r="B518" s="1" t="s">
        <v>339</v>
      </c>
      <c r="C518" s="1" t="s">
        <v>391</v>
      </c>
      <c r="D518" s="1" t="str">
        <f>UPPER(_xlfn.CONCAT(LEFT(Teams[[#This Row],[teamType]], 1), "-", LEFT(SUBSTITUTE(Teams[[#This Row],[nation]], "/", ""), 3), "-", SUBSTITUTE(SUBSTITUTE(SUBSTITUTE(Teams[[#This Row],[name]], ".", ""), " ", ""), "-", "")))</f>
        <v>C-FRA-RCLENS</v>
      </c>
      <c r="E518" s="16"/>
      <c r="F518" s="16"/>
      <c r="G518" s="1" t="b">
        <f>COUNTBLANK(Teams[[#This Row],[startDate]:[endDate]]) &lt; 2</f>
        <v>0</v>
      </c>
      <c r="H518" s="1" t="str">
        <f>IF(Teams[[#This Row],[relevant]], COUNTIFS(Fixtures[userTeam], Teams[[#This Row],[name]], Fixtures[APP], TRUE), "")</f>
        <v/>
      </c>
      <c r="I518" s="1" t="str">
        <f>IF(Teams[[#This Row],[relevant]], COUNTIFS(Fixtures[userTeam], Teams[[#This Row],[name]], Fixtures[result], "W", Fixtures[APP], TRUE), "")</f>
        <v/>
      </c>
      <c r="J518" s="1" t="str">
        <f>IF(Teams[[#This Row],[relevant]], COUNTIFS(Fixtures[userTeam], Teams[[#This Row],[name]], Fixtures[result], "D", Fixtures[APP], TRUE), "")</f>
        <v/>
      </c>
      <c r="K518" s="1" t="str">
        <f>IF(Teams[[#This Row],[relevant]], COUNTIFS(Fixtures[userTeam], Teams[[#This Row],[name]], Fixtures[result], "L", Fixtures[APP], TRUE), "")</f>
        <v/>
      </c>
      <c r="L518" s="1" t="str">
        <f>IF(Teams[[#This Row],[relevant]], SUMIFS(Fixtures[G], Fixtures[userTeam], Teams[[#This Row],[name]]), "")</f>
        <v/>
      </c>
      <c r="M518" s="1" t="str">
        <f>IF(Teams[[#This Row],[relevant]], SUMIFS(Fixtures[A], Fixtures[userTeam], Teams[[#This Row],[name]]), "")</f>
        <v/>
      </c>
      <c r="N518" s="1" t="str">
        <f>IF(Teams[[#This Row],[relevant]], SUMIFS(Fixtures[INV], Fixtures[userTeam], Teams[[#This Row],[name]]), "")</f>
        <v/>
      </c>
      <c r="O518" s="1" t="str">
        <f>IF(Teams[[#This Row],[relevant]], SUMIFS(Fixtures[YC], Fixtures[userTeam], Teams[[#This Row],[name]]), "")</f>
        <v/>
      </c>
      <c r="P518" s="1" t="str">
        <f>IF(Teams[[#This Row],[relevant]], SUMIFS(Fixtures[RC], Fixtures[userTeam], Teams[[#This Row],[name]]), "")</f>
        <v/>
      </c>
      <c r="Q518" s="13" t="str">
        <f>IF(Teams[[#This Row],[relevant]], IF(ISERROR(AVERAGEIFS(Fixtures[MR], Fixtures[userTeam], Teams[[#This Row],[name]])), 0, AVERAGEIFS(Fixtures[MR], Fixtures[userTeam], Teams[[#This Row],[name]])), "")</f>
        <v/>
      </c>
      <c r="R518" s="1" t="str">
        <f>IF(Teams[[#This Row],[relevant]], COUNTIFS(Fixtures[userTeam], Teams[[#This Row],[name]], Fixtures[MOTM], TRUE), "")</f>
        <v/>
      </c>
      <c r="S518" s="1" t="str" cm="1">
        <f t="array" ref="S518">IF(Teams[[#This Row],[relevant]], _xlfn.TEXTJOIN(", ", TRUE, _xlfn._xlws.FILTER(Stats[competition]&amp;" ("&amp;Stats[season]&amp;")",(Stats[team]=Teams[[#This Row],[name]])*(Stats[result]="Winner"),"")), "")</f>
        <v/>
      </c>
    </row>
    <row r="519" spans="1:19" ht="13" hidden="1">
      <c r="A519" s="1" t="s">
        <v>856</v>
      </c>
      <c r="B519" s="1" t="s">
        <v>163</v>
      </c>
      <c r="C519" s="1" t="s">
        <v>391</v>
      </c>
      <c r="D519" s="1" t="str">
        <f>UPPER(_xlfn.CONCAT(LEFT(Teams[[#This Row],[teamType]], 1), "-", LEFT(SUBSTITUTE(Teams[[#This Row],[nation]], "/", ""), 3), "-", SUBSTITUTE(SUBSTITUTE(SUBSTITUTE(Teams[[#This Row],[name]], ".", ""), " ", ""), "-", "")))</f>
        <v>C-SPA-RCDESPANYOL</v>
      </c>
      <c r="E519" s="16"/>
      <c r="F519" s="16"/>
      <c r="G519" s="1" t="b">
        <f>COUNTBLANK(Teams[[#This Row],[startDate]:[endDate]]) &lt; 2</f>
        <v>0</v>
      </c>
      <c r="H519" s="1" t="str">
        <f>IF(Teams[[#This Row],[relevant]], COUNTIFS(Fixtures[userTeam], Teams[[#This Row],[name]], Fixtures[APP], TRUE), "")</f>
        <v/>
      </c>
      <c r="I519" s="1" t="str">
        <f>IF(Teams[[#This Row],[relevant]], COUNTIFS(Fixtures[userTeam], Teams[[#This Row],[name]], Fixtures[result], "W", Fixtures[APP], TRUE), "")</f>
        <v/>
      </c>
      <c r="J519" s="1" t="str">
        <f>IF(Teams[[#This Row],[relevant]], COUNTIFS(Fixtures[userTeam], Teams[[#This Row],[name]], Fixtures[result], "D", Fixtures[APP], TRUE), "")</f>
        <v/>
      </c>
      <c r="K519" s="1" t="str">
        <f>IF(Teams[[#This Row],[relevant]], COUNTIFS(Fixtures[userTeam], Teams[[#This Row],[name]], Fixtures[result], "L", Fixtures[APP], TRUE), "")</f>
        <v/>
      </c>
      <c r="L519" s="1" t="str">
        <f>IF(Teams[[#This Row],[relevant]], SUMIFS(Fixtures[G], Fixtures[userTeam], Teams[[#This Row],[name]]), "")</f>
        <v/>
      </c>
      <c r="M519" s="1" t="str">
        <f>IF(Teams[[#This Row],[relevant]], SUMIFS(Fixtures[A], Fixtures[userTeam], Teams[[#This Row],[name]]), "")</f>
        <v/>
      </c>
      <c r="N519" s="1" t="str">
        <f>IF(Teams[[#This Row],[relevant]], SUMIFS(Fixtures[INV], Fixtures[userTeam], Teams[[#This Row],[name]]), "")</f>
        <v/>
      </c>
      <c r="O519" s="1" t="str">
        <f>IF(Teams[[#This Row],[relevant]], SUMIFS(Fixtures[YC], Fixtures[userTeam], Teams[[#This Row],[name]]), "")</f>
        <v/>
      </c>
      <c r="P519" s="1" t="str">
        <f>IF(Teams[[#This Row],[relevant]], SUMIFS(Fixtures[RC], Fixtures[userTeam], Teams[[#This Row],[name]]), "")</f>
        <v/>
      </c>
      <c r="Q519" s="13" t="str">
        <f>IF(Teams[[#This Row],[relevant]], IF(ISERROR(AVERAGEIFS(Fixtures[MR], Fixtures[userTeam], Teams[[#This Row],[name]])), 0, AVERAGEIFS(Fixtures[MR], Fixtures[userTeam], Teams[[#This Row],[name]])), "")</f>
        <v/>
      </c>
      <c r="R519" s="1" t="str">
        <f>IF(Teams[[#This Row],[relevant]], COUNTIFS(Fixtures[userTeam], Teams[[#This Row],[name]], Fixtures[MOTM], TRUE), "")</f>
        <v/>
      </c>
      <c r="S519" s="1" t="str" cm="1">
        <f t="array" ref="S519">IF(Teams[[#This Row],[relevant]], _xlfn.TEXTJOIN(", ", TRUE, _xlfn._xlws.FILTER(Stats[competition]&amp;" ("&amp;Stats[season]&amp;")",(Stats[team]=Teams[[#This Row],[name]])*(Stats[result]="Winner"),"")), "")</f>
        <v/>
      </c>
    </row>
    <row r="520" spans="1:19" ht="13" hidden="1">
      <c r="A520" s="1" t="s">
        <v>857</v>
      </c>
      <c r="B520" s="1" t="s">
        <v>163</v>
      </c>
      <c r="C520" s="1" t="s">
        <v>391</v>
      </c>
      <c r="D520" s="1" t="str">
        <f>UPPER(_xlfn.CONCAT(LEFT(Teams[[#This Row],[teamType]], 1), "-", LEFT(SUBSTITUTE(Teams[[#This Row],[nation]], "/", ""), 3), "-", SUBSTITUTE(SUBSTITUTE(SUBSTITUTE(Teams[[#This Row],[name]], ".", ""), " ", ""), "-", "")))</f>
        <v>C-SPA-RCDMALLORCA</v>
      </c>
      <c r="E520" s="16"/>
      <c r="F520" s="16"/>
      <c r="G520" s="1" t="b">
        <f>COUNTBLANK(Teams[[#This Row],[startDate]:[endDate]]) &lt; 2</f>
        <v>0</v>
      </c>
      <c r="H520" s="1" t="str">
        <f>IF(Teams[[#This Row],[relevant]], COUNTIFS(Fixtures[userTeam], Teams[[#This Row],[name]], Fixtures[APP], TRUE), "")</f>
        <v/>
      </c>
      <c r="I520" s="1" t="str">
        <f>IF(Teams[[#This Row],[relevant]], COUNTIFS(Fixtures[userTeam], Teams[[#This Row],[name]], Fixtures[result], "W", Fixtures[APP], TRUE), "")</f>
        <v/>
      </c>
      <c r="J520" s="1" t="str">
        <f>IF(Teams[[#This Row],[relevant]], COUNTIFS(Fixtures[userTeam], Teams[[#This Row],[name]], Fixtures[result], "D", Fixtures[APP], TRUE), "")</f>
        <v/>
      </c>
      <c r="K520" s="1" t="str">
        <f>IF(Teams[[#This Row],[relevant]], COUNTIFS(Fixtures[userTeam], Teams[[#This Row],[name]], Fixtures[result], "L", Fixtures[APP], TRUE), "")</f>
        <v/>
      </c>
      <c r="L520" s="1" t="str">
        <f>IF(Teams[[#This Row],[relevant]], SUMIFS(Fixtures[G], Fixtures[userTeam], Teams[[#This Row],[name]]), "")</f>
        <v/>
      </c>
      <c r="M520" s="1" t="str">
        <f>IF(Teams[[#This Row],[relevant]], SUMIFS(Fixtures[A], Fixtures[userTeam], Teams[[#This Row],[name]]), "")</f>
        <v/>
      </c>
      <c r="N520" s="1" t="str">
        <f>IF(Teams[[#This Row],[relevant]], SUMIFS(Fixtures[INV], Fixtures[userTeam], Teams[[#This Row],[name]]), "")</f>
        <v/>
      </c>
      <c r="O520" s="1" t="str">
        <f>IF(Teams[[#This Row],[relevant]], SUMIFS(Fixtures[YC], Fixtures[userTeam], Teams[[#This Row],[name]]), "")</f>
        <v/>
      </c>
      <c r="P520" s="1" t="str">
        <f>IF(Teams[[#This Row],[relevant]], SUMIFS(Fixtures[RC], Fixtures[userTeam], Teams[[#This Row],[name]]), "")</f>
        <v/>
      </c>
      <c r="Q520" s="13" t="str">
        <f>IF(Teams[[#This Row],[relevant]], IF(ISERROR(AVERAGEIFS(Fixtures[MR], Fixtures[userTeam], Teams[[#This Row],[name]])), 0, AVERAGEIFS(Fixtures[MR], Fixtures[userTeam], Teams[[#This Row],[name]])), "")</f>
        <v/>
      </c>
      <c r="R520" s="1" t="str">
        <f>IF(Teams[[#This Row],[relevant]], COUNTIFS(Fixtures[userTeam], Teams[[#This Row],[name]], Fixtures[MOTM], TRUE), "")</f>
        <v/>
      </c>
      <c r="S520" s="1" t="str" cm="1">
        <f t="array" ref="S520">IF(Teams[[#This Row],[relevant]], _xlfn.TEXTJOIN(", ", TRUE, _xlfn._xlws.FILTER(Stats[competition]&amp;" ("&amp;Stats[season]&amp;")",(Stats[team]=Teams[[#This Row],[name]])*(Stats[result]="Winner"),"")), "")</f>
        <v/>
      </c>
    </row>
    <row r="521" spans="1:19" ht="13" hidden="1">
      <c r="A521" s="1" t="s">
        <v>858</v>
      </c>
      <c r="B521" s="1" t="s">
        <v>152</v>
      </c>
      <c r="C521" s="1" t="s">
        <v>391</v>
      </c>
      <c r="D521" s="1" t="str">
        <f>UPPER(_xlfn.CONCAT(LEFT(Teams[[#This Row],[teamType]], 1), "-", LEFT(SUBSTITUTE(Teams[[#This Row],[nation]], "/", ""), 3), "-", SUBSTITUTE(SUBSTITUTE(SUBSTITUTE(Teams[[#This Row],[name]], ".", ""), " ", ""), "-", "")))</f>
        <v>C-ENG-READING</v>
      </c>
      <c r="E521" s="16"/>
      <c r="F521" s="16"/>
      <c r="G521" s="1" t="b">
        <f>COUNTBLANK(Teams[[#This Row],[startDate]:[endDate]]) &lt; 2</f>
        <v>0</v>
      </c>
      <c r="H521" s="1" t="str">
        <f>IF(Teams[[#This Row],[relevant]], COUNTIFS(Fixtures[userTeam], Teams[[#This Row],[name]], Fixtures[APP], TRUE), "")</f>
        <v/>
      </c>
      <c r="I521" s="1" t="str">
        <f>IF(Teams[[#This Row],[relevant]], COUNTIFS(Fixtures[userTeam], Teams[[#This Row],[name]], Fixtures[result], "W", Fixtures[APP], TRUE), "")</f>
        <v/>
      </c>
      <c r="J521" s="1" t="str">
        <f>IF(Teams[[#This Row],[relevant]], COUNTIFS(Fixtures[userTeam], Teams[[#This Row],[name]], Fixtures[result], "D", Fixtures[APP], TRUE), "")</f>
        <v/>
      </c>
      <c r="K521" s="1" t="str">
        <f>IF(Teams[[#This Row],[relevant]], COUNTIFS(Fixtures[userTeam], Teams[[#This Row],[name]], Fixtures[result], "L", Fixtures[APP], TRUE), "")</f>
        <v/>
      </c>
      <c r="L521" s="1" t="str">
        <f>IF(Teams[[#This Row],[relevant]], SUMIFS(Fixtures[G], Fixtures[userTeam], Teams[[#This Row],[name]]), "")</f>
        <v/>
      </c>
      <c r="M521" s="1" t="str">
        <f>IF(Teams[[#This Row],[relevant]], SUMIFS(Fixtures[A], Fixtures[userTeam], Teams[[#This Row],[name]]), "")</f>
        <v/>
      </c>
      <c r="N521" s="1" t="str">
        <f>IF(Teams[[#This Row],[relevant]], SUMIFS(Fixtures[INV], Fixtures[userTeam], Teams[[#This Row],[name]]), "")</f>
        <v/>
      </c>
      <c r="O521" s="1" t="str">
        <f>IF(Teams[[#This Row],[relevant]], SUMIFS(Fixtures[YC], Fixtures[userTeam], Teams[[#This Row],[name]]), "")</f>
        <v/>
      </c>
      <c r="P521" s="1" t="str">
        <f>IF(Teams[[#This Row],[relevant]], SUMIFS(Fixtures[RC], Fixtures[userTeam], Teams[[#This Row],[name]]), "")</f>
        <v/>
      </c>
      <c r="Q521" s="13" t="str">
        <f>IF(Teams[[#This Row],[relevant]], IF(ISERROR(AVERAGEIFS(Fixtures[MR], Fixtures[userTeam], Teams[[#This Row],[name]])), 0, AVERAGEIFS(Fixtures[MR], Fixtures[userTeam], Teams[[#This Row],[name]])), "")</f>
        <v/>
      </c>
      <c r="R521" s="1" t="str">
        <f>IF(Teams[[#This Row],[relevant]], COUNTIFS(Fixtures[userTeam], Teams[[#This Row],[name]], Fixtures[MOTM], TRUE), "")</f>
        <v/>
      </c>
      <c r="S521" s="1" t="str" cm="1">
        <f t="array" ref="S521">IF(Teams[[#This Row],[relevant]], _xlfn.TEXTJOIN(", ", TRUE, _xlfn._xlws.FILTER(Stats[competition]&amp;" ("&amp;Stats[season]&amp;")",(Stats[team]=Teams[[#This Row],[name]])*(Stats[result]="Winner"),"")), "")</f>
        <v/>
      </c>
    </row>
    <row r="522" spans="1:19" ht="13" hidden="1">
      <c r="A522" s="1" t="s">
        <v>859</v>
      </c>
      <c r="B522" s="1" t="s">
        <v>163</v>
      </c>
      <c r="C522" s="1" t="s">
        <v>391</v>
      </c>
      <c r="D522" s="1" t="str">
        <f>UPPER(_xlfn.CONCAT(LEFT(Teams[[#This Row],[teamType]], 1), "-", LEFT(SUBSTITUTE(Teams[[#This Row],[nation]], "/", ""), 3), "-", SUBSTITUTE(SUBSTITUTE(SUBSTITUTE(Teams[[#This Row],[name]], ".", ""), " ", ""), "-", "")))</f>
        <v>C-SPA-REALBETIS</v>
      </c>
      <c r="E522" s="16"/>
      <c r="F522" s="16"/>
      <c r="G522" s="1" t="b">
        <f>COUNTBLANK(Teams[[#This Row],[startDate]:[endDate]]) &lt; 2</f>
        <v>0</v>
      </c>
      <c r="H522" s="1" t="str">
        <f>IF(Teams[[#This Row],[relevant]], COUNTIFS(Fixtures[userTeam], Teams[[#This Row],[name]], Fixtures[APP], TRUE), "")</f>
        <v/>
      </c>
      <c r="I522" s="1" t="str">
        <f>IF(Teams[[#This Row],[relevant]], COUNTIFS(Fixtures[userTeam], Teams[[#This Row],[name]], Fixtures[result], "W", Fixtures[APP], TRUE), "")</f>
        <v/>
      </c>
      <c r="J522" s="1" t="str">
        <f>IF(Teams[[#This Row],[relevant]], COUNTIFS(Fixtures[userTeam], Teams[[#This Row],[name]], Fixtures[result], "D", Fixtures[APP], TRUE), "")</f>
        <v/>
      </c>
      <c r="K522" s="1" t="str">
        <f>IF(Teams[[#This Row],[relevant]], COUNTIFS(Fixtures[userTeam], Teams[[#This Row],[name]], Fixtures[result], "L", Fixtures[APP], TRUE), "")</f>
        <v/>
      </c>
      <c r="L522" s="1" t="str">
        <f>IF(Teams[[#This Row],[relevant]], SUMIFS(Fixtures[G], Fixtures[userTeam], Teams[[#This Row],[name]]), "")</f>
        <v/>
      </c>
      <c r="M522" s="1" t="str">
        <f>IF(Teams[[#This Row],[relevant]], SUMIFS(Fixtures[A], Fixtures[userTeam], Teams[[#This Row],[name]]), "")</f>
        <v/>
      </c>
      <c r="N522" s="1" t="str">
        <f>IF(Teams[[#This Row],[relevant]], SUMIFS(Fixtures[INV], Fixtures[userTeam], Teams[[#This Row],[name]]), "")</f>
        <v/>
      </c>
      <c r="O522" s="1" t="str">
        <f>IF(Teams[[#This Row],[relevant]], SUMIFS(Fixtures[YC], Fixtures[userTeam], Teams[[#This Row],[name]]), "")</f>
        <v/>
      </c>
      <c r="P522" s="1" t="str">
        <f>IF(Teams[[#This Row],[relevant]], SUMIFS(Fixtures[RC], Fixtures[userTeam], Teams[[#This Row],[name]]), "")</f>
        <v/>
      </c>
      <c r="Q522" s="13" t="str">
        <f>IF(Teams[[#This Row],[relevant]], IF(ISERROR(AVERAGEIFS(Fixtures[MR], Fixtures[userTeam], Teams[[#This Row],[name]])), 0, AVERAGEIFS(Fixtures[MR], Fixtures[userTeam], Teams[[#This Row],[name]])), "")</f>
        <v/>
      </c>
      <c r="R522" s="1" t="str">
        <f>IF(Teams[[#This Row],[relevant]], COUNTIFS(Fixtures[userTeam], Teams[[#This Row],[name]], Fixtures[MOTM], TRUE), "")</f>
        <v/>
      </c>
      <c r="S522" s="1" t="str" cm="1">
        <f t="array" ref="S522">IF(Teams[[#This Row],[relevant]], _xlfn.TEXTJOIN(", ", TRUE, _xlfn._xlws.FILTER(Stats[competition]&amp;" ("&amp;Stats[season]&amp;")",(Stats[team]=Teams[[#This Row],[name]])*(Stats[result]="Winner"),"")), "")</f>
        <v/>
      </c>
    </row>
    <row r="523" spans="1:19" ht="13" hidden="1">
      <c r="A523" s="1" t="s">
        <v>860</v>
      </c>
      <c r="B523" s="1" t="s">
        <v>163</v>
      </c>
      <c r="C523" s="1" t="s">
        <v>391</v>
      </c>
      <c r="D523" s="1" t="str">
        <f>UPPER(_xlfn.CONCAT(LEFT(Teams[[#This Row],[teamType]], 1), "-", LEFT(SUBSTITUTE(Teams[[#This Row],[nation]], "/", ""), 3), "-", SUBSTITUTE(SUBSTITUTE(SUBSTITUTE(Teams[[#This Row],[name]], ".", ""), " ", ""), "-", "")))</f>
        <v>C-SPA-REALMADRID</v>
      </c>
      <c r="E523" s="16"/>
      <c r="F523" s="16"/>
      <c r="G523" s="16" t="b">
        <f>COUNTBLANK(Teams[[#This Row],[startDate]:[endDate]]) &lt; 2</f>
        <v>0</v>
      </c>
      <c r="H523" s="1" t="str">
        <f>IF(Teams[[#This Row],[relevant]], COUNTIFS(Fixtures[userTeam], Teams[[#This Row],[name]], Fixtures[APP], TRUE), "")</f>
        <v/>
      </c>
      <c r="I523" s="1" t="str">
        <f>IF(Teams[[#This Row],[relevant]], COUNTIFS(Fixtures[userTeam], Teams[[#This Row],[name]], Fixtures[result], "W", Fixtures[APP], TRUE), "")</f>
        <v/>
      </c>
      <c r="J523" s="1" t="str">
        <f>IF(Teams[[#This Row],[relevant]], COUNTIFS(Fixtures[userTeam], Teams[[#This Row],[name]], Fixtures[result], "D", Fixtures[APP], TRUE), "")</f>
        <v/>
      </c>
      <c r="K523" s="1" t="str">
        <f>IF(Teams[[#This Row],[relevant]], COUNTIFS(Fixtures[userTeam], Teams[[#This Row],[name]], Fixtures[result], "L", Fixtures[APP], TRUE), "")</f>
        <v/>
      </c>
      <c r="L523" s="1" t="str">
        <f>IF(Teams[[#This Row],[relevant]], SUMIFS(Fixtures[G], Fixtures[userTeam], Teams[[#This Row],[name]]), "")</f>
        <v/>
      </c>
      <c r="M523" s="1" t="str">
        <f>IF(Teams[[#This Row],[relevant]], SUMIFS(Fixtures[A], Fixtures[userTeam], Teams[[#This Row],[name]]), "")</f>
        <v/>
      </c>
      <c r="N523" s="1" t="str">
        <f>IF(Teams[[#This Row],[relevant]], SUMIFS(Fixtures[INV], Fixtures[userTeam], Teams[[#This Row],[name]]), "")</f>
        <v/>
      </c>
      <c r="O523" s="1" t="str">
        <f>IF(Teams[[#This Row],[relevant]], SUMIFS(Fixtures[YC], Fixtures[userTeam], Teams[[#This Row],[name]]), "")</f>
        <v/>
      </c>
      <c r="P523" s="1" t="str">
        <f>IF(Teams[[#This Row],[relevant]], SUMIFS(Fixtures[RC], Fixtures[userTeam], Teams[[#This Row],[name]]), "")</f>
        <v/>
      </c>
      <c r="Q523" s="13" t="str">
        <f>IF(Teams[[#This Row],[relevant]], IF(ISERROR(AVERAGEIFS(Fixtures[MR], Fixtures[userTeam], Teams[[#This Row],[name]])), 0, AVERAGEIFS(Fixtures[MR], Fixtures[userTeam], Teams[[#This Row],[name]])), "")</f>
        <v/>
      </c>
      <c r="R523" s="1" t="str">
        <f>IF(Teams[[#This Row],[relevant]], COUNTIFS(Fixtures[userTeam], Teams[[#This Row],[name]], Fixtures[MOTM], TRUE), "")</f>
        <v/>
      </c>
      <c r="S523" s="1" t="str" cm="1">
        <f t="array" ref="S523">IF(Teams[[#This Row],[relevant]], _xlfn.TEXTJOIN(", ", TRUE, _xlfn._xlws.FILTER(Stats[competition]&amp;" ("&amp;Stats[season]&amp;")",(Stats[team]=Teams[[#This Row],[name]])*(Stats[result]="Winner"),"")), "")</f>
        <v/>
      </c>
    </row>
    <row r="524" spans="1:19" ht="13" hidden="1">
      <c r="A524" s="1" t="s">
        <v>861</v>
      </c>
      <c r="B524" s="1" t="s">
        <v>16</v>
      </c>
      <c r="C524" s="1" t="s">
        <v>391</v>
      </c>
      <c r="D524" s="1" t="str">
        <f>UPPER(_xlfn.CONCAT(LEFT(Teams[[#This Row],[teamType]], 1), "-", LEFT(SUBSTITUTE(Teams[[#This Row],[nation]], "/", ""), 3), "-", SUBSTITUTE(SUBSTITUTE(SUBSTITUTE(Teams[[#This Row],[name]], ".", ""), " ", ""), "-", "")))</f>
        <v>C-UNI-REALSALTLAKE</v>
      </c>
      <c r="E524" s="16"/>
      <c r="F524" s="16"/>
      <c r="G524" s="1" t="b">
        <f>COUNTBLANK(Teams[[#This Row],[startDate]:[endDate]]) &lt; 2</f>
        <v>0</v>
      </c>
      <c r="H524" s="1" t="str">
        <f>IF(Teams[[#This Row],[relevant]], COUNTIFS(Fixtures[userTeam], Teams[[#This Row],[name]], Fixtures[APP], TRUE), "")</f>
        <v/>
      </c>
      <c r="I524" s="1" t="str">
        <f>IF(Teams[[#This Row],[relevant]], COUNTIFS(Fixtures[userTeam], Teams[[#This Row],[name]], Fixtures[result], "W", Fixtures[APP], TRUE), "")</f>
        <v/>
      </c>
      <c r="J524" s="1" t="str">
        <f>IF(Teams[[#This Row],[relevant]], COUNTIFS(Fixtures[userTeam], Teams[[#This Row],[name]], Fixtures[result], "D", Fixtures[APP], TRUE), "")</f>
        <v/>
      </c>
      <c r="K524" s="1" t="str">
        <f>IF(Teams[[#This Row],[relevant]], COUNTIFS(Fixtures[userTeam], Teams[[#This Row],[name]], Fixtures[result], "L", Fixtures[APP], TRUE), "")</f>
        <v/>
      </c>
      <c r="L524" s="1" t="str">
        <f>IF(Teams[[#This Row],[relevant]], SUMIFS(Fixtures[G], Fixtures[userTeam], Teams[[#This Row],[name]]), "")</f>
        <v/>
      </c>
      <c r="M524" s="1" t="str">
        <f>IF(Teams[[#This Row],[relevant]], SUMIFS(Fixtures[A], Fixtures[userTeam], Teams[[#This Row],[name]]), "")</f>
        <v/>
      </c>
      <c r="N524" s="1" t="str">
        <f>IF(Teams[[#This Row],[relevant]], SUMIFS(Fixtures[INV], Fixtures[userTeam], Teams[[#This Row],[name]]), "")</f>
        <v/>
      </c>
      <c r="O524" s="1" t="str">
        <f>IF(Teams[[#This Row],[relevant]], SUMIFS(Fixtures[YC], Fixtures[userTeam], Teams[[#This Row],[name]]), "")</f>
        <v/>
      </c>
      <c r="P524" s="1" t="str">
        <f>IF(Teams[[#This Row],[relevant]], SUMIFS(Fixtures[RC], Fixtures[userTeam], Teams[[#This Row],[name]]), "")</f>
        <v/>
      </c>
      <c r="Q524" s="13" t="str">
        <f>IF(Teams[[#This Row],[relevant]], IF(ISERROR(AVERAGEIFS(Fixtures[MR], Fixtures[userTeam], Teams[[#This Row],[name]])), 0, AVERAGEIFS(Fixtures[MR], Fixtures[userTeam], Teams[[#This Row],[name]])), "")</f>
        <v/>
      </c>
      <c r="R524" s="1" t="str">
        <f>IF(Teams[[#This Row],[relevant]], COUNTIFS(Fixtures[userTeam], Teams[[#This Row],[name]], Fixtures[MOTM], TRUE), "")</f>
        <v/>
      </c>
      <c r="S524" s="1" t="str" cm="1">
        <f t="array" ref="S524">IF(Teams[[#This Row],[relevant]], _xlfn.TEXTJOIN(", ", TRUE, _xlfn._xlws.FILTER(Stats[competition]&amp;" ("&amp;Stats[season]&amp;")",(Stats[team]=Teams[[#This Row],[name]])*(Stats[result]="Winner"),"")), "")</f>
        <v/>
      </c>
    </row>
    <row r="525" spans="1:19" ht="13" hidden="1">
      <c r="A525" s="1" t="s">
        <v>341</v>
      </c>
      <c r="B525" s="1" t="s">
        <v>163</v>
      </c>
      <c r="C525" s="1" t="s">
        <v>391</v>
      </c>
      <c r="D525" s="1" t="str">
        <f>UPPER(_xlfn.CONCAT(LEFT(Teams[[#This Row],[teamType]], 1), "-", LEFT(SUBSTITUTE(Teams[[#This Row],[nation]], "/", ""), 3), "-", SUBSTITUTE(SUBSTITUTE(SUBSTITUTE(Teams[[#This Row],[name]], ".", ""), " ", ""), "-", "")))</f>
        <v>C-SPA-REALSOCIEDAD</v>
      </c>
      <c r="E525" s="16"/>
      <c r="F525" s="16"/>
      <c r="G525" s="1" t="b">
        <f>COUNTBLANK(Teams[[#This Row],[startDate]:[endDate]]) &lt; 2</f>
        <v>0</v>
      </c>
      <c r="H525" s="1" t="str">
        <f>IF(Teams[[#This Row],[relevant]], COUNTIFS(Fixtures[userTeam], Teams[[#This Row],[name]], Fixtures[APP], TRUE), "")</f>
        <v/>
      </c>
      <c r="I525" s="1" t="str">
        <f>IF(Teams[[#This Row],[relevant]], COUNTIFS(Fixtures[userTeam], Teams[[#This Row],[name]], Fixtures[result], "W", Fixtures[APP], TRUE), "")</f>
        <v/>
      </c>
      <c r="J525" s="1" t="str">
        <f>IF(Teams[[#This Row],[relevant]], COUNTIFS(Fixtures[userTeam], Teams[[#This Row],[name]], Fixtures[result], "D", Fixtures[APP], TRUE), "")</f>
        <v/>
      </c>
      <c r="K525" s="1" t="str">
        <f>IF(Teams[[#This Row],[relevant]], COUNTIFS(Fixtures[userTeam], Teams[[#This Row],[name]], Fixtures[result], "L", Fixtures[APP], TRUE), "")</f>
        <v/>
      </c>
      <c r="L525" s="1" t="str">
        <f>IF(Teams[[#This Row],[relevant]], SUMIFS(Fixtures[G], Fixtures[userTeam], Teams[[#This Row],[name]]), "")</f>
        <v/>
      </c>
      <c r="M525" s="1" t="str">
        <f>IF(Teams[[#This Row],[relevant]], SUMIFS(Fixtures[A], Fixtures[userTeam], Teams[[#This Row],[name]]), "")</f>
        <v/>
      </c>
      <c r="N525" s="1" t="str">
        <f>IF(Teams[[#This Row],[relevant]], SUMIFS(Fixtures[INV], Fixtures[userTeam], Teams[[#This Row],[name]]), "")</f>
        <v/>
      </c>
      <c r="O525" s="1" t="str">
        <f>IF(Teams[[#This Row],[relevant]], SUMIFS(Fixtures[YC], Fixtures[userTeam], Teams[[#This Row],[name]]), "")</f>
        <v/>
      </c>
      <c r="P525" s="1" t="str">
        <f>IF(Teams[[#This Row],[relevant]], SUMIFS(Fixtures[RC], Fixtures[userTeam], Teams[[#This Row],[name]]), "")</f>
        <v/>
      </c>
      <c r="Q525" s="13" t="str">
        <f>IF(Teams[[#This Row],[relevant]], IF(ISERROR(AVERAGEIFS(Fixtures[MR], Fixtures[userTeam], Teams[[#This Row],[name]])), 0, AVERAGEIFS(Fixtures[MR], Fixtures[userTeam], Teams[[#This Row],[name]])), "")</f>
        <v/>
      </c>
      <c r="R525" s="1" t="str">
        <f>IF(Teams[[#This Row],[relevant]], COUNTIFS(Fixtures[userTeam], Teams[[#This Row],[name]], Fixtures[MOTM], TRUE), "")</f>
        <v/>
      </c>
      <c r="S525" s="1" t="str" cm="1">
        <f t="array" ref="S525">IF(Teams[[#This Row],[relevant]], _xlfn.TEXTJOIN(", ", TRUE, _xlfn._xlws.FILTER(Stats[competition]&amp;" ("&amp;Stats[season]&amp;")",(Stats[team]=Teams[[#This Row],[name]])*(Stats[result]="Winner"),"")), "")</f>
        <v/>
      </c>
    </row>
    <row r="526" spans="1:19" ht="13" hidden="1">
      <c r="A526" s="1" t="s">
        <v>862</v>
      </c>
      <c r="B526" s="1" t="s">
        <v>163</v>
      </c>
      <c r="C526" s="1" t="s">
        <v>391</v>
      </c>
      <c r="D526" s="1" t="str">
        <f>UPPER(_xlfn.CONCAT(LEFT(Teams[[#This Row],[teamType]], 1), "-", LEFT(SUBSTITUTE(Teams[[#This Row],[nation]], "/", ""), 3), "-", SUBSTITUTE(SUBSTITUTE(SUBSTITUTE(Teams[[#This Row],[name]], ".", ""), " ", ""), "-", "")))</f>
        <v>C-SPA-REALZARAGOZA</v>
      </c>
      <c r="E526" s="16"/>
      <c r="F526" s="16"/>
      <c r="G526" s="1" t="b">
        <f>COUNTBLANK(Teams[[#This Row],[startDate]:[endDate]]) &lt; 2</f>
        <v>0</v>
      </c>
      <c r="H526" s="1" t="str">
        <f>IF(Teams[[#This Row],[relevant]], COUNTIFS(Fixtures[userTeam], Teams[[#This Row],[name]], Fixtures[APP], TRUE), "")</f>
        <v/>
      </c>
      <c r="I526" s="1" t="str">
        <f>IF(Teams[[#This Row],[relevant]], COUNTIFS(Fixtures[userTeam], Teams[[#This Row],[name]], Fixtures[result], "W", Fixtures[APP], TRUE), "")</f>
        <v/>
      </c>
      <c r="J526" s="1" t="str">
        <f>IF(Teams[[#This Row],[relevant]], COUNTIFS(Fixtures[userTeam], Teams[[#This Row],[name]], Fixtures[result], "D", Fixtures[APP], TRUE), "")</f>
        <v/>
      </c>
      <c r="K526" s="1" t="str">
        <f>IF(Teams[[#This Row],[relevant]], COUNTIFS(Fixtures[userTeam], Teams[[#This Row],[name]], Fixtures[result], "L", Fixtures[APP], TRUE), "")</f>
        <v/>
      </c>
      <c r="L526" s="1" t="str">
        <f>IF(Teams[[#This Row],[relevant]], SUMIFS(Fixtures[G], Fixtures[userTeam], Teams[[#This Row],[name]]), "")</f>
        <v/>
      </c>
      <c r="M526" s="1" t="str">
        <f>IF(Teams[[#This Row],[relevant]], SUMIFS(Fixtures[A], Fixtures[userTeam], Teams[[#This Row],[name]]), "")</f>
        <v/>
      </c>
      <c r="N526" s="1" t="str">
        <f>IF(Teams[[#This Row],[relevant]], SUMIFS(Fixtures[INV], Fixtures[userTeam], Teams[[#This Row],[name]]), "")</f>
        <v/>
      </c>
      <c r="O526" s="1" t="str">
        <f>IF(Teams[[#This Row],[relevant]], SUMIFS(Fixtures[YC], Fixtures[userTeam], Teams[[#This Row],[name]]), "")</f>
        <v/>
      </c>
      <c r="P526" s="1" t="str">
        <f>IF(Teams[[#This Row],[relevant]], SUMIFS(Fixtures[RC], Fixtures[userTeam], Teams[[#This Row],[name]]), "")</f>
        <v/>
      </c>
      <c r="Q526" s="13" t="str">
        <f>IF(Teams[[#This Row],[relevant]], IF(ISERROR(AVERAGEIFS(Fixtures[MR], Fixtures[userTeam], Teams[[#This Row],[name]])), 0, AVERAGEIFS(Fixtures[MR], Fixtures[userTeam], Teams[[#This Row],[name]])), "")</f>
        <v/>
      </c>
      <c r="R526" s="1" t="str">
        <f>IF(Teams[[#This Row],[relevant]], COUNTIFS(Fixtures[userTeam], Teams[[#This Row],[name]], Fixtures[MOTM], TRUE), "")</f>
        <v/>
      </c>
      <c r="S526" s="1" t="str" cm="1">
        <f t="array" ref="S526">IF(Teams[[#This Row],[relevant]], _xlfn.TEXTJOIN(", ", TRUE, _xlfn._xlws.FILTER(Stats[competition]&amp;" ("&amp;Stats[season]&amp;")",(Stats[team]=Teams[[#This Row],[name]])*(Stats[result]="Winner"),"")), "")</f>
        <v/>
      </c>
    </row>
    <row r="527" spans="1:19" ht="13" hidden="1">
      <c r="A527" s="1" t="s">
        <v>863</v>
      </c>
      <c r="B527" s="1" t="s">
        <v>16</v>
      </c>
      <c r="C527" s="1" t="s">
        <v>391</v>
      </c>
      <c r="D527" s="1" t="str">
        <f>UPPER(_xlfn.CONCAT(LEFT(Teams[[#This Row],[teamType]], 1), "-", LEFT(SUBSTITUTE(Teams[[#This Row],[nation]], "/", ""), 3), "-", SUBSTITUTE(SUBSTITUTE(SUBSTITUTE(Teams[[#This Row],[name]], ".", ""), " ", ""), "-", "")))</f>
        <v>C-UNI-REDBULLS</v>
      </c>
      <c r="E527" s="16"/>
      <c r="F527" s="16"/>
      <c r="G527" s="1" t="b">
        <f>COUNTBLANK(Teams[[#This Row],[startDate]:[endDate]]) &lt; 2</f>
        <v>0</v>
      </c>
      <c r="H527" s="1" t="str">
        <f>IF(Teams[[#This Row],[relevant]], COUNTIFS(Fixtures[userTeam], Teams[[#This Row],[name]], Fixtures[APP], TRUE), "")</f>
        <v/>
      </c>
      <c r="I527" s="1" t="str">
        <f>IF(Teams[[#This Row],[relevant]], COUNTIFS(Fixtures[userTeam], Teams[[#This Row],[name]], Fixtures[result], "W", Fixtures[APP], TRUE), "")</f>
        <v/>
      </c>
      <c r="J527" s="1" t="str">
        <f>IF(Teams[[#This Row],[relevant]], COUNTIFS(Fixtures[userTeam], Teams[[#This Row],[name]], Fixtures[result], "D", Fixtures[APP], TRUE), "")</f>
        <v/>
      </c>
      <c r="K527" s="1" t="str">
        <f>IF(Teams[[#This Row],[relevant]], COUNTIFS(Fixtures[userTeam], Teams[[#This Row],[name]], Fixtures[result], "L", Fixtures[APP], TRUE), "")</f>
        <v/>
      </c>
      <c r="L527" s="1" t="str">
        <f>IF(Teams[[#This Row],[relevant]], SUMIFS(Fixtures[G], Fixtures[userTeam], Teams[[#This Row],[name]]), "")</f>
        <v/>
      </c>
      <c r="M527" s="1" t="str">
        <f>IF(Teams[[#This Row],[relevant]], SUMIFS(Fixtures[A], Fixtures[userTeam], Teams[[#This Row],[name]]), "")</f>
        <v/>
      </c>
      <c r="N527" s="1" t="str">
        <f>IF(Teams[[#This Row],[relevant]], SUMIFS(Fixtures[INV], Fixtures[userTeam], Teams[[#This Row],[name]]), "")</f>
        <v/>
      </c>
      <c r="O527" s="1" t="str">
        <f>IF(Teams[[#This Row],[relevant]], SUMIFS(Fixtures[YC], Fixtures[userTeam], Teams[[#This Row],[name]]), "")</f>
        <v/>
      </c>
      <c r="P527" s="1" t="str">
        <f>IF(Teams[[#This Row],[relevant]], SUMIFS(Fixtures[RC], Fixtures[userTeam], Teams[[#This Row],[name]]), "")</f>
        <v/>
      </c>
      <c r="Q527" s="13" t="str">
        <f>IF(Teams[[#This Row],[relevant]], IF(ISERROR(AVERAGEIFS(Fixtures[MR], Fixtures[userTeam], Teams[[#This Row],[name]])), 0, AVERAGEIFS(Fixtures[MR], Fixtures[userTeam], Teams[[#This Row],[name]])), "")</f>
        <v/>
      </c>
      <c r="R527" s="1" t="str">
        <f>IF(Teams[[#This Row],[relevant]], COUNTIFS(Fixtures[userTeam], Teams[[#This Row],[name]], Fixtures[MOTM], TRUE), "")</f>
        <v/>
      </c>
      <c r="S527" s="1" t="str" cm="1">
        <f t="array" ref="S527">IF(Teams[[#This Row],[relevant]], _xlfn.TEXTJOIN(", ", TRUE, _xlfn._xlws.FILTER(Stats[competition]&amp;" ("&amp;Stats[season]&amp;")",(Stats[team]=Teams[[#This Row],[name]])*(Stats[result]="Winner"),"")), "")</f>
        <v/>
      </c>
    </row>
    <row r="528" spans="1:19" ht="13" hidden="1">
      <c r="A528" s="1" t="s">
        <v>864</v>
      </c>
      <c r="B528" s="1" t="s">
        <v>254</v>
      </c>
      <c r="C528" s="1" t="s">
        <v>391</v>
      </c>
      <c r="D528" s="1" t="str">
        <f>UPPER(_xlfn.CONCAT(LEFT(Teams[[#This Row],[teamType]], 1), "-", LEFT(SUBSTITUTE(Teams[[#This Row],[nation]], "/", ""), 3), "-", SUBSTITUTE(SUBSTITUTE(SUBSTITUTE(Teams[[#This Row],[name]], ".", ""), " ", ""), "-", "")))</f>
        <v>C-ITA-REGGINA</v>
      </c>
      <c r="E528" s="16"/>
      <c r="F528" s="16"/>
      <c r="G528" s="1" t="b">
        <f>COUNTBLANK(Teams[[#This Row],[startDate]:[endDate]]) &lt; 2</f>
        <v>0</v>
      </c>
      <c r="H528" s="1" t="str">
        <f>IF(Teams[[#This Row],[relevant]], COUNTIFS(Fixtures[userTeam], Teams[[#This Row],[name]], Fixtures[APP], TRUE), "")</f>
        <v/>
      </c>
      <c r="I528" s="1" t="str">
        <f>IF(Teams[[#This Row],[relevant]], COUNTIFS(Fixtures[userTeam], Teams[[#This Row],[name]], Fixtures[result], "W", Fixtures[APP], TRUE), "")</f>
        <v/>
      </c>
      <c r="J528" s="1" t="str">
        <f>IF(Teams[[#This Row],[relevant]], COUNTIFS(Fixtures[userTeam], Teams[[#This Row],[name]], Fixtures[result], "D", Fixtures[APP], TRUE), "")</f>
        <v/>
      </c>
      <c r="K528" s="1" t="str">
        <f>IF(Teams[[#This Row],[relevant]], COUNTIFS(Fixtures[userTeam], Teams[[#This Row],[name]], Fixtures[result], "L", Fixtures[APP], TRUE), "")</f>
        <v/>
      </c>
      <c r="L528" s="1" t="str">
        <f>IF(Teams[[#This Row],[relevant]], SUMIFS(Fixtures[G], Fixtures[userTeam], Teams[[#This Row],[name]]), "")</f>
        <v/>
      </c>
      <c r="M528" s="1" t="str">
        <f>IF(Teams[[#This Row],[relevant]], SUMIFS(Fixtures[A], Fixtures[userTeam], Teams[[#This Row],[name]]), "")</f>
        <v/>
      </c>
      <c r="N528" s="1" t="str">
        <f>IF(Teams[[#This Row],[relevant]], SUMIFS(Fixtures[INV], Fixtures[userTeam], Teams[[#This Row],[name]]), "")</f>
        <v/>
      </c>
      <c r="O528" s="1" t="str">
        <f>IF(Teams[[#This Row],[relevant]], SUMIFS(Fixtures[YC], Fixtures[userTeam], Teams[[#This Row],[name]]), "")</f>
        <v/>
      </c>
      <c r="P528" s="1" t="str">
        <f>IF(Teams[[#This Row],[relevant]], SUMIFS(Fixtures[RC], Fixtures[userTeam], Teams[[#This Row],[name]]), "")</f>
        <v/>
      </c>
      <c r="Q528" s="13" t="str">
        <f>IF(Teams[[#This Row],[relevant]], IF(ISERROR(AVERAGEIFS(Fixtures[MR], Fixtures[userTeam], Teams[[#This Row],[name]])), 0, AVERAGEIFS(Fixtures[MR], Fixtures[userTeam], Teams[[#This Row],[name]])), "")</f>
        <v/>
      </c>
      <c r="R528" s="1" t="str">
        <f>IF(Teams[[#This Row],[relevant]], COUNTIFS(Fixtures[userTeam], Teams[[#This Row],[name]], Fixtures[MOTM], TRUE), "")</f>
        <v/>
      </c>
      <c r="S528" s="1" t="str" cm="1">
        <f t="array" ref="S528">IF(Teams[[#This Row],[relevant]], _xlfn.TEXTJOIN(", ", TRUE, _xlfn._xlws.FILTER(Stats[competition]&amp;" ("&amp;Stats[season]&amp;")",(Stats[team]=Teams[[#This Row],[name]])*(Stats[result]="Winner"),"")), "")</f>
        <v/>
      </c>
    </row>
    <row r="529" spans="1:19" ht="13" hidden="1">
      <c r="A529" s="1" t="s">
        <v>865</v>
      </c>
      <c r="B529" s="1" t="s">
        <v>144</v>
      </c>
      <c r="C529" s="1" t="s">
        <v>391</v>
      </c>
      <c r="D529" s="1" t="str">
        <f>UPPER(_xlfn.CONCAT(LEFT(Teams[[#This Row],[teamType]], 1), "-", LEFT(SUBSTITUTE(Teams[[#This Row],[nation]], "/", ""), 3), "-", SUBSTITUTE(SUBSTITUTE(SUBSTITUTE(Teams[[#This Row],[name]], ".", ""), " ", ""), "-", "")))</f>
        <v>C-BEL-RFCSERAING</v>
      </c>
      <c r="E529" s="16"/>
      <c r="F529" s="16"/>
      <c r="G529" s="1" t="b">
        <f>COUNTBLANK(Teams[[#This Row],[startDate]:[endDate]]) &lt; 2</f>
        <v>0</v>
      </c>
      <c r="H529" s="1" t="str">
        <f>IF(Teams[[#This Row],[relevant]], COUNTIFS(Fixtures[userTeam], Teams[[#This Row],[name]], Fixtures[APP], TRUE), "")</f>
        <v/>
      </c>
      <c r="I529" s="1" t="str">
        <f>IF(Teams[[#This Row],[relevant]], COUNTIFS(Fixtures[userTeam], Teams[[#This Row],[name]], Fixtures[result], "W", Fixtures[APP], TRUE), "")</f>
        <v/>
      </c>
      <c r="J529" s="1" t="str">
        <f>IF(Teams[[#This Row],[relevant]], COUNTIFS(Fixtures[userTeam], Teams[[#This Row],[name]], Fixtures[result], "D", Fixtures[APP], TRUE), "")</f>
        <v/>
      </c>
      <c r="K529" s="1" t="str">
        <f>IF(Teams[[#This Row],[relevant]], COUNTIFS(Fixtures[userTeam], Teams[[#This Row],[name]], Fixtures[result], "L", Fixtures[APP], TRUE), "")</f>
        <v/>
      </c>
      <c r="L529" s="1" t="str">
        <f>IF(Teams[[#This Row],[relevant]], SUMIFS(Fixtures[G], Fixtures[userTeam], Teams[[#This Row],[name]]), "")</f>
        <v/>
      </c>
      <c r="M529" s="1" t="str">
        <f>IF(Teams[[#This Row],[relevant]], SUMIFS(Fixtures[A], Fixtures[userTeam], Teams[[#This Row],[name]]), "")</f>
        <v/>
      </c>
      <c r="N529" s="1" t="str">
        <f>IF(Teams[[#This Row],[relevant]], SUMIFS(Fixtures[INV], Fixtures[userTeam], Teams[[#This Row],[name]]), "")</f>
        <v/>
      </c>
      <c r="O529" s="1" t="str">
        <f>IF(Teams[[#This Row],[relevant]], SUMIFS(Fixtures[YC], Fixtures[userTeam], Teams[[#This Row],[name]]), "")</f>
        <v/>
      </c>
      <c r="P529" s="1" t="str">
        <f>IF(Teams[[#This Row],[relevant]], SUMIFS(Fixtures[RC], Fixtures[userTeam], Teams[[#This Row],[name]]), "")</f>
        <v/>
      </c>
      <c r="Q529" s="13" t="str">
        <f>IF(Teams[[#This Row],[relevant]], IF(ISERROR(AVERAGEIFS(Fixtures[MR], Fixtures[userTeam], Teams[[#This Row],[name]])), 0, AVERAGEIFS(Fixtures[MR], Fixtures[userTeam], Teams[[#This Row],[name]])), "")</f>
        <v/>
      </c>
      <c r="R529" s="1" t="str">
        <f>IF(Teams[[#This Row],[relevant]], COUNTIFS(Fixtures[userTeam], Teams[[#This Row],[name]], Fixtures[MOTM], TRUE), "")</f>
        <v/>
      </c>
      <c r="S529" s="1" t="str" cm="1">
        <f t="array" ref="S529">IF(Teams[[#This Row],[relevant]], _xlfn.TEXTJOIN(", ", TRUE, _xlfn._xlws.FILTER(Stats[competition]&amp;" ("&amp;Stats[season]&amp;")",(Stats[team]=Teams[[#This Row],[name]])*(Stats[result]="Winner"),"")), "")</f>
        <v/>
      </c>
    </row>
    <row r="530" spans="1:19" ht="13" hidden="1">
      <c r="A530" s="1" t="s">
        <v>866</v>
      </c>
      <c r="B530" s="1" t="s">
        <v>463</v>
      </c>
      <c r="C530" s="1" t="s">
        <v>391</v>
      </c>
      <c r="D530" s="1" t="str">
        <f>UPPER(_xlfn.CONCAT(LEFT(Teams[[#This Row],[teamType]], 1), "-", LEFT(SUBSTITUTE(Teams[[#This Row],[nation]], "/", ""), 3), "-", SUBSTITUTE(SUBSTITUTE(SUBSTITUTE(Teams[[#This Row],[name]], ".", ""), " ", ""), "-", "")))</f>
        <v>C-POR-RIOAVEFC</v>
      </c>
      <c r="E530" s="16"/>
      <c r="F530" s="16"/>
      <c r="G530" s="1" t="b">
        <f>COUNTBLANK(Teams[[#This Row],[startDate]:[endDate]]) &lt; 2</f>
        <v>0</v>
      </c>
      <c r="H530" s="1" t="str">
        <f>IF(Teams[[#This Row],[relevant]], COUNTIFS(Fixtures[userTeam], Teams[[#This Row],[name]], Fixtures[APP], TRUE), "")</f>
        <v/>
      </c>
      <c r="I530" s="1" t="str">
        <f>IF(Teams[[#This Row],[relevant]], COUNTIFS(Fixtures[userTeam], Teams[[#This Row],[name]], Fixtures[result], "W", Fixtures[APP], TRUE), "")</f>
        <v/>
      </c>
      <c r="J530" s="1" t="str">
        <f>IF(Teams[[#This Row],[relevant]], COUNTIFS(Fixtures[userTeam], Teams[[#This Row],[name]], Fixtures[result], "D", Fixtures[APP], TRUE), "")</f>
        <v/>
      </c>
      <c r="K530" s="1" t="str">
        <f>IF(Teams[[#This Row],[relevant]], COUNTIFS(Fixtures[userTeam], Teams[[#This Row],[name]], Fixtures[result], "L", Fixtures[APP], TRUE), "")</f>
        <v/>
      </c>
      <c r="L530" s="1" t="str">
        <f>IF(Teams[[#This Row],[relevant]], SUMIFS(Fixtures[G], Fixtures[userTeam], Teams[[#This Row],[name]]), "")</f>
        <v/>
      </c>
      <c r="M530" s="1" t="str">
        <f>IF(Teams[[#This Row],[relevant]], SUMIFS(Fixtures[A], Fixtures[userTeam], Teams[[#This Row],[name]]), "")</f>
        <v/>
      </c>
      <c r="N530" s="1" t="str">
        <f>IF(Teams[[#This Row],[relevant]], SUMIFS(Fixtures[INV], Fixtures[userTeam], Teams[[#This Row],[name]]), "")</f>
        <v/>
      </c>
      <c r="O530" s="1" t="str">
        <f>IF(Teams[[#This Row],[relevant]], SUMIFS(Fixtures[YC], Fixtures[userTeam], Teams[[#This Row],[name]]), "")</f>
        <v/>
      </c>
      <c r="P530" s="1" t="str">
        <f>IF(Teams[[#This Row],[relevant]], SUMIFS(Fixtures[RC], Fixtures[userTeam], Teams[[#This Row],[name]]), "")</f>
        <v/>
      </c>
      <c r="Q530" s="13" t="str">
        <f>IF(Teams[[#This Row],[relevant]], IF(ISERROR(AVERAGEIFS(Fixtures[MR], Fixtures[userTeam], Teams[[#This Row],[name]])), 0, AVERAGEIFS(Fixtures[MR], Fixtures[userTeam], Teams[[#This Row],[name]])), "")</f>
        <v/>
      </c>
      <c r="R530" s="1" t="str">
        <f>IF(Teams[[#This Row],[relevant]], COUNTIFS(Fixtures[userTeam], Teams[[#This Row],[name]], Fixtures[MOTM], TRUE), "")</f>
        <v/>
      </c>
      <c r="S530" s="1" t="str" cm="1">
        <f t="array" ref="S530">IF(Teams[[#This Row],[relevant]], _xlfn.TEXTJOIN(", ", TRUE, _xlfn._xlws.FILTER(Stats[competition]&amp;" ("&amp;Stats[season]&amp;")",(Stats[team]=Teams[[#This Row],[name]])*(Stats[result]="Winner"),"")), "")</f>
        <v/>
      </c>
    </row>
    <row r="531" spans="1:19" ht="13" hidden="1">
      <c r="A531" s="1" t="s">
        <v>867</v>
      </c>
      <c r="B531" s="1" t="s">
        <v>131</v>
      </c>
      <c r="C531" s="1" t="s">
        <v>391</v>
      </c>
      <c r="D531" s="1" t="str">
        <f>UPPER(_xlfn.CONCAT(LEFT(Teams[[#This Row],[teamType]], 1), "-", LEFT(SUBSTITUTE(Teams[[#This Row],[nation]], "/", ""), 3), "-", SUBSTITUTE(SUBSTITUTE(SUBSTITUTE(Teams[[#This Row],[name]], ".", ""), " ", ""), "-", "")))</f>
        <v>C-ARG-RIVERPLATE</v>
      </c>
      <c r="E531" s="16"/>
      <c r="F531" s="16"/>
      <c r="G531" s="1" t="b">
        <f>COUNTBLANK(Teams[[#This Row],[startDate]:[endDate]]) &lt; 2</f>
        <v>0</v>
      </c>
      <c r="H531" s="1" t="str">
        <f>IF(Teams[[#This Row],[relevant]], COUNTIFS(Fixtures[userTeam], Teams[[#This Row],[name]], Fixtures[APP], TRUE), "")</f>
        <v/>
      </c>
      <c r="I531" s="1" t="str">
        <f>IF(Teams[[#This Row],[relevant]], COUNTIFS(Fixtures[userTeam], Teams[[#This Row],[name]], Fixtures[result], "W", Fixtures[APP], TRUE), "")</f>
        <v/>
      </c>
      <c r="J531" s="1" t="str">
        <f>IF(Teams[[#This Row],[relevant]], COUNTIFS(Fixtures[userTeam], Teams[[#This Row],[name]], Fixtures[result], "D", Fixtures[APP], TRUE), "")</f>
        <v/>
      </c>
      <c r="K531" s="1" t="str">
        <f>IF(Teams[[#This Row],[relevant]], COUNTIFS(Fixtures[userTeam], Teams[[#This Row],[name]], Fixtures[result], "L", Fixtures[APP], TRUE), "")</f>
        <v/>
      </c>
      <c r="L531" s="1" t="str">
        <f>IF(Teams[[#This Row],[relevant]], SUMIFS(Fixtures[G], Fixtures[userTeam], Teams[[#This Row],[name]]), "")</f>
        <v/>
      </c>
      <c r="M531" s="1" t="str">
        <f>IF(Teams[[#This Row],[relevant]], SUMIFS(Fixtures[A], Fixtures[userTeam], Teams[[#This Row],[name]]), "")</f>
        <v/>
      </c>
      <c r="N531" s="1" t="str">
        <f>IF(Teams[[#This Row],[relevant]], SUMIFS(Fixtures[INV], Fixtures[userTeam], Teams[[#This Row],[name]]), "")</f>
        <v/>
      </c>
      <c r="O531" s="1" t="str">
        <f>IF(Teams[[#This Row],[relevant]], SUMIFS(Fixtures[YC], Fixtures[userTeam], Teams[[#This Row],[name]]), "")</f>
        <v/>
      </c>
      <c r="P531" s="1" t="str">
        <f>IF(Teams[[#This Row],[relevant]], SUMIFS(Fixtures[RC], Fixtures[userTeam], Teams[[#This Row],[name]]), "")</f>
        <v/>
      </c>
      <c r="Q531" s="13" t="str">
        <f>IF(Teams[[#This Row],[relevant]], IF(ISERROR(AVERAGEIFS(Fixtures[MR], Fixtures[userTeam], Teams[[#This Row],[name]])), 0, AVERAGEIFS(Fixtures[MR], Fixtures[userTeam], Teams[[#This Row],[name]])), "")</f>
        <v/>
      </c>
      <c r="R531" s="1" t="str">
        <f>IF(Teams[[#This Row],[relevant]], COUNTIFS(Fixtures[userTeam], Teams[[#This Row],[name]], Fixtures[MOTM], TRUE), "")</f>
        <v/>
      </c>
      <c r="S531" s="1" t="str" cm="1">
        <f t="array" ref="S531">IF(Teams[[#This Row],[relevant]], _xlfn.TEXTJOIN(", ", TRUE, _xlfn._xlws.FILTER(Stats[competition]&amp;" ("&amp;Stats[season]&amp;")",(Stats[team]=Teams[[#This Row],[name]])*(Stats[result]="Winner"),"")), "")</f>
        <v/>
      </c>
    </row>
    <row r="532" spans="1:19" ht="13" hidden="1">
      <c r="A532" s="1" t="s">
        <v>868</v>
      </c>
      <c r="B532" s="1" t="s">
        <v>425</v>
      </c>
      <c r="C532" s="1" t="s">
        <v>391</v>
      </c>
      <c r="D532" s="1" t="str">
        <f>UPPER(_xlfn.CONCAT(LEFT(Teams[[#This Row],[teamType]], 1), "-", LEFT(SUBSTITUTE(Teams[[#This Row],[nation]], "/", ""), 3), "-", SUBSTITUTE(SUBSTITUTE(SUBSTITUTE(Teams[[#This Row],[name]], ".", ""), " ", ""), "-", "")))</f>
        <v>C-NET-RKCWAALWIJK</v>
      </c>
      <c r="E532" s="16"/>
      <c r="F532" s="16"/>
      <c r="G532" s="1" t="b">
        <f>COUNTBLANK(Teams[[#This Row],[startDate]:[endDate]]) &lt; 2</f>
        <v>0</v>
      </c>
      <c r="H532" s="1" t="str">
        <f>IF(Teams[[#This Row],[relevant]], COUNTIFS(Fixtures[userTeam], Teams[[#This Row],[name]], Fixtures[APP], TRUE), "")</f>
        <v/>
      </c>
      <c r="I532" s="1" t="str">
        <f>IF(Teams[[#This Row],[relevant]], COUNTIFS(Fixtures[userTeam], Teams[[#This Row],[name]], Fixtures[result], "W", Fixtures[APP], TRUE), "")</f>
        <v/>
      </c>
      <c r="J532" s="1" t="str">
        <f>IF(Teams[[#This Row],[relevant]], COUNTIFS(Fixtures[userTeam], Teams[[#This Row],[name]], Fixtures[result], "D", Fixtures[APP], TRUE), "")</f>
        <v/>
      </c>
      <c r="K532" s="1" t="str">
        <f>IF(Teams[[#This Row],[relevant]], COUNTIFS(Fixtures[userTeam], Teams[[#This Row],[name]], Fixtures[result], "L", Fixtures[APP], TRUE), "")</f>
        <v/>
      </c>
      <c r="L532" s="1" t="str">
        <f>IF(Teams[[#This Row],[relevant]], SUMIFS(Fixtures[G], Fixtures[userTeam], Teams[[#This Row],[name]]), "")</f>
        <v/>
      </c>
      <c r="M532" s="1" t="str">
        <f>IF(Teams[[#This Row],[relevant]], SUMIFS(Fixtures[A], Fixtures[userTeam], Teams[[#This Row],[name]]), "")</f>
        <v/>
      </c>
      <c r="N532" s="1" t="str">
        <f>IF(Teams[[#This Row],[relevant]], SUMIFS(Fixtures[INV], Fixtures[userTeam], Teams[[#This Row],[name]]), "")</f>
        <v/>
      </c>
      <c r="O532" s="1" t="str">
        <f>IF(Teams[[#This Row],[relevant]], SUMIFS(Fixtures[YC], Fixtures[userTeam], Teams[[#This Row],[name]]), "")</f>
        <v/>
      </c>
      <c r="P532" s="1" t="str">
        <f>IF(Teams[[#This Row],[relevant]], SUMIFS(Fixtures[RC], Fixtures[userTeam], Teams[[#This Row],[name]]), "")</f>
        <v/>
      </c>
      <c r="Q532" s="13" t="str">
        <f>IF(Teams[[#This Row],[relevant]], IF(ISERROR(AVERAGEIFS(Fixtures[MR], Fixtures[userTeam], Teams[[#This Row],[name]])), 0, AVERAGEIFS(Fixtures[MR], Fixtures[userTeam], Teams[[#This Row],[name]])), "")</f>
        <v/>
      </c>
      <c r="R532" s="1" t="str">
        <f>IF(Teams[[#This Row],[relevant]], COUNTIFS(Fixtures[userTeam], Teams[[#This Row],[name]], Fixtures[MOTM], TRUE), "")</f>
        <v/>
      </c>
      <c r="S532" s="1" t="str" cm="1">
        <f t="array" ref="S532">IF(Teams[[#This Row],[relevant]], _xlfn.TEXTJOIN(", ", TRUE, _xlfn._xlws.FILTER(Stats[competition]&amp;" ("&amp;Stats[season]&amp;")",(Stats[team]=Teams[[#This Row],[name]])*(Stats[result]="Winner"),"")), "")</f>
        <v/>
      </c>
    </row>
    <row r="533" spans="1:19" ht="13" hidden="1">
      <c r="A533" s="1" t="s">
        <v>869</v>
      </c>
      <c r="B533" s="1" t="s">
        <v>152</v>
      </c>
      <c r="C533" s="1" t="s">
        <v>391</v>
      </c>
      <c r="D533" s="1" t="str">
        <f>UPPER(_xlfn.CONCAT(LEFT(Teams[[#This Row],[teamType]], 1), "-", LEFT(SUBSTITUTE(Teams[[#This Row],[nation]], "/", ""), 3), "-", SUBSTITUTE(SUBSTITUTE(SUBSTITUTE(Teams[[#This Row],[name]], ".", ""), " ", ""), "-", "")))</f>
        <v>C-ENG-ROCHDALE</v>
      </c>
      <c r="E533" s="16"/>
      <c r="F533" s="16"/>
      <c r="G533" s="1" t="b">
        <f>COUNTBLANK(Teams[[#This Row],[startDate]:[endDate]]) &lt; 2</f>
        <v>0</v>
      </c>
      <c r="H533" s="1" t="str">
        <f>IF(Teams[[#This Row],[relevant]], COUNTIFS(Fixtures[userTeam], Teams[[#This Row],[name]], Fixtures[APP], TRUE), "")</f>
        <v/>
      </c>
      <c r="I533" s="1" t="str">
        <f>IF(Teams[[#This Row],[relevant]], COUNTIFS(Fixtures[userTeam], Teams[[#This Row],[name]], Fixtures[result], "W", Fixtures[APP], TRUE), "")</f>
        <v/>
      </c>
      <c r="J533" s="1" t="str">
        <f>IF(Teams[[#This Row],[relevant]], COUNTIFS(Fixtures[userTeam], Teams[[#This Row],[name]], Fixtures[result], "D", Fixtures[APP], TRUE), "")</f>
        <v/>
      </c>
      <c r="K533" s="1" t="str">
        <f>IF(Teams[[#This Row],[relevant]], COUNTIFS(Fixtures[userTeam], Teams[[#This Row],[name]], Fixtures[result], "L", Fixtures[APP], TRUE), "")</f>
        <v/>
      </c>
      <c r="L533" s="1" t="str">
        <f>IF(Teams[[#This Row],[relevant]], SUMIFS(Fixtures[G], Fixtures[userTeam], Teams[[#This Row],[name]]), "")</f>
        <v/>
      </c>
      <c r="M533" s="1" t="str">
        <f>IF(Teams[[#This Row],[relevant]], SUMIFS(Fixtures[A], Fixtures[userTeam], Teams[[#This Row],[name]]), "")</f>
        <v/>
      </c>
      <c r="N533" s="1" t="str">
        <f>IF(Teams[[#This Row],[relevant]], SUMIFS(Fixtures[INV], Fixtures[userTeam], Teams[[#This Row],[name]]), "")</f>
        <v/>
      </c>
      <c r="O533" s="1" t="str">
        <f>IF(Teams[[#This Row],[relevant]], SUMIFS(Fixtures[YC], Fixtures[userTeam], Teams[[#This Row],[name]]), "")</f>
        <v/>
      </c>
      <c r="P533" s="1" t="str">
        <f>IF(Teams[[#This Row],[relevant]], SUMIFS(Fixtures[RC], Fixtures[userTeam], Teams[[#This Row],[name]]), "")</f>
        <v/>
      </c>
      <c r="Q533" s="13" t="str">
        <f>IF(Teams[[#This Row],[relevant]], IF(ISERROR(AVERAGEIFS(Fixtures[MR], Fixtures[userTeam], Teams[[#This Row],[name]])), 0, AVERAGEIFS(Fixtures[MR], Fixtures[userTeam], Teams[[#This Row],[name]])), "")</f>
        <v/>
      </c>
      <c r="R533" s="1" t="str">
        <f>IF(Teams[[#This Row],[relevant]], COUNTIFS(Fixtures[userTeam], Teams[[#This Row],[name]], Fixtures[MOTM], TRUE), "")</f>
        <v/>
      </c>
      <c r="S533" s="1" t="str" cm="1">
        <f t="array" ref="S533">IF(Teams[[#This Row],[relevant]], _xlfn.TEXTJOIN(", ", TRUE, _xlfn._xlws.FILTER(Stats[competition]&amp;" ("&amp;Stats[season]&amp;")",(Stats[team]=Teams[[#This Row],[name]])*(Stats[result]="Winner"),"")), "")</f>
        <v/>
      </c>
    </row>
    <row r="534" spans="1:19" ht="13" hidden="1">
      <c r="A534" s="1" t="s">
        <v>870</v>
      </c>
      <c r="B534" s="1" t="s">
        <v>339</v>
      </c>
      <c r="C534" s="1" t="s">
        <v>391</v>
      </c>
      <c r="D534" s="1" t="str">
        <f>UPPER(_xlfn.CONCAT(LEFT(Teams[[#This Row],[teamType]], 1), "-", LEFT(SUBSTITUTE(Teams[[#This Row],[nation]], "/", ""), 3), "-", SUBSTITUTE(SUBSTITUTE(SUBSTITUTE(Teams[[#This Row],[name]], ".", ""), " ", ""), "-", "")))</f>
        <v>C-FRA-RODEZAF</v>
      </c>
      <c r="E534" s="16"/>
      <c r="F534" s="16"/>
      <c r="G534" s="1" t="b">
        <f>COUNTBLANK(Teams[[#This Row],[startDate]:[endDate]]) &lt; 2</f>
        <v>0</v>
      </c>
      <c r="H534" s="1" t="str">
        <f>IF(Teams[[#This Row],[relevant]], COUNTIFS(Fixtures[userTeam], Teams[[#This Row],[name]], Fixtures[APP], TRUE), "")</f>
        <v/>
      </c>
      <c r="I534" s="1" t="str">
        <f>IF(Teams[[#This Row],[relevant]], COUNTIFS(Fixtures[userTeam], Teams[[#This Row],[name]], Fixtures[result], "W", Fixtures[APP], TRUE), "")</f>
        <v/>
      </c>
      <c r="J534" s="1" t="str">
        <f>IF(Teams[[#This Row],[relevant]], COUNTIFS(Fixtures[userTeam], Teams[[#This Row],[name]], Fixtures[result], "D", Fixtures[APP], TRUE), "")</f>
        <v/>
      </c>
      <c r="K534" s="1" t="str">
        <f>IF(Teams[[#This Row],[relevant]], COUNTIFS(Fixtures[userTeam], Teams[[#This Row],[name]], Fixtures[result], "L", Fixtures[APP], TRUE), "")</f>
        <v/>
      </c>
      <c r="L534" s="1" t="str">
        <f>IF(Teams[[#This Row],[relevant]], SUMIFS(Fixtures[G], Fixtures[userTeam], Teams[[#This Row],[name]]), "")</f>
        <v/>
      </c>
      <c r="M534" s="1" t="str">
        <f>IF(Teams[[#This Row],[relevant]], SUMIFS(Fixtures[A], Fixtures[userTeam], Teams[[#This Row],[name]]), "")</f>
        <v/>
      </c>
      <c r="N534" s="1" t="str">
        <f>IF(Teams[[#This Row],[relevant]], SUMIFS(Fixtures[INV], Fixtures[userTeam], Teams[[#This Row],[name]]), "")</f>
        <v/>
      </c>
      <c r="O534" s="1" t="str">
        <f>IF(Teams[[#This Row],[relevant]], SUMIFS(Fixtures[YC], Fixtures[userTeam], Teams[[#This Row],[name]]), "")</f>
        <v/>
      </c>
      <c r="P534" s="1" t="str">
        <f>IF(Teams[[#This Row],[relevant]], SUMIFS(Fixtures[RC], Fixtures[userTeam], Teams[[#This Row],[name]]), "")</f>
        <v/>
      </c>
      <c r="Q534" s="13" t="str">
        <f>IF(Teams[[#This Row],[relevant]], IF(ISERROR(AVERAGEIFS(Fixtures[MR], Fixtures[userTeam], Teams[[#This Row],[name]])), 0, AVERAGEIFS(Fixtures[MR], Fixtures[userTeam], Teams[[#This Row],[name]])), "")</f>
        <v/>
      </c>
      <c r="R534" s="1" t="str">
        <f>IF(Teams[[#This Row],[relevant]], COUNTIFS(Fixtures[userTeam], Teams[[#This Row],[name]], Fixtures[MOTM], TRUE), "")</f>
        <v/>
      </c>
      <c r="S534" s="1" t="str" cm="1">
        <f t="array" ref="S534">IF(Teams[[#This Row],[relevant]], _xlfn.TEXTJOIN(", ", TRUE, _xlfn._xlws.FILTER(Stats[competition]&amp;" ("&amp;Stats[season]&amp;")",(Stats[team]=Teams[[#This Row],[name]])*(Stats[result]="Winner"),"")), "")</f>
        <v/>
      </c>
    </row>
    <row r="535" spans="1:19" ht="13" hidden="1">
      <c r="A535" s="1" t="s">
        <v>871</v>
      </c>
      <c r="B535" s="1" t="s">
        <v>254</v>
      </c>
      <c r="C535" s="1" t="s">
        <v>391</v>
      </c>
      <c r="D535" s="1" t="str">
        <f>UPPER(_xlfn.CONCAT(LEFT(Teams[[#This Row],[teamType]], 1), "-", LEFT(SUBSTITUTE(Teams[[#This Row],[nation]], "/", ""), 3), "-", SUBSTITUTE(SUBSTITUTE(SUBSTITUTE(Teams[[#This Row],[name]], ".", ""), " ", ""), "-", "")))</f>
        <v>C-ITA-ROMAFC**</v>
      </c>
      <c r="E535" s="16"/>
      <c r="F535" s="16"/>
      <c r="G535" s="1" t="b">
        <f>COUNTBLANK(Teams[[#This Row],[startDate]:[endDate]]) &lt; 2</f>
        <v>0</v>
      </c>
      <c r="H535" s="1" t="str">
        <f>IF(Teams[[#This Row],[relevant]], COUNTIFS(Fixtures[userTeam], Teams[[#This Row],[name]], Fixtures[APP], TRUE), "")</f>
        <v/>
      </c>
      <c r="I535" s="1" t="str">
        <f>IF(Teams[[#This Row],[relevant]], COUNTIFS(Fixtures[userTeam], Teams[[#This Row],[name]], Fixtures[result], "W", Fixtures[APP], TRUE), "")</f>
        <v/>
      </c>
      <c r="J535" s="1" t="str">
        <f>IF(Teams[[#This Row],[relevant]], COUNTIFS(Fixtures[userTeam], Teams[[#This Row],[name]], Fixtures[result], "D", Fixtures[APP], TRUE), "")</f>
        <v/>
      </c>
      <c r="K535" s="1" t="str">
        <f>IF(Teams[[#This Row],[relevant]], COUNTIFS(Fixtures[userTeam], Teams[[#This Row],[name]], Fixtures[result], "L", Fixtures[APP], TRUE), "")</f>
        <v/>
      </c>
      <c r="L535" s="1" t="str">
        <f>IF(Teams[[#This Row],[relevant]], SUMIFS(Fixtures[G], Fixtures[userTeam], Teams[[#This Row],[name]]), "")</f>
        <v/>
      </c>
      <c r="M535" s="1" t="str">
        <f>IF(Teams[[#This Row],[relevant]], SUMIFS(Fixtures[A], Fixtures[userTeam], Teams[[#This Row],[name]]), "")</f>
        <v/>
      </c>
      <c r="N535" s="1" t="str">
        <f>IF(Teams[[#This Row],[relevant]], SUMIFS(Fixtures[INV], Fixtures[userTeam], Teams[[#This Row],[name]]), "")</f>
        <v/>
      </c>
      <c r="O535" s="1" t="str">
        <f>IF(Teams[[#This Row],[relevant]], SUMIFS(Fixtures[YC], Fixtures[userTeam], Teams[[#This Row],[name]]), "")</f>
        <v/>
      </c>
      <c r="P535" s="1" t="str">
        <f>IF(Teams[[#This Row],[relevant]], SUMIFS(Fixtures[RC], Fixtures[userTeam], Teams[[#This Row],[name]]), "")</f>
        <v/>
      </c>
      <c r="Q535" s="13" t="str">
        <f>IF(Teams[[#This Row],[relevant]], IF(ISERROR(AVERAGEIFS(Fixtures[MR], Fixtures[userTeam], Teams[[#This Row],[name]])), 0, AVERAGEIFS(Fixtures[MR], Fixtures[userTeam], Teams[[#This Row],[name]])), "")</f>
        <v/>
      </c>
      <c r="R535" s="1" t="str">
        <f>IF(Teams[[#This Row],[relevant]], COUNTIFS(Fixtures[userTeam], Teams[[#This Row],[name]], Fixtures[MOTM], TRUE), "")</f>
        <v/>
      </c>
      <c r="S535" s="1" t="str" cm="1">
        <f t="array" ref="S535">IF(Teams[[#This Row],[relevant]], _xlfn.TEXTJOIN(", ", TRUE, _xlfn._xlws.FILTER(Stats[competition]&amp;" ("&amp;Stats[season]&amp;")",(Stats[team]=Teams[[#This Row],[name]])*(Stats[result]="Winner"),"")), "")</f>
        <v/>
      </c>
    </row>
    <row r="536" spans="1:19" ht="13" hidden="1">
      <c r="A536" s="1" t="s">
        <v>419</v>
      </c>
      <c r="B536" s="1" t="s">
        <v>419</v>
      </c>
      <c r="C536" s="1" t="s">
        <v>459</v>
      </c>
      <c r="D536" s="1" t="str">
        <f>UPPER(_xlfn.CONCAT(LEFT(Teams[[#This Row],[teamType]], 1), "-", LEFT(SUBSTITUTE(Teams[[#This Row],[nation]], "/", ""), 3), "-", SUBSTITUTE(SUBSTITUTE(SUBSTITUTE(Teams[[#This Row],[name]], ".", ""), " ", ""), "-", "")))</f>
        <v>N-ROM-ROMANIA</v>
      </c>
      <c r="E536" s="16"/>
      <c r="F536" s="16"/>
      <c r="G536" s="1" t="b">
        <f>COUNTBLANK(Teams[[#This Row],[startDate]:[endDate]]) &lt; 2</f>
        <v>0</v>
      </c>
      <c r="H536" s="1" t="str">
        <f>IF(Teams[[#This Row],[relevant]], COUNTIFS(Fixtures[userTeam], Teams[[#This Row],[name]], Fixtures[APP], TRUE), "")</f>
        <v/>
      </c>
      <c r="I536" s="1" t="str">
        <f>IF(Teams[[#This Row],[relevant]], COUNTIFS(Fixtures[userTeam], Teams[[#This Row],[name]], Fixtures[result], "W", Fixtures[APP], TRUE), "")</f>
        <v/>
      </c>
      <c r="J536" s="1" t="str">
        <f>IF(Teams[[#This Row],[relevant]], COUNTIFS(Fixtures[userTeam], Teams[[#This Row],[name]], Fixtures[result], "D", Fixtures[APP], TRUE), "")</f>
        <v/>
      </c>
      <c r="K536" s="1" t="str">
        <f>IF(Teams[[#This Row],[relevant]], COUNTIFS(Fixtures[userTeam], Teams[[#This Row],[name]], Fixtures[result], "L", Fixtures[APP], TRUE), "")</f>
        <v/>
      </c>
      <c r="L536" s="1" t="str">
        <f>IF(Teams[[#This Row],[relevant]], SUMIFS(Fixtures[G], Fixtures[userTeam], Teams[[#This Row],[name]]), "")</f>
        <v/>
      </c>
      <c r="M536" s="1" t="str">
        <f>IF(Teams[[#This Row],[relevant]], SUMIFS(Fixtures[A], Fixtures[userTeam], Teams[[#This Row],[name]]), "")</f>
        <v/>
      </c>
      <c r="N536" s="1" t="str">
        <f>IF(Teams[[#This Row],[relevant]], SUMIFS(Fixtures[INV], Fixtures[userTeam], Teams[[#This Row],[name]]), "")</f>
        <v/>
      </c>
      <c r="O536" s="1" t="str">
        <f>IF(Teams[[#This Row],[relevant]], SUMIFS(Fixtures[YC], Fixtures[userTeam], Teams[[#This Row],[name]]), "")</f>
        <v/>
      </c>
      <c r="P536" s="1" t="str">
        <f>IF(Teams[[#This Row],[relevant]], SUMIFS(Fixtures[RC], Fixtures[userTeam], Teams[[#This Row],[name]]), "")</f>
        <v/>
      </c>
      <c r="Q536" s="13" t="str">
        <f>IF(Teams[[#This Row],[relevant]], IF(ISERROR(AVERAGEIFS(Fixtures[MR], Fixtures[userTeam], Teams[[#This Row],[name]])), 0, AVERAGEIFS(Fixtures[MR], Fixtures[userTeam], Teams[[#This Row],[name]])), "")</f>
        <v/>
      </c>
      <c r="R536" s="1" t="str">
        <f>IF(Teams[[#This Row],[relevant]], COUNTIFS(Fixtures[userTeam], Teams[[#This Row],[name]], Fixtures[MOTM], TRUE), "")</f>
        <v/>
      </c>
      <c r="S536" s="1" t="str" cm="1">
        <f t="array" ref="S536">IF(Teams[[#This Row],[relevant]], _xlfn.TEXTJOIN(", ", TRUE, _xlfn._xlws.FILTER(Stats[competition]&amp;" ("&amp;Stats[season]&amp;")",(Stats[team]=Teams[[#This Row],[name]])*(Stats[result]="Winner"),"")), "")</f>
        <v/>
      </c>
    </row>
    <row r="537" spans="1:19" ht="13" hidden="1">
      <c r="A537" s="1" t="s">
        <v>872</v>
      </c>
      <c r="B537" s="1" t="s">
        <v>493</v>
      </c>
      <c r="C537" s="1" t="s">
        <v>391</v>
      </c>
      <c r="D537" s="1" t="str">
        <f>UPPER(_xlfn.CONCAT(LEFT(Teams[[#This Row],[teamType]], 1), "-", LEFT(SUBSTITUTE(Teams[[#This Row],[nation]], "/", ""), 3), "-", SUBSTITUTE(SUBSTITUTE(SUBSTITUTE(Teams[[#This Row],[name]], ".", ""), " ", ""), "-", "")))</f>
        <v>C-CHI-RONGCHENGFC</v>
      </c>
      <c r="E537" s="16"/>
      <c r="F537" s="16"/>
      <c r="G537" s="1" t="b">
        <f>COUNTBLANK(Teams[[#This Row],[startDate]:[endDate]]) &lt; 2</f>
        <v>0</v>
      </c>
      <c r="H537" s="1" t="str">
        <f>IF(Teams[[#This Row],[relevant]], COUNTIFS(Fixtures[userTeam], Teams[[#This Row],[name]], Fixtures[APP], TRUE), "")</f>
        <v/>
      </c>
      <c r="I537" s="1" t="str">
        <f>IF(Teams[[#This Row],[relevant]], COUNTIFS(Fixtures[userTeam], Teams[[#This Row],[name]], Fixtures[result], "W", Fixtures[APP], TRUE), "")</f>
        <v/>
      </c>
      <c r="J537" s="1" t="str">
        <f>IF(Teams[[#This Row],[relevant]], COUNTIFS(Fixtures[userTeam], Teams[[#This Row],[name]], Fixtures[result], "D", Fixtures[APP], TRUE), "")</f>
        <v/>
      </c>
      <c r="K537" s="1" t="str">
        <f>IF(Teams[[#This Row],[relevant]], COUNTIFS(Fixtures[userTeam], Teams[[#This Row],[name]], Fixtures[result], "L", Fixtures[APP], TRUE), "")</f>
        <v/>
      </c>
      <c r="L537" s="1" t="str">
        <f>IF(Teams[[#This Row],[relevant]], SUMIFS(Fixtures[G], Fixtures[userTeam], Teams[[#This Row],[name]]), "")</f>
        <v/>
      </c>
      <c r="M537" s="1" t="str">
        <f>IF(Teams[[#This Row],[relevant]], SUMIFS(Fixtures[A], Fixtures[userTeam], Teams[[#This Row],[name]]), "")</f>
        <v/>
      </c>
      <c r="N537" s="1" t="str">
        <f>IF(Teams[[#This Row],[relevant]], SUMIFS(Fixtures[INV], Fixtures[userTeam], Teams[[#This Row],[name]]), "")</f>
        <v/>
      </c>
      <c r="O537" s="1" t="str">
        <f>IF(Teams[[#This Row],[relevant]], SUMIFS(Fixtures[YC], Fixtures[userTeam], Teams[[#This Row],[name]]), "")</f>
        <v/>
      </c>
      <c r="P537" s="1" t="str">
        <f>IF(Teams[[#This Row],[relevant]], SUMIFS(Fixtures[RC], Fixtures[userTeam], Teams[[#This Row],[name]]), "")</f>
        <v/>
      </c>
      <c r="Q537" s="13" t="str">
        <f>IF(Teams[[#This Row],[relevant]], IF(ISERROR(AVERAGEIFS(Fixtures[MR], Fixtures[userTeam], Teams[[#This Row],[name]])), 0, AVERAGEIFS(Fixtures[MR], Fixtures[userTeam], Teams[[#This Row],[name]])), "")</f>
        <v/>
      </c>
      <c r="R537" s="1" t="str">
        <f>IF(Teams[[#This Row],[relevant]], COUNTIFS(Fixtures[userTeam], Teams[[#This Row],[name]], Fixtures[MOTM], TRUE), "")</f>
        <v/>
      </c>
      <c r="S537" s="1" t="str" cm="1">
        <f t="array" ref="S537">IF(Teams[[#This Row],[relevant]], _xlfn.TEXTJOIN(", ", TRUE, _xlfn._xlws.FILTER(Stats[competition]&amp;" ("&amp;Stats[season]&amp;")",(Stats[team]=Teams[[#This Row],[name]])*(Stats[result]="Winner"),"")), "")</f>
        <v/>
      </c>
    </row>
    <row r="538" spans="1:19" ht="13" hidden="1">
      <c r="A538" s="1" t="s">
        <v>873</v>
      </c>
      <c r="B538" s="1" t="s">
        <v>131</v>
      </c>
      <c r="C538" s="1" t="s">
        <v>391</v>
      </c>
      <c r="D538" s="1" t="str">
        <f>UPPER(_xlfn.CONCAT(LEFT(Teams[[#This Row],[teamType]], 1), "-", LEFT(SUBSTITUTE(Teams[[#This Row],[nation]], "/", ""), 3), "-", SUBSTITUTE(SUBSTITUTE(SUBSTITUTE(Teams[[#This Row],[name]], ".", ""), " ", ""), "-", "")))</f>
        <v>C-ARG-ROSARIOCENTRAL</v>
      </c>
      <c r="E538" s="16"/>
      <c r="F538" s="16"/>
      <c r="G538" s="1" t="b">
        <f>COUNTBLANK(Teams[[#This Row],[startDate]:[endDate]]) &lt; 2</f>
        <v>0</v>
      </c>
      <c r="H538" s="1" t="str">
        <f>IF(Teams[[#This Row],[relevant]], COUNTIFS(Fixtures[userTeam], Teams[[#This Row],[name]], Fixtures[APP], TRUE), "")</f>
        <v/>
      </c>
      <c r="I538" s="1" t="str">
        <f>IF(Teams[[#This Row],[relevant]], COUNTIFS(Fixtures[userTeam], Teams[[#This Row],[name]], Fixtures[result], "W", Fixtures[APP], TRUE), "")</f>
        <v/>
      </c>
      <c r="J538" s="1" t="str">
        <f>IF(Teams[[#This Row],[relevant]], COUNTIFS(Fixtures[userTeam], Teams[[#This Row],[name]], Fixtures[result], "D", Fixtures[APP], TRUE), "")</f>
        <v/>
      </c>
      <c r="K538" s="1" t="str">
        <f>IF(Teams[[#This Row],[relevant]], COUNTIFS(Fixtures[userTeam], Teams[[#This Row],[name]], Fixtures[result], "L", Fixtures[APP], TRUE), "")</f>
        <v/>
      </c>
      <c r="L538" s="1" t="str">
        <f>IF(Teams[[#This Row],[relevant]], SUMIFS(Fixtures[G], Fixtures[userTeam], Teams[[#This Row],[name]]), "")</f>
        <v/>
      </c>
      <c r="M538" s="1" t="str">
        <f>IF(Teams[[#This Row],[relevant]], SUMIFS(Fixtures[A], Fixtures[userTeam], Teams[[#This Row],[name]]), "")</f>
        <v/>
      </c>
      <c r="N538" s="1" t="str">
        <f>IF(Teams[[#This Row],[relevant]], SUMIFS(Fixtures[INV], Fixtures[userTeam], Teams[[#This Row],[name]]), "")</f>
        <v/>
      </c>
      <c r="O538" s="1" t="str">
        <f>IF(Teams[[#This Row],[relevant]], SUMIFS(Fixtures[YC], Fixtures[userTeam], Teams[[#This Row],[name]]), "")</f>
        <v/>
      </c>
      <c r="P538" s="1" t="str">
        <f>IF(Teams[[#This Row],[relevant]], SUMIFS(Fixtures[RC], Fixtures[userTeam], Teams[[#This Row],[name]]), "")</f>
        <v/>
      </c>
      <c r="Q538" s="13" t="str">
        <f>IF(Teams[[#This Row],[relevant]], IF(ISERROR(AVERAGEIFS(Fixtures[MR], Fixtures[userTeam], Teams[[#This Row],[name]])), 0, AVERAGEIFS(Fixtures[MR], Fixtures[userTeam], Teams[[#This Row],[name]])), "")</f>
        <v/>
      </c>
      <c r="R538" s="1" t="str">
        <f>IF(Teams[[#This Row],[relevant]], COUNTIFS(Fixtures[userTeam], Teams[[#This Row],[name]], Fixtures[MOTM], TRUE), "")</f>
        <v/>
      </c>
      <c r="S538" s="1" t="str" cm="1">
        <f t="array" ref="S538">IF(Teams[[#This Row],[relevant]], _xlfn.TEXTJOIN(", ", TRUE, _xlfn._xlws.FILTER(Stats[competition]&amp;" ("&amp;Stats[season]&amp;")",(Stats[team]=Teams[[#This Row],[name]])*(Stats[result]="Winner"),"")), "")</f>
        <v/>
      </c>
    </row>
    <row r="539" spans="1:19" ht="13" hidden="1">
      <c r="A539" s="1" t="s">
        <v>874</v>
      </c>
      <c r="B539" s="1" t="s">
        <v>286</v>
      </c>
      <c r="C539" s="1" t="s">
        <v>391</v>
      </c>
      <c r="D539" s="1" t="str">
        <f>UPPER(_xlfn.CONCAT(LEFT(Teams[[#This Row],[teamType]], 1), "-", LEFT(SUBSTITUTE(Teams[[#This Row],[nation]], "/", ""), 3), "-", SUBSTITUTE(SUBSTITUTE(SUBSTITUTE(Teams[[#This Row],[name]], ".", ""), " ", ""), "-", "")))</f>
        <v>C-NOR-ROSENBORGBK</v>
      </c>
      <c r="E539" s="16"/>
      <c r="F539" s="16"/>
      <c r="G539" s="1" t="b">
        <f>COUNTBLANK(Teams[[#This Row],[startDate]:[endDate]]) &lt; 2</f>
        <v>0</v>
      </c>
      <c r="H539" s="1" t="str">
        <f>IF(Teams[[#This Row],[relevant]], COUNTIFS(Fixtures[userTeam], Teams[[#This Row],[name]], Fixtures[APP], TRUE), "")</f>
        <v/>
      </c>
      <c r="I539" s="1" t="str">
        <f>IF(Teams[[#This Row],[relevant]], COUNTIFS(Fixtures[userTeam], Teams[[#This Row],[name]], Fixtures[result], "W", Fixtures[APP], TRUE), "")</f>
        <v/>
      </c>
      <c r="J539" s="1" t="str">
        <f>IF(Teams[[#This Row],[relevant]], COUNTIFS(Fixtures[userTeam], Teams[[#This Row],[name]], Fixtures[result], "D", Fixtures[APP], TRUE), "")</f>
        <v/>
      </c>
      <c r="K539" s="1" t="str">
        <f>IF(Teams[[#This Row],[relevant]], COUNTIFS(Fixtures[userTeam], Teams[[#This Row],[name]], Fixtures[result], "L", Fixtures[APP], TRUE), "")</f>
        <v/>
      </c>
      <c r="L539" s="1" t="str">
        <f>IF(Teams[[#This Row],[relevant]], SUMIFS(Fixtures[G], Fixtures[userTeam], Teams[[#This Row],[name]]), "")</f>
        <v/>
      </c>
      <c r="M539" s="1" t="str">
        <f>IF(Teams[[#This Row],[relevant]], SUMIFS(Fixtures[A], Fixtures[userTeam], Teams[[#This Row],[name]]), "")</f>
        <v/>
      </c>
      <c r="N539" s="1" t="str">
        <f>IF(Teams[[#This Row],[relevant]], SUMIFS(Fixtures[INV], Fixtures[userTeam], Teams[[#This Row],[name]]), "")</f>
        <v/>
      </c>
      <c r="O539" s="1" t="str">
        <f>IF(Teams[[#This Row],[relevant]], SUMIFS(Fixtures[YC], Fixtures[userTeam], Teams[[#This Row],[name]]), "")</f>
        <v/>
      </c>
      <c r="P539" s="1" t="str">
        <f>IF(Teams[[#This Row],[relevant]], SUMIFS(Fixtures[RC], Fixtures[userTeam], Teams[[#This Row],[name]]), "")</f>
        <v/>
      </c>
      <c r="Q539" s="13" t="str">
        <f>IF(Teams[[#This Row],[relevant]], IF(ISERROR(AVERAGEIFS(Fixtures[MR], Fixtures[userTeam], Teams[[#This Row],[name]])), 0, AVERAGEIFS(Fixtures[MR], Fixtures[userTeam], Teams[[#This Row],[name]])), "")</f>
        <v/>
      </c>
      <c r="R539" s="1" t="str">
        <f>IF(Teams[[#This Row],[relevant]], COUNTIFS(Fixtures[userTeam], Teams[[#This Row],[name]], Fixtures[MOTM], TRUE), "")</f>
        <v/>
      </c>
      <c r="S539" s="1" t="str" cm="1">
        <f t="array" ref="S539">IF(Teams[[#This Row],[relevant]], _xlfn.TEXTJOIN(", ", TRUE, _xlfn._xlws.FILTER(Stats[competition]&amp;" ("&amp;Stats[season]&amp;")",(Stats[team]=Teams[[#This Row],[name]])*(Stats[result]="Winner"),"")), "")</f>
        <v/>
      </c>
    </row>
    <row r="540" spans="1:19" ht="13" hidden="1">
      <c r="A540" s="1" t="s">
        <v>875</v>
      </c>
      <c r="B540" s="1" t="s">
        <v>401</v>
      </c>
      <c r="C540" s="1" t="s">
        <v>391</v>
      </c>
      <c r="D540" s="1" t="str">
        <f>UPPER(_xlfn.CONCAT(LEFT(Teams[[#This Row],[teamType]], 1), "-", LEFT(SUBSTITUTE(Teams[[#This Row],[nation]], "/", ""), 3), "-", SUBSTITUTE(SUBSTITUTE(SUBSTITUTE(Teams[[#This Row],[name]], ".", ""), " ", ""), "-", "")))</f>
        <v>C-SCO-ROSSCOUNTY</v>
      </c>
      <c r="E540" s="16"/>
      <c r="F540" s="16"/>
      <c r="G540" s="1" t="b">
        <f>COUNTBLANK(Teams[[#This Row],[startDate]:[endDate]]) &lt; 2</f>
        <v>0</v>
      </c>
      <c r="H540" s="1" t="str">
        <f>IF(Teams[[#This Row],[relevant]], COUNTIFS(Fixtures[userTeam], Teams[[#This Row],[name]], Fixtures[APP], TRUE), "")</f>
        <v/>
      </c>
      <c r="I540" s="1" t="str">
        <f>IF(Teams[[#This Row],[relevant]], COUNTIFS(Fixtures[userTeam], Teams[[#This Row],[name]], Fixtures[result], "W", Fixtures[APP], TRUE), "")</f>
        <v/>
      </c>
      <c r="J540" s="1" t="str">
        <f>IF(Teams[[#This Row],[relevant]], COUNTIFS(Fixtures[userTeam], Teams[[#This Row],[name]], Fixtures[result], "D", Fixtures[APP], TRUE), "")</f>
        <v/>
      </c>
      <c r="K540" s="1" t="str">
        <f>IF(Teams[[#This Row],[relevant]], COUNTIFS(Fixtures[userTeam], Teams[[#This Row],[name]], Fixtures[result], "L", Fixtures[APP], TRUE), "")</f>
        <v/>
      </c>
      <c r="L540" s="1" t="str">
        <f>IF(Teams[[#This Row],[relevant]], SUMIFS(Fixtures[G], Fixtures[userTeam], Teams[[#This Row],[name]]), "")</f>
        <v/>
      </c>
      <c r="M540" s="1" t="str">
        <f>IF(Teams[[#This Row],[relevant]], SUMIFS(Fixtures[A], Fixtures[userTeam], Teams[[#This Row],[name]]), "")</f>
        <v/>
      </c>
      <c r="N540" s="1" t="str">
        <f>IF(Teams[[#This Row],[relevant]], SUMIFS(Fixtures[INV], Fixtures[userTeam], Teams[[#This Row],[name]]), "")</f>
        <v/>
      </c>
      <c r="O540" s="1" t="str">
        <f>IF(Teams[[#This Row],[relevant]], SUMIFS(Fixtures[YC], Fixtures[userTeam], Teams[[#This Row],[name]]), "")</f>
        <v/>
      </c>
      <c r="P540" s="1" t="str">
        <f>IF(Teams[[#This Row],[relevant]], SUMIFS(Fixtures[RC], Fixtures[userTeam], Teams[[#This Row],[name]]), "")</f>
        <v/>
      </c>
      <c r="Q540" s="13" t="str">
        <f>IF(Teams[[#This Row],[relevant]], IF(ISERROR(AVERAGEIFS(Fixtures[MR], Fixtures[userTeam], Teams[[#This Row],[name]])), 0, AVERAGEIFS(Fixtures[MR], Fixtures[userTeam], Teams[[#This Row],[name]])), "")</f>
        <v/>
      </c>
      <c r="R540" s="1" t="str">
        <f>IF(Teams[[#This Row],[relevant]], COUNTIFS(Fixtures[userTeam], Teams[[#This Row],[name]], Fixtures[MOTM], TRUE), "")</f>
        <v/>
      </c>
      <c r="S540" s="1" t="str" cm="1">
        <f t="array" ref="S540">IF(Teams[[#This Row],[relevant]], _xlfn.TEXTJOIN(", ", TRUE, _xlfn._xlws.FILTER(Stats[competition]&amp;" ("&amp;Stats[season]&amp;")",(Stats[team]=Teams[[#This Row],[name]])*(Stats[result]="Winner"),"")), "")</f>
        <v/>
      </c>
    </row>
    <row r="541" spans="1:19" ht="13" hidden="1">
      <c r="A541" s="1" t="s">
        <v>876</v>
      </c>
      <c r="B541" s="1" t="s">
        <v>152</v>
      </c>
      <c r="C541" s="1" t="s">
        <v>391</v>
      </c>
      <c r="D541" s="1" t="str">
        <f>UPPER(_xlfn.CONCAT(LEFT(Teams[[#This Row],[teamType]], 1), "-", LEFT(SUBSTITUTE(Teams[[#This Row],[nation]], "/", ""), 3), "-", SUBSTITUTE(SUBSTITUTE(SUBSTITUTE(Teams[[#This Row],[name]], ".", ""), " ", ""), "-", "")))</f>
        <v>C-ENG-ROTHERHAMUTD</v>
      </c>
      <c r="E541" s="16"/>
      <c r="F541" s="16"/>
      <c r="G541" s="1" t="b">
        <f>COUNTBLANK(Teams[[#This Row],[startDate]:[endDate]]) &lt; 2</f>
        <v>0</v>
      </c>
      <c r="H541" s="1" t="str">
        <f>IF(Teams[[#This Row],[relevant]], COUNTIFS(Fixtures[userTeam], Teams[[#This Row],[name]], Fixtures[APP], TRUE), "")</f>
        <v/>
      </c>
      <c r="I541" s="1" t="str">
        <f>IF(Teams[[#This Row],[relevant]], COUNTIFS(Fixtures[userTeam], Teams[[#This Row],[name]], Fixtures[result], "W", Fixtures[APP], TRUE), "")</f>
        <v/>
      </c>
      <c r="J541" s="1" t="str">
        <f>IF(Teams[[#This Row],[relevant]], COUNTIFS(Fixtures[userTeam], Teams[[#This Row],[name]], Fixtures[result], "D", Fixtures[APP], TRUE), "")</f>
        <v/>
      </c>
      <c r="K541" s="1" t="str">
        <f>IF(Teams[[#This Row],[relevant]], COUNTIFS(Fixtures[userTeam], Teams[[#This Row],[name]], Fixtures[result], "L", Fixtures[APP], TRUE), "")</f>
        <v/>
      </c>
      <c r="L541" s="1" t="str">
        <f>IF(Teams[[#This Row],[relevant]], SUMIFS(Fixtures[G], Fixtures[userTeam], Teams[[#This Row],[name]]), "")</f>
        <v/>
      </c>
      <c r="M541" s="1" t="str">
        <f>IF(Teams[[#This Row],[relevant]], SUMIFS(Fixtures[A], Fixtures[userTeam], Teams[[#This Row],[name]]), "")</f>
        <v/>
      </c>
      <c r="N541" s="1" t="str">
        <f>IF(Teams[[#This Row],[relevant]], SUMIFS(Fixtures[INV], Fixtures[userTeam], Teams[[#This Row],[name]]), "")</f>
        <v/>
      </c>
      <c r="O541" s="1" t="str">
        <f>IF(Teams[[#This Row],[relevant]], SUMIFS(Fixtures[YC], Fixtures[userTeam], Teams[[#This Row],[name]]), "")</f>
        <v/>
      </c>
      <c r="P541" s="1" t="str">
        <f>IF(Teams[[#This Row],[relevant]], SUMIFS(Fixtures[RC], Fixtures[userTeam], Teams[[#This Row],[name]]), "")</f>
        <v/>
      </c>
      <c r="Q541" s="13" t="str">
        <f>IF(Teams[[#This Row],[relevant]], IF(ISERROR(AVERAGEIFS(Fixtures[MR], Fixtures[userTeam], Teams[[#This Row],[name]])), 0, AVERAGEIFS(Fixtures[MR], Fixtures[userTeam], Teams[[#This Row],[name]])), "")</f>
        <v/>
      </c>
      <c r="R541" s="1" t="str">
        <f>IF(Teams[[#This Row],[relevant]], COUNTIFS(Fixtures[userTeam], Teams[[#This Row],[name]], Fixtures[MOTM], TRUE), "")</f>
        <v/>
      </c>
      <c r="S541" s="1" t="str" cm="1">
        <f t="array" ref="S541">IF(Teams[[#This Row],[relevant]], _xlfn.TEXTJOIN(", ", TRUE, _xlfn._xlws.FILTER(Stats[competition]&amp;" ("&amp;Stats[season]&amp;")",(Stats[team]=Teams[[#This Row],[name]])*(Stats[result]="Winner"),"")), "")</f>
        <v/>
      </c>
    </row>
    <row r="542" spans="1:19" ht="13" hidden="1">
      <c r="A542" s="1" t="s">
        <v>877</v>
      </c>
      <c r="B542" s="1" t="s">
        <v>337</v>
      </c>
      <c r="C542" s="1" t="s">
        <v>391</v>
      </c>
      <c r="D542" s="1" t="str">
        <f>UPPER(_xlfn.CONCAT(LEFT(Teams[[#This Row],[teamType]], 1), "-", LEFT(SUBSTITUTE(Teams[[#This Row],[nation]], "/", ""), 3), "-", SUBSTITUTE(SUBSTITUTE(SUBSTITUTE(Teams[[#This Row],[name]], ".", ""), " ", ""), "-", "")))</f>
        <v>C-GER-ROTWEISSESSEN</v>
      </c>
      <c r="E542" s="16"/>
      <c r="F542" s="16"/>
      <c r="G542" s="1" t="b">
        <f>COUNTBLANK(Teams[[#This Row],[startDate]:[endDate]]) &lt; 2</f>
        <v>0</v>
      </c>
      <c r="H542" s="1" t="str">
        <f>IF(Teams[[#This Row],[relevant]], COUNTIFS(Fixtures[userTeam], Teams[[#This Row],[name]], Fixtures[APP], TRUE), "")</f>
        <v/>
      </c>
      <c r="I542" s="1" t="str">
        <f>IF(Teams[[#This Row],[relevant]], COUNTIFS(Fixtures[userTeam], Teams[[#This Row],[name]], Fixtures[result], "W", Fixtures[APP], TRUE), "")</f>
        <v/>
      </c>
      <c r="J542" s="1" t="str">
        <f>IF(Teams[[#This Row],[relevant]], COUNTIFS(Fixtures[userTeam], Teams[[#This Row],[name]], Fixtures[result], "D", Fixtures[APP], TRUE), "")</f>
        <v/>
      </c>
      <c r="K542" s="1" t="str">
        <f>IF(Teams[[#This Row],[relevant]], COUNTIFS(Fixtures[userTeam], Teams[[#This Row],[name]], Fixtures[result], "L", Fixtures[APP], TRUE), "")</f>
        <v/>
      </c>
      <c r="L542" s="1" t="str">
        <f>IF(Teams[[#This Row],[relevant]], SUMIFS(Fixtures[G], Fixtures[userTeam], Teams[[#This Row],[name]]), "")</f>
        <v/>
      </c>
      <c r="M542" s="1" t="str">
        <f>IF(Teams[[#This Row],[relevant]], SUMIFS(Fixtures[A], Fixtures[userTeam], Teams[[#This Row],[name]]), "")</f>
        <v/>
      </c>
      <c r="N542" s="1" t="str">
        <f>IF(Teams[[#This Row],[relevant]], SUMIFS(Fixtures[INV], Fixtures[userTeam], Teams[[#This Row],[name]]), "")</f>
        <v/>
      </c>
      <c r="O542" s="1" t="str">
        <f>IF(Teams[[#This Row],[relevant]], SUMIFS(Fixtures[YC], Fixtures[userTeam], Teams[[#This Row],[name]]), "")</f>
        <v/>
      </c>
      <c r="P542" s="1" t="str">
        <f>IF(Teams[[#This Row],[relevant]], SUMIFS(Fixtures[RC], Fixtures[userTeam], Teams[[#This Row],[name]]), "")</f>
        <v/>
      </c>
      <c r="Q542" s="13" t="str">
        <f>IF(Teams[[#This Row],[relevant]], IF(ISERROR(AVERAGEIFS(Fixtures[MR], Fixtures[userTeam], Teams[[#This Row],[name]])), 0, AVERAGEIFS(Fixtures[MR], Fixtures[userTeam], Teams[[#This Row],[name]])), "")</f>
        <v/>
      </c>
      <c r="R542" s="1" t="str">
        <f>IF(Teams[[#This Row],[relevant]], COUNTIFS(Fixtures[userTeam], Teams[[#This Row],[name]], Fixtures[MOTM], TRUE), "")</f>
        <v/>
      </c>
      <c r="S542" s="1" t="str" cm="1">
        <f t="array" ref="S542">IF(Teams[[#This Row],[relevant]], _xlfn.TEXTJOIN(", ", TRUE, _xlfn._xlws.FILTER(Stats[competition]&amp;" ("&amp;Stats[season]&amp;")",(Stats[team]=Teams[[#This Row],[name]])*(Stats[result]="Winner"),"")), "")</f>
        <v/>
      </c>
    </row>
    <row r="543" spans="1:19" ht="13" hidden="1">
      <c r="A543" s="1" t="s">
        <v>123</v>
      </c>
      <c r="B543" s="1" t="s">
        <v>144</v>
      </c>
      <c r="C543" s="1" t="s">
        <v>391</v>
      </c>
      <c r="D543" s="1" t="str">
        <f>UPPER(_xlfn.CONCAT(LEFT(Teams[[#This Row],[teamType]], 1), "-", LEFT(SUBSTITUTE(Teams[[#This Row],[nation]], "/", ""), 3), "-", SUBSTITUTE(SUBSTITUTE(SUBSTITUTE(Teams[[#This Row],[name]], ".", ""), " ", ""), "-", "")))</f>
        <v>C-BEL-ROYALANTWERPFC</v>
      </c>
      <c r="E543" s="16"/>
      <c r="F543" s="16"/>
      <c r="G543" s="1" t="b">
        <f>COUNTBLANK(Teams[[#This Row],[startDate]:[endDate]]) &lt; 2</f>
        <v>0</v>
      </c>
      <c r="H543" s="1" t="str">
        <f>IF(Teams[[#This Row],[relevant]], COUNTIFS(Fixtures[userTeam], Teams[[#This Row],[name]], Fixtures[APP], TRUE), "")</f>
        <v/>
      </c>
      <c r="I543" s="1" t="str">
        <f>IF(Teams[[#This Row],[relevant]], COUNTIFS(Fixtures[userTeam], Teams[[#This Row],[name]], Fixtures[result], "W", Fixtures[APP], TRUE), "")</f>
        <v/>
      </c>
      <c r="J543" s="1" t="str">
        <f>IF(Teams[[#This Row],[relevant]], COUNTIFS(Fixtures[userTeam], Teams[[#This Row],[name]], Fixtures[result], "D", Fixtures[APP], TRUE), "")</f>
        <v/>
      </c>
      <c r="K543" s="1" t="str">
        <f>IF(Teams[[#This Row],[relevant]], COUNTIFS(Fixtures[userTeam], Teams[[#This Row],[name]], Fixtures[result], "L", Fixtures[APP], TRUE), "")</f>
        <v/>
      </c>
      <c r="L543" s="1" t="str">
        <f>IF(Teams[[#This Row],[relevant]], SUMIFS(Fixtures[G], Fixtures[userTeam], Teams[[#This Row],[name]]), "")</f>
        <v/>
      </c>
      <c r="M543" s="1" t="str">
        <f>IF(Teams[[#This Row],[relevant]], SUMIFS(Fixtures[A], Fixtures[userTeam], Teams[[#This Row],[name]]), "")</f>
        <v/>
      </c>
      <c r="N543" s="1" t="str">
        <f>IF(Teams[[#This Row],[relevant]], SUMIFS(Fixtures[INV], Fixtures[userTeam], Teams[[#This Row],[name]]), "")</f>
        <v/>
      </c>
      <c r="O543" s="1" t="str">
        <f>IF(Teams[[#This Row],[relevant]], SUMIFS(Fixtures[YC], Fixtures[userTeam], Teams[[#This Row],[name]]), "")</f>
        <v/>
      </c>
      <c r="P543" s="1" t="str">
        <f>IF(Teams[[#This Row],[relevant]], SUMIFS(Fixtures[RC], Fixtures[userTeam], Teams[[#This Row],[name]]), "")</f>
        <v/>
      </c>
      <c r="Q543" s="13" t="str">
        <f>IF(Teams[[#This Row],[relevant]], IF(ISERROR(AVERAGEIFS(Fixtures[MR], Fixtures[userTeam], Teams[[#This Row],[name]])), 0, AVERAGEIFS(Fixtures[MR], Fixtures[userTeam], Teams[[#This Row],[name]])), "")</f>
        <v/>
      </c>
      <c r="R543" s="1" t="str">
        <f>IF(Teams[[#This Row],[relevant]], COUNTIFS(Fixtures[userTeam], Teams[[#This Row],[name]], Fixtures[MOTM], TRUE), "")</f>
        <v/>
      </c>
      <c r="S543" s="1" t="str" cm="1">
        <f t="array" ref="S543">IF(Teams[[#This Row],[relevant]], _xlfn.TEXTJOIN(", ", TRUE, _xlfn._xlws.FILTER(Stats[competition]&amp;" ("&amp;Stats[season]&amp;")",(Stats[team]=Teams[[#This Row],[name]])*(Stats[result]="Winner"),"")), "")</f>
        <v/>
      </c>
    </row>
    <row r="544" spans="1:19" ht="13" hidden="1">
      <c r="A544" s="1" t="s">
        <v>878</v>
      </c>
      <c r="B544" s="1" t="s">
        <v>447</v>
      </c>
      <c r="C544" s="1" t="s">
        <v>391</v>
      </c>
      <c r="D544" s="1" t="str">
        <f>UPPER(_xlfn.CONCAT(LEFT(Teams[[#This Row],[teamType]], 1), "-", LEFT(SUBSTITUTE(Teams[[#This Row],[nation]], "/", ""), 3), "-", SUBSTITUTE(SUBSTITUTE(SUBSTITUTE(Teams[[#This Row],[name]], ".", ""), " ", ""), "-", "")))</f>
        <v>C-BOL-ROYALPARI</v>
      </c>
      <c r="E544" s="16"/>
      <c r="F544" s="16"/>
      <c r="G544" s="1" t="b">
        <f>COUNTBLANK(Teams[[#This Row],[startDate]:[endDate]]) &lt; 2</f>
        <v>0</v>
      </c>
      <c r="H544" s="1" t="str">
        <f>IF(Teams[[#This Row],[relevant]], COUNTIFS(Fixtures[userTeam], Teams[[#This Row],[name]], Fixtures[APP], TRUE), "")</f>
        <v/>
      </c>
      <c r="I544" s="1" t="str">
        <f>IF(Teams[[#This Row],[relevant]], COUNTIFS(Fixtures[userTeam], Teams[[#This Row],[name]], Fixtures[result], "W", Fixtures[APP], TRUE), "")</f>
        <v/>
      </c>
      <c r="J544" s="1" t="str">
        <f>IF(Teams[[#This Row],[relevant]], COUNTIFS(Fixtures[userTeam], Teams[[#This Row],[name]], Fixtures[result], "D", Fixtures[APP], TRUE), "")</f>
        <v/>
      </c>
      <c r="K544" s="1" t="str">
        <f>IF(Teams[[#This Row],[relevant]], COUNTIFS(Fixtures[userTeam], Teams[[#This Row],[name]], Fixtures[result], "L", Fixtures[APP], TRUE), "")</f>
        <v/>
      </c>
      <c r="L544" s="1" t="str">
        <f>IF(Teams[[#This Row],[relevant]], SUMIFS(Fixtures[G], Fixtures[userTeam], Teams[[#This Row],[name]]), "")</f>
        <v/>
      </c>
      <c r="M544" s="1" t="str">
        <f>IF(Teams[[#This Row],[relevant]], SUMIFS(Fixtures[A], Fixtures[userTeam], Teams[[#This Row],[name]]), "")</f>
        <v/>
      </c>
      <c r="N544" s="1" t="str">
        <f>IF(Teams[[#This Row],[relevant]], SUMIFS(Fixtures[INV], Fixtures[userTeam], Teams[[#This Row],[name]]), "")</f>
        <v/>
      </c>
      <c r="O544" s="1" t="str">
        <f>IF(Teams[[#This Row],[relevant]], SUMIFS(Fixtures[YC], Fixtures[userTeam], Teams[[#This Row],[name]]), "")</f>
        <v/>
      </c>
      <c r="P544" s="1" t="str">
        <f>IF(Teams[[#This Row],[relevant]], SUMIFS(Fixtures[RC], Fixtures[userTeam], Teams[[#This Row],[name]]), "")</f>
        <v/>
      </c>
      <c r="Q544" s="13" t="str">
        <f>IF(Teams[[#This Row],[relevant]], IF(ISERROR(AVERAGEIFS(Fixtures[MR], Fixtures[userTeam], Teams[[#This Row],[name]])), 0, AVERAGEIFS(Fixtures[MR], Fixtures[userTeam], Teams[[#This Row],[name]])), "")</f>
        <v/>
      </c>
      <c r="R544" s="1" t="str">
        <f>IF(Teams[[#This Row],[relevant]], COUNTIFS(Fixtures[userTeam], Teams[[#This Row],[name]], Fixtures[MOTM], TRUE), "")</f>
        <v/>
      </c>
      <c r="S544" s="1" t="str" cm="1">
        <f t="array" ref="S544">IF(Teams[[#This Row],[relevant]], _xlfn.TEXTJOIN(", ", TRUE, _xlfn._xlws.FILTER(Stats[competition]&amp;" ("&amp;Stats[season]&amp;")",(Stats[team]=Teams[[#This Row],[name]])*(Stats[result]="Winner"),"")), "")</f>
        <v/>
      </c>
    </row>
    <row r="545" spans="1:19" ht="13" hidden="1">
      <c r="A545" s="1" t="s">
        <v>148</v>
      </c>
      <c r="B545" s="1" t="s">
        <v>144</v>
      </c>
      <c r="C545" s="1" t="s">
        <v>391</v>
      </c>
      <c r="D545" s="1" t="str">
        <f>UPPER(_xlfn.CONCAT(LEFT(Teams[[#This Row],[teamType]], 1), "-", LEFT(SUBSTITUTE(Teams[[#This Row],[nation]], "/", ""), 3), "-", SUBSTITUTE(SUBSTITUTE(SUBSTITUTE(Teams[[#This Row],[name]], ".", ""), " ", ""), "-", "")))</f>
        <v>C-BEL-RSCANDERLECHT</v>
      </c>
      <c r="E545" s="16"/>
      <c r="F545" s="16"/>
      <c r="G545" s="1" t="b">
        <f>COUNTBLANK(Teams[[#This Row],[startDate]:[endDate]]) &lt; 2</f>
        <v>0</v>
      </c>
      <c r="H545" s="1" t="str">
        <f>IF(Teams[[#This Row],[relevant]], COUNTIFS(Fixtures[userTeam], Teams[[#This Row],[name]], Fixtures[APP], TRUE), "")</f>
        <v/>
      </c>
      <c r="I545" s="1" t="str">
        <f>IF(Teams[[#This Row],[relevant]], COUNTIFS(Fixtures[userTeam], Teams[[#This Row],[name]], Fixtures[result], "W", Fixtures[APP], TRUE), "")</f>
        <v/>
      </c>
      <c r="J545" s="1" t="str">
        <f>IF(Teams[[#This Row],[relevant]], COUNTIFS(Fixtures[userTeam], Teams[[#This Row],[name]], Fixtures[result], "D", Fixtures[APP], TRUE), "")</f>
        <v/>
      </c>
      <c r="K545" s="1" t="str">
        <f>IF(Teams[[#This Row],[relevant]], COUNTIFS(Fixtures[userTeam], Teams[[#This Row],[name]], Fixtures[result], "L", Fixtures[APP], TRUE), "")</f>
        <v/>
      </c>
      <c r="L545" s="1" t="str">
        <f>IF(Teams[[#This Row],[relevant]], SUMIFS(Fixtures[G], Fixtures[userTeam], Teams[[#This Row],[name]]), "")</f>
        <v/>
      </c>
      <c r="M545" s="1" t="str">
        <f>IF(Teams[[#This Row],[relevant]], SUMIFS(Fixtures[A], Fixtures[userTeam], Teams[[#This Row],[name]]), "")</f>
        <v/>
      </c>
      <c r="N545" s="1" t="str">
        <f>IF(Teams[[#This Row],[relevant]], SUMIFS(Fixtures[INV], Fixtures[userTeam], Teams[[#This Row],[name]]), "")</f>
        <v/>
      </c>
      <c r="O545" s="1" t="str">
        <f>IF(Teams[[#This Row],[relevant]], SUMIFS(Fixtures[YC], Fixtures[userTeam], Teams[[#This Row],[name]]), "")</f>
        <v/>
      </c>
      <c r="P545" s="1" t="str">
        <f>IF(Teams[[#This Row],[relevant]], SUMIFS(Fixtures[RC], Fixtures[userTeam], Teams[[#This Row],[name]]), "")</f>
        <v/>
      </c>
      <c r="Q545" s="13" t="str">
        <f>IF(Teams[[#This Row],[relevant]], IF(ISERROR(AVERAGEIFS(Fixtures[MR], Fixtures[userTeam], Teams[[#This Row],[name]])), 0, AVERAGEIFS(Fixtures[MR], Fixtures[userTeam], Teams[[#This Row],[name]])), "")</f>
        <v/>
      </c>
      <c r="R545" s="1" t="str">
        <f>IF(Teams[[#This Row],[relevant]], COUNTIFS(Fixtures[userTeam], Teams[[#This Row],[name]], Fixtures[MOTM], TRUE), "")</f>
        <v/>
      </c>
      <c r="S545" s="1" t="str" cm="1">
        <f t="array" ref="S545">IF(Teams[[#This Row],[relevant]], _xlfn.TEXTJOIN(", ", TRUE, _xlfn._xlws.FILTER(Stats[competition]&amp;" ("&amp;Stats[season]&amp;")",(Stats[team]=Teams[[#This Row],[name]])*(Stats[result]="Winner"),"")), "")</f>
        <v/>
      </c>
    </row>
    <row r="546" spans="1:19" ht="13" hidden="1">
      <c r="A546" s="1" t="s">
        <v>122</v>
      </c>
      <c r="B546" s="1" t="s">
        <v>144</v>
      </c>
      <c r="C546" s="1" t="s">
        <v>391</v>
      </c>
      <c r="D546" s="1" t="str">
        <f>UPPER(_xlfn.CONCAT(LEFT(Teams[[#This Row],[teamType]], 1), "-", LEFT(SUBSTITUTE(Teams[[#This Row],[nation]], "/", ""), 3), "-", SUBSTITUTE(SUBSTITUTE(SUBSTITUTE(Teams[[#This Row],[name]], ".", ""), " ", ""), "-", "")))</f>
        <v>C-BEL-RWDMOLENBEEK</v>
      </c>
      <c r="E546" s="16"/>
      <c r="F546" s="16"/>
      <c r="G546" s="1" t="b">
        <f>COUNTBLANK(Teams[[#This Row],[startDate]:[endDate]]) &lt; 2</f>
        <v>0</v>
      </c>
      <c r="H546" s="1" t="str">
        <f>IF(Teams[[#This Row],[relevant]], COUNTIFS(Fixtures[userTeam], Teams[[#This Row],[name]], Fixtures[APP], TRUE), "")</f>
        <v/>
      </c>
      <c r="I546" s="1" t="str">
        <f>IF(Teams[[#This Row],[relevant]], COUNTIFS(Fixtures[userTeam], Teams[[#This Row],[name]], Fixtures[result], "W", Fixtures[APP], TRUE), "")</f>
        <v/>
      </c>
      <c r="J546" s="1" t="str">
        <f>IF(Teams[[#This Row],[relevant]], COUNTIFS(Fixtures[userTeam], Teams[[#This Row],[name]], Fixtures[result], "D", Fixtures[APP], TRUE), "")</f>
        <v/>
      </c>
      <c r="K546" s="1" t="str">
        <f>IF(Teams[[#This Row],[relevant]], COUNTIFS(Fixtures[userTeam], Teams[[#This Row],[name]], Fixtures[result], "L", Fixtures[APP], TRUE), "")</f>
        <v/>
      </c>
      <c r="L546" s="1" t="str">
        <f>IF(Teams[[#This Row],[relevant]], SUMIFS(Fixtures[G], Fixtures[userTeam], Teams[[#This Row],[name]]), "")</f>
        <v/>
      </c>
      <c r="M546" s="1" t="str">
        <f>IF(Teams[[#This Row],[relevant]], SUMIFS(Fixtures[A], Fixtures[userTeam], Teams[[#This Row],[name]]), "")</f>
        <v/>
      </c>
      <c r="N546" s="1" t="str">
        <f>IF(Teams[[#This Row],[relevant]], SUMIFS(Fixtures[INV], Fixtures[userTeam], Teams[[#This Row],[name]]), "")</f>
        <v/>
      </c>
      <c r="O546" s="1" t="str">
        <f>IF(Teams[[#This Row],[relevant]], SUMIFS(Fixtures[YC], Fixtures[userTeam], Teams[[#This Row],[name]]), "")</f>
        <v/>
      </c>
      <c r="P546" s="1" t="str">
        <f>IF(Teams[[#This Row],[relevant]], SUMIFS(Fixtures[RC], Fixtures[userTeam], Teams[[#This Row],[name]]), "")</f>
        <v/>
      </c>
      <c r="Q546" s="13" t="str">
        <f>IF(Teams[[#This Row],[relevant]], IF(ISERROR(AVERAGEIFS(Fixtures[MR], Fixtures[userTeam], Teams[[#This Row],[name]])), 0, AVERAGEIFS(Fixtures[MR], Fixtures[userTeam], Teams[[#This Row],[name]])), "")</f>
        <v/>
      </c>
      <c r="R546" s="1" t="str">
        <f>IF(Teams[[#This Row],[relevant]], COUNTIFS(Fixtures[userTeam], Teams[[#This Row],[name]], Fixtures[MOTM], TRUE), "")</f>
        <v/>
      </c>
      <c r="S546" s="1" t="str" cm="1">
        <f t="array" ref="S546">IF(Teams[[#This Row],[relevant]], _xlfn.TEXTJOIN(", ", TRUE, _xlfn._xlws.FILTER(Stats[competition]&amp;" ("&amp;Stats[season]&amp;")",(Stats[team]=Teams[[#This Row],[name]])*(Stats[result]="Winner"),"")), "")</f>
        <v/>
      </c>
    </row>
    <row r="547" spans="1:19" ht="13" hidden="1">
      <c r="A547" s="1" t="s">
        <v>879</v>
      </c>
      <c r="B547" s="1" t="s">
        <v>337</v>
      </c>
      <c r="C547" s="1" t="s">
        <v>391</v>
      </c>
      <c r="D547" s="1" t="str">
        <f>UPPER(_xlfn.CONCAT(LEFT(Teams[[#This Row],[teamType]], 1), "-", LEFT(SUBSTITUTE(Teams[[#This Row],[nation]], "/", ""), 3), "-", SUBSTITUTE(SUBSTITUTE(SUBSTITUTE(Teams[[#This Row],[name]], ".", ""), " ", ""), "-", "")))</f>
        <v>C-GER-SAARBRÜCKEN</v>
      </c>
      <c r="E547" s="16"/>
      <c r="F547" s="16"/>
      <c r="G547" s="1" t="b">
        <f>COUNTBLANK(Teams[[#This Row],[startDate]:[endDate]]) &lt; 2</f>
        <v>0</v>
      </c>
      <c r="H547" s="1" t="str">
        <f>IF(Teams[[#This Row],[relevant]], COUNTIFS(Fixtures[userTeam], Teams[[#This Row],[name]], Fixtures[APP], TRUE), "")</f>
        <v/>
      </c>
      <c r="I547" s="1" t="str">
        <f>IF(Teams[[#This Row],[relevant]], COUNTIFS(Fixtures[userTeam], Teams[[#This Row],[name]], Fixtures[result], "W", Fixtures[APP], TRUE), "")</f>
        <v/>
      </c>
      <c r="J547" s="1" t="str">
        <f>IF(Teams[[#This Row],[relevant]], COUNTIFS(Fixtures[userTeam], Teams[[#This Row],[name]], Fixtures[result], "D", Fixtures[APP], TRUE), "")</f>
        <v/>
      </c>
      <c r="K547" s="1" t="str">
        <f>IF(Teams[[#This Row],[relevant]], COUNTIFS(Fixtures[userTeam], Teams[[#This Row],[name]], Fixtures[result], "L", Fixtures[APP], TRUE), "")</f>
        <v/>
      </c>
      <c r="L547" s="1" t="str">
        <f>IF(Teams[[#This Row],[relevant]], SUMIFS(Fixtures[G], Fixtures[userTeam], Teams[[#This Row],[name]]), "")</f>
        <v/>
      </c>
      <c r="M547" s="1" t="str">
        <f>IF(Teams[[#This Row],[relevant]], SUMIFS(Fixtures[A], Fixtures[userTeam], Teams[[#This Row],[name]]), "")</f>
        <v/>
      </c>
      <c r="N547" s="1" t="str">
        <f>IF(Teams[[#This Row],[relevant]], SUMIFS(Fixtures[INV], Fixtures[userTeam], Teams[[#This Row],[name]]), "")</f>
        <v/>
      </c>
      <c r="O547" s="1" t="str">
        <f>IF(Teams[[#This Row],[relevant]], SUMIFS(Fixtures[YC], Fixtures[userTeam], Teams[[#This Row],[name]]), "")</f>
        <v/>
      </c>
      <c r="P547" s="1" t="str">
        <f>IF(Teams[[#This Row],[relevant]], SUMIFS(Fixtures[RC], Fixtures[userTeam], Teams[[#This Row],[name]]), "")</f>
        <v/>
      </c>
      <c r="Q547" s="13" t="str">
        <f>IF(Teams[[#This Row],[relevant]], IF(ISERROR(AVERAGEIFS(Fixtures[MR], Fixtures[userTeam], Teams[[#This Row],[name]])), 0, AVERAGEIFS(Fixtures[MR], Fixtures[userTeam], Teams[[#This Row],[name]])), "")</f>
        <v/>
      </c>
      <c r="R547" s="1" t="str">
        <f>IF(Teams[[#This Row],[relevant]], COUNTIFS(Fixtures[userTeam], Teams[[#This Row],[name]], Fixtures[MOTM], TRUE), "")</f>
        <v/>
      </c>
      <c r="S547" s="1" t="str" cm="1">
        <f t="array" ref="S547">IF(Teams[[#This Row],[relevant]], _xlfn.TEXTJOIN(", ", TRUE, _xlfn._xlws.FILTER(Stats[competition]&amp;" ("&amp;Stats[season]&amp;")",(Stats[team]=Teams[[#This Row],[name]])*(Stats[result]="Winner"),"")), "")</f>
        <v/>
      </c>
    </row>
    <row r="548" spans="1:19" ht="13" hidden="1">
      <c r="A548" s="1" t="s">
        <v>880</v>
      </c>
      <c r="B548" s="1" t="s">
        <v>254</v>
      </c>
      <c r="C548" s="1" t="s">
        <v>391</v>
      </c>
      <c r="D548" s="1" t="str">
        <f>UPPER(_xlfn.CONCAT(LEFT(Teams[[#This Row],[teamType]], 1), "-", LEFT(SUBSTITUTE(Teams[[#This Row],[nation]], "/", ""), 3), "-", SUBSTITUTE(SUBSTITUTE(SUBSTITUTE(Teams[[#This Row],[name]], ".", ""), " ", ""), "-", "")))</f>
        <v>C-ITA-SALERNITANA</v>
      </c>
      <c r="E548" s="16"/>
      <c r="F548" s="16"/>
      <c r="G548" s="1" t="b">
        <f>COUNTBLANK(Teams[[#This Row],[startDate]:[endDate]]) &lt; 2</f>
        <v>0</v>
      </c>
      <c r="H548" s="1" t="str">
        <f>IF(Teams[[#This Row],[relevant]], COUNTIFS(Fixtures[userTeam], Teams[[#This Row],[name]], Fixtures[APP], TRUE), "")</f>
        <v/>
      </c>
      <c r="I548" s="1" t="str">
        <f>IF(Teams[[#This Row],[relevant]], COUNTIFS(Fixtures[userTeam], Teams[[#This Row],[name]], Fixtures[result], "W", Fixtures[APP], TRUE), "")</f>
        <v/>
      </c>
      <c r="J548" s="1" t="str">
        <f>IF(Teams[[#This Row],[relevant]], COUNTIFS(Fixtures[userTeam], Teams[[#This Row],[name]], Fixtures[result], "D", Fixtures[APP], TRUE), "")</f>
        <v/>
      </c>
      <c r="K548" s="1" t="str">
        <f>IF(Teams[[#This Row],[relevant]], COUNTIFS(Fixtures[userTeam], Teams[[#This Row],[name]], Fixtures[result], "L", Fixtures[APP], TRUE), "")</f>
        <v/>
      </c>
      <c r="L548" s="1" t="str">
        <f>IF(Teams[[#This Row],[relevant]], SUMIFS(Fixtures[G], Fixtures[userTeam], Teams[[#This Row],[name]]), "")</f>
        <v/>
      </c>
      <c r="M548" s="1" t="str">
        <f>IF(Teams[[#This Row],[relevant]], SUMIFS(Fixtures[A], Fixtures[userTeam], Teams[[#This Row],[name]]), "")</f>
        <v/>
      </c>
      <c r="N548" s="1" t="str">
        <f>IF(Teams[[#This Row],[relevant]], SUMIFS(Fixtures[INV], Fixtures[userTeam], Teams[[#This Row],[name]]), "")</f>
        <v/>
      </c>
      <c r="O548" s="1" t="str">
        <f>IF(Teams[[#This Row],[relevant]], SUMIFS(Fixtures[YC], Fixtures[userTeam], Teams[[#This Row],[name]]), "")</f>
        <v/>
      </c>
      <c r="P548" s="1" t="str">
        <f>IF(Teams[[#This Row],[relevant]], SUMIFS(Fixtures[RC], Fixtures[userTeam], Teams[[#This Row],[name]]), "")</f>
        <v/>
      </c>
      <c r="Q548" s="13" t="str">
        <f>IF(Teams[[#This Row],[relevant]], IF(ISERROR(AVERAGEIFS(Fixtures[MR], Fixtures[userTeam], Teams[[#This Row],[name]])), 0, AVERAGEIFS(Fixtures[MR], Fixtures[userTeam], Teams[[#This Row],[name]])), "")</f>
        <v/>
      </c>
      <c r="R548" s="1" t="str">
        <f>IF(Teams[[#This Row],[relevant]], COUNTIFS(Fixtures[userTeam], Teams[[#This Row],[name]], Fixtures[MOTM], TRUE), "")</f>
        <v/>
      </c>
      <c r="S548" s="1" t="str" cm="1">
        <f t="array" ref="S548">IF(Teams[[#This Row],[relevant]], _xlfn.TEXTJOIN(", ", TRUE, _xlfn._xlws.FILTER(Stats[competition]&amp;" ("&amp;Stats[season]&amp;")",(Stats[team]=Teams[[#This Row],[name]])*(Stats[result]="Winner"),"")), "")</f>
        <v/>
      </c>
    </row>
    <row r="549" spans="1:19" ht="13" hidden="1">
      <c r="A549" s="1" t="s">
        <v>881</v>
      </c>
      <c r="B549" s="1" t="s">
        <v>152</v>
      </c>
      <c r="C549" s="1" t="s">
        <v>391</v>
      </c>
      <c r="D549" s="1" t="str">
        <f>UPPER(_xlfn.CONCAT(LEFT(Teams[[#This Row],[teamType]], 1), "-", LEFT(SUBSTITUTE(Teams[[#This Row],[nation]], "/", ""), 3), "-", SUBSTITUTE(SUBSTITUTE(SUBSTITUTE(Teams[[#This Row],[name]], ".", ""), " ", ""), "-", "")))</f>
        <v>C-ENG-SALFORDCITY</v>
      </c>
      <c r="E549" s="16"/>
      <c r="F549" s="16"/>
      <c r="G549" s="1" t="b">
        <f>COUNTBLANK(Teams[[#This Row],[startDate]:[endDate]]) &lt; 2</f>
        <v>0</v>
      </c>
      <c r="H549" s="1" t="str">
        <f>IF(Teams[[#This Row],[relevant]], COUNTIFS(Fixtures[userTeam], Teams[[#This Row],[name]], Fixtures[APP], TRUE), "")</f>
        <v/>
      </c>
      <c r="I549" s="1" t="str">
        <f>IF(Teams[[#This Row],[relevant]], COUNTIFS(Fixtures[userTeam], Teams[[#This Row],[name]], Fixtures[result], "W", Fixtures[APP], TRUE), "")</f>
        <v/>
      </c>
      <c r="J549" s="1" t="str">
        <f>IF(Teams[[#This Row],[relevant]], COUNTIFS(Fixtures[userTeam], Teams[[#This Row],[name]], Fixtures[result], "D", Fixtures[APP], TRUE), "")</f>
        <v/>
      </c>
      <c r="K549" s="1" t="str">
        <f>IF(Teams[[#This Row],[relevant]], COUNTIFS(Fixtures[userTeam], Teams[[#This Row],[name]], Fixtures[result], "L", Fixtures[APP], TRUE), "")</f>
        <v/>
      </c>
      <c r="L549" s="1" t="str">
        <f>IF(Teams[[#This Row],[relevant]], SUMIFS(Fixtures[G], Fixtures[userTeam], Teams[[#This Row],[name]]), "")</f>
        <v/>
      </c>
      <c r="M549" s="1" t="str">
        <f>IF(Teams[[#This Row],[relevant]], SUMIFS(Fixtures[A], Fixtures[userTeam], Teams[[#This Row],[name]]), "")</f>
        <v/>
      </c>
      <c r="N549" s="1" t="str">
        <f>IF(Teams[[#This Row],[relevant]], SUMIFS(Fixtures[INV], Fixtures[userTeam], Teams[[#This Row],[name]]), "")</f>
        <v/>
      </c>
      <c r="O549" s="1" t="str">
        <f>IF(Teams[[#This Row],[relevant]], SUMIFS(Fixtures[YC], Fixtures[userTeam], Teams[[#This Row],[name]]), "")</f>
        <v/>
      </c>
      <c r="P549" s="1" t="str">
        <f>IF(Teams[[#This Row],[relevant]], SUMIFS(Fixtures[RC], Fixtures[userTeam], Teams[[#This Row],[name]]), "")</f>
        <v/>
      </c>
      <c r="Q549" s="13" t="str">
        <f>IF(Teams[[#This Row],[relevant]], IF(ISERROR(AVERAGEIFS(Fixtures[MR], Fixtures[userTeam], Teams[[#This Row],[name]])), 0, AVERAGEIFS(Fixtures[MR], Fixtures[userTeam], Teams[[#This Row],[name]])), "")</f>
        <v/>
      </c>
      <c r="R549" s="1" t="str">
        <f>IF(Teams[[#This Row],[relevant]], COUNTIFS(Fixtures[userTeam], Teams[[#This Row],[name]], Fixtures[MOTM], TRUE), "")</f>
        <v/>
      </c>
      <c r="S549" s="1" t="str" cm="1">
        <f t="array" ref="S549">IF(Teams[[#This Row],[relevant]], _xlfn.TEXTJOIN(", ", TRUE, _xlfn._xlws.FILTER(Stats[competition]&amp;" ("&amp;Stats[season]&amp;")",(Stats[team]=Teams[[#This Row],[name]])*(Stats[result]="Winner"),"")), "")</f>
        <v/>
      </c>
    </row>
    <row r="550" spans="1:19" ht="13" hidden="1">
      <c r="A550" s="1" t="s">
        <v>882</v>
      </c>
      <c r="B550" s="1" t="s">
        <v>254</v>
      </c>
      <c r="C550" s="1" t="s">
        <v>391</v>
      </c>
      <c r="D550" s="1" t="str">
        <f>UPPER(_xlfn.CONCAT(LEFT(Teams[[#This Row],[teamType]], 1), "-", LEFT(SUBSTITUTE(Teams[[#This Row],[nation]], "/", ""), 3), "-", SUBSTITUTE(SUBSTITUTE(SUBSTITUTE(Teams[[#This Row],[name]], ".", ""), " ", ""), "-", "")))</f>
        <v>C-ITA-SAMPDORIA</v>
      </c>
      <c r="E550" s="16"/>
      <c r="F550" s="16"/>
      <c r="G550" s="1" t="b">
        <f>COUNTBLANK(Teams[[#This Row],[startDate]:[endDate]]) &lt; 2</f>
        <v>0</v>
      </c>
      <c r="H550" s="1" t="str">
        <f>IF(Teams[[#This Row],[relevant]], COUNTIFS(Fixtures[userTeam], Teams[[#This Row],[name]], Fixtures[APP], TRUE), "")</f>
        <v/>
      </c>
      <c r="I550" s="1" t="str">
        <f>IF(Teams[[#This Row],[relevant]], COUNTIFS(Fixtures[userTeam], Teams[[#This Row],[name]], Fixtures[result], "W", Fixtures[APP], TRUE), "")</f>
        <v/>
      </c>
      <c r="J550" s="1" t="str">
        <f>IF(Teams[[#This Row],[relevant]], COUNTIFS(Fixtures[userTeam], Teams[[#This Row],[name]], Fixtures[result], "D", Fixtures[APP], TRUE), "")</f>
        <v/>
      </c>
      <c r="K550" s="1" t="str">
        <f>IF(Teams[[#This Row],[relevant]], COUNTIFS(Fixtures[userTeam], Teams[[#This Row],[name]], Fixtures[result], "L", Fixtures[APP], TRUE), "")</f>
        <v/>
      </c>
      <c r="L550" s="1" t="str">
        <f>IF(Teams[[#This Row],[relevant]], SUMIFS(Fixtures[G], Fixtures[userTeam], Teams[[#This Row],[name]]), "")</f>
        <v/>
      </c>
      <c r="M550" s="1" t="str">
        <f>IF(Teams[[#This Row],[relevant]], SUMIFS(Fixtures[A], Fixtures[userTeam], Teams[[#This Row],[name]]), "")</f>
        <v/>
      </c>
      <c r="N550" s="1" t="str">
        <f>IF(Teams[[#This Row],[relevant]], SUMIFS(Fixtures[INV], Fixtures[userTeam], Teams[[#This Row],[name]]), "")</f>
        <v/>
      </c>
      <c r="O550" s="1" t="str">
        <f>IF(Teams[[#This Row],[relevant]], SUMIFS(Fixtures[YC], Fixtures[userTeam], Teams[[#This Row],[name]]), "")</f>
        <v/>
      </c>
      <c r="P550" s="1" t="str">
        <f>IF(Teams[[#This Row],[relevant]], SUMIFS(Fixtures[RC], Fixtures[userTeam], Teams[[#This Row],[name]]), "")</f>
        <v/>
      </c>
      <c r="Q550" s="13" t="str">
        <f>IF(Teams[[#This Row],[relevant]], IF(ISERROR(AVERAGEIFS(Fixtures[MR], Fixtures[userTeam], Teams[[#This Row],[name]])), 0, AVERAGEIFS(Fixtures[MR], Fixtures[userTeam], Teams[[#This Row],[name]])), "")</f>
        <v/>
      </c>
      <c r="R550" s="1" t="str">
        <f>IF(Teams[[#This Row],[relevant]], COUNTIFS(Fixtures[userTeam], Teams[[#This Row],[name]], Fixtures[MOTM], TRUE), "")</f>
        <v/>
      </c>
      <c r="S550" s="1" t="str" cm="1">
        <f t="array" ref="S550">IF(Teams[[#This Row],[relevant]], _xlfn.TEXTJOIN(", ", TRUE, _xlfn._xlws.FILTER(Stats[competition]&amp;" ("&amp;Stats[season]&amp;")",(Stats[team]=Teams[[#This Row],[name]])*(Stats[result]="Winner"),"")), "")</f>
        <v/>
      </c>
    </row>
    <row r="551" spans="1:19" ht="13" hidden="1">
      <c r="A551" s="1" t="s">
        <v>883</v>
      </c>
      <c r="B551" s="1" t="s">
        <v>131</v>
      </c>
      <c r="C551" s="1" t="s">
        <v>391</v>
      </c>
      <c r="D551" s="1" t="str">
        <f>UPPER(_xlfn.CONCAT(LEFT(Teams[[#This Row],[teamType]], 1), "-", LEFT(SUBSTITUTE(Teams[[#This Row],[nation]], "/", ""), 3), "-", SUBSTITUTE(SUBSTITUTE(SUBSTITUTE(Teams[[#This Row],[name]], ".", ""), " ", ""), "-", "")))</f>
        <v>C-ARG-SANLORENZO</v>
      </c>
      <c r="E551" s="16"/>
      <c r="F551" s="16"/>
      <c r="G551" s="1" t="b">
        <f>COUNTBLANK(Teams[[#This Row],[startDate]:[endDate]]) &lt; 2</f>
        <v>0</v>
      </c>
      <c r="H551" s="1" t="str">
        <f>IF(Teams[[#This Row],[relevant]], COUNTIFS(Fixtures[userTeam], Teams[[#This Row],[name]], Fixtures[APP], TRUE), "")</f>
        <v/>
      </c>
      <c r="I551" s="1" t="str">
        <f>IF(Teams[[#This Row],[relevant]], COUNTIFS(Fixtures[userTeam], Teams[[#This Row],[name]], Fixtures[result], "W", Fixtures[APP], TRUE), "")</f>
        <v/>
      </c>
      <c r="J551" s="1" t="str">
        <f>IF(Teams[[#This Row],[relevant]], COUNTIFS(Fixtures[userTeam], Teams[[#This Row],[name]], Fixtures[result], "D", Fixtures[APP], TRUE), "")</f>
        <v/>
      </c>
      <c r="K551" s="1" t="str">
        <f>IF(Teams[[#This Row],[relevant]], COUNTIFS(Fixtures[userTeam], Teams[[#This Row],[name]], Fixtures[result], "L", Fixtures[APP], TRUE), "")</f>
        <v/>
      </c>
      <c r="L551" s="1" t="str">
        <f>IF(Teams[[#This Row],[relevant]], SUMIFS(Fixtures[G], Fixtures[userTeam], Teams[[#This Row],[name]]), "")</f>
        <v/>
      </c>
      <c r="M551" s="1" t="str">
        <f>IF(Teams[[#This Row],[relevant]], SUMIFS(Fixtures[A], Fixtures[userTeam], Teams[[#This Row],[name]]), "")</f>
        <v/>
      </c>
      <c r="N551" s="1" t="str">
        <f>IF(Teams[[#This Row],[relevant]], SUMIFS(Fixtures[INV], Fixtures[userTeam], Teams[[#This Row],[name]]), "")</f>
        <v/>
      </c>
      <c r="O551" s="1" t="str">
        <f>IF(Teams[[#This Row],[relevant]], SUMIFS(Fixtures[YC], Fixtures[userTeam], Teams[[#This Row],[name]]), "")</f>
        <v/>
      </c>
      <c r="P551" s="1" t="str">
        <f>IF(Teams[[#This Row],[relevant]], SUMIFS(Fixtures[RC], Fixtures[userTeam], Teams[[#This Row],[name]]), "")</f>
        <v/>
      </c>
      <c r="Q551" s="13" t="str">
        <f>IF(Teams[[#This Row],[relevant]], IF(ISERROR(AVERAGEIFS(Fixtures[MR], Fixtures[userTeam], Teams[[#This Row],[name]])), 0, AVERAGEIFS(Fixtures[MR], Fixtures[userTeam], Teams[[#This Row],[name]])), "")</f>
        <v/>
      </c>
      <c r="R551" s="1" t="str">
        <f>IF(Teams[[#This Row],[relevant]], COUNTIFS(Fixtures[userTeam], Teams[[#This Row],[name]], Fixtures[MOTM], TRUE), "")</f>
        <v/>
      </c>
      <c r="S551" s="1" t="str" cm="1">
        <f t="array" ref="S551">IF(Teams[[#This Row],[relevant]], _xlfn.TEXTJOIN(", ", TRUE, _xlfn._xlws.FILTER(Stats[competition]&amp;" ("&amp;Stats[season]&amp;")",(Stats[team]=Teams[[#This Row],[name]])*(Stats[result]="Winner"),"")), "")</f>
        <v/>
      </c>
    </row>
    <row r="552" spans="1:19" ht="13" hidden="1">
      <c r="A552" s="1" t="s">
        <v>884</v>
      </c>
      <c r="B552" s="1" t="s">
        <v>286</v>
      </c>
      <c r="C552" s="1" t="s">
        <v>391</v>
      </c>
      <c r="D552" s="1" t="str">
        <f>UPPER(_xlfn.CONCAT(LEFT(Teams[[#This Row],[teamType]], 1), "-", LEFT(SUBSTITUTE(Teams[[#This Row],[nation]], "/", ""), 3), "-", SUBSTITUTE(SUBSTITUTE(SUBSTITUTE(Teams[[#This Row],[name]], ".", ""), " ", ""), "-", "")))</f>
        <v>C-NOR-SANDEFJORD</v>
      </c>
      <c r="E552" s="16"/>
      <c r="F552" s="16"/>
      <c r="G552" s="1" t="b">
        <f>COUNTBLANK(Teams[[#This Row],[startDate]:[endDate]]) &lt; 2</f>
        <v>0</v>
      </c>
      <c r="H552" s="1" t="str">
        <f>IF(Teams[[#This Row],[relevant]], COUNTIFS(Fixtures[userTeam], Teams[[#This Row],[name]], Fixtures[APP], TRUE), "")</f>
        <v/>
      </c>
      <c r="I552" s="1" t="str">
        <f>IF(Teams[[#This Row],[relevant]], COUNTIFS(Fixtures[userTeam], Teams[[#This Row],[name]], Fixtures[result], "W", Fixtures[APP], TRUE), "")</f>
        <v/>
      </c>
      <c r="J552" s="1" t="str">
        <f>IF(Teams[[#This Row],[relevant]], COUNTIFS(Fixtures[userTeam], Teams[[#This Row],[name]], Fixtures[result], "D", Fixtures[APP], TRUE), "")</f>
        <v/>
      </c>
      <c r="K552" s="1" t="str">
        <f>IF(Teams[[#This Row],[relevant]], COUNTIFS(Fixtures[userTeam], Teams[[#This Row],[name]], Fixtures[result], "L", Fixtures[APP], TRUE), "")</f>
        <v/>
      </c>
      <c r="L552" s="1" t="str">
        <f>IF(Teams[[#This Row],[relevant]], SUMIFS(Fixtures[G], Fixtures[userTeam], Teams[[#This Row],[name]]), "")</f>
        <v/>
      </c>
      <c r="M552" s="1" t="str">
        <f>IF(Teams[[#This Row],[relevant]], SUMIFS(Fixtures[A], Fixtures[userTeam], Teams[[#This Row],[name]]), "")</f>
        <v/>
      </c>
      <c r="N552" s="1" t="str">
        <f>IF(Teams[[#This Row],[relevant]], SUMIFS(Fixtures[INV], Fixtures[userTeam], Teams[[#This Row],[name]]), "")</f>
        <v/>
      </c>
      <c r="O552" s="1" t="str">
        <f>IF(Teams[[#This Row],[relevant]], SUMIFS(Fixtures[YC], Fixtures[userTeam], Teams[[#This Row],[name]]), "")</f>
        <v/>
      </c>
      <c r="P552" s="1" t="str">
        <f>IF(Teams[[#This Row],[relevant]], SUMIFS(Fixtures[RC], Fixtures[userTeam], Teams[[#This Row],[name]]), "")</f>
        <v/>
      </c>
      <c r="Q552" s="13" t="str">
        <f>IF(Teams[[#This Row],[relevant]], IF(ISERROR(AVERAGEIFS(Fixtures[MR], Fixtures[userTeam], Teams[[#This Row],[name]])), 0, AVERAGEIFS(Fixtures[MR], Fixtures[userTeam], Teams[[#This Row],[name]])), "")</f>
        <v/>
      </c>
      <c r="R552" s="1" t="str">
        <f>IF(Teams[[#This Row],[relevant]], COUNTIFS(Fixtures[userTeam], Teams[[#This Row],[name]], Fixtures[MOTM], TRUE), "")</f>
        <v/>
      </c>
      <c r="S552" s="1" t="str" cm="1">
        <f t="array" ref="S552">IF(Teams[[#This Row],[relevant]], _xlfn.TEXTJOIN(", ", TRUE, _xlfn._xlws.FILTER(Stats[competition]&amp;" ("&amp;Stats[season]&amp;")",(Stats[team]=Teams[[#This Row],[name]])*(Stats[result]="Winner"),"")), "")</f>
        <v/>
      </c>
    </row>
    <row r="553" spans="1:19" ht="13" hidden="1">
      <c r="A553" s="1" t="s">
        <v>885</v>
      </c>
      <c r="B553" s="1" t="s">
        <v>463</v>
      </c>
      <c r="C553" s="1" t="s">
        <v>391</v>
      </c>
      <c r="D553" s="1" t="str">
        <f>UPPER(_xlfn.CONCAT(LEFT(Teams[[#This Row],[teamType]], 1), "-", LEFT(SUBSTITUTE(Teams[[#This Row],[nation]], "/", ""), 3), "-", SUBSTITUTE(SUBSTITUTE(SUBSTITUTE(Teams[[#This Row],[name]], ".", ""), " ", ""), "-", "")))</f>
        <v>C-POR-SANTACLARA</v>
      </c>
      <c r="E553" s="16"/>
      <c r="F553" s="16"/>
      <c r="G553" s="1" t="b">
        <f>COUNTBLANK(Teams[[#This Row],[startDate]:[endDate]]) &lt; 2</f>
        <v>0</v>
      </c>
      <c r="H553" s="1" t="str">
        <f>IF(Teams[[#This Row],[relevant]], COUNTIFS(Fixtures[userTeam], Teams[[#This Row],[name]], Fixtures[APP], TRUE), "")</f>
        <v/>
      </c>
      <c r="I553" s="1" t="str">
        <f>IF(Teams[[#This Row],[relevant]], COUNTIFS(Fixtures[userTeam], Teams[[#This Row],[name]], Fixtures[result], "W", Fixtures[APP], TRUE), "")</f>
        <v/>
      </c>
      <c r="J553" s="1" t="str">
        <f>IF(Teams[[#This Row],[relevant]], COUNTIFS(Fixtures[userTeam], Teams[[#This Row],[name]], Fixtures[result], "D", Fixtures[APP], TRUE), "")</f>
        <v/>
      </c>
      <c r="K553" s="1" t="str">
        <f>IF(Teams[[#This Row],[relevant]], COUNTIFS(Fixtures[userTeam], Teams[[#This Row],[name]], Fixtures[result], "L", Fixtures[APP], TRUE), "")</f>
        <v/>
      </c>
      <c r="L553" s="1" t="str">
        <f>IF(Teams[[#This Row],[relevant]], SUMIFS(Fixtures[G], Fixtures[userTeam], Teams[[#This Row],[name]]), "")</f>
        <v/>
      </c>
      <c r="M553" s="1" t="str">
        <f>IF(Teams[[#This Row],[relevant]], SUMIFS(Fixtures[A], Fixtures[userTeam], Teams[[#This Row],[name]]), "")</f>
        <v/>
      </c>
      <c r="N553" s="1" t="str">
        <f>IF(Teams[[#This Row],[relevant]], SUMIFS(Fixtures[INV], Fixtures[userTeam], Teams[[#This Row],[name]]), "")</f>
        <v/>
      </c>
      <c r="O553" s="1" t="str">
        <f>IF(Teams[[#This Row],[relevant]], SUMIFS(Fixtures[YC], Fixtures[userTeam], Teams[[#This Row],[name]]), "")</f>
        <v/>
      </c>
      <c r="P553" s="1" t="str">
        <f>IF(Teams[[#This Row],[relevant]], SUMIFS(Fixtures[RC], Fixtures[userTeam], Teams[[#This Row],[name]]), "")</f>
        <v/>
      </c>
      <c r="Q553" s="13" t="str">
        <f>IF(Teams[[#This Row],[relevant]], IF(ISERROR(AVERAGEIFS(Fixtures[MR], Fixtures[userTeam], Teams[[#This Row],[name]])), 0, AVERAGEIFS(Fixtures[MR], Fixtures[userTeam], Teams[[#This Row],[name]])), "")</f>
        <v/>
      </c>
      <c r="R553" s="1" t="str">
        <f>IF(Teams[[#This Row],[relevant]], COUNTIFS(Fixtures[userTeam], Teams[[#This Row],[name]], Fixtures[MOTM], TRUE), "")</f>
        <v/>
      </c>
      <c r="S553" s="1" t="str" cm="1">
        <f t="array" ref="S553">IF(Teams[[#This Row],[relevant]], _xlfn.TEXTJOIN(", ", TRUE, _xlfn._xlws.FILTER(Stats[competition]&amp;" ("&amp;Stats[season]&amp;")",(Stats[team]=Teams[[#This Row],[name]])*(Stats[result]="Winner"),"")), "")</f>
        <v/>
      </c>
    </row>
    <row r="554" spans="1:19" ht="13" hidden="1">
      <c r="A554" s="1" t="s">
        <v>886</v>
      </c>
      <c r="B554" s="1" t="s">
        <v>451</v>
      </c>
      <c r="C554" s="1" t="s">
        <v>391</v>
      </c>
      <c r="D554" s="1" t="str">
        <f>UPPER(_xlfn.CONCAT(LEFT(Teams[[#This Row],[teamType]], 1), "-", LEFT(SUBSTITUTE(Teams[[#This Row],[nation]], "/", ""), 3), "-", SUBSTITUTE(SUBSTITUTE(SUBSTITUTE(Teams[[#This Row],[name]], ".", ""), " ", ""), "-", "")))</f>
        <v>C-BRA-SANTOS</v>
      </c>
      <c r="E554" s="16"/>
      <c r="F554" s="16"/>
      <c r="G554" s="1" t="b">
        <f>COUNTBLANK(Teams[[#This Row],[startDate]:[endDate]]) &lt; 2</f>
        <v>0</v>
      </c>
      <c r="H554" s="1" t="str">
        <f>IF(Teams[[#This Row],[relevant]], COUNTIFS(Fixtures[userTeam], Teams[[#This Row],[name]], Fixtures[APP], TRUE), "")</f>
        <v/>
      </c>
      <c r="I554" s="1" t="str">
        <f>IF(Teams[[#This Row],[relevant]], COUNTIFS(Fixtures[userTeam], Teams[[#This Row],[name]], Fixtures[result], "W", Fixtures[APP], TRUE), "")</f>
        <v/>
      </c>
      <c r="J554" s="1" t="str">
        <f>IF(Teams[[#This Row],[relevant]], COUNTIFS(Fixtures[userTeam], Teams[[#This Row],[name]], Fixtures[result], "D", Fixtures[APP], TRUE), "")</f>
        <v/>
      </c>
      <c r="K554" s="1" t="str">
        <f>IF(Teams[[#This Row],[relevant]], COUNTIFS(Fixtures[userTeam], Teams[[#This Row],[name]], Fixtures[result], "L", Fixtures[APP], TRUE), "")</f>
        <v/>
      </c>
      <c r="L554" s="1" t="str">
        <f>IF(Teams[[#This Row],[relevant]], SUMIFS(Fixtures[G], Fixtures[userTeam], Teams[[#This Row],[name]]), "")</f>
        <v/>
      </c>
      <c r="M554" s="1" t="str">
        <f>IF(Teams[[#This Row],[relevant]], SUMIFS(Fixtures[A], Fixtures[userTeam], Teams[[#This Row],[name]]), "")</f>
        <v/>
      </c>
      <c r="N554" s="1" t="str">
        <f>IF(Teams[[#This Row],[relevant]], SUMIFS(Fixtures[INV], Fixtures[userTeam], Teams[[#This Row],[name]]), "")</f>
        <v/>
      </c>
      <c r="O554" s="1" t="str">
        <f>IF(Teams[[#This Row],[relevant]], SUMIFS(Fixtures[YC], Fixtures[userTeam], Teams[[#This Row],[name]]), "")</f>
        <v/>
      </c>
      <c r="P554" s="1" t="str">
        <f>IF(Teams[[#This Row],[relevant]], SUMIFS(Fixtures[RC], Fixtures[userTeam], Teams[[#This Row],[name]]), "")</f>
        <v/>
      </c>
      <c r="Q554" s="13" t="str">
        <f>IF(Teams[[#This Row],[relevant]], IF(ISERROR(AVERAGEIFS(Fixtures[MR], Fixtures[userTeam], Teams[[#This Row],[name]])), 0, AVERAGEIFS(Fixtures[MR], Fixtures[userTeam], Teams[[#This Row],[name]])), "")</f>
        <v/>
      </c>
      <c r="R554" s="1" t="str">
        <f>IF(Teams[[#This Row],[relevant]], COUNTIFS(Fixtures[userTeam], Teams[[#This Row],[name]], Fixtures[MOTM], TRUE), "")</f>
        <v/>
      </c>
      <c r="S554" s="1" t="str" cm="1">
        <f t="array" ref="S554">IF(Teams[[#This Row],[relevant]], _xlfn.TEXTJOIN(", ", TRUE, _xlfn._xlws.FILTER(Stats[competition]&amp;" ("&amp;Stats[season]&amp;")",(Stats[team]=Teams[[#This Row],[name]])*(Stats[result]="Winner"),"")), "")</f>
        <v/>
      </c>
    </row>
    <row r="555" spans="1:19" ht="13" hidden="1">
      <c r="A555" s="1" t="s">
        <v>887</v>
      </c>
      <c r="B555" s="1" t="s">
        <v>451</v>
      </c>
      <c r="C555" s="1" t="s">
        <v>391</v>
      </c>
      <c r="D555" s="1" t="str">
        <f>UPPER(_xlfn.CONCAT(LEFT(Teams[[#This Row],[teamType]], 1), "-", LEFT(SUBSTITUTE(Teams[[#This Row],[nation]], "/", ""), 3), "-", SUBSTITUTE(SUBSTITUTE(SUBSTITUTE(Teams[[#This Row],[name]], ".", ""), " ", ""), "-", "")))</f>
        <v>C-BRA-SÃOPAULO</v>
      </c>
      <c r="E555" s="16"/>
      <c r="F555" s="16"/>
      <c r="G555" s="1" t="b">
        <f>COUNTBLANK(Teams[[#This Row],[startDate]:[endDate]]) &lt; 2</f>
        <v>0</v>
      </c>
      <c r="H555" s="1" t="str">
        <f>IF(Teams[[#This Row],[relevant]], COUNTIFS(Fixtures[userTeam], Teams[[#This Row],[name]], Fixtures[APP], TRUE), "")</f>
        <v/>
      </c>
      <c r="I555" s="1" t="str">
        <f>IF(Teams[[#This Row],[relevant]], COUNTIFS(Fixtures[userTeam], Teams[[#This Row],[name]], Fixtures[result], "W", Fixtures[APP], TRUE), "")</f>
        <v/>
      </c>
      <c r="J555" s="1" t="str">
        <f>IF(Teams[[#This Row],[relevant]], COUNTIFS(Fixtures[userTeam], Teams[[#This Row],[name]], Fixtures[result], "D", Fixtures[APP], TRUE), "")</f>
        <v/>
      </c>
      <c r="K555" s="1" t="str">
        <f>IF(Teams[[#This Row],[relevant]], COUNTIFS(Fixtures[userTeam], Teams[[#This Row],[name]], Fixtures[result], "L", Fixtures[APP], TRUE), "")</f>
        <v/>
      </c>
      <c r="L555" s="1" t="str">
        <f>IF(Teams[[#This Row],[relevant]], SUMIFS(Fixtures[G], Fixtures[userTeam], Teams[[#This Row],[name]]), "")</f>
        <v/>
      </c>
      <c r="M555" s="1" t="str">
        <f>IF(Teams[[#This Row],[relevant]], SUMIFS(Fixtures[A], Fixtures[userTeam], Teams[[#This Row],[name]]), "")</f>
        <v/>
      </c>
      <c r="N555" s="1" t="str">
        <f>IF(Teams[[#This Row],[relevant]], SUMIFS(Fixtures[INV], Fixtures[userTeam], Teams[[#This Row],[name]]), "")</f>
        <v/>
      </c>
      <c r="O555" s="1" t="str">
        <f>IF(Teams[[#This Row],[relevant]], SUMIFS(Fixtures[YC], Fixtures[userTeam], Teams[[#This Row],[name]]), "")</f>
        <v/>
      </c>
      <c r="P555" s="1" t="str">
        <f>IF(Teams[[#This Row],[relevant]], SUMIFS(Fixtures[RC], Fixtures[userTeam], Teams[[#This Row],[name]]), "")</f>
        <v/>
      </c>
      <c r="Q555" s="13" t="str">
        <f>IF(Teams[[#This Row],[relevant]], IF(ISERROR(AVERAGEIFS(Fixtures[MR], Fixtures[userTeam], Teams[[#This Row],[name]])), 0, AVERAGEIFS(Fixtures[MR], Fixtures[userTeam], Teams[[#This Row],[name]])), "")</f>
        <v/>
      </c>
      <c r="R555" s="1" t="str">
        <f>IF(Teams[[#This Row],[relevant]], COUNTIFS(Fixtures[userTeam], Teams[[#This Row],[name]], Fixtures[MOTM], TRUE), "")</f>
        <v/>
      </c>
      <c r="S555" s="1" t="str" cm="1">
        <f t="array" ref="S555">IF(Teams[[#This Row],[relevant]], _xlfn.TEXTJOIN(", ", TRUE, _xlfn._xlws.FILTER(Stats[competition]&amp;" ("&amp;Stats[season]&amp;")",(Stats[team]=Teams[[#This Row],[name]])*(Stats[result]="Winner"),"")), "")</f>
        <v/>
      </c>
    </row>
    <row r="556" spans="1:19" ht="13" hidden="1">
      <c r="A556" s="1" t="s">
        <v>888</v>
      </c>
      <c r="B556" s="1" t="s">
        <v>131</v>
      </c>
      <c r="C556" s="1" t="s">
        <v>391</v>
      </c>
      <c r="D556" s="1" t="str">
        <f>UPPER(_xlfn.CONCAT(LEFT(Teams[[#This Row],[teamType]], 1), "-", LEFT(SUBSTITUTE(Teams[[#This Row],[nation]], "/", ""), 3), "-", SUBSTITUTE(SUBSTITUTE(SUBSTITUTE(Teams[[#This Row],[name]], ".", ""), " ", ""), "-", "")))</f>
        <v>C-ARG-SARMIENTO</v>
      </c>
      <c r="E556" s="16"/>
      <c r="F556" s="16"/>
      <c r="G556" s="1" t="b">
        <f>COUNTBLANK(Teams[[#This Row],[startDate]:[endDate]]) &lt; 2</f>
        <v>0</v>
      </c>
      <c r="H556" s="1" t="str">
        <f>IF(Teams[[#This Row],[relevant]], COUNTIFS(Fixtures[userTeam], Teams[[#This Row],[name]], Fixtures[APP], TRUE), "")</f>
        <v/>
      </c>
      <c r="I556" s="1" t="str">
        <f>IF(Teams[[#This Row],[relevant]], COUNTIFS(Fixtures[userTeam], Teams[[#This Row],[name]], Fixtures[result], "W", Fixtures[APP], TRUE), "")</f>
        <v/>
      </c>
      <c r="J556" s="1" t="str">
        <f>IF(Teams[[#This Row],[relevant]], COUNTIFS(Fixtures[userTeam], Teams[[#This Row],[name]], Fixtures[result], "D", Fixtures[APP], TRUE), "")</f>
        <v/>
      </c>
      <c r="K556" s="1" t="str">
        <f>IF(Teams[[#This Row],[relevant]], COUNTIFS(Fixtures[userTeam], Teams[[#This Row],[name]], Fixtures[result], "L", Fixtures[APP], TRUE), "")</f>
        <v/>
      </c>
      <c r="L556" s="1" t="str">
        <f>IF(Teams[[#This Row],[relevant]], SUMIFS(Fixtures[G], Fixtures[userTeam], Teams[[#This Row],[name]]), "")</f>
        <v/>
      </c>
      <c r="M556" s="1" t="str">
        <f>IF(Teams[[#This Row],[relevant]], SUMIFS(Fixtures[A], Fixtures[userTeam], Teams[[#This Row],[name]]), "")</f>
        <v/>
      </c>
      <c r="N556" s="1" t="str">
        <f>IF(Teams[[#This Row],[relevant]], SUMIFS(Fixtures[INV], Fixtures[userTeam], Teams[[#This Row],[name]]), "")</f>
        <v/>
      </c>
      <c r="O556" s="1" t="str">
        <f>IF(Teams[[#This Row],[relevant]], SUMIFS(Fixtures[YC], Fixtures[userTeam], Teams[[#This Row],[name]]), "")</f>
        <v/>
      </c>
      <c r="P556" s="1" t="str">
        <f>IF(Teams[[#This Row],[relevant]], SUMIFS(Fixtures[RC], Fixtures[userTeam], Teams[[#This Row],[name]]), "")</f>
        <v/>
      </c>
      <c r="Q556" s="13" t="str">
        <f>IF(Teams[[#This Row],[relevant]], IF(ISERROR(AVERAGEIFS(Fixtures[MR], Fixtures[userTeam], Teams[[#This Row],[name]])), 0, AVERAGEIFS(Fixtures[MR], Fixtures[userTeam], Teams[[#This Row],[name]])), "")</f>
        <v/>
      </c>
      <c r="R556" s="1" t="str">
        <f>IF(Teams[[#This Row],[relevant]], COUNTIFS(Fixtures[userTeam], Teams[[#This Row],[name]], Fixtures[MOTM], TRUE), "")</f>
        <v/>
      </c>
      <c r="S556" s="1" t="str" cm="1">
        <f t="array" ref="S556">IF(Teams[[#This Row],[relevant]], _xlfn.TEXTJOIN(", ", TRUE, _xlfn._xlws.FILTER(Stats[competition]&amp;" ("&amp;Stats[season]&amp;")",(Stats[team]=Teams[[#This Row],[name]])*(Stats[result]="Winner"),"")), "")</f>
        <v/>
      </c>
    </row>
    <row r="557" spans="1:19" ht="13" hidden="1">
      <c r="A557" s="1" t="s">
        <v>889</v>
      </c>
      <c r="B557" s="1" t="s">
        <v>286</v>
      </c>
      <c r="C557" s="1" t="s">
        <v>391</v>
      </c>
      <c r="D557" s="1" t="str">
        <f>UPPER(_xlfn.CONCAT(LEFT(Teams[[#This Row],[teamType]], 1), "-", LEFT(SUBSTITUTE(Teams[[#This Row],[nation]], "/", ""), 3), "-", SUBSTITUTE(SUBSTITUTE(SUBSTITUTE(Teams[[#This Row],[name]], ".", ""), " ", ""), "-", "")))</f>
        <v>C-NOR-SARPSBORG08</v>
      </c>
      <c r="E557" s="16"/>
      <c r="F557" s="16"/>
      <c r="G557" s="1" t="b">
        <f>COUNTBLANK(Teams[[#This Row],[startDate]:[endDate]]) &lt; 2</f>
        <v>0</v>
      </c>
      <c r="H557" s="1" t="str">
        <f>IF(Teams[[#This Row],[relevant]], COUNTIFS(Fixtures[userTeam], Teams[[#This Row],[name]], Fixtures[APP], TRUE), "")</f>
        <v/>
      </c>
      <c r="I557" s="1" t="str">
        <f>IF(Teams[[#This Row],[relevant]], COUNTIFS(Fixtures[userTeam], Teams[[#This Row],[name]], Fixtures[result], "W", Fixtures[APP], TRUE), "")</f>
        <v/>
      </c>
      <c r="J557" s="1" t="str">
        <f>IF(Teams[[#This Row],[relevant]], COUNTIFS(Fixtures[userTeam], Teams[[#This Row],[name]], Fixtures[result], "D", Fixtures[APP], TRUE), "")</f>
        <v/>
      </c>
      <c r="K557" s="1" t="str">
        <f>IF(Teams[[#This Row],[relevant]], COUNTIFS(Fixtures[userTeam], Teams[[#This Row],[name]], Fixtures[result], "L", Fixtures[APP], TRUE), "")</f>
        <v/>
      </c>
      <c r="L557" s="1" t="str">
        <f>IF(Teams[[#This Row],[relevant]], SUMIFS(Fixtures[G], Fixtures[userTeam], Teams[[#This Row],[name]]), "")</f>
        <v/>
      </c>
      <c r="M557" s="1" t="str">
        <f>IF(Teams[[#This Row],[relevant]], SUMIFS(Fixtures[A], Fixtures[userTeam], Teams[[#This Row],[name]]), "")</f>
        <v/>
      </c>
      <c r="N557" s="1" t="str">
        <f>IF(Teams[[#This Row],[relevant]], SUMIFS(Fixtures[INV], Fixtures[userTeam], Teams[[#This Row],[name]]), "")</f>
        <v/>
      </c>
      <c r="O557" s="1" t="str">
        <f>IF(Teams[[#This Row],[relevant]], SUMIFS(Fixtures[YC], Fixtures[userTeam], Teams[[#This Row],[name]]), "")</f>
        <v/>
      </c>
      <c r="P557" s="1" t="str">
        <f>IF(Teams[[#This Row],[relevant]], SUMIFS(Fixtures[RC], Fixtures[userTeam], Teams[[#This Row],[name]]), "")</f>
        <v/>
      </c>
      <c r="Q557" s="13" t="str">
        <f>IF(Teams[[#This Row],[relevant]], IF(ISERROR(AVERAGEIFS(Fixtures[MR], Fixtures[userTeam], Teams[[#This Row],[name]])), 0, AVERAGEIFS(Fixtures[MR], Fixtures[userTeam], Teams[[#This Row],[name]])), "")</f>
        <v/>
      </c>
      <c r="R557" s="1" t="str">
        <f>IF(Teams[[#This Row],[relevant]], COUNTIFS(Fixtures[userTeam], Teams[[#This Row],[name]], Fixtures[MOTM], TRUE), "")</f>
        <v/>
      </c>
      <c r="S557" s="1" t="str" cm="1">
        <f t="array" ref="S557">IF(Teams[[#This Row],[relevant]], _xlfn.TEXTJOIN(", ", TRUE, _xlfn._xlws.FILTER(Stats[competition]&amp;" ("&amp;Stats[season]&amp;")",(Stats[team]=Teams[[#This Row],[name]])*(Stats[result]="Winner"),"")), "")</f>
        <v/>
      </c>
    </row>
    <row r="558" spans="1:19" ht="13" hidden="1">
      <c r="A558" s="1" t="s">
        <v>890</v>
      </c>
      <c r="B558" s="1" t="s">
        <v>254</v>
      </c>
      <c r="C558" s="1" t="s">
        <v>391</v>
      </c>
      <c r="D558" s="1" t="str">
        <f>UPPER(_xlfn.CONCAT(LEFT(Teams[[#This Row],[teamType]], 1), "-", LEFT(SUBSTITUTE(Teams[[#This Row],[nation]], "/", ""), 3), "-", SUBSTITUTE(SUBSTITUTE(SUBSTITUTE(Teams[[#This Row],[name]], ".", ""), " ", ""), "-", "")))</f>
        <v>C-ITA-SASSUOLO</v>
      </c>
      <c r="E558" s="16"/>
      <c r="F558" s="16"/>
      <c r="G558" s="1" t="b">
        <f>COUNTBLANK(Teams[[#This Row],[startDate]:[endDate]]) &lt; 2</f>
        <v>0</v>
      </c>
      <c r="H558" s="1" t="str">
        <f>IF(Teams[[#This Row],[relevant]], COUNTIFS(Fixtures[userTeam], Teams[[#This Row],[name]], Fixtures[APP], TRUE), "")</f>
        <v/>
      </c>
      <c r="I558" s="1" t="str">
        <f>IF(Teams[[#This Row],[relevant]], COUNTIFS(Fixtures[userTeam], Teams[[#This Row],[name]], Fixtures[result], "W", Fixtures[APP], TRUE), "")</f>
        <v/>
      </c>
      <c r="J558" s="1" t="str">
        <f>IF(Teams[[#This Row],[relevant]], COUNTIFS(Fixtures[userTeam], Teams[[#This Row],[name]], Fixtures[result], "D", Fixtures[APP], TRUE), "")</f>
        <v/>
      </c>
      <c r="K558" s="1" t="str">
        <f>IF(Teams[[#This Row],[relevant]], COUNTIFS(Fixtures[userTeam], Teams[[#This Row],[name]], Fixtures[result], "L", Fixtures[APP], TRUE), "")</f>
        <v/>
      </c>
      <c r="L558" s="1" t="str">
        <f>IF(Teams[[#This Row],[relevant]], SUMIFS(Fixtures[G], Fixtures[userTeam], Teams[[#This Row],[name]]), "")</f>
        <v/>
      </c>
      <c r="M558" s="1" t="str">
        <f>IF(Teams[[#This Row],[relevant]], SUMIFS(Fixtures[A], Fixtures[userTeam], Teams[[#This Row],[name]]), "")</f>
        <v/>
      </c>
      <c r="N558" s="1" t="str">
        <f>IF(Teams[[#This Row],[relevant]], SUMIFS(Fixtures[INV], Fixtures[userTeam], Teams[[#This Row],[name]]), "")</f>
        <v/>
      </c>
      <c r="O558" s="1" t="str">
        <f>IF(Teams[[#This Row],[relevant]], SUMIFS(Fixtures[YC], Fixtures[userTeam], Teams[[#This Row],[name]]), "")</f>
        <v/>
      </c>
      <c r="P558" s="1" t="str">
        <f>IF(Teams[[#This Row],[relevant]], SUMIFS(Fixtures[RC], Fixtures[userTeam], Teams[[#This Row],[name]]), "")</f>
        <v/>
      </c>
      <c r="Q558" s="13" t="str">
        <f>IF(Teams[[#This Row],[relevant]], IF(ISERROR(AVERAGEIFS(Fixtures[MR], Fixtures[userTeam], Teams[[#This Row],[name]])), 0, AVERAGEIFS(Fixtures[MR], Fixtures[userTeam], Teams[[#This Row],[name]])), "")</f>
        <v/>
      </c>
      <c r="R558" s="1" t="str">
        <f>IF(Teams[[#This Row],[relevant]], COUNTIFS(Fixtures[userTeam], Teams[[#This Row],[name]], Fixtures[MOTM], TRUE), "")</f>
        <v/>
      </c>
      <c r="S558" s="1" t="str" cm="1">
        <f t="array" ref="S558">IF(Teams[[#This Row],[relevant]], _xlfn.TEXTJOIN(", ", TRUE, _xlfn._xlws.FILTER(Stats[competition]&amp;" ("&amp;Stats[season]&amp;")",(Stats[team]=Teams[[#This Row],[name]])*(Stats[result]="Winner"),"")), "")</f>
        <v/>
      </c>
    </row>
    <row r="559" spans="1:19" ht="13" hidden="1">
      <c r="A559" s="1" t="s">
        <v>891</v>
      </c>
      <c r="B559" s="1" t="s">
        <v>414</v>
      </c>
      <c r="C559" s="1" t="s">
        <v>391</v>
      </c>
      <c r="D559" s="1" t="str">
        <f>UPPER(_xlfn.CONCAT(LEFT(Teams[[#This Row],[teamType]], 1), "-", LEFT(SUBSTITUTE(Teams[[#This Row],[nation]], "/", ""), 3), "-", SUBSTITUTE(SUBSTITUTE(SUBSTITUTE(Teams[[#This Row],[name]], ".", ""), " ", ""), "-", "")))</f>
        <v>C-AUS-SCAUSTRIA</v>
      </c>
      <c r="E559" s="16"/>
      <c r="F559" s="16"/>
      <c r="G559" s="1" t="b">
        <f>COUNTBLANK(Teams[[#This Row],[startDate]:[endDate]]) &lt; 2</f>
        <v>0</v>
      </c>
      <c r="H559" s="1" t="str">
        <f>IF(Teams[[#This Row],[relevant]], COUNTIFS(Fixtures[userTeam], Teams[[#This Row],[name]], Fixtures[APP], TRUE), "")</f>
        <v/>
      </c>
      <c r="I559" s="1" t="str">
        <f>IF(Teams[[#This Row],[relevant]], COUNTIFS(Fixtures[userTeam], Teams[[#This Row],[name]], Fixtures[result], "W", Fixtures[APP], TRUE), "")</f>
        <v/>
      </c>
      <c r="J559" s="1" t="str">
        <f>IF(Teams[[#This Row],[relevant]], COUNTIFS(Fixtures[userTeam], Teams[[#This Row],[name]], Fixtures[result], "D", Fixtures[APP], TRUE), "")</f>
        <v/>
      </c>
      <c r="K559" s="1" t="str">
        <f>IF(Teams[[#This Row],[relevant]], COUNTIFS(Fixtures[userTeam], Teams[[#This Row],[name]], Fixtures[result], "L", Fixtures[APP], TRUE), "")</f>
        <v/>
      </c>
      <c r="L559" s="1" t="str">
        <f>IF(Teams[[#This Row],[relevant]], SUMIFS(Fixtures[G], Fixtures[userTeam], Teams[[#This Row],[name]]), "")</f>
        <v/>
      </c>
      <c r="M559" s="1" t="str">
        <f>IF(Teams[[#This Row],[relevant]], SUMIFS(Fixtures[A], Fixtures[userTeam], Teams[[#This Row],[name]]), "")</f>
        <v/>
      </c>
      <c r="N559" s="1" t="str">
        <f>IF(Teams[[#This Row],[relevant]], SUMIFS(Fixtures[INV], Fixtures[userTeam], Teams[[#This Row],[name]]), "")</f>
        <v/>
      </c>
      <c r="O559" s="1" t="str">
        <f>IF(Teams[[#This Row],[relevant]], SUMIFS(Fixtures[YC], Fixtures[userTeam], Teams[[#This Row],[name]]), "")</f>
        <v/>
      </c>
      <c r="P559" s="1" t="str">
        <f>IF(Teams[[#This Row],[relevant]], SUMIFS(Fixtures[RC], Fixtures[userTeam], Teams[[#This Row],[name]]), "")</f>
        <v/>
      </c>
      <c r="Q559" s="13" t="str">
        <f>IF(Teams[[#This Row],[relevant]], IF(ISERROR(AVERAGEIFS(Fixtures[MR], Fixtures[userTeam], Teams[[#This Row],[name]])), 0, AVERAGEIFS(Fixtures[MR], Fixtures[userTeam], Teams[[#This Row],[name]])), "")</f>
        <v/>
      </c>
      <c r="R559" s="1" t="str">
        <f>IF(Teams[[#This Row],[relevant]], COUNTIFS(Fixtures[userTeam], Teams[[#This Row],[name]], Fixtures[MOTM], TRUE), "")</f>
        <v/>
      </c>
      <c r="S559" s="1" t="str" cm="1">
        <f t="array" ref="S559">IF(Teams[[#This Row],[relevant]], _xlfn.TEXTJOIN(", ", TRUE, _xlfn._xlws.FILTER(Stats[competition]&amp;" ("&amp;Stats[season]&amp;")",(Stats[team]=Teams[[#This Row],[name]])*(Stats[result]="Winner"),"")), "")</f>
        <v/>
      </c>
    </row>
    <row r="560" spans="1:19" ht="13" hidden="1">
      <c r="A560" s="1" t="s">
        <v>892</v>
      </c>
      <c r="B560" s="1" t="s">
        <v>339</v>
      </c>
      <c r="C560" s="1" t="s">
        <v>391</v>
      </c>
      <c r="D560" s="1" t="str">
        <f>UPPER(_xlfn.CONCAT(LEFT(Teams[[#This Row],[teamType]], 1), "-", LEFT(SUBSTITUTE(Teams[[#This Row],[nation]], "/", ""), 3), "-", SUBSTITUTE(SUBSTITUTE(SUBSTITUTE(Teams[[#This Row],[name]], ".", ""), " ", ""), "-", "")))</f>
        <v>C-FRA-SCBASTIA</v>
      </c>
      <c r="E560" s="16"/>
      <c r="F560" s="16"/>
      <c r="G560" s="1" t="b">
        <f>COUNTBLANK(Teams[[#This Row],[startDate]:[endDate]]) &lt; 2</f>
        <v>0</v>
      </c>
      <c r="H560" s="1" t="str">
        <f>IF(Teams[[#This Row],[relevant]], COUNTIFS(Fixtures[userTeam], Teams[[#This Row],[name]], Fixtures[APP], TRUE), "")</f>
        <v/>
      </c>
      <c r="I560" s="1" t="str">
        <f>IF(Teams[[#This Row],[relevant]], COUNTIFS(Fixtures[userTeam], Teams[[#This Row],[name]], Fixtures[result], "W", Fixtures[APP], TRUE), "")</f>
        <v/>
      </c>
      <c r="J560" s="1" t="str">
        <f>IF(Teams[[#This Row],[relevant]], COUNTIFS(Fixtures[userTeam], Teams[[#This Row],[name]], Fixtures[result], "D", Fixtures[APP], TRUE), "")</f>
        <v/>
      </c>
      <c r="K560" s="1" t="str">
        <f>IF(Teams[[#This Row],[relevant]], COUNTIFS(Fixtures[userTeam], Teams[[#This Row],[name]], Fixtures[result], "L", Fixtures[APP], TRUE), "")</f>
        <v/>
      </c>
      <c r="L560" s="1" t="str">
        <f>IF(Teams[[#This Row],[relevant]], SUMIFS(Fixtures[G], Fixtures[userTeam], Teams[[#This Row],[name]]), "")</f>
        <v/>
      </c>
      <c r="M560" s="1" t="str">
        <f>IF(Teams[[#This Row],[relevant]], SUMIFS(Fixtures[A], Fixtures[userTeam], Teams[[#This Row],[name]]), "")</f>
        <v/>
      </c>
      <c r="N560" s="1" t="str">
        <f>IF(Teams[[#This Row],[relevant]], SUMIFS(Fixtures[INV], Fixtures[userTeam], Teams[[#This Row],[name]]), "")</f>
        <v/>
      </c>
      <c r="O560" s="1" t="str">
        <f>IF(Teams[[#This Row],[relevant]], SUMIFS(Fixtures[YC], Fixtures[userTeam], Teams[[#This Row],[name]]), "")</f>
        <v/>
      </c>
      <c r="P560" s="1" t="str">
        <f>IF(Teams[[#This Row],[relevant]], SUMIFS(Fixtures[RC], Fixtures[userTeam], Teams[[#This Row],[name]]), "")</f>
        <v/>
      </c>
      <c r="Q560" s="13" t="str">
        <f>IF(Teams[[#This Row],[relevant]], IF(ISERROR(AVERAGEIFS(Fixtures[MR], Fixtures[userTeam], Teams[[#This Row],[name]])), 0, AVERAGEIFS(Fixtures[MR], Fixtures[userTeam], Teams[[#This Row],[name]])), "")</f>
        <v/>
      </c>
      <c r="R560" s="1" t="str">
        <f>IF(Teams[[#This Row],[relevant]], COUNTIFS(Fixtures[userTeam], Teams[[#This Row],[name]], Fixtures[MOTM], TRUE), "")</f>
        <v/>
      </c>
      <c r="S560" s="1" t="str" cm="1">
        <f t="array" ref="S560">IF(Teams[[#This Row],[relevant]], _xlfn.TEXTJOIN(", ", TRUE, _xlfn._xlws.FILTER(Stats[competition]&amp;" ("&amp;Stats[season]&amp;")",(Stats[team]=Teams[[#This Row],[name]])*(Stats[result]="Winner"),"")), "")</f>
        <v/>
      </c>
    </row>
    <row r="561" spans="1:19" ht="13" hidden="1">
      <c r="A561" s="1" t="s">
        <v>893</v>
      </c>
      <c r="B561" s="1" t="s">
        <v>463</v>
      </c>
      <c r="C561" s="1" t="s">
        <v>391</v>
      </c>
      <c r="D561" s="1" t="str">
        <f>UPPER(_xlfn.CONCAT(LEFT(Teams[[#This Row],[teamType]], 1), "-", LEFT(SUBSTITUTE(Teams[[#This Row],[nation]], "/", ""), 3), "-", SUBSTITUTE(SUBSTITUTE(SUBSTITUTE(Teams[[#This Row],[name]], ".", ""), " ", ""), "-", "")))</f>
        <v>C-POR-SCBRAGA</v>
      </c>
      <c r="E561" s="16"/>
      <c r="F561" s="16"/>
      <c r="G561" s="1" t="b">
        <f>COUNTBLANK(Teams[[#This Row],[startDate]:[endDate]]) &lt; 2</f>
        <v>0</v>
      </c>
      <c r="H561" s="1" t="str">
        <f>IF(Teams[[#This Row],[relevant]], COUNTIFS(Fixtures[userTeam], Teams[[#This Row],[name]], Fixtures[APP], TRUE), "")</f>
        <v/>
      </c>
      <c r="I561" s="1" t="str">
        <f>IF(Teams[[#This Row],[relevant]], COUNTIFS(Fixtures[userTeam], Teams[[#This Row],[name]], Fixtures[result], "W", Fixtures[APP], TRUE), "")</f>
        <v/>
      </c>
      <c r="J561" s="1" t="str">
        <f>IF(Teams[[#This Row],[relevant]], COUNTIFS(Fixtures[userTeam], Teams[[#This Row],[name]], Fixtures[result], "D", Fixtures[APP], TRUE), "")</f>
        <v/>
      </c>
      <c r="K561" s="1" t="str">
        <f>IF(Teams[[#This Row],[relevant]], COUNTIFS(Fixtures[userTeam], Teams[[#This Row],[name]], Fixtures[result], "L", Fixtures[APP], TRUE), "")</f>
        <v/>
      </c>
      <c r="L561" s="1" t="str">
        <f>IF(Teams[[#This Row],[relevant]], SUMIFS(Fixtures[G], Fixtures[userTeam], Teams[[#This Row],[name]]), "")</f>
        <v/>
      </c>
      <c r="M561" s="1" t="str">
        <f>IF(Teams[[#This Row],[relevant]], SUMIFS(Fixtures[A], Fixtures[userTeam], Teams[[#This Row],[name]]), "")</f>
        <v/>
      </c>
      <c r="N561" s="1" t="str">
        <f>IF(Teams[[#This Row],[relevant]], SUMIFS(Fixtures[INV], Fixtures[userTeam], Teams[[#This Row],[name]]), "")</f>
        <v/>
      </c>
      <c r="O561" s="1" t="str">
        <f>IF(Teams[[#This Row],[relevant]], SUMIFS(Fixtures[YC], Fixtures[userTeam], Teams[[#This Row],[name]]), "")</f>
        <v/>
      </c>
      <c r="P561" s="1" t="str">
        <f>IF(Teams[[#This Row],[relevant]], SUMIFS(Fixtures[RC], Fixtures[userTeam], Teams[[#This Row],[name]]), "")</f>
        <v/>
      </c>
      <c r="Q561" s="13" t="str">
        <f>IF(Teams[[#This Row],[relevant]], IF(ISERROR(AVERAGEIFS(Fixtures[MR], Fixtures[userTeam], Teams[[#This Row],[name]])), 0, AVERAGEIFS(Fixtures[MR], Fixtures[userTeam], Teams[[#This Row],[name]])), "")</f>
        <v/>
      </c>
      <c r="R561" s="1" t="str">
        <f>IF(Teams[[#This Row],[relevant]], COUNTIFS(Fixtures[userTeam], Teams[[#This Row],[name]], Fixtures[MOTM], TRUE), "")</f>
        <v/>
      </c>
      <c r="S561" s="1" t="str" cm="1">
        <f t="array" ref="S561">IF(Teams[[#This Row],[relevant]], _xlfn.TEXTJOIN(", ", TRUE, _xlfn._xlws.FILTER(Stats[competition]&amp;" ("&amp;Stats[season]&amp;")",(Stats[team]=Teams[[#This Row],[name]])*(Stats[result]="Winner"),"")), "")</f>
        <v/>
      </c>
    </row>
    <row r="562" spans="1:19" ht="13" hidden="1">
      <c r="A562" s="1" t="s">
        <v>894</v>
      </c>
      <c r="B562" s="1" t="s">
        <v>425</v>
      </c>
      <c r="C562" s="1" t="s">
        <v>391</v>
      </c>
      <c r="D562" s="1" t="str">
        <f>UPPER(_xlfn.CONCAT(LEFT(Teams[[#This Row],[teamType]], 1), "-", LEFT(SUBSTITUTE(Teams[[#This Row],[nation]], "/", ""), 3), "-", SUBSTITUTE(SUBSTITUTE(SUBSTITUTE(Teams[[#This Row],[name]], ".", ""), " ", ""), "-", "")))</f>
        <v>C-NET-SCCAMBUUR</v>
      </c>
      <c r="E562" s="16"/>
      <c r="F562" s="16"/>
      <c r="G562" s="1" t="b">
        <f>COUNTBLANK(Teams[[#This Row],[startDate]:[endDate]]) &lt; 2</f>
        <v>0</v>
      </c>
      <c r="H562" s="1" t="str">
        <f>IF(Teams[[#This Row],[relevant]], COUNTIFS(Fixtures[userTeam], Teams[[#This Row],[name]], Fixtures[APP], TRUE), "")</f>
        <v/>
      </c>
      <c r="I562" s="1" t="str">
        <f>IF(Teams[[#This Row],[relevant]], COUNTIFS(Fixtures[userTeam], Teams[[#This Row],[name]], Fixtures[result], "W", Fixtures[APP], TRUE), "")</f>
        <v/>
      </c>
      <c r="J562" s="1" t="str">
        <f>IF(Teams[[#This Row],[relevant]], COUNTIFS(Fixtures[userTeam], Teams[[#This Row],[name]], Fixtures[result], "D", Fixtures[APP], TRUE), "")</f>
        <v/>
      </c>
      <c r="K562" s="1" t="str">
        <f>IF(Teams[[#This Row],[relevant]], COUNTIFS(Fixtures[userTeam], Teams[[#This Row],[name]], Fixtures[result], "L", Fixtures[APP], TRUE), "")</f>
        <v/>
      </c>
      <c r="L562" s="1" t="str">
        <f>IF(Teams[[#This Row],[relevant]], SUMIFS(Fixtures[G], Fixtures[userTeam], Teams[[#This Row],[name]]), "")</f>
        <v/>
      </c>
      <c r="M562" s="1" t="str">
        <f>IF(Teams[[#This Row],[relevant]], SUMIFS(Fixtures[A], Fixtures[userTeam], Teams[[#This Row],[name]]), "")</f>
        <v/>
      </c>
      <c r="N562" s="1" t="str">
        <f>IF(Teams[[#This Row],[relevant]], SUMIFS(Fixtures[INV], Fixtures[userTeam], Teams[[#This Row],[name]]), "")</f>
        <v/>
      </c>
      <c r="O562" s="1" t="str">
        <f>IF(Teams[[#This Row],[relevant]], SUMIFS(Fixtures[YC], Fixtures[userTeam], Teams[[#This Row],[name]]), "")</f>
        <v/>
      </c>
      <c r="P562" s="1" t="str">
        <f>IF(Teams[[#This Row],[relevant]], SUMIFS(Fixtures[RC], Fixtures[userTeam], Teams[[#This Row],[name]]), "")</f>
        <v/>
      </c>
      <c r="Q562" s="13" t="str">
        <f>IF(Teams[[#This Row],[relevant]], IF(ISERROR(AVERAGEIFS(Fixtures[MR], Fixtures[userTeam], Teams[[#This Row],[name]])), 0, AVERAGEIFS(Fixtures[MR], Fixtures[userTeam], Teams[[#This Row],[name]])), "")</f>
        <v/>
      </c>
      <c r="R562" s="1" t="str">
        <f>IF(Teams[[#This Row],[relevant]], COUNTIFS(Fixtures[userTeam], Teams[[#This Row],[name]], Fixtures[MOTM], TRUE), "")</f>
        <v/>
      </c>
      <c r="S562" s="1" t="str" cm="1">
        <f t="array" ref="S562">IF(Teams[[#This Row],[relevant]], _xlfn.TEXTJOIN(", ", TRUE, _xlfn._xlws.FILTER(Stats[competition]&amp;" ("&amp;Stats[season]&amp;")",(Stats[team]=Teams[[#This Row],[name]])*(Stats[result]="Winner"),"")), "")</f>
        <v/>
      </c>
    </row>
    <row r="563" spans="1:19" ht="13" hidden="1">
      <c r="A563" s="1" t="s">
        <v>268</v>
      </c>
      <c r="B563" s="1" t="s">
        <v>337</v>
      </c>
      <c r="C563" s="1" t="s">
        <v>391</v>
      </c>
      <c r="D563" s="1" t="str">
        <f>UPPER(_xlfn.CONCAT(LEFT(Teams[[#This Row],[teamType]], 1), "-", LEFT(SUBSTITUTE(Teams[[#This Row],[nation]], "/", ""), 3), "-", SUBSTITUTE(SUBSTITUTE(SUBSTITUTE(Teams[[#This Row],[name]], ".", ""), " ", ""), "-", "")))</f>
        <v>C-GER-SCFREIBURG</v>
      </c>
      <c r="E563" s="16"/>
      <c r="F563" s="16"/>
      <c r="G563" s="1" t="b">
        <f>COUNTBLANK(Teams[[#This Row],[startDate]:[endDate]]) &lt; 2</f>
        <v>0</v>
      </c>
      <c r="H563" s="1" t="str">
        <f>IF(Teams[[#This Row],[relevant]], COUNTIFS(Fixtures[userTeam], Teams[[#This Row],[name]], Fixtures[APP], TRUE), "")</f>
        <v/>
      </c>
      <c r="I563" s="1" t="str">
        <f>IF(Teams[[#This Row],[relevant]], COUNTIFS(Fixtures[userTeam], Teams[[#This Row],[name]], Fixtures[result], "W", Fixtures[APP], TRUE), "")</f>
        <v/>
      </c>
      <c r="J563" s="1" t="str">
        <f>IF(Teams[[#This Row],[relevant]], COUNTIFS(Fixtures[userTeam], Teams[[#This Row],[name]], Fixtures[result], "D", Fixtures[APP], TRUE), "")</f>
        <v/>
      </c>
      <c r="K563" s="1" t="str">
        <f>IF(Teams[[#This Row],[relevant]], COUNTIFS(Fixtures[userTeam], Teams[[#This Row],[name]], Fixtures[result], "L", Fixtures[APP], TRUE), "")</f>
        <v/>
      </c>
      <c r="L563" s="1" t="str">
        <f>IF(Teams[[#This Row],[relevant]], SUMIFS(Fixtures[G], Fixtures[userTeam], Teams[[#This Row],[name]]), "")</f>
        <v/>
      </c>
      <c r="M563" s="1" t="str">
        <f>IF(Teams[[#This Row],[relevant]], SUMIFS(Fixtures[A], Fixtures[userTeam], Teams[[#This Row],[name]]), "")</f>
        <v/>
      </c>
      <c r="N563" s="1" t="str">
        <f>IF(Teams[[#This Row],[relevant]], SUMIFS(Fixtures[INV], Fixtures[userTeam], Teams[[#This Row],[name]]), "")</f>
        <v/>
      </c>
      <c r="O563" s="1" t="str">
        <f>IF(Teams[[#This Row],[relevant]], SUMIFS(Fixtures[YC], Fixtures[userTeam], Teams[[#This Row],[name]]), "")</f>
        <v/>
      </c>
      <c r="P563" s="1" t="str">
        <f>IF(Teams[[#This Row],[relevant]], SUMIFS(Fixtures[RC], Fixtures[userTeam], Teams[[#This Row],[name]]), "")</f>
        <v/>
      </c>
      <c r="Q563" s="13" t="str">
        <f>IF(Teams[[#This Row],[relevant]], IF(ISERROR(AVERAGEIFS(Fixtures[MR], Fixtures[userTeam], Teams[[#This Row],[name]])), 0, AVERAGEIFS(Fixtures[MR], Fixtures[userTeam], Teams[[#This Row],[name]])), "")</f>
        <v/>
      </c>
      <c r="R563" s="1" t="str">
        <f>IF(Teams[[#This Row],[relevant]], COUNTIFS(Fixtures[userTeam], Teams[[#This Row],[name]], Fixtures[MOTM], TRUE), "")</f>
        <v/>
      </c>
      <c r="S563" s="1" t="str" cm="1">
        <f t="array" ref="S563">IF(Teams[[#This Row],[relevant]], _xlfn.TEXTJOIN(", ", TRUE, _xlfn._xlws.FILTER(Stats[competition]&amp;" ("&amp;Stats[season]&amp;")",(Stats[team]=Teams[[#This Row],[name]])*(Stats[result]="Winner"),"")), "")</f>
        <v/>
      </c>
    </row>
    <row r="564" spans="1:19" ht="13" hidden="1">
      <c r="A564" s="1" t="s">
        <v>895</v>
      </c>
      <c r="B564" s="1" t="s">
        <v>337</v>
      </c>
      <c r="C564" s="1" t="s">
        <v>391</v>
      </c>
      <c r="D564" s="1" t="str">
        <f>UPPER(_xlfn.CONCAT(LEFT(Teams[[#This Row],[teamType]], 1), "-", LEFT(SUBSTITUTE(Teams[[#This Row],[nation]], "/", ""), 3), "-", SUBSTITUTE(SUBSTITUTE(SUBSTITUTE(Teams[[#This Row],[name]], ".", ""), " ", ""), "-", "")))</f>
        <v>C-GER-SCFREIBURGII</v>
      </c>
      <c r="E564" s="16"/>
      <c r="F564" s="16"/>
      <c r="G564" s="1" t="b">
        <f>COUNTBLANK(Teams[[#This Row],[startDate]:[endDate]]) &lt; 2</f>
        <v>0</v>
      </c>
      <c r="H564" s="1" t="str">
        <f>IF(Teams[[#This Row],[relevant]], COUNTIFS(Fixtures[userTeam], Teams[[#This Row],[name]], Fixtures[APP], TRUE), "")</f>
        <v/>
      </c>
      <c r="I564" s="1" t="str">
        <f>IF(Teams[[#This Row],[relevant]], COUNTIFS(Fixtures[userTeam], Teams[[#This Row],[name]], Fixtures[result], "W", Fixtures[APP], TRUE), "")</f>
        <v/>
      </c>
      <c r="J564" s="1" t="str">
        <f>IF(Teams[[#This Row],[relevant]], COUNTIFS(Fixtures[userTeam], Teams[[#This Row],[name]], Fixtures[result], "D", Fixtures[APP], TRUE), "")</f>
        <v/>
      </c>
      <c r="K564" s="1" t="str">
        <f>IF(Teams[[#This Row],[relevant]], COUNTIFS(Fixtures[userTeam], Teams[[#This Row],[name]], Fixtures[result], "L", Fixtures[APP], TRUE), "")</f>
        <v/>
      </c>
      <c r="L564" s="1" t="str">
        <f>IF(Teams[[#This Row],[relevant]], SUMIFS(Fixtures[G], Fixtures[userTeam], Teams[[#This Row],[name]]), "")</f>
        <v/>
      </c>
      <c r="M564" s="1" t="str">
        <f>IF(Teams[[#This Row],[relevant]], SUMIFS(Fixtures[A], Fixtures[userTeam], Teams[[#This Row],[name]]), "")</f>
        <v/>
      </c>
      <c r="N564" s="1" t="str">
        <f>IF(Teams[[#This Row],[relevant]], SUMIFS(Fixtures[INV], Fixtures[userTeam], Teams[[#This Row],[name]]), "")</f>
        <v/>
      </c>
      <c r="O564" s="1" t="str">
        <f>IF(Teams[[#This Row],[relevant]], SUMIFS(Fixtures[YC], Fixtures[userTeam], Teams[[#This Row],[name]]), "")</f>
        <v/>
      </c>
      <c r="P564" s="1" t="str">
        <f>IF(Teams[[#This Row],[relevant]], SUMIFS(Fixtures[RC], Fixtures[userTeam], Teams[[#This Row],[name]]), "")</f>
        <v/>
      </c>
      <c r="Q564" s="13" t="str">
        <f>IF(Teams[[#This Row],[relevant]], IF(ISERROR(AVERAGEIFS(Fixtures[MR], Fixtures[userTeam], Teams[[#This Row],[name]])), 0, AVERAGEIFS(Fixtures[MR], Fixtures[userTeam], Teams[[#This Row],[name]])), "")</f>
        <v/>
      </c>
      <c r="R564" s="1" t="str">
        <f>IF(Teams[[#This Row],[relevant]], COUNTIFS(Fixtures[userTeam], Teams[[#This Row],[name]], Fixtures[MOTM], TRUE), "")</f>
        <v/>
      </c>
      <c r="S564" s="1" t="str" cm="1">
        <f t="array" ref="S564">IF(Teams[[#This Row],[relevant]], _xlfn.TEXTJOIN(", ", TRUE, _xlfn._xlws.FILTER(Stats[competition]&amp;" ("&amp;Stats[season]&amp;")",(Stats[team]=Teams[[#This Row],[name]])*(Stats[result]="Winner"),"")), "")</f>
        <v/>
      </c>
    </row>
    <row r="565" spans="1:19" ht="13" hidden="1">
      <c r="A565" s="1" t="s">
        <v>896</v>
      </c>
      <c r="B565" s="1" t="s">
        <v>425</v>
      </c>
      <c r="C565" s="1" t="s">
        <v>391</v>
      </c>
      <c r="D565" s="1" t="str">
        <f>UPPER(_xlfn.CONCAT(LEFT(Teams[[#This Row],[teamType]], 1), "-", LEFT(SUBSTITUTE(Teams[[#This Row],[nation]], "/", ""), 3), "-", SUBSTITUTE(SUBSTITUTE(SUBSTITUTE(Teams[[#This Row],[name]], ".", ""), " ", ""), "-", "")))</f>
        <v>C-NET-SCHEERENVEEN</v>
      </c>
      <c r="E565" s="16"/>
      <c r="F565" s="16"/>
      <c r="G565" s="1" t="b">
        <f>COUNTBLANK(Teams[[#This Row],[startDate]:[endDate]]) &lt; 2</f>
        <v>0</v>
      </c>
      <c r="H565" s="1" t="str">
        <f>IF(Teams[[#This Row],[relevant]], COUNTIFS(Fixtures[userTeam], Teams[[#This Row],[name]], Fixtures[APP], TRUE), "")</f>
        <v/>
      </c>
      <c r="I565" s="1" t="str">
        <f>IF(Teams[[#This Row],[relevant]], COUNTIFS(Fixtures[userTeam], Teams[[#This Row],[name]], Fixtures[result], "W", Fixtures[APP], TRUE), "")</f>
        <v/>
      </c>
      <c r="J565" s="1" t="str">
        <f>IF(Teams[[#This Row],[relevant]], COUNTIFS(Fixtures[userTeam], Teams[[#This Row],[name]], Fixtures[result], "D", Fixtures[APP], TRUE), "")</f>
        <v/>
      </c>
      <c r="K565" s="1" t="str">
        <f>IF(Teams[[#This Row],[relevant]], COUNTIFS(Fixtures[userTeam], Teams[[#This Row],[name]], Fixtures[result], "L", Fixtures[APP], TRUE), "")</f>
        <v/>
      </c>
      <c r="L565" s="1" t="str">
        <f>IF(Teams[[#This Row],[relevant]], SUMIFS(Fixtures[G], Fixtures[userTeam], Teams[[#This Row],[name]]), "")</f>
        <v/>
      </c>
      <c r="M565" s="1" t="str">
        <f>IF(Teams[[#This Row],[relevant]], SUMIFS(Fixtures[A], Fixtures[userTeam], Teams[[#This Row],[name]]), "")</f>
        <v/>
      </c>
      <c r="N565" s="1" t="str">
        <f>IF(Teams[[#This Row],[relevant]], SUMIFS(Fixtures[INV], Fixtures[userTeam], Teams[[#This Row],[name]]), "")</f>
        <v/>
      </c>
      <c r="O565" s="1" t="str">
        <f>IF(Teams[[#This Row],[relevant]], SUMIFS(Fixtures[YC], Fixtures[userTeam], Teams[[#This Row],[name]]), "")</f>
        <v/>
      </c>
      <c r="P565" s="1" t="str">
        <f>IF(Teams[[#This Row],[relevant]], SUMIFS(Fixtures[RC], Fixtures[userTeam], Teams[[#This Row],[name]]), "")</f>
        <v/>
      </c>
      <c r="Q565" s="13" t="str">
        <f>IF(Teams[[#This Row],[relevant]], IF(ISERROR(AVERAGEIFS(Fixtures[MR], Fixtures[userTeam], Teams[[#This Row],[name]])), 0, AVERAGEIFS(Fixtures[MR], Fixtures[userTeam], Teams[[#This Row],[name]])), "")</f>
        <v/>
      </c>
      <c r="R565" s="1" t="str">
        <f>IF(Teams[[#This Row],[relevant]], COUNTIFS(Fixtures[userTeam], Teams[[#This Row],[name]], Fixtures[MOTM], TRUE), "")</f>
        <v/>
      </c>
      <c r="S565" s="1" t="str" cm="1">
        <f t="array" ref="S565">IF(Teams[[#This Row],[relevant]], _xlfn.TEXTJOIN(", ", TRUE, _xlfn._xlws.FILTER(Stats[competition]&amp;" ("&amp;Stats[season]&amp;")",(Stats[team]=Teams[[#This Row],[name]])*(Stats[result]="Winner"),"")), "")</f>
        <v/>
      </c>
    </row>
    <row r="566" spans="1:19" ht="13" hidden="1">
      <c r="A566" s="1" t="s">
        <v>897</v>
      </c>
      <c r="B566" s="1" t="s">
        <v>337</v>
      </c>
      <c r="C566" s="1" t="s">
        <v>391</v>
      </c>
      <c r="D566" s="1" t="str">
        <f>UPPER(_xlfn.CONCAT(LEFT(Teams[[#This Row],[teamType]], 1), "-", LEFT(SUBSTITUTE(Teams[[#This Row],[nation]], "/", ""), 3), "-", SUBSTITUTE(SUBSTITUTE(SUBSTITUTE(Teams[[#This Row],[name]], ".", ""), " ", ""), "-", "")))</f>
        <v>C-GER-SCPADERBORN07</v>
      </c>
      <c r="E566" s="16"/>
      <c r="F566" s="16"/>
      <c r="G566" s="1" t="b">
        <f>COUNTBLANK(Teams[[#This Row],[startDate]:[endDate]]) &lt; 2</f>
        <v>0</v>
      </c>
      <c r="H566" s="1" t="str">
        <f>IF(Teams[[#This Row],[relevant]], COUNTIFS(Fixtures[userTeam], Teams[[#This Row],[name]], Fixtures[APP], TRUE), "")</f>
        <v/>
      </c>
      <c r="I566" s="1" t="str">
        <f>IF(Teams[[#This Row],[relevant]], COUNTIFS(Fixtures[userTeam], Teams[[#This Row],[name]], Fixtures[result], "W", Fixtures[APP], TRUE), "")</f>
        <v/>
      </c>
      <c r="J566" s="1" t="str">
        <f>IF(Teams[[#This Row],[relevant]], COUNTIFS(Fixtures[userTeam], Teams[[#This Row],[name]], Fixtures[result], "D", Fixtures[APP], TRUE), "")</f>
        <v/>
      </c>
      <c r="K566" s="1" t="str">
        <f>IF(Teams[[#This Row],[relevant]], COUNTIFS(Fixtures[userTeam], Teams[[#This Row],[name]], Fixtures[result], "L", Fixtures[APP], TRUE), "")</f>
        <v/>
      </c>
      <c r="L566" s="1" t="str">
        <f>IF(Teams[[#This Row],[relevant]], SUMIFS(Fixtures[G], Fixtures[userTeam], Teams[[#This Row],[name]]), "")</f>
        <v/>
      </c>
      <c r="M566" s="1" t="str">
        <f>IF(Teams[[#This Row],[relevant]], SUMIFS(Fixtures[A], Fixtures[userTeam], Teams[[#This Row],[name]]), "")</f>
        <v/>
      </c>
      <c r="N566" s="1" t="str">
        <f>IF(Teams[[#This Row],[relevant]], SUMIFS(Fixtures[INV], Fixtures[userTeam], Teams[[#This Row],[name]]), "")</f>
        <v/>
      </c>
      <c r="O566" s="1" t="str">
        <f>IF(Teams[[#This Row],[relevant]], SUMIFS(Fixtures[YC], Fixtures[userTeam], Teams[[#This Row],[name]]), "")</f>
        <v/>
      </c>
      <c r="P566" s="1" t="str">
        <f>IF(Teams[[#This Row],[relevant]], SUMIFS(Fixtures[RC], Fixtures[userTeam], Teams[[#This Row],[name]]), "")</f>
        <v/>
      </c>
      <c r="Q566" s="13" t="str">
        <f>IF(Teams[[#This Row],[relevant]], IF(ISERROR(AVERAGEIFS(Fixtures[MR], Fixtures[userTeam], Teams[[#This Row],[name]])), 0, AVERAGEIFS(Fixtures[MR], Fixtures[userTeam], Teams[[#This Row],[name]])), "")</f>
        <v/>
      </c>
      <c r="R566" s="1" t="str">
        <f>IF(Teams[[#This Row],[relevant]], COUNTIFS(Fixtures[userTeam], Teams[[#This Row],[name]], Fixtures[MOTM], TRUE), "")</f>
        <v/>
      </c>
      <c r="S566" s="1" t="str" cm="1">
        <f t="array" ref="S566">IF(Teams[[#This Row],[relevant]], _xlfn.TEXTJOIN(", ", TRUE, _xlfn._xlws.FILTER(Stats[competition]&amp;" ("&amp;Stats[season]&amp;")",(Stats[team]=Teams[[#This Row],[name]])*(Stats[result]="Winner"),"")), "")</f>
        <v/>
      </c>
    </row>
    <row r="567" spans="1:19" ht="13" hidden="1">
      <c r="A567" s="1" t="s">
        <v>898</v>
      </c>
      <c r="B567" s="1" t="s">
        <v>337</v>
      </c>
      <c r="C567" s="1" t="s">
        <v>391</v>
      </c>
      <c r="D567" s="1" t="str">
        <f>UPPER(_xlfn.CONCAT(LEFT(Teams[[#This Row],[teamType]], 1), "-", LEFT(SUBSTITUTE(Teams[[#This Row],[nation]], "/", ""), 3), "-", SUBSTITUTE(SUBSTITUTE(SUBSTITUTE(Teams[[#This Row],[name]], ".", ""), " ", ""), "-", "")))</f>
        <v>C-GER-SCVERL</v>
      </c>
      <c r="E567" s="16"/>
      <c r="F567" s="16"/>
      <c r="G567" s="1" t="b">
        <f>COUNTBLANK(Teams[[#This Row],[startDate]:[endDate]]) &lt; 2</f>
        <v>0</v>
      </c>
      <c r="H567" s="1" t="str">
        <f>IF(Teams[[#This Row],[relevant]], COUNTIFS(Fixtures[userTeam], Teams[[#This Row],[name]], Fixtures[APP], TRUE), "")</f>
        <v/>
      </c>
      <c r="I567" s="1" t="str">
        <f>IF(Teams[[#This Row],[relevant]], COUNTIFS(Fixtures[userTeam], Teams[[#This Row],[name]], Fixtures[result], "W", Fixtures[APP], TRUE), "")</f>
        <v/>
      </c>
      <c r="J567" s="1" t="str">
        <f>IF(Teams[[#This Row],[relevant]], COUNTIFS(Fixtures[userTeam], Teams[[#This Row],[name]], Fixtures[result], "D", Fixtures[APP], TRUE), "")</f>
        <v/>
      </c>
      <c r="K567" s="1" t="str">
        <f>IF(Teams[[#This Row],[relevant]], COUNTIFS(Fixtures[userTeam], Teams[[#This Row],[name]], Fixtures[result], "L", Fixtures[APP], TRUE), "")</f>
        <v/>
      </c>
      <c r="L567" s="1" t="str">
        <f>IF(Teams[[#This Row],[relevant]], SUMIFS(Fixtures[G], Fixtures[userTeam], Teams[[#This Row],[name]]), "")</f>
        <v/>
      </c>
      <c r="M567" s="1" t="str">
        <f>IF(Teams[[#This Row],[relevant]], SUMIFS(Fixtures[A], Fixtures[userTeam], Teams[[#This Row],[name]]), "")</f>
        <v/>
      </c>
      <c r="N567" s="1" t="str">
        <f>IF(Teams[[#This Row],[relevant]], SUMIFS(Fixtures[INV], Fixtures[userTeam], Teams[[#This Row],[name]]), "")</f>
        <v/>
      </c>
      <c r="O567" s="1" t="str">
        <f>IF(Teams[[#This Row],[relevant]], SUMIFS(Fixtures[YC], Fixtures[userTeam], Teams[[#This Row],[name]]), "")</f>
        <v/>
      </c>
      <c r="P567" s="1" t="str">
        <f>IF(Teams[[#This Row],[relevant]], SUMIFS(Fixtures[RC], Fixtures[userTeam], Teams[[#This Row],[name]]), "")</f>
        <v/>
      </c>
      <c r="Q567" s="13" t="str">
        <f>IF(Teams[[#This Row],[relevant]], IF(ISERROR(AVERAGEIFS(Fixtures[MR], Fixtures[userTeam], Teams[[#This Row],[name]])), 0, AVERAGEIFS(Fixtures[MR], Fixtures[userTeam], Teams[[#This Row],[name]])), "")</f>
        <v/>
      </c>
      <c r="R567" s="1" t="str">
        <f>IF(Teams[[#This Row],[relevant]], COUNTIFS(Fixtures[userTeam], Teams[[#This Row],[name]], Fixtures[MOTM], TRUE), "")</f>
        <v/>
      </c>
      <c r="S567" s="1" t="str" cm="1">
        <f t="array" ref="S567">IF(Teams[[#This Row],[relevant]], _xlfn.TEXTJOIN(", ", TRUE, _xlfn._xlws.FILTER(Stats[competition]&amp;" ("&amp;Stats[season]&amp;")",(Stats[team]=Teams[[#This Row],[name]])*(Stats[result]="Winner"),"")), "")</f>
        <v/>
      </c>
    </row>
    <row r="568" spans="1:19" ht="13" hidden="1">
      <c r="A568" s="1" t="s">
        <v>401</v>
      </c>
      <c r="B568" s="1" t="s">
        <v>401</v>
      </c>
      <c r="C568" s="1" t="s">
        <v>459</v>
      </c>
      <c r="D568" s="1" t="str">
        <f>UPPER(_xlfn.CONCAT(LEFT(Teams[[#This Row],[teamType]], 1), "-", LEFT(SUBSTITUTE(Teams[[#This Row],[nation]], "/", ""), 3), "-", SUBSTITUTE(SUBSTITUTE(SUBSTITUTE(Teams[[#This Row],[name]], ".", ""), " ", ""), "-", "")))</f>
        <v>N-SCO-SCOTLAND</v>
      </c>
      <c r="E568" s="16"/>
      <c r="F568" s="16"/>
      <c r="G568" s="1" t="b">
        <f>COUNTBLANK(Teams[[#This Row],[startDate]:[endDate]]) &lt; 2</f>
        <v>0</v>
      </c>
      <c r="H568" s="1" t="str">
        <f>IF(Teams[[#This Row],[relevant]], COUNTIFS(Fixtures[userTeam], Teams[[#This Row],[name]], Fixtures[APP], TRUE), "")</f>
        <v/>
      </c>
      <c r="I568" s="1" t="str">
        <f>IF(Teams[[#This Row],[relevant]], COUNTIFS(Fixtures[userTeam], Teams[[#This Row],[name]], Fixtures[result], "W", Fixtures[APP], TRUE), "")</f>
        <v/>
      </c>
      <c r="J568" s="1" t="str">
        <f>IF(Teams[[#This Row],[relevant]], COUNTIFS(Fixtures[userTeam], Teams[[#This Row],[name]], Fixtures[result], "D", Fixtures[APP], TRUE), "")</f>
        <v/>
      </c>
      <c r="K568" s="1" t="str">
        <f>IF(Teams[[#This Row],[relevant]], COUNTIFS(Fixtures[userTeam], Teams[[#This Row],[name]], Fixtures[result], "L", Fixtures[APP], TRUE), "")</f>
        <v/>
      </c>
      <c r="L568" s="1" t="str">
        <f>IF(Teams[[#This Row],[relevant]], SUMIFS(Fixtures[G], Fixtures[userTeam], Teams[[#This Row],[name]]), "")</f>
        <v/>
      </c>
      <c r="M568" s="1" t="str">
        <f>IF(Teams[[#This Row],[relevant]], SUMIFS(Fixtures[A], Fixtures[userTeam], Teams[[#This Row],[name]]), "")</f>
        <v/>
      </c>
      <c r="N568" s="1" t="str">
        <f>IF(Teams[[#This Row],[relevant]], SUMIFS(Fixtures[INV], Fixtures[userTeam], Teams[[#This Row],[name]]), "")</f>
        <v/>
      </c>
      <c r="O568" s="1" t="str">
        <f>IF(Teams[[#This Row],[relevant]], SUMIFS(Fixtures[YC], Fixtures[userTeam], Teams[[#This Row],[name]]), "")</f>
        <v/>
      </c>
      <c r="P568" s="1" t="str">
        <f>IF(Teams[[#This Row],[relevant]], SUMIFS(Fixtures[RC], Fixtures[userTeam], Teams[[#This Row],[name]]), "")</f>
        <v/>
      </c>
      <c r="Q568" s="13" t="str">
        <f>IF(Teams[[#This Row],[relevant]], IF(ISERROR(AVERAGEIFS(Fixtures[MR], Fixtures[userTeam], Teams[[#This Row],[name]])), 0, AVERAGEIFS(Fixtures[MR], Fixtures[userTeam], Teams[[#This Row],[name]])), "")</f>
        <v/>
      </c>
      <c r="R568" s="1" t="str">
        <f>IF(Teams[[#This Row],[relevant]], COUNTIFS(Fixtures[userTeam], Teams[[#This Row],[name]], Fixtures[MOTM], TRUE), "")</f>
        <v/>
      </c>
      <c r="S568" s="1" t="str" cm="1">
        <f t="array" ref="S568">IF(Teams[[#This Row],[relevant]], _xlfn.TEXTJOIN(", ", TRUE, _xlfn._xlws.FILTER(Stats[competition]&amp;" ("&amp;Stats[season]&amp;")",(Stats[team]=Teams[[#This Row],[name]])*(Stats[result]="Winner"),"")), "")</f>
        <v/>
      </c>
    </row>
    <row r="569" spans="1:19" ht="13" hidden="1">
      <c r="A569" s="1" t="s">
        <v>899</v>
      </c>
      <c r="B569" s="1" t="s">
        <v>414</v>
      </c>
      <c r="C569" s="1" t="s">
        <v>391</v>
      </c>
      <c r="D569" s="1" t="str">
        <f>UPPER(_xlfn.CONCAT(LEFT(Teams[[#This Row],[teamType]], 1), "-", LEFT(SUBSTITUTE(Teams[[#This Row],[nation]], "/", ""), 3), "-", SUBSTITUTE(SUBSTITUTE(SUBSTITUTE(Teams[[#This Row],[name]], ".", ""), " ", ""), "-", "")))</f>
        <v>C-AUS-SCRALTACH</v>
      </c>
      <c r="E569" s="16"/>
      <c r="F569" s="16"/>
      <c r="G569" s="1" t="b">
        <f>COUNTBLANK(Teams[[#This Row],[startDate]:[endDate]]) &lt; 2</f>
        <v>0</v>
      </c>
      <c r="H569" s="1" t="str">
        <f>IF(Teams[[#This Row],[relevant]], COUNTIFS(Fixtures[userTeam], Teams[[#This Row],[name]], Fixtures[APP], TRUE), "")</f>
        <v/>
      </c>
      <c r="I569" s="1" t="str">
        <f>IF(Teams[[#This Row],[relevant]], COUNTIFS(Fixtures[userTeam], Teams[[#This Row],[name]], Fixtures[result], "W", Fixtures[APP], TRUE), "")</f>
        <v/>
      </c>
      <c r="J569" s="1" t="str">
        <f>IF(Teams[[#This Row],[relevant]], COUNTIFS(Fixtures[userTeam], Teams[[#This Row],[name]], Fixtures[result], "D", Fixtures[APP], TRUE), "")</f>
        <v/>
      </c>
      <c r="K569" s="1" t="str">
        <f>IF(Teams[[#This Row],[relevant]], COUNTIFS(Fixtures[userTeam], Teams[[#This Row],[name]], Fixtures[result], "L", Fixtures[APP], TRUE), "")</f>
        <v/>
      </c>
      <c r="L569" s="1" t="str">
        <f>IF(Teams[[#This Row],[relevant]], SUMIFS(Fixtures[G], Fixtures[userTeam], Teams[[#This Row],[name]]), "")</f>
        <v/>
      </c>
      <c r="M569" s="1" t="str">
        <f>IF(Teams[[#This Row],[relevant]], SUMIFS(Fixtures[A], Fixtures[userTeam], Teams[[#This Row],[name]]), "")</f>
        <v/>
      </c>
      <c r="N569" s="1" t="str">
        <f>IF(Teams[[#This Row],[relevant]], SUMIFS(Fixtures[INV], Fixtures[userTeam], Teams[[#This Row],[name]]), "")</f>
        <v/>
      </c>
      <c r="O569" s="1" t="str">
        <f>IF(Teams[[#This Row],[relevant]], SUMIFS(Fixtures[YC], Fixtures[userTeam], Teams[[#This Row],[name]]), "")</f>
        <v/>
      </c>
      <c r="P569" s="1" t="str">
        <f>IF(Teams[[#This Row],[relevant]], SUMIFS(Fixtures[RC], Fixtures[userTeam], Teams[[#This Row],[name]]), "")</f>
        <v/>
      </c>
      <c r="Q569" s="13" t="str">
        <f>IF(Teams[[#This Row],[relevant]], IF(ISERROR(AVERAGEIFS(Fixtures[MR], Fixtures[userTeam], Teams[[#This Row],[name]])), 0, AVERAGEIFS(Fixtures[MR], Fixtures[userTeam], Teams[[#This Row],[name]])), "")</f>
        <v/>
      </c>
      <c r="R569" s="1" t="str">
        <f>IF(Teams[[#This Row],[relevant]], COUNTIFS(Fixtures[userTeam], Teams[[#This Row],[name]], Fixtures[MOTM], TRUE), "")</f>
        <v/>
      </c>
      <c r="S569" s="1" t="str" cm="1">
        <f t="array" ref="S569">IF(Teams[[#This Row],[relevant]], _xlfn.TEXTJOIN(", ", TRUE, _xlfn._xlws.FILTER(Stats[competition]&amp;" ("&amp;Stats[season]&amp;")",(Stats[team]=Teams[[#This Row],[name]])*(Stats[result]="Winner"),"")), "")</f>
        <v/>
      </c>
    </row>
    <row r="570" spans="1:19" ht="13" hidden="1">
      <c r="A570" s="1" t="s">
        <v>900</v>
      </c>
      <c r="B570" s="1" t="s">
        <v>163</v>
      </c>
      <c r="C570" s="1" t="s">
        <v>391</v>
      </c>
      <c r="D570" s="1" t="str">
        <f>UPPER(_xlfn.CONCAT(LEFT(Teams[[#This Row],[teamType]], 1), "-", LEFT(SUBSTITUTE(Teams[[#This Row],[nation]], "/", ""), 3), "-", SUBSTITUTE(SUBSTITUTE(SUBSTITUTE(Teams[[#This Row],[name]], ".", ""), " ", ""), "-", "")))</f>
        <v>C-SPA-SDEIBAR</v>
      </c>
      <c r="E570" s="16"/>
      <c r="F570" s="16"/>
      <c r="G570" s="1" t="b">
        <f>COUNTBLANK(Teams[[#This Row],[startDate]:[endDate]]) &lt; 2</f>
        <v>0</v>
      </c>
      <c r="H570" s="1" t="str">
        <f>IF(Teams[[#This Row],[relevant]], COUNTIFS(Fixtures[userTeam], Teams[[#This Row],[name]], Fixtures[APP], TRUE), "")</f>
        <v/>
      </c>
      <c r="I570" s="1" t="str">
        <f>IF(Teams[[#This Row],[relevant]], COUNTIFS(Fixtures[userTeam], Teams[[#This Row],[name]], Fixtures[result], "W", Fixtures[APP], TRUE), "")</f>
        <v/>
      </c>
      <c r="J570" s="1" t="str">
        <f>IF(Teams[[#This Row],[relevant]], COUNTIFS(Fixtures[userTeam], Teams[[#This Row],[name]], Fixtures[result], "D", Fixtures[APP], TRUE), "")</f>
        <v/>
      </c>
      <c r="K570" s="1" t="str">
        <f>IF(Teams[[#This Row],[relevant]], COUNTIFS(Fixtures[userTeam], Teams[[#This Row],[name]], Fixtures[result], "L", Fixtures[APP], TRUE), "")</f>
        <v/>
      </c>
      <c r="L570" s="1" t="str">
        <f>IF(Teams[[#This Row],[relevant]], SUMIFS(Fixtures[G], Fixtures[userTeam], Teams[[#This Row],[name]]), "")</f>
        <v/>
      </c>
      <c r="M570" s="1" t="str">
        <f>IF(Teams[[#This Row],[relevant]], SUMIFS(Fixtures[A], Fixtures[userTeam], Teams[[#This Row],[name]]), "")</f>
        <v/>
      </c>
      <c r="N570" s="1" t="str">
        <f>IF(Teams[[#This Row],[relevant]], SUMIFS(Fixtures[INV], Fixtures[userTeam], Teams[[#This Row],[name]]), "")</f>
        <v/>
      </c>
      <c r="O570" s="1" t="str">
        <f>IF(Teams[[#This Row],[relevant]], SUMIFS(Fixtures[YC], Fixtures[userTeam], Teams[[#This Row],[name]]), "")</f>
        <v/>
      </c>
      <c r="P570" s="1" t="str">
        <f>IF(Teams[[#This Row],[relevant]], SUMIFS(Fixtures[RC], Fixtures[userTeam], Teams[[#This Row],[name]]), "")</f>
        <v/>
      </c>
      <c r="Q570" s="13" t="str">
        <f>IF(Teams[[#This Row],[relevant]], IF(ISERROR(AVERAGEIFS(Fixtures[MR], Fixtures[userTeam], Teams[[#This Row],[name]])), 0, AVERAGEIFS(Fixtures[MR], Fixtures[userTeam], Teams[[#This Row],[name]])), "")</f>
        <v/>
      </c>
      <c r="R570" s="1" t="str">
        <f>IF(Teams[[#This Row],[relevant]], COUNTIFS(Fixtures[userTeam], Teams[[#This Row],[name]], Fixtures[MOTM], TRUE), "")</f>
        <v/>
      </c>
      <c r="S570" s="1" t="str" cm="1">
        <f t="array" ref="S570">IF(Teams[[#This Row],[relevant]], _xlfn.TEXTJOIN(", ", TRUE, _xlfn._xlws.FILTER(Stats[competition]&amp;" ("&amp;Stats[season]&amp;")",(Stats[team]=Teams[[#This Row],[name]])*(Stats[result]="Winner"),"")), "")</f>
        <v/>
      </c>
    </row>
    <row r="571" spans="1:19" ht="13" hidden="1">
      <c r="A571" s="1" t="s">
        <v>901</v>
      </c>
      <c r="B571" s="1" t="s">
        <v>163</v>
      </c>
      <c r="C571" s="1" t="s">
        <v>391</v>
      </c>
      <c r="D571" s="1" t="str">
        <f>UPPER(_xlfn.CONCAT(LEFT(Teams[[#This Row],[teamType]], 1), "-", LEFT(SUBSTITUTE(Teams[[#This Row],[nation]], "/", ""), 3), "-", SUBSTITUTE(SUBSTITUTE(SUBSTITUTE(Teams[[#This Row],[name]], ".", ""), " ", ""), "-", "")))</f>
        <v>C-SPA-SDHUESCA</v>
      </c>
      <c r="E571" s="16"/>
      <c r="F571" s="16"/>
      <c r="G571" s="1" t="b">
        <f>COUNTBLANK(Teams[[#This Row],[startDate]:[endDate]]) &lt; 2</f>
        <v>0</v>
      </c>
      <c r="H571" s="1" t="str">
        <f>IF(Teams[[#This Row],[relevant]], COUNTIFS(Fixtures[userTeam], Teams[[#This Row],[name]], Fixtures[APP], TRUE), "")</f>
        <v/>
      </c>
      <c r="I571" s="1" t="str">
        <f>IF(Teams[[#This Row],[relevant]], COUNTIFS(Fixtures[userTeam], Teams[[#This Row],[name]], Fixtures[result], "W", Fixtures[APP], TRUE), "")</f>
        <v/>
      </c>
      <c r="J571" s="1" t="str">
        <f>IF(Teams[[#This Row],[relevant]], COUNTIFS(Fixtures[userTeam], Teams[[#This Row],[name]], Fixtures[result], "D", Fixtures[APP], TRUE), "")</f>
        <v/>
      </c>
      <c r="K571" s="1" t="str">
        <f>IF(Teams[[#This Row],[relevant]], COUNTIFS(Fixtures[userTeam], Teams[[#This Row],[name]], Fixtures[result], "L", Fixtures[APP], TRUE), "")</f>
        <v/>
      </c>
      <c r="L571" s="1" t="str">
        <f>IF(Teams[[#This Row],[relevant]], SUMIFS(Fixtures[G], Fixtures[userTeam], Teams[[#This Row],[name]]), "")</f>
        <v/>
      </c>
      <c r="M571" s="1" t="str">
        <f>IF(Teams[[#This Row],[relevant]], SUMIFS(Fixtures[A], Fixtures[userTeam], Teams[[#This Row],[name]]), "")</f>
        <v/>
      </c>
      <c r="N571" s="1" t="str">
        <f>IF(Teams[[#This Row],[relevant]], SUMIFS(Fixtures[INV], Fixtures[userTeam], Teams[[#This Row],[name]]), "")</f>
        <v/>
      </c>
      <c r="O571" s="1" t="str">
        <f>IF(Teams[[#This Row],[relevant]], SUMIFS(Fixtures[YC], Fixtures[userTeam], Teams[[#This Row],[name]]), "")</f>
        <v/>
      </c>
      <c r="P571" s="1" t="str">
        <f>IF(Teams[[#This Row],[relevant]], SUMIFS(Fixtures[RC], Fixtures[userTeam], Teams[[#This Row],[name]]), "")</f>
        <v/>
      </c>
      <c r="Q571" s="13" t="str">
        <f>IF(Teams[[#This Row],[relevant]], IF(ISERROR(AVERAGEIFS(Fixtures[MR], Fixtures[userTeam], Teams[[#This Row],[name]])), 0, AVERAGEIFS(Fixtures[MR], Fixtures[userTeam], Teams[[#This Row],[name]])), "")</f>
        <v/>
      </c>
      <c r="R571" s="1" t="str">
        <f>IF(Teams[[#This Row],[relevant]], COUNTIFS(Fixtures[userTeam], Teams[[#This Row],[name]], Fixtures[MOTM], TRUE), "")</f>
        <v/>
      </c>
      <c r="S571" s="1" t="str" cm="1">
        <f t="array" ref="S571">IF(Teams[[#This Row],[relevant]], _xlfn.TEXTJOIN(", ", TRUE, _xlfn._xlws.FILTER(Stats[competition]&amp;" ("&amp;Stats[season]&amp;")",(Stats[team]=Teams[[#This Row],[name]])*(Stats[result]="Winner"),"")), "")</f>
        <v/>
      </c>
    </row>
    <row r="572" spans="1:19" ht="13" hidden="1">
      <c r="A572" s="1" t="s">
        <v>902</v>
      </c>
      <c r="B572" s="1" t="s">
        <v>163</v>
      </c>
      <c r="C572" s="1" t="s">
        <v>391</v>
      </c>
      <c r="D572" s="1" t="str">
        <f>UPPER(_xlfn.CONCAT(LEFT(Teams[[#This Row],[teamType]], 1), "-", LEFT(SUBSTITUTE(Teams[[#This Row],[nation]], "/", ""), 3), "-", SUBSTITUTE(SUBSTITUTE(SUBSTITUTE(Teams[[#This Row],[name]], ".", ""), " ", ""), "-", "")))</f>
        <v>C-SPA-SDPONFERRADINA</v>
      </c>
      <c r="E572" s="16"/>
      <c r="F572" s="16"/>
      <c r="G572" s="1" t="b">
        <f>COUNTBLANK(Teams[[#This Row],[startDate]:[endDate]]) &lt; 2</f>
        <v>0</v>
      </c>
      <c r="H572" s="1" t="str">
        <f>IF(Teams[[#This Row],[relevant]], COUNTIFS(Fixtures[userTeam], Teams[[#This Row],[name]], Fixtures[APP], TRUE), "")</f>
        <v/>
      </c>
      <c r="I572" s="1" t="str">
        <f>IF(Teams[[#This Row],[relevant]], COUNTIFS(Fixtures[userTeam], Teams[[#This Row],[name]], Fixtures[result], "W", Fixtures[APP], TRUE), "")</f>
        <v/>
      </c>
      <c r="J572" s="1" t="str">
        <f>IF(Teams[[#This Row],[relevant]], COUNTIFS(Fixtures[userTeam], Teams[[#This Row],[name]], Fixtures[result], "D", Fixtures[APP], TRUE), "")</f>
        <v/>
      </c>
      <c r="K572" s="1" t="str">
        <f>IF(Teams[[#This Row],[relevant]], COUNTIFS(Fixtures[userTeam], Teams[[#This Row],[name]], Fixtures[result], "L", Fixtures[APP], TRUE), "")</f>
        <v/>
      </c>
      <c r="L572" s="1" t="str">
        <f>IF(Teams[[#This Row],[relevant]], SUMIFS(Fixtures[G], Fixtures[userTeam], Teams[[#This Row],[name]]), "")</f>
        <v/>
      </c>
      <c r="M572" s="1" t="str">
        <f>IF(Teams[[#This Row],[relevant]], SUMIFS(Fixtures[A], Fixtures[userTeam], Teams[[#This Row],[name]]), "")</f>
        <v/>
      </c>
      <c r="N572" s="1" t="str">
        <f>IF(Teams[[#This Row],[relevant]], SUMIFS(Fixtures[INV], Fixtures[userTeam], Teams[[#This Row],[name]]), "")</f>
        <v/>
      </c>
      <c r="O572" s="1" t="str">
        <f>IF(Teams[[#This Row],[relevant]], SUMIFS(Fixtures[YC], Fixtures[userTeam], Teams[[#This Row],[name]]), "")</f>
        <v/>
      </c>
      <c r="P572" s="1" t="str">
        <f>IF(Teams[[#This Row],[relevant]], SUMIFS(Fixtures[RC], Fixtures[userTeam], Teams[[#This Row],[name]]), "")</f>
        <v/>
      </c>
      <c r="Q572" s="13" t="str">
        <f>IF(Teams[[#This Row],[relevant]], IF(ISERROR(AVERAGEIFS(Fixtures[MR], Fixtures[userTeam], Teams[[#This Row],[name]])), 0, AVERAGEIFS(Fixtures[MR], Fixtures[userTeam], Teams[[#This Row],[name]])), "")</f>
        <v/>
      </c>
      <c r="R572" s="1" t="str">
        <f>IF(Teams[[#This Row],[relevant]], COUNTIFS(Fixtures[userTeam], Teams[[#This Row],[name]], Fixtures[MOTM], TRUE), "")</f>
        <v/>
      </c>
      <c r="S572" s="1" t="str" cm="1">
        <f t="array" ref="S572">IF(Teams[[#This Row],[relevant]], _xlfn.TEXTJOIN(", ", TRUE, _xlfn._xlws.FILTER(Stats[competition]&amp;" ("&amp;Stats[season]&amp;")",(Stats[team]=Teams[[#This Row],[name]])*(Stats[result]="Winner"),"")), "")</f>
        <v/>
      </c>
    </row>
    <row r="573" spans="1:19" ht="13" hidden="1">
      <c r="A573" s="1" t="s">
        <v>903</v>
      </c>
      <c r="B573" s="1" t="s">
        <v>568</v>
      </c>
      <c r="C573" s="1" t="s">
        <v>391</v>
      </c>
      <c r="D573" s="1" t="str">
        <f>UPPER(_xlfn.CONCAT(LEFT(Teams[[#This Row],[teamType]], 1), "-", LEFT(SUBSTITUTE(Teams[[#This Row],[nation]], "/", ""), 3), "-", SUBSTITUTE(SUBSTITUTE(SUBSTITUTE(Teams[[#This Row],[name]], ".", ""), " ", ""), "-", "")))</f>
        <v>C-KOR-SEONGNAMFC</v>
      </c>
      <c r="E573" s="16"/>
      <c r="F573" s="16"/>
      <c r="G573" s="1" t="b">
        <f>COUNTBLANK(Teams[[#This Row],[startDate]:[endDate]]) &lt; 2</f>
        <v>0</v>
      </c>
      <c r="H573" s="1" t="str">
        <f>IF(Teams[[#This Row],[relevant]], COUNTIFS(Fixtures[userTeam], Teams[[#This Row],[name]], Fixtures[APP], TRUE), "")</f>
        <v/>
      </c>
      <c r="I573" s="1" t="str">
        <f>IF(Teams[[#This Row],[relevant]], COUNTIFS(Fixtures[userTeam], Teams[[#This Row],[name]], Fixtures[result], "W", Fixtures[APP], TRUE), "")</f>
        <v/>
      </c>
      <c r="J573" s="1" t="str">
        <f>IF(Teams[[#This Row],[relevant]], COUNTIFS(Fixtures[userTeam], Teams[[#This Row],[name]], Fixtures[result], "D", Fixtures[APP], TRUE), "")</f>
        <v/>
      </c>
      <c r="K573" s="1" t="str">
        <f>IF(Teams[[#This Row],[relevant]], COUNTIFS(Fixtures[userTeam], Teams[[#This Row],[name]], Fixtures[result], "L", Fixtures[APP], TRUE), "")</f>
        <v/>
      </c>
      <c r="L573" s="1" t="str">
        <f>IF(Teams[[#This Row],[relevant]], SUMIFS(Fixtures[G], Fixtures[userTeam], Teams[[#This Row],[name]]), "")</f>
        <v/>
      </c>
      <c r="M573" s="1" t="str">
        <f>IF(Teams[[#This Row],[relevant]], SUMIFS(Fixtures[A], Fixtures[userTeam], Teams[[#This Row],[name]]), "")</f>
        <v/>
      </c>
      <c r="N573" s="1" t="str">
        <f>IF(Teams[[#This Row],[relevant]], SUMIFS(Fixtures[INV], Fixtures[userTeam], Teams[[#This Row],[name]]), "")</f>
        <v/>
      </c>
      <c r="O573" s="1" t="str">
        <f>IF(Teams[[#This Row],[relevant]], SUMIFS(Fixtures[YC], Fixtures[userTeam], Teams[[#This Row],[name]]), "")</f>
        <v/>
      </c>
      <c r="P573" s="1" t="str">
        <f>IF(Teams[[#This Row],[relevant]], SUMIFS(Fixtures[RC], Fixtures[userTeam], Teams[[#This Row],[name]]), "")</f>
        <v/>
      </c>
      <c r="Q573" s="13" t="str">
        <f>IF(Teams[[#This Row],[relevant]], IF(ISERROR(AVERAGEIFS(Fixtures[MR], Fixtures[userTeam], Teams[[#This Row],[name]])), 0, AVERAGEIFS(Fixtures[MR], Fixtures[userTeam], Teams[[#This Row],[name]])), "")</f>
        <v/>
      </c>
      <c r="R573" s="1" t="str">
        <f>IF(Teams[[#This Row],[relevant]], COUNTIFS(Fixtures[userTeam], Teams[[#This Row],[name]], Fixtures[MOTM], TRUE), "")</f>
        <v/>
      </c>
      <c r="S573" s="1" t="str" cm="1">
        <f t="array" ref="S573">IF(Teams[[#This Row],[relevant]], _xlfn.TEXTJOIN(", ", TRUE, _xlfn._xlws.FILTER(Stats[competition]&amp;" ("&amp;Stats[season]&amp;")",(Stats[team]=Teams[[#This Row],[name]])*(Stats[result]="Winner"),"")), "")</f>
        <v/>
      </c>
    </row>
    <row r="574" spans="1:19" ht="13" hidden="1">
      <c r="A574" s="1" t="s">
        <v>904</v>
      </c>
      <c r="B574" s="1" t="s">
        <v>419</v>
      </c>
      <c r="C574" s="1" t="s">
        <v>391</v>
      </c>
      <c r="D574" s="1" t="str">
        <f>UPPER(_xlfn.CONCAT(LEFT(Teams[[#This Row],[teamType]], 1), "-", LEFT(SUBSTITUTE(Teams[[#This Row],[nation]], "/", ""), 3), "-", SUBSTITUTE(SUBSTITUTE(SUBSTITUTE(Teams[[#This Row],[name]], ".", ""), " ", ""), "-", "")))</f>
        <v>C-ROM-SEPSIOSK</v>
      </c>
      <c r="E574" s="16"/>
      <c r="F574" s="16"/>
      <c r="G574" s="1" t="b">
        <f>COUNTBLANK(Teams[[#This Row],[startDate]:[endDate]]) &lt; 2</f>
        <v>0</v>
      </c>
      <c r="H574" s="1" t="str">
        <f>IF(Teams[[#This Row],[relevant]], COUNTIFS(Fixtures[userTeam], Teams[[#This Row],[name]], Fixtures[APP], TRUE), "")</f>
        <v/>
      </c>
      <c r="I574" s="1" t="str">
        <f>IF(Teams[[#This Row],[relevant]], COUNTIFS(Fixtures[userTeam], Teams[[#This Row],[name]], Fixtures[result], "W", Fixtures[APP], TRUE), "")</f>
        <v/>
      </c>
      <c r="J574" s="1" t="str">
        <f>IF(Teams[[#This Row],[relevant]], COUNTIFS(Fixtures[userTeam], Teams[[#This Row],[name]], Fixtures[result], "D", Fixtures[APP], TRUE), "")</f>
        <v/>
      </c>
      <c r="K574" s="1" t="str">
        <f>IF(Teams[[#This Row],[relevant]], COUNTIFS(Fixtures[userTeam], Teams[[#This Row],[name]], Fixtures[result], "L", Fixtures[APP], TRUE), "")</f>
        <v/>
      </c>
      <c r="L574" s="1" t="str">
        <f>IF(Teams[[#This Row],[relevant]], SUMIFS(Fixtures[G], Fixtures[userTeam], Teams[[#This Row],[name]]), "")</f>
        <v/>
      </c>
      <c r="M574" s="1" t="str">
        <f>IF(Teams[[#This Row],[relevant]], SUMIFS(Fixtures[A], Fixtures[userTeam], Teams[[#This Row],[name]]), "")</f>
        <v/>
      </c>
      <c r="N574" s="1" t="str">
        <f>IF(Teams[[#This Row],[relevant]], SUMIFS(Fixtures[INV], Fixtures[userTeam], Teams[[#This Row],[name]]), "")</f>
        <v/>
      </c>
      <c r="O574" s="1" t="str">
        <f>IF(Teams[[#This Row],[relevant]], SUMIFS(Fixtures[YC], Fixtures[userTeam], Teams[[#This Row],[name]]), "")</f>
        <v/>
      </c>
      <c r="P574" s="1" t="str">
        <f>IF(Teams[[#This Row],[relevant]], SUMIFS(Fixtures[RC], Fixtures[userTeam], Teams[[#This Row],[name]]), "")</f>
        <v/>
      </c>
      <c r="Q574" s="13" t="str">
        <f>IF(Teams[[#This Row],[relevant]], IF(ISERROR(AVERAGEIFS(Fixtures[MR], Fixtures[userTeam], Teams[[#This Row],[name]])), 0, AVERAGEIFS(Fixtures[MR], Fixtures[userTeam], Teams[[#This Row],[name]])), "")</f>
        <v/>
      </c>
      <c r="R574" s="1" t="str">
        <f>IF(Teams[[#This Row],[relevant]], COUNTIFS(Fixtures[userTeam], Teams[[#This Row],[name]], Fixtures[MOTM], TRUE), "")</f>
        <v/>
      </c>
      <c r="S574" s="1" t="str" cm="1">
        <f t="array" ref="S574">IF(Teams[[#This Row],[relevant]], _xlfn.TEXTJOIN(", ", TRUE, _xlfn._xlws.FILTER(Stats[competition]&amp;" ("&amp;Stats[season]&amp;")",(Stats[team]=Teams[[#This Row],[name]])*(Stats[result]="Winner"),"")), "")</f>
        <v/>
      </c>
    </row>
    <row r="575" spans="1:19" ht="13" hidden="1">
      <c r="A575" s="1" t="s">
        <v>905</v>
      </c>
      <c r="B575" s="1" t="s">
        <v>513</v>
      </c>
      <c r="C575" s="1" t="s">
        <v>391</v>
      </c>
      <c r="D575" s="1" t="str">
        <f>UPPER(_xlfn.CONCAT(LEFT(Teams[[#This Row],[teamType]], 1), "-", LEFT(SUBSTITUTE(Teams[[#This Row],[nation]], "/", ""), 3), "-", SUBSTITUTE(SUBSTITUTE(SUBSTITUTE(Teams[[#This Row],[name]], ".", ""), " ", ""), "-", "")))</f>
        <v>C-SWI-SERVETTEFC</v>
      </c>
      <c r="E575" s="16"/>
      <c r="F575" s="16"/>
      <c r="G575" s="1" t="b">
        <f>COUNTBLANK(Teams[[#This Row],[startDate]:[endDate]]) &lt; 2</f>
        <v>0</v>
      </c>
      <c r="H575" s="1" t="str">
        <f>IF(Teams[[#This Row],[relevant]], COUNTIFS(Fixtures[userTeam], Teams[[#This Row],[name]], Fixtures[APP], TRUE), "")</f>
        <v/>
      </c>
      <c r="I575" s="1" t="str">
        <f>IF(Teams[[#This Row],[relevant]], COUNTIFS(Fixtures[userTeam], Teams[[#This Row],[name]], Fixtures[result], "W", Fixtures[APP], TRUE), "")</f>
        <v/>
      </c>
      <c r="J575" s="1" t="str">
        <f>IF(Teams[[#This Row],[relevant]], COUNTIFS(Fixtures[userTeam], Teams[[#This Row],[name]], Fixtures[result], "D", Fixtures[APP], TRUE), "")</f>
        <v/>
      </c>
      <c r="K575" s="1" t="str">
        <f>IF(Teams[[#This Row],[relevant]], COUNTIFS(Fixtures[userTeam], Teams[[#This Row],[name]], Fixtures[result], "L", Fixtures[APP], TRUE), "")</f>
        <v/>
      </c>
      <c r="L575" s="1" t="str">
        <f>IF(Teams[[#This Row],[relevant]], SUMIFS(Fixtures[G], Fixtures[userTeam], Teams[[#This Row],[name]]), "")</f>
        <v/>
      </c>
      <c r="M575" s="1" t="str">
        <f>IF(Teams[[#This Row],[relevant]], SUMIFS(Fixtures[A], Fixtures[userTeam], Teams[[#This Row],[name]]), "")</f>
        <v/>
      </c>
      <c r="N575" s="1" t="str">
        <f>IF(Teams[[#This Row],[relevant]], SUMIFS(Fixtures[INV], Fixtures[userTeam], Teams[[#This Row],[name]]), "")</f>
        <v/>
      </c>
      <c r="O575" s="1" t="str">
        <f>IF(Teams[[#This Row],[relevant]], SUMIFS(Fixtures[YC], Fixtures[userTeam], Teams[[#This Row],[name]]), "")</f>
        <v/>
      </c>
      <c r="P575" s="1" t="str">
        <f>IF(Teams[[#This Row],[relevant]], SUMIFS(Fixtures[RC], Fixtures[userTeam], Teams[[#This Row],[name]]), "")</f>
        <v/>
      </c>
      <c r="Q575" s="13" t="str">
        <f>IF(Teams[[#This Row],[relevant]], IF(ISERROR(AVERAGEIFS(Fixtures[MR], Fixtures[userTeam], Teams[[#This Row],[name]])), 0, AVERAGEIFS(Fixtures[MR], Fixtures[userTeam], Teams[[#This Row],[name]])), "")</f>
        <v/>
      </c>
      <c r="R575" s="1" t="str">
        <f>IF(Teams[[#This Row],[relevant]], COUNTIFS(Fixtures[userTeam], Teams[[#This Row],[name]], Fixtures[MOTM], TRUE), "")</f>
        <v/>
      </c>
      <c r="S575" s="1" t="str" cm="1">
        <f t="array" ref="S575">IF(Teams[[#This Row],[relevant]], _xlfn.TEXTJOIN(", ", TRUE, _xlfn._xlws.FILTER(Stats[competition]&amp;" ("&amp;Stats[season]&amp;")",(Stats[team]=Teams[[#This Row],[name]])*(Stats[result]="Winner"),"")), "")</f>
        <v/>
      </c>
    </row>
    <row r="576" spans="1:19" ht="13" hidden="1">
      <c r="A576" s="1" t="s">
        <v>906</v>
      </c>
      <c r="B576" s="1" t="s">
        <v>163</v>
      </c>
      <c r="C576" s="1" t="s">
        <v>391</v>
      </c>
      <c r="D576" s="1" t="str">
        <f>UPPER(_xlfn.CONCAT(LEFT(Teams[[#This Row],[teamType]], 1), "-", LEFT(SUBSTITUTE(Teams[[#This Row],[nation]], "/", ""), 3), "-", SUBSTITUTE(SUBSTITUTE(SUBSTITUTE(Teams[[#This Row],[name]], ".", ""), " ", ""), "-", "")))</f>
        <v>C-SPA-SEVILLAFC</v>
      </c>
      <c r="E576" s="16"/>
      <c r="F576" s="16"/>
      <c r="G576" s="1" t="b">
        <f>COUNTBLANK(Teams[[#This Row],[startDate]:[endDate]]) &lt; 2</f>
        <v>0</v>
      </c>
      <c r="H576" s="1" t="str">
        <f>IF(Teams[[#This Row],[relevant]], COUNTIFS(Fixtures[userTeam], Teams[[#This Row],[name]], Fixtures[APP], TRUE), "")</f>
        <v/>
      </c>
      <c r="I576" s="1" t="str">
        <f>IF(Teams[[#This Row],[relevant]], COUNTIFS(Fixtures[userTeam], Teams[[#This Row],[name]], Fixtures[result], "W", Fixtures[APP], TRUE), "")</f>
        <v/>
      </c>
      <c r="J576" s="1" t="str">
        <f>IF(Teams[[#This Row],[relevant]], COUNTIFS(Fixtures[userTeam], Teams[[#This Row],[name]], Fixtures[result], "D", Fixtures[APP], TRUE), "")</f>
        <v/>
      </c>
      <c r="K576" s="1" t="str">
        <f>IF(Teams[[#This Row],[relevant]], COUNTIFS(Fixtures[userTeam], Teams[[#This Row],[name]], Fixtures[result], "L", Fixtures[APP], TRUE), "")</f>
        <v/>
      </c>
      <c r="L576" s="1" t="str">
        <f>IF(Teams[[#This Row],[relevant]], SUMIFS(Fixtures[G], Fixtures[userTeam], Teams[[#This Row],[name]]), "")</f>
        <v/>
      </c>
      <c r="M576" s="1" t="str">
        <f>IF(Teams[[#This Row],[relevant]], SUMIFS(Fixtures[A], Fixtures[userTeam], Teams[[#This Row],[name]]), "")</f>
        <v/>
      </c>
      <c r="N576" s="1" t="str">
        <f>IF(Teams[[#This Row],[relevant]], SUMIFS(Fixtures[INV], Fixtures[userTeam], Teams[[#This Row],[name]]), "")</f>
        <v/>
      </c>
      <c r="O576" s="1" t="str">
        <f>IF(Teams[[#This Row],[relevant]], SUMIFS(Fixtures[YC], Fixtures[userTeam], Teams[[#This Row],[name]]), "")</f>
        <v/>
      </c>
      <c r="P576" s="1" t="str">
        <f>IF(Teams[[#This Row],[relevant]], SUMIFS(Fixtures[RC], Fixtures[userTeam], Teams[[#This Row],[name]]), "")</f>
        <v/>
      </c>
      <c r="Q576" s="13" t="str">
        <f>IF(Teams[[#This Row],[relevant]], IF(ISERROR(AVERAGEIFS(Fixtures[MR], Fixtures[userTeam], Teams[[#This Row],[name]])), 0, AVERAGEIFS(Fixtures[MR], Fixtures[userTeam], Teams[[#This Row],[name]])), "")</f>
        <v/>
      </c>
      <c r="R576" s="1" t="str">
        <f>IF(Teams[[#This Row],[relevant]], COUNTIFS(Fixtures[userTeam], Teams[[#This Row],[name]], Fixtures[MOTM], TRUE), "")</f>
        <v/>
      </c>
      <c r="S576" s="1" t="str" cm="1">
        <f t="array" ref="S576">IF(Teams[[#This Row],[relevant]], _xlfn.TEXTJOIN(", ", TRUE, _xlfn._xlws.FILTER(Stats[competition]&amp;" ("&amp;Stats[season]&amp;")",(Stats[team]=Teams[[#This Row],[name]])*(Stats[result]="Winner"),"")), "")</f>
        <v/>
      </c>
    </row>
    <row r="577" spans="1:19" ht="13" hidden="1">
      <c r="A577" s="1" t="s">
        <v>290</v>
      </c>
      <c r="B577" s="1" t="s">
        <v>589</v>
      </c>
      <c r="C577" s="1" t="s">
        <v>391</v>
      </c>
      <c r="D577" s="1" t="str">
        <f>UPPER(_xlfn.CONCAT(LEFT(Teams[[#This Row],[teamType]], 1), "-", LEFT(SUBSTITUTE(Teams[[#This Row],[nation]], "/", ""), 3), "-", SUBSTITUTE(SUBSTITUTE(SUBSTITUTE(Teams[[#This Row],[name]], ".", ""), " ", ""), "-", "")))</f>
        <v>C-UKR-SHAKHTARDONETSK</v>
      </c>
      <c r="E577" s="16"/>
      <c r="F577" s="16"/>
      <c r="G577" s="1" t="b">
        <f>COUNTBLANK(Teams[[#This Row],[startDate]:[endDate]]) &lt; 2</f>
        <v>0</v>
      </c>
      <c r="H577" s="1" t="str">
        <f>IF(Teams[[#This Row],[relevant]], COUNTIFS(Fixtures[userTeam], Teams[[#This Row],[name]], Fixtures[APP], TRUE), "")</f>
        <v/>
      </c>
      <c r="I577" s="1" t="str">
        <f>IF(Teams[[#This Row],[relevant]], COUNTIFS(Fixtures[userTeam], Teams[[#This Row],[name]], Fixtures[result], "W", Fixtures[APP], TRUE), "")</f>
        <v/>
      </c>
      <c r="J577" s="1" t="str">
        <f>IF(Teams[[#This Row],[relevant]], COUNTIFS(Fixtures[userTeam], Teams[[#This Row],[name]], Fixtures[result], "D", Fixtures[APP], TRUE), "")</f>
        <v/>
      </c>
      <c r="K577" s="1" t="str">
        <f>IF(Teams[[#This Row],[relevant]], COUNTIFS(Fixtures[userTeam], Teams[[#This Row],[name]], Fixtures[result], "L", Fixtures[APP], TRUE), "")</f>
        <v/>
      </c>
      <c r="L577" s="1" t="str">
        <f>IF(Teams[[#This Row],[relevant]], SUMIFS(Fixtures[G], Fixtures[userTeam], Teams[[#This Row],[name]]), "")</f>
        <v/>
      </c>
      <c r="M577" s="1" t="str">
        <f>IF(Teams[[#This Row],[relevant]], SUMIFS(Fixtures[A], Fixtures[userTeam], Teams[[#This Row],[name]]), "")</f>
        <v/>
      </c>
      <c r="N577" s="1" t="str">
        <f>IF(Teams[[#This Row],[relevant]], SUMIFS(Fixtures[INV], Fixtures[userTeam], Teams[[#This Row],[name]]), "")</f>
        <v/>
      </c>
      <c r="O577" s="1" t="str">
        <f>IF(Teams[[#This Row],[relevant]], SUMIFS(Fixtures[YC], Fixtures[userTeam], Teams[[#This Row],[name]]), "")</f>
        <v/>
      </c>
      <c r="P577" s="1" t="str">
        <f>IF(Teams[[#This Row],[relevant]], SUMIFS(Fixtures[RC], Fixtures[userTeam], Teams[[#This Row],[name]]), "")</f>
        <v/>
      </c>
      <c r="Q577" s="13" t="str">
        <f>IF(Teams[[#This Row],[relevant]], IF(ISERROR(AVERAGEIFS(Fixtures[MR], Fixtures[userTeam], Teams[[#This Row],[name]])), 0, AVERAGEIFS(Fixtures[MR], Fixtures[userTeam], Teams[[#This Row],[name]])), "")</f>
        <v/>
      </c>
      <c r="R577" s="1" t="str">
        <f>IF(Teams[[#This Row],[relevant]], COUNTIFS(Fixtures[userTeam], Teams[[#This Row],[name]], Fixtures[MOTM], TRUE), "")</f>
        <v/>
      </c>
      <c r="S577" s="1" t="str" cm="1">
        <f t="array" ref="S577">IF(Teams[[#This Row],[relevant]], _xlfn.TEXTJOIN(", ", TRUE, _xlfn._xlws.FILTER(Stats[competition]&amp;" ("&amp;Stats[season]&amp;")",(Stats[team]=Teams[[#This Row],[name]])*(Stats[result]="Winner"),"")), "")</f>
        <v/>
      </c>
    </row>
    <row r="578" spans="1:19" ht="13" hidden="1">
      <c r="A578" s="1" t="s">
        <v>907</v>
      </c>
      <c r="B578" s="1" t="s">
        <v>270</v>
      </c>
      <c r="C578" s="1" t="s">
        <v>391</v>
      </c>
      <c r="D578" s="1" t="str">
        <f>UPPER(_xlfn.CONCAT(LEFT(Teams[[#This Row],[teamType]], 1), "-", LEFT(SUBSTITUTE(Teams[[#This Row],[nation]], "/", ""), 3), "-", SUBSTITUTE(SUBSTITUTE(SUBSTITUTE(Teams[[#This Row],[name]], ".", ""), " ", ""), "-", "")))</f>
        <v>C-IRE-SHAMROCKROVERS</v>
      </c>
      <c r="E578" s="16"/>
      <c r="F578" s="16"/>
      <c r="G578" s="1" t="b">
        <f>COUNTBLANK(Teams[[#This Row],[startDate]:[endDate]]) &lt; 2</f>
        <v>0</v>
      </c>
      <c r="H578" s="1" t="str">
        <f>IF(Teams[[#This Row],[relevant]], COUNTIFS(Fixtures[userTeam], Teams[[#This Row],[name]], Fixtures[APP], TRUE), "")</f>
        <v/>
      </c>
      <c r="I578" s="1" t="str">
        <f>IF(Teams[[#This Row],[relevant]], COUNTIFS(Fixtures[userTeam], Teams[[#This Row],[name]], Fixtures[result], "W", Fixtures[APP], TRUE), "")</f>
        <v/>
      </c>
      <c r="J578" s="1" t="str">
        <f>IF(Teams[[#This Row],[relevant]], COUNTIFS(Fixtures[userTeam], Teams[[#This Row],[name]], Fixtures[result], "D", Fixtures[APP], TRUE), "")</f>
        <v/>
      </c>
      <c r="K578" s="1" t="str">
        <f>IF(Teams[[#This Row],[relevant]], COUNTIFS(Fixtures[userTeam], Teams[[#This Row],[name]], Fixtures[result], "L", Fixtures[APP], TRUE), "")</f>
        <v/>
      </c>
      <c r="L578" s="1" t="str">
        <f>IF(Teams[[#This Row],[relevant]], SUMIFS(Fixtures[G], Fixtures[userTeam], Teams[[#This Row],[name]]), "")</f>
        <v/>
      </c>
      <c r="M578" s="1" t="str">
        <f>IF(Teams[[#This Row],[relevant]], SUMIFS(Fixtures[A], Fixtures[userTeam], Teams[[#This Row],[name]]), "")</f>
        <v/>
      </c>
      <c r="N578" s="1" t="str">
        <f>IF(Teams[[#This Row],[relevant]], SUMIFS(Fixtures[INV], Fixtures[userTeam], Teams[[#This Row],[name]]), "")</f>
        <v/>
      </c>
      <c r="O578" s="1" t="str">
        <f>IF(Teams[[#This Row],[relevant]], SUMIFS(Fixtures[YC], Fixtures[userTeam], Teams[[#This Row],[name]]), "")</f>
        <v/>
      </c>
      <c r="P578" s="1" t="str">
        <f>IF(Teams[[#This Row],[relevant]], SUMIFS(Fixtures[RC], Fixtures[userTeam], Teams[[#This Row],[name]]), "")</f>
        <v/>
      </c>
      <c r="Q578" s="13" t="str">
        <f>IF(Teams[[#This Row],[relevant]], IF(ISERROR(AVERAGEIFS(Fixtures[MR], Fixtures[userTeam], Teams[[#This Row],[name]])), 0, AVERAGEIFS(Fixtures[MR], Fixtures[userTeam], Teams[[#This Row],[name]])), "")</f>
        <v/>
      </c>
      <c r="R578" s="1" t="str">
        <f>IF(Teams[[#This Row],[relevant]], COUNTIFS(Fixtures[userTeam], Teams[[#This Row],[name]], Fixtures[MOTM], TRUE), "")</f>
        <v/>
      </c>
      <c r="S578" s="1" t="str" cm="1">
        <f t="array" ref="S578">IF(Teams[[#This Row],[relevant]], _xlfn.TEXTJOIN(", ", TRUE, _xlfn._xlws.FILTER(Stats[competition]&amp;" ("&amp;Stats[season]&amp;")",(Stats[team]=Teams[[#This Row],[name]])*(Stats[result]="Winner"),"")), "")</f>
        <v/>
      </c>
    </row>
    <row r="579" spans="1:19" ht="13" hidden="1">
      <c r="A579" s="1" t="s">
        <v>908</v>
      </c>
      <c r="B579" s="1" t="s">
        <v>493</v>
      </c>
      <c r="C579" s="1" t="s">
        <v>391</v>
      </c>
      <c r="D579" s="1" t="str">
        <f>UPPER(_xlfn.CONCAT(LEFT(Teams[[#This Row],[teamType]], 1), "-", LEFT(SUBSTITUTE(Teams[[#This Row],[nation]], "/", ""), 3), "-", SUBSTITUTE(SUBSTITUTE(SUBSTITUTE(Teams[[#This Row],[name]], ".", ""), " ", ""), "-", "")))</f>
        <v>C-CHI-SHANDONGTAISHAN</v>
      </c>
      <c r="E579" s="16"/>
      <c r="F579" s="16"/>
      <c r="G579" s="1" t="b">
        <f>COUNTBLANK(Teams[[#This Row],[startDate]:[endDate]]) &lt; 2</f>
        <v>0</v>
      </c>
      <c r="H579" s="1" t="str">
        <f>IF(Teams[[#This Row],[relevant]], COUNTIFS(Fixtures[userTeam], Teams[[#This Row],[name]], Fixtures[APP], TRUE), "")</f>
        <v/>
      </c>
      <c r="I579" s="1" t="str">
        <f>IF(Teams[[#This Row],[relevant]], COUNTIFS(Fixtures[userTeam], Teams[[#This Row],[name]], Fixtures[result], "W", Fixtures[APP], TRUE), "")</f>
        <v/>
      </c>
      <c r="J579" s="1" t="str">
        <f>IF(Teams[[#This Row],[relevant]], COUNTIFS(Fixtures[userTeam], Teams[[#This Row],[name]], Fixtures[result], "D", Fixtures[APP], TRUE), "")</f>
        <v/>
      </c>
      <c r="K579" s="1" t="str">
        <f>IF(Teams[[#This Row],[relevant]], COUNTIFS(Fixtures[userTeam], Teams[[#This Row],[name]], Fixtures[result], "L", Fixtures[APP], TRUE), "")</f>
        <v/>
      </c>
      <c r="L579" s="1" t="str">
        <f>IF(Teams[[#This Row],[relevant]], SUMIFS(Fixtures[G], Fixtures[userTeam], Teams[[#This Row],[name]]), "")</f>
        <v/>
      </c>
      <c r="M579" s="1" t="str">
        <f>IF(Teams[[#This Row],[relevant]], SUMIFS(Fixtures[A], Fixtures[userTeam], Teams[[#This Row],[name]]), "")</f>
        <v/>
      </c>
      <c r="N579" s="1" t="str">
        <f>IF(Teams[[#This Row],[relevant]], SUMIFS(Fixtures[INV], Fixtures[userTeam], Teams[[#This Row],[name]]), "")</f>
        <v/>
      </c>
      <c r="O579" s="1" t="str">
        <f>IF(Teams[[#This Row],[relevant]], SUMIFS(Fixtures[YC], Fixtures[userTeam], Teams[[#This Row],[name]]), "")</f>
        <v/>
      </c>
      <c r="P579" s="1" t="str">
        <f>IF(Teams[[#This Row],[relevant]], SUMIFS(Fixtures[RC], Fixtures[userTeam], Teams[[#This Row],[name]]), "")</f>
        <v/>
      </c>
      <c r="Q579" s="13" t="str">
        <f>IF(Teams[[#This Row],[relevant]], IF(ISERROR(AVERAGEIFS(Fixtures[MR], Fixtures[userTeam], Teams[[#This Row],[name]])), 0, AVERAGEIFS(Fixtures[MR], Fixtures[userTeam], Teams[[#This Row],[name]])), "")</f>
        <v/>
      </c>
      <c r="R579" s="1" t="str">
        <f>IF(Teams[[#This Row],[relevant]], COUNTIFS(Fixtures[userTeam], Teams[[#This Row],[name]], Fixtures[MOTM], TRUE), "")</f>
        <v/>
      </c>
      <c r="S579" s="1" t="str" cm="1">
        <f t="array" ref="S579">IF(Teams[[#This Row],[relevant]], _xlfn.TEXTJOIN(", ", TRUE, _xlfn._xlws.FILTER(Stats[competition]&amp;" ("&amp;Stats[season]&amp;")",(Stats[team]=Teams[[#This Row],[name]])*(Stats[result]="Winner"),"")), "")</f>
        <v/>
      </c>
    </row>
    <row r="580" spans="1:19" ht="13" hidden="1">
      <c r="A580" s="1" t="s">
        <v>909</v>
      </c>
      <c r="B580" s="1" t="s">
        <v>493</v>
      </c>
      <c r="C580" s="1" t="s">
        <v>391</v>
      </c>
      <c r="D580" s="1" t="str">
        <f>UPPER(_xlfn.CONCAT(LEFT(Teams[[#This Row],[teamType]], 1), "-", LEFT(SUBSTITUTE(Teams[[#This Row],[nation]], "/", ""), 3), "-", SUBSTITUTE(SUBSTITUTE(SUBSTITUTE(Teams[[#This Row],[name]], ".", ""), " ", ""), "-", "")))</f>
        <v>C-CHI-SHANGHAIPORT</v>
      </c>
      <c r="E580" s="16"/>
      <c r="F580" s="16"/>
      <c r="G580" s="1" t="b">
        <f>COUNTBLANK(Teams[[#This Row],[startDate]:[endDate]]) &lt; 2</f>
        <v>0</v>
      </c>
      <c r="H580" s="1" t="str">
        <f>IF(Teams[[#This Row],[relevant]], COUNTIFS(Fixtures[userTeam], Teams[[#This Row],[name]], Fixtures[APP], TRUE), "")</f>
        <v/>
      </c>
      <c r="I580" s="1" t="str">
        <f>IF(Teams[[#This Row],[relevant]], COUNTIFS(Fixtures[userTeam], Teams[[#This Row],[name]], Fixtures[result], "W", Fixtures[APP], TRUE), "")</f>
        <v/>
      </c>
      <c r="J580" s="1" t="str">
        <f>IF(Teams[[#This Row],[relevant]], COUNTIFS(Fixtures[userTeam], Teams[[#This Row],[name]], Fixtures[result], "D", Fixtures[APP], TRUE), "")</f>
        <v/>
      </c>
      <c r="K580" s="1" t="str">
        <f>IF(Teams[[#This Row],[relevant]], COUNTIFS(Fixtures[userTeam], Teams[[#This Row],[name]], Fixtures[result], "L", Fixtures[APP], TRUE), "")</f>
        <v/>
      </c>
      <c r="L580" s="1" t="str">
        <f>IF(Teams[[#This Row],[relevant]], SUMIFS(Fixtures[G], Fixtures[userTeam], Teams[[#This Row],[name]]), "")</f>
        <v/>
      </c>
      <c r="M580" s="1" t="str">
        <f>IF(Teams[[#This Row],[relevant]], SUMIFS(Fixtures[A], Fixtures[userTeam], Teams[[#This Row],[name]]), "")</f>
        <v/>
      </c>
      <c r="N580" s="1" t="str">
        <f>IF(Teams[[#This Row],[relevant]], SUMIFS(Fixtures[INV], Fixtures[userTeam], Teams[[#This Row],[name]]), "")</f>
        <v/>
      </c>
      <c r="O580" s="1" t="str">
        <f>IF(Teams[[#This Row],[relevant]], SUMIFS(Fixtures[YC], Fixtures[userTeam], Teams[[#This Row],[name]]), "")</f>
        <v/>
      </c>
      <c r="P580" s="1" t="str">
        <f>IF(Teams[[#This Row],[relevant]], SUMIFS(Fixtures[RC], Fixtures[userTeam], Teams[[#This Row],[name]]), "")</f>
        <v/>
      </c>
      <c r="Q580" s="13" t="str">
        <f>IF(Teams[[#This Row],[relevant]], IF(ISERROR(AVERAGEIFS(Fixtures[MR], Fixtures[userTeam], Teams[[#This Row],[name]])), 0, AVERAGEIFS(Fixtures[MR], Fixtures[userTeam], Teams[[#This Row],[name]])), "")</f>
        <v/>
      </c>
      <c r="R580" s="1" t="str">
        <f>IF(Teams[[#This Row],[relevant]], COUNTIFS(Fixtures[userTeam], Teams[[#This Row],[name]], Fixtures[MOTM], TRUE), "")</f>
        <v/>
      </c>
      <c r="S580" s="1" t="str" cm="1">
        <f t="array" ref="S580">IF(Teams[[#This Row],[relevant]], _xlfn.TEXTJOIN(", ", TRUE, _xlfn._xlws.FILTER(Stats[competition]&amp;" ("&amp;Stats[season]&amp;")",(Stats[team]=Teams[[#This Row],[name]])*(Stats[result]="Winner"),"")), "")</f>
        <v/>
      </c>
    </row>
    <row r="581" spans="1:19" ht="13" hidden="1">
      <c r="A581" s="1" t="s">
        <v>910</v>
      </c>
      <c r="B581" s="1" t="s">
        <v>493</v>
      </c>
      <c r="C581" s="1" t="s">
        <v>391</v>
      </c>
      <c r="D581" s="1" t="str">
        <f>UPPER(_xlfn.CONCAT(LEFT(Teams[[#This Row],[teamType]], 1), "-", LEFT(SUBSTITUTE(Teams[[#This Row],[nation]], "/", ""), 3), "-", SUBSTITUTE(SUBSTITUTE(SUBSTITUTE(Teams[[#This Row],[name]], ".", ""), " ", ""), "-", "")))</f>
        <v>C-CHI-SHANGHAISHENHUA</v>
      </c>
      <c r="E581" s="16"/>
      <c r="F581" s="16"/>
      <c r="G581" s="1" t="b">
        <f>COUNTBLANK(Teams[[#This Row],[startDate]:[endDate]]) &lt; 2</f>
        <v>0</v>
      </c>
      <c r="H581" s="1" t="str">
        <f>IF(Teams[[#This Row],[relevant]], COUNTIFS(Fixtures[userTeam], Teams[[#This Row],[name]], Fixtures[APP], TRUE), "")</f>
        <v/>
      </c>
      <c r="I581" s="1" t="str">
        <f>IF(Teams[[#This Row],[relevant]], COUNTIFS(Fixtures[userTeam], Teams[[#This Row],[name]], Fixtures[result], "W", Fixtures[APP], TRUE), "")</f>
        <v/>
      </c>
      <c r="J581" s="1" t="str">
        <f>IF(Teams[[#This Row],[relevant]], COUNTIFS(Fixtures[userTeam], Teams[[#This Row],[name]], Fixtures[result], "D", Fixtures[APP], TRUE), "")</f>
        <v/>
      </c>
      <c r="K581" s="1" t="str">
        <f>IF(Teams[[#This Row],[relevant]], COUNTIFS(Fixtures[userTeam], Teams[[#This Row],[name]], Fixtures[result], "L", Fixtures[APP], TRUE), "")</f>
        <v/>
      </c>
      <c r="L581" s="1" t="str">
        <f>IF(Teams[[#This Row],[relevant]], SUMIFS(Fixtures[G], Fixtures[userTeam], Teams[[#This Row],[name]]), "")</f>
        <v/>
      </c>
      <c r="M581" s="1" t="str">
        <f>IF(Teams[[#This Row],[relevant]], SUMIFS(Fixtures[A], Fixtures[userTeam], Teams[[#This Row],[name]]), "")</f>
        <v/>
      </c>
      <c r="N581" s="1" t="str">
        <f>IF(Teams[[#This Row],[relevant]], SUMIFS(Fixtures[INV], Fixtures[userTeam], Teams[[#This Row],[name]]), "")</f>
        <v/>
      </c>
      <c r="O581" s="1" t="str">
        <f>IF(Teams[[#This Row],[relevant]], SUMIFS(Fixtures[YC], Fixtures[userTeam], Teams[[#This Row],[name]]), "")</f>
        <v/>
      </c>
      <c r="P581" s="1" t="str">
        <f>IF(Teams[[#This Row],[relevant]], SUMIFS(Fixtures[RC], Fixtures[userTeam], Teams[[#This Row],[name]]), "")</f>
        <v/>
      </c>
      <c r="Q581" s="13" t="str">
        <f>IF(Teams[[#This Row],[relevant]], IF(ISERROR(AVERAGEIFS(Fixtures[MR], Fixtures[userTeam], Teams[[#This Row],[name]])), 0, AVERAGEIFS(Fixtures[MR], Fixtures[userTeam], Teams[[#This Row],[name]])), "")</f>
        <v/>
      </c>
      <c r="R581" s="1" t="str">
        <f>IF(Teams[[#This Row],[relevant]], COUNTIFS(Fixtures[userTeam], Teams[[#This Row],[name]], Fixtures[MOTM], TRUE), "")</f>
        <v/>
      </c>
      <c r="S581" s="1" t="str" cm="1">
        <f t="array" ref="S581">IF(Teams[[#This Row],[relevant]], _xlfn.TEXTJOIN(", ", TRUE, _xlfn._xlws.FILTER(Stats[competition]&amp;" ("&amp;Stats[season]&amp;")",(Stats[team]=Teams[[#This Row],[name]])*(Stats[result]="Winner"),"")), "")</f>
        <v/>
      </c>
    </row>
    <row r="582" spans="1:19" ht="13" hidden="1">
      <c r="A582" s="1" t="s">
        <v>189</v>
      </c>
      <c r="B582" s="1" t="s">
        <v>152</v>
      </c>
      <c r="C582" s="1" t="s">
        <v>391</v>
      </c>
      <c r="D582" s="1" t="str">
        <f>UPPER(_xlfn.CONCAT(LEFT(Teams[[#This Row],[teamType]], 1), "-", LEFT(SUBSTITUTE(Teams[[#This Row],[nation]], "/", ""), 3), "-", SUBSTITUTE(SUBSTITUTE(SUBSTITUTE(Teams[[#This Row],[name]], ".", ""), " ", ""), "-", "")))</f>
        <v>C-ENG-SHEFFIELDUTD</v>
      </c>
      <c r="E582" s="16"/>
      <c r="F582" s="16"/>
      <c r="G582" s="1" t="b">
        <f>COUNTBLANK(Teams[[#This Row],[startDate]:[endDate]]) &lt; 2</f>
        <v>0</v>
      </c>
      <c r="H582" s="1" t="str">
        <f>IF(Teams[[#This Row],[relevant]], COUNTIFS(Fixtures[userTeam], Teams[[#This Row],[name]], Fixtures[APP], TRUE), "")</f>
        <v/>
      </c>
      <c r="I582" s="1" t="str">
        <f>IF(Teams[[#This Row],[relevant]], COUNTIFS(Fixtures[userTeam], Teams[[#This Row],[name]], Fixtures[result], "W", Fixtures[APP], TRUE), "")</f>
        <v/>
      </c>
      <c r="J582" s="1" t="str">
        <f>IF(Teams[[#This Row],[relevant]], COUNTIFS(Fixtures[userTeam], Teams[[#This Row],[name]], Fixtures[result], "D", Fixtures[APP], TRUE), "")</f>
        <v/>
      </c>
      <c r="K582" s="1" t="str">
        <f>IF(Teams[[#This Row],[relevant]], COUNTIFS(Fixtures[userTeam], Teams[[#This Row],[name]], Fixtures[result], "L", Fixtures[APP], TRUE), "")</f>
        <v/>
      </c>
      <c r="L582" s="1" t="str">
        <f>IF(Teams[[#This Row],[relevant]], SUMIFS(Fixtures[G], Fixtures[userTeam], Teams[[#This Row],[name]]), "")</f>
        <v/>
      </c>
      <c r="M582" s="1" t="str">
        <f>IF(Teams[[#This Row],[relevant]], SUMIFS(Fixtures[A], Fixtures[userTeam], Teams[[#This Row],[name]]), "")</f>
        <v/>
      </c>
      <c r="N582" s="1" t="str">
        <f>IF(Teams[[#This Row],[relevant]], SUMIFS(Fixtures[INV], Fixtures[userTeam], Teams[[#This Row],[name]]), "")</f>
        <v/>
      </c>
      <c r="O582" s="1" t="str">
        <f>IF(Teams[[#This Row],[relevant]], SUMIFS(Fixtures[YC], Fixtures[userTeam], Teams[[#This Row],[name]]), "")</f>
        <v/>
      </c>
      <c r="P582" s="1" t="str">
        <f>IF(Teams[[#This Row],[relevant]], SUMIFS(Fixtures[RC], Fixtures[userTeam], Teams[[#This Row],[name]]), "")</f>
        <v/>
      </c>
      <c r="Q582" s="13" t="str">
        <f>IF(Teams[[#This Row],[relevant]], IF(ISERROR(AVERAGEIFS(Fixtures[MR], Fixtures[userTeam], Teams[[#This Row],[name]])), 0, AVERAGEIFS(Fixtures[MR], Fixtures[userTeam], Teams[[#This Row],[name]])), "")</f>
        <v/>
      </c>
      <c r="R582" s="1" t="str">
        <f>IF(Teams[[#This Row],[relevant]], COUNTIFS(Fixtures[userTeam], Teams[[#This Row],[name]], Fixtures[MOTM], TRUE), "")</f>
        <v/>
      </c>
      <c r="S582" s="1" t="str" cm="1">
        <f t="array" ref="S582">IF(Teams[[#This Row],[relevant]], _xlfn.TEXTJOIN(", ", TRUE, _xlfn._xlws.FILTER(Stats[competition]&amp;" ("&amp;Stats[season]&amp;")",(Stats[team]=Teams[[#This Row],[name]])*(Stats[result]="Winner"),"")), "")</f>
        <v/>
      </c>
    </row>
    <row r="583" spans="1:19" ht="13" hidden="1">
      <c r="A583" s="1" t="s">
        <v>911</v>
      </c>
      <c r="B583" s="1" t="s">
        <v>152</v>
      </c>
      <c r="C583" s="1" t="s">
        <v>391</v>
      </c>
      <c r="D583" s="1" t="str">
        <f>UPPER(_xlfn.CONCAT(LEFT(Teams[[#This Row],[teamType]], 1), "-", LEFT(SUBSTITUTE(Teams[[#This Row],[nation]], "/", ""), 3), "-", SUBSTITUTE(SUBSTITUTE(SUBSTITUTE(Teams[[#This Row],[name]], ".", ""), " ", ""), "-", "")))</f>
        <v>C-ENG-SHEFFIELDWED</v>
      </c>
      <c r="E583" s="16"/>
      <c r="F583" s="16"/>
      <c r="G583" s="1" t="b">
        <f>COUNTBLANK(Teams[[#This Row],[startDate]:[endDate]]) &lt; 2</f>
        <v>0</v>
      </c>
      <c r="H583" s="1" t="str">
        <f>IF(Teams[[#This Row],[relevant]], COUNTIFS(Fixtures[userTeam], Teams[[#This Row],[name]], Fixtures[APP], TRUE), "")</f>
        <v/>
      </c>
      <c r="I583" s="1" t="str">
        <f>IF(Teams[[#This Row],[relevant]], COUNTIFS(Fixtures[userTeam], Teams[[#This Row],[name]], Fixtures[result], "W", Fixtures[APP], TRUE), "")</f>
        <v/>
      </c>
      <c r="J583" s="1" t="str">
        <f>IF(Teams[[#This Row],[relevant]], COUNTIFS(Fixtures[userTeam], Teams[[#This Row],[name]], Fixtures[result], "D", Fixtures[APP], TRUE), "")</f>
        <v/>
      </c>
      <c r="K583" s="1" t="str">
        <f>IF(Teams[[#This Row],[relevant]], COUNTIFS(Fixtures[userTeam], Teams[[#This Row],[name]], Fixtures[result], "L", Fixtures[APP], TRUE), "")</f>
        <v/>
      </c>
      <c r="L583" s="1" t="str">
        <f>IF(Teams[[#This Row],[relevant]], SUMIFS(Fixtures[G], Fixtures[userTeam], Teams[[#This Row],[name]]), "")</f>
        <v/>
      </c>
      <c r="M583" s="1" t="str">
        <f>IF(Teams[[#This Row],[relevant]], SUMIFS(Fixtures[A], Fixtures[userTeam], Teams[[#This Row],[name]]), "")</f>
        <v/>
      </c>
      <c r="N583" s="1" t="str">
        <f>IF(Teams[[#This Row],[relevant]], SUMIFS(Fixtures[INV], Fixtures[userTeam], Teams[[#This Row],[name]]), "")</f>
        <v/>
      </c>
      <c r="O583" s="1" t="str">
        <f>IF(Teams[[#This Row],[relevant]], SUMIFS(Fixtures[YC], Fixtures[userTeam], Teams[[#This Row],[name]]), "")</f>
        <v/>
      </c>
      <c r="P583" s="1" t="str">
        <f>IF(Teams[[#This Row],[relevant]], SUMIFS(Fixtures[RC], Fixtures[userTeam], Teams[[#This Row],[name]]), "")</f>
        <v/>
      </c>
      <c r="Q583" s="13" t="str">
        <f>IF(Teams[[#This Row],[relevant]], IF(ISERROR(AVERAGEIFS(Fixtures[MR], Fixtures[userTeam], Teams[[#This Row],[name]])), 0, AVERAGEIFS(Fixtures[MR], Fixtures[userTeam], Teams[[#This Row],[name]])), "")</f>
        <v/>
      </c>
      <c r="R583" s="1" t="str">
        <f>IF(Teams[[#This Row],[relevant]], COUNTIFS(Fixtures[userTeam], Teams[[#This Row],[name]], Fixtures[MOTM], TRUE), "")</f>
        <v/>
      </c>
      <c r="S583" s="1" t="str" cm="1">
        <f t="array" ref="S583">IF(Teams[[#This Row],[relevant]], _xlfn.TEXTJOIN(", ", TRUE, _xlfn._xlws.FILTER(Stats[competition]&amp;" ("&amp;Stats[season]&amp;")",(Stats[team]=Teams[[#This Row],[name]])*(Stats[result]="Winner"),"")), "")</f>
        <v/>
      </c>
    </row>
    <row r="584" spans="1:19" ht="13" hidden="1">
      <c r="A584" s="1" t="s">
        <v>912</v>
      </c>
      <c r="B584" s="1" t="s">
        <v>270</v>
      </c>
      <c r="C584" s="1" t="s">
        <v>391</v>
      </c>
      <c r="D584" s="1" t="str">
        <f>UPPER(_xlfn.CONCAT(LEFT(Teams[[#This Row],[teamType]], 1), "-", LEFT(SUBSTITUTE(Teams[[#This Row],[nation]], "/", ""), 3), "-", SUBSTITUTE(SUBSTITUTE(SUBSTITUTE(Teams[[#This Row],[name]], ".", ""), " ", ""), "-", "")))</f>
        <v>C-IRE-SHELBOURNE</v>
      </c>
      <c r="E584" s="16"/>
      <c r="F584" s="16"/>
      <c r="G584" s="1" t="b">
        <f>COUNTBLANK(Teams[[#This Row],[startDate]:[endDate]]) &lt; 2</f>
        <v>0</v>
      </c>
      <c r="H584" s="1" t="str">
        <f>IF(Teams[[#This Row],[relevant]], COUNTIFS(Fixtures[userTeam], Teams[[#This Row],[name]], Fixtures[APP], TRUE), "")</f>
        <v/>
      </c>
      <c r="I584" s="1" t="str">
        <f>IF(Teams[[#This Row],[relevant]], COUNTIFS(Fixtures[userTeam], Teams[[#This Row],[name]], Fixtures[result], "W", Fixtures[APP], TRUE), "")</f>
        <v/>
      </c>
      <c r="J584" s="1" t="str">
        <f>IF(Teams[[#This Row],[relevant]], COUNTIFS(Fixtures[userTeam], Teams[[#This Row],[name]], Fixtures[result], "D", Fixtures[APP], TRUE), "")</f>
        <v/>
      </c>
      <c r="K584" s="1" t="str">
        <f>IF(Teams[[#This Row],[relevant]], COUNTIFS(Fixtures[userTeam], Teams[[#This Row],[name]], Fixtures[result], "L", Fixtures[APP], TRUE), "")</f>
        <v/>
      </c>
      <c r="L584" s="1" t="str">
        <f>IF(Teams[[#This Row],[relevant]], SUMIFS(Fixtures[G], Fixtures[userTeam], Teams[[#This Row],[name]]), "")</f>
        <v/>
      </c>
      <c r="M584" s="1" t="str">
        <f>IF(Teams[[#This Row],[relevant]], SUMIFS(Fixtures[A], Fixtures[userTeam], Teams[[#This Row],[name]]), "")</f>
        <v/>
      </c>
      <c r="N584" s="1" t="str">
        <f>IF(Teams[[#This Row],[relevant]], SUMIFS(Fixtures[INV], Fixtures[userTeam], Teams[[#This Row],[name]]), "")</f>
        <v/>
      </c>
      <c r="O584" s="1" t="str">
        <f>IF(Teams[[#This Row],[relevant]], SUMIFS(Fixtures[YC], Fixtures[userTeam], Teams[[#This Row],[name]]), "")</f>
        <v/>
      </c>
      <c r="P584" s="1" t="str">
        <f>IF(Teams[[#This Row],[relevant]], SUMIFS(Fixtures[RC], Fixtures[userTeam], Teams[[#This Row],[name]]), "")</f>
        <v/>
      </c>
      <c r="Q584" s="13" t="str">
        <f>IF(Teams[[#This Row],[relevant]], IF(ISERROR(AVERAGEIFS(Fixtures[MR], Fixtures[userTeam], Teams[[#This Row],[name]])), 0, AVERAGEIFS(Fixtures[MR], Fixtures[userTeam], Teams[[#This Row],[name]])), "")</f>
        <v/>
      </c>
      <c r="R584" s="1" t="str">
        <f>IF(Teams[[#This Row],[relevant]], COUNTIFS(Fixtures[userTeam], Teams[[#This Row],[name]], Fixtures[MOTM], TRUE), "")</f>
        <v/>
      </c>
      <c r="S584" s="1" t="str" cm="1">
        <f t="array" ref="S584">IF(Teams[[#This Row],[relevant]], _xlfn.TEXTJOIN(", ", TRUE, _xlfn._xlws.FILTER(Stats[competition]&amp;" ("&amp;Stats[season]&amp;")",(Stats[team]=Teams[[#This Row],[name]])*(Stats[result]="Winner"),"")), "")</f>
        <v/>
      </c>
    </row>
    <row r="585" spans="1:19" ht="13" hidden="1">
      <c r="A585" s="1" t="s">
        <v>913</v>
      </c>
      <c r="B585" s="1" t="s">
        <v>493</v>
      </c>
      <c r="C585" s="1" t="s">
        <v>391</v>
      </c>
      <c r="D585" s="1" t="str">
        <f>UPPER(_xlfn.CONCAT(LEFT(Teams[[#This Row],[teamType]], 1), "-", LEFT(SUBSTITUTE(Teams[[#This Row],[nation]], "/", ""), 3), "-", SUBSTITUTE(SUBSTITUTE(SUBSTITUTE(Teams[[#This Row],[name]], ".", ""), " ", ""), "-", "")))</f>
        <v>C-CHI-SHENZHENFC</v>
      </c>
      <c r="E585" s="16"/>
      <c r="F585" s="16"/>
      <c r="G585" s="1" t="b">
        <f>COUNTBLANK(Teams[[#This Row],[startDate]:[endDate]]) &lt; 2</f>
        <v>0</v>
      </c>
      <c r="H585" s="1" t="str">
        <f>IF(Teams[[#This Row],[relevant]], COUNTIFS(Fixtures[userTeam], Teams[[#This Row],[name]], Fixtures[APP], TRUE), "")</f>
        <v/>
      </c>
      <c r="I585" s="1" t="str">
        <f>IF(Teams[[#This Row],[relevant]], COUNTIFS(Fixtures[userTeam], Teams[[#This Row],[name]], Fixtures[result], "W", Fixtures[APP], TRUE), "")</f>
        <v/>
      </c>
      <c r="J585" s="1" t="str">
        <f>IF(Teams[[#This Row],[relevant]], COUNTIFS(Fixtures[userTeam], Teams[[#This Row],[name]], Fixtures[result], "D", Fixtures[APP], TRUE), "")</f>
        <v/>
      </c>
      <c r="K585" s="1" t="str">
        <f>IF(Teams[[#This Row],[relevant]], COUNTIFS(Fixtures[userTeam], Teams[[#This Row],[name]], Fixtures[result], "L", Fixtures[APP], TRUE), "")</f>
        <v/>
      </c>
      <c r="L585" s="1" t="str">
        <f>IF(Teams[[#This Row],[relevant]], SUMIFS(Fixtures[G], Fixtures[userTeam], Teams[[#This Row],[name]]), "")</f>
        <v/>
      </c>
      <c r="M585" s="1" t="str">
        <f>IF(Teams[[#This Row],[relevant]], SUMIFS(Fixtures[A], Fixtures[userTeam], Teams[[#This Row],[name]]), "")</f>
        <v/>
      </c>
      <c r="N585" s="1" t="str">
        <f>IF(Teams[[#This Row],[relevant]], SUMIFS(Fixtures[INV], Fixtures[userTeam], Teams[[#This Row],[name]]), "")</f>
        <v/>
      </c>
      <c r="O585" s="1" t="str">
        <f>IF(Teams[[#This Row],[relevant]], SUMIFS(Fixtures[YC], Fixtures[userTeam], Teams[[#This Row],[name]]), "")</f>
        <v/>
      </c>
      <c r="P585" s="1" t="str">
        <f>IF(Teams[[#This Row],[relevant]], SUMIFS(Fixtures[RC], Fixtures[userTeam], Teams[[#This Row],[name]]), "")</f>
        <v/>
      </c>
      <c r="Q585" s="13" t="str">
        <f>IF(Teams[[#This Row],[relevant]], IF(ISERROR(AVERAGEIFS(Fixtures[MR], Fixtures[userTeam], Teams[[#This Row],[name]])), 0, AVERAGEIFS(Fixtures[MR], Fixtures[userTeam], Teams[[#This Row],[name]])), "")</f>
        <v/>
      </c>
      <c r="R585" s="1" t="str">
        <f>IF(Teams[[#This Row],[relevant]], COUNTIFS(Fixtures[userTeam], Teams[[#This Row],[name]], Fixtures[MOTM], TRUE), "")</f>
        <v/>
      </c>
      <c r="S585" s="1" t="str" cm="1">
        <f t="array" ref="S585">IF(Teams[[#This Row],[relevant]], _xlfn.TEXTJOIN(", ", TRUE, _xlfn._xlws.FILTER(Stats[competition]&amp;" ("&amp;Stats[season]&amp;")",(Stats[team]=Teams[[#This Row],[name]])*(Stats[result]="Winner"),"")), "")</f>
        <v/>
      </c>
    </row>
    <row r="586" spans="1:19" ht="13" hidden="1">
      <c r="A586" s="1" t="s">
        <v>914</v>
      </c>
      <c r="B586" s="1" t="s">
        <v>152</v>
      </c>
      <c r="C586" s="1" t="s">
        <v>391</v>
      </c>
      <c r="D586" s="1" t="str">
        <f>UPPER(_xlfn.CONCAT(LEFT(Teams[[#This Row],[teamType]], 1), "-", LEFT(SUBSTITUTE(Teams[[#This Row],[nation]], "/", ""), 3), "-", SUBSTITUTE(SUBSTITUTE(SUBSTITUTE(Teams[[#This Row],[name]], ".", ""), " ", ""), "-", "")))</f>
        <v>C-ENG-SHREWSBURY</v>
      </c>
      <c r="E586" s="16"/>
      <c r="F586" s="16"/>
      <c r="G586" s="1" t="b">
        <f>COUNTBLANK(Teams[[#This Row],[startDate]:[endDate]]) &lt; 2</f>
        <v>0</v>
      </c>
      <c r="H586" s="1" t="str">
        <f>IF(Teams[[#This Row],[relevant]], COUNTIFS(Fixtures[userTeam], Teams[[#This Row],[name]], Fixtures[APP], TRUE), "")</f>
        <v/>
      </c>
      <c r="I586" s="1" t="str">
        <f>IF(Teams[[#This Row],[relevant]], COUNTIFS(Fixtures[userTeam], Teams[[#This Row],[name]], Fixtures[result], "W", Fixtures[APP], TRUE), "")</f>
        <v/>
      </c>
      <c r="J586" s="1" t="str">
        <f>IF(Teams[[#This Row],[relevant]], COUNTIFS(Fixtures[userTeam], Teams[[#This Row],[name]], Fixtures[result], "D", Fixtures[APP], TRUE), "")</f>
        <v/>
      </c>
      <c r="K586" s="1" t="str">
        <f>IF(Teams[[#This Row],[relevant]], COUNTIFS(Fixtures[userTeam], Teams[[#This Row],[name]], Fixtures[result], "L", Fixtures[APP], TRUE), "")</f>
        <v/>
      </c>
      <c r="L586" s="1" t="str">
        <f>IF(Teams[[#This Row],[relevant]], SUMIFS(Fixtures[G], Fixtures[userTeam], Teams[[#This Row],[name]]), "")</f>
        <v/>
      </c>
      <c r="M586" s="1" t="str">
        <f>IF(Teams[[#This Row],[relevant]], SUMIFS(Fixtures[A], Fixtures[userTeam], Teams[[#This Row],[name]]), "")</f>
        <v/>
      </c>
      <c r="N586" s="1" t="str">
        <f>IF(Teams[[#This Row],[relevant]], SUMIFS(Fixtures[INV], Fixtures[userTeam], Teams[[#This Row],[name]]), "")</f>
        <v/>
      </c>
      <c r="O586" s="1" t="str">
        <f>IF(Teams[[#This Row],[relevant]], SUMIFS(Fixtures[YC], Fixtures[userTeam], Teams[[#This Row],[name]]), "")</f>
        <v/>
      </c>
      <c r="P586" s="1" t="str">
        <f>IF(Teams[[#This Row],[relevant]], SUMIFS(Fixtures[RC], Fixtures[userTeam], Teams[[#This Row],[name]]), "")</f>
        <v/>
      </c>
      <c r="Q586" s="13" t="str">
        <f>IF(Teams[[#This Row],[relevant]], IF(ISERROR(AVERAGEIFS(Fixtures[MR], Fixtures[userTeam], Teams[[#This Row],[name]])), 0, AVERAGEIFS(Fixtures[MR], Fixtures[userTeam], Teams[[#This Row],[name]])), "")</f>
        <v/>
      </c>
      <c r="R586" s="1" t="str">
        <f>IF(Teams[[#This Row],[relevant]], COUNTIFS(Fixtures[userTeam], Teams[[#This Row],[name]], Fixtures[MOTM], TRUE), "")</f>
        <v/>
      </c>
      <c r="S586" s="1" t="str" cm="1">
        <f t="array" ref="S586">IF(Teams[[#This Row],[relevant]], _xlfn.TEXTJOIN(", ", TRUE, _xlfn._xlws.FILTER(Stats[competition]&amp;" ("&amp;Stats[season]&amp;")",(Stats[team]=Teams[[#This Row],[name]])*(Stats[result]="Winner"),"")), "")</f>
        <v/>
      </c>
    </row>
    <row r="587" spans="1:19" ht="13" hidden="1">
      <c r="A587" s="1" t="s">
        <v>915</v>
      </c>
      <c r="B587" s="1" t="s">
        <v>398</v>
      </c>
      <c r="C587" s="1" t="s">
        <v>391</v>
      </c>
      <c r="D587" s="1" t="str">
        <f>UPPER(_xlfn.CONCAT(LEFT(Teams[[#This Row],[teamType]], 1), "-", LEFT(SUBSTITUTE(Teams[[#This Row],[nation]], "/", ""), 3), "-", SUBSTITUTE(SUBSTITUTE(SUBSTITUTE(Teams[[#This Row],[name]], ".", ""), " ", ""), "-", "")))</f>
        <v>C-DEN-SILKEBORGIF</v>
      </c>
      <c r="E587" s="16"/>
      <c r="F587" s="16"/>
      <c r="G587" s="1" t="b">
        <f>COUNTBLANK(Teams[[#This Row],[startDate]:[endDate]]) &lt; 2</f>
        <v>0</v>
      </c>
      <c r="H587" s="1" t="str">
        <f>IF(Teams[[#This Row],[relevant]], COUNTIFS(Fixtures[userTeam], Teams[[#This Row],[name]], Fixtures[APP], TRUE), "")</f>
        <v/>
      </c>
      <c r="I587" s="1" t="str">
        <f>IF(Teams[[#This Row],[relevant]], COUNTIFS(Fixtures[userTeam], Teams[[#This Row],[name]], Fixtures[result], "W", Fixtures[APP], TRUE), "")</f>
        <v/>
      </c>
      <c r="J587" s="1" t="str">
        <f>IF(Teams[[#This Row],[relevant]], COUNTIFS(Fixtures[userTeam], Teams[[#This Row],[name]], Fixtures[result], "D", Fixtures[APP], TRUE), "")</f>
        <v/>
      </c>
      <c r="K587" s="1" t="str">
        <f>IF(Teams[[#This Row],[relevant]], COUNTIFS(Fixtures[userTeam], Teams[[#This Row],[name]], Fixtures[result], "L", Fixtures[APP], TRUE), "")</f>
        <v/>
      </c>
      <c r="L587" s="1" t="str">
        <f>IF(Teams[[#This Row],[relevant]], SUMIFS(Fixtures[G], Fixtures[userTeam], Teams[[#This Row],[name]]), "")</f>
        <v/>
      </c>
      <c r="M587" s="1" t="str">
        <f>IF(Teams[[#This Row],[relevant]], SUMIFS(Fixtures[A], Fixtures[userTeam], Teams[[#This Row],[name]]), "")</f>
        <v/>
      </c>
      <c r="N587" s="1" t="str">
        <f>IF(Teams[[#This Row],[relevant]], SUMIFS(Fixtures[INV], Fixtures[userTeam], Teams[[#This Row],[name]]), "")</f>
        <v/>
      </c>
      <c r="O587" s="1" t="str">
        <f>IF(Teams[[#This Row],[relevant]], SUMIFS(Fixtures[YC], Fixtures[userTeam], Teams[[#This Row],[name]]), "")</f>
        <v/>
      </c>
      <c r="P587" s="1" t="str">
        <f>IF(Teams[[#This Row],[relevant]], SUMIFS(Fixtures[RC], Fixtures[userTeam], Teams[[#This Row],[name]]), "")</f>
        <v/>
      </c>
      <c r="Q587" s="13" t="str">
        <f>IF(Teams[[#This Row],[relevant]], IF(ISERROR(AVERAGEIFS(Fixtures[MR], Fixtures[userTeam], Teams[[#This Row],[name]])), 0, AVERAGEIFS(Fixtures[MR], Fixtures[userTeam], Teams[[#This Row],[name]])), "")</f>
        <v/>
      </c>
      <c r="R587" s="1" t="str">
        <f>IF(Teams[[#This Row],[relevant]], COUNTIFS(Fixtures[userTeam], Teams[[#This Row],[name]], Fixtures[MOTM], TRUE), "")</f>
        <v/>
      </c>
      <c r="S587" s="1" t="str" cm="1">
        <f t="array" ref="S587">IF(Teams[[#This Row],[relevant]], _xlfn.TEXTJOIN(", ", TRUE, _xlfn._xlws.FILTER(Stats[competition]&amp;" ("&amp;Stats[season]&amp;")",(Stats[team]=Teams[[#This Row],[name]])*(Stats[result]="Winner"),"")), "")</f>
        <v/>
      </c>
    </row>
    <row r="588" spans="1:19" ht="13" hidden="1">
      <c r="A588" s="1" t="s">
        <v>916</v>
      </c>
      <c r="B588" s="1" t="s">
        <v>408</v>
      </c>
      <c r="C588" s="1" t="s">
        <v>391</v>
      </c>
      <c r="D588" s="1" t="str">
        <f>UPPER(_xlfn.CONCAT(LEFT(Teams[[#This Row],[teamType]], 1), "-", LEFT(SUBSTITUTE(Teams[[#This Row],[nation]], "/", ""), 3), "-", SUBSTITUTE(SUBSTITUTE(SUBSTITUTE(Teams[[#This Row],[name]], ".", ""), " ", ""), "-", "")))</f>
        <v>C-TUR-SIVASSPOR</v>
      </c>
      <c r="E588" s="16"/>
      <c r="F588" s="16"/>
      <c r="G588" s="1" t="b">
        <f>COUNTBLANK(Teams[[#This Row],[startDate]:[endDate]]) &lt; 2</f>
        <v>0</v>
      </c>
      <c r="H588" s="1" t="str">
        <f>IF(Teams[[#This Row],[relevant]], COUNTIFS(Fixtures[userTeam], Teams[[#This Row],[name]], Fixtures[APP], TRUE), "")</f>
        <v/>
      </c>
      <c r="I588" s="1" t="str">
        <f>IF(Teams[[#This Row],[relevant]], COUNTIFS(Fixtures[userTeam], Teams[[#This Row],[name]], Fixtures[result], "W", Fixtures[APP], TRUE), "")</f>
        <v/>
      </c>
      <c r="J588" s="1" t="str">
        <f>IF(Teams[[#This Row],[relevant]], COUNTIFS(Fixtures[userTeam], Teams[[#This Row],[name]], Fixtures[result], "D", Fixtures[APP], TRUE), "")</f>
        <v/>
      </c>
      <c r="K588" s="1" t="str">
        <f>IF(Teams[[#This Row],[relevant]], COUNTIFS(Fixtures[userTeam], Teams[[#This Row],[name]], Fixtures[result], "L", Fixtures[APP], TRUE), "")</f>
        <v/>
      </c>
      <c r="L588" s="1" t="str">
        <f>IF(Teams[[#This Row],[relevant]], SUMIFS(Fixtures[G], Fixtures[userTeam], Teams[[#This Row],[name]]), "")</f>
        <v/>
      </c>
      <c r="M588" s="1" t="str">
        <f>IF(Teams[[#This Row],[relevant]], SUMIFS(Fixtures[A], Fixtures[userTeam], Teams[[#This Row],[name]]), "")</f>
        <v/>
      </c>
      <c r="N588" s="1" t="str">
        <f>IF(Teams[[#This Row],[relevant]], SUMIFS(Fixtures[INV], Fixtures[userTeam], Teams[[#This Row],[name]]), "")</f>
        <v/>
      </c>
      <c r="O588" s="1" t="str">
        <f>IF(Teams[[#This Row],[relevant]], SUMIFS(Fixtures[YC], Fixtures[userTeam], Teams[[#This Row],[name]]), "")</f>
        <v/>
      </c>
      <c r="P588" s="1" t="str">
        <f>IF(Teams[[#This Row],[relevant]], SUMIFS(Fixtures[RC], Fixtures[userTeam], Teams[[#This Row],[name]]), "")</f>
        <v/>
      </c>
      <c r="Q588" s="13" t="str">
        <f>IF(Teams[[#This Row],[relevant]], IF(ISERROR(AVERAGEIFS(Fixtures[MR], Fixtures[userTeam], Teams[[#This Row],[name]])), 0, AVERAGEIFS(Fixtures[MR], Fixtures[userTeam], Teams[[#This Row],[name]])), "")</f>
        <v/>
      </c>
      <c r="R588" s="1" t="str">
        <f>IF(Teams[[#This Row],[relevant]], COUNTIFS(Fixtures[userTeam], Teams[[#This Row],[name]], Fixtures[MOTM], TRUE), "")</f>
        <v/>
      </c>
      <c r="S588" s="1" t="str" cm="1">
        <f t="array" ref="S588">IF(Teams[[#This Row],[relevant]], _xlfn.TEXTJOIN(", ", TRUE, _xlfn._xlws.FILTER(Stats[competition]&amp;" ("&amp;Stats[season]&amp;")",(Stats[team]=Teams[[#This Row],[name]])*(Stats[result]="Winner"),"")), "")</f>
        <v/>
      </c>
    </row>
    <row r="589" spans="1:19" ht="13" hidden="1">
      <c r="A589" s="1" t="s">
        <v>917</v>
      </c>
      <c r="B589" s="1" t="s">
        <v>16</v>
      </c>
      <c r="C589" s="1" t="s">
        <v>391</v>
      </c>
      <c r="D589" s="1" t="str">
        <f>UPPER(_xlfn.CONCAT(LEFT(Teams[[#This Row],[teamType]], 1), "-", LEFT(SUBSTITUTE(Teams[[#This Row],[nation]], "/", ""), 3), "-", SUBSTITUTE(SUBSTITUTE(SUBSTITUTE(Teams[[#This Row],[name]], ".", ""), " ", ""), "-", "")))</f>
        <v>C-UNI-SJEARTHQUAKES</v>
      </c>
      <c r="E589" s="16"/>
      <c r="F589" s="16"/>
      <c r="G589" s="1" t="b">
        <f>COUNTBLANK(Teams[[#This Row],[startDate]:[endDate]]) &lt; 2</f>
        <v>0</v>
      </c>
      <c r="H589" s="1" t="str">
        <f>IF(Teams[[#This Row],[relevant]], COUNTIFS(Fixtures[userTeam], Teams[[#This Row],[name]], Fixtures[APP], TRUE), "")</f>
        <v/>
      </c>
      <c r="I589" s="1" t="str">
        <f>IF(Teams[[#This Row],[relevant]], COUNTIFS(Fixtures[userTeam], Teams[[#This Row],[name]], Fixtures[result], "W", Fixtures[APP], TRUE), "")</f>
        <v/>
      </c>
      <c r="J589" s="1" t="str">
        <f>IF(Teams[[#This Row],[relevant]], COUNTIFS(Fixtures[userTeam], Teams[[#This Row],[name]], Fixtures[result], "D", Fixtures[APP], TRUE), "")</f>
        <v/>
      </c>
      <c r="K589" s="1" t="str">
        <f>IF(Teams[[#This Row],[relevant]], COUNTIFS(Fixtures[userTeam], Teams[[#This Row],[name]], Fixtures[result], "L", Fixtures[APP], TRUE), "")</f>
        <v/>
      </c>
      <c r="L589" s="1" t="str">
        <f>IF(Teams[[#This Row],[relevant]], SUMIFS(Fixtures[G], Fixtures[userTeam], Teams[[#This Row],[name]]), "")</f>
        <v/>
      </c>
      <c r="M589" s="1" t="str">
        <f>IF(Teams[[#This Row],[relevant]], SUMIFS(Fixtures[A], Fixtures[userTeam], Teams[[#This Row],[name]]), "")</f>
        <v/>
      </c>
      <c r="N589" s="1" t="str">
        <f>IF(Teams[[#This Row],[relevant]], SUMIFS(Fixtures[INV], Fixtures[userTeam], Teams[[#This Row],[name]]), "")</f>
        <v/>
      </c>
      <c r="O589" s="1" t="str">
        <f>IF(Teams[[#This Row],[relevant]], SUMIFS(Fixtures[YC], Fixtures[userTeam], Teams[[#This Row],[name]]), "")</f>
        <v/>
      </c>
      <c r="P589" s="1" t="str">
        <f>IF(Teams[[#This Row],[relevant]], SUMIFS(Fixtures[RC], Fixtures[userTeam], Teams[[#This Row],[name]]), "")</f>
        <v/>
      </c>
      <c r="Q589" s="13" t="str">
        <f>IF(Teams[[#This Row],[relevant]], IF(ISERROR(AVERAGEIFS(Fixtures[MR], Fixtures[userTeam], Teams[[#This Row],[name]])), 0, AVERAGEIFS(Fixtures[MR], Fixtures[userTeam], Teams[[#This Row],[name]])), "")</f>
        <v/>
      </c>
      <c r="R589" s="1" t="str">
        <f>IF(Teams[[#This Row],[relevant]], COUNTIFS(Fixtures[userTeam], Teams[[#This Row],[name]], Fixtures[MOTM], TRUE), "")</f>
        <v/>
      </c>
      <c r="S589" s="1" t="str" cm="1">
        <f t="array" ref="S589">IF(Teams[[#This Row],[relevant]], _xlfn.TEXTJOIN(", ", TRUE, _xlfn._xlws.FILTER(Stats[competition]&amp;" ("&amp;Stats[season]&amp;")",(Stats[team]=Teams[[#This Row],[name]])*(Stats[result]="Winner"),"")), "")</f>
        <v/>
      </c>
    </row>
    <row r="590" spans="1:19" ht="13" hidden="1">
      <c r="A590" s="1" t="s">
        <v>918</v>
      </c>
      <c r="B590" s="1" t="s">
        <v>414</v>
      </c>
      <c r="C590" s="1" t="s">
        <v>391</v>
      </c>
      <c r="D590" s="1" t="str">
        <f>UPPER(_xlfn.CONCAT(LEFT(Teams[[#This Row],[teamType]], 1), "-", LEFT(SUBSTITUTE(Teams[[#This Row],[nation]], "/", ""), 3), "-", SUBSTITUTE(SUBSTITUTE(SUBSTITUTE(Teams[[#This Row],[name]], ".", ""), " ", ""), "-", "")))</f>
        <v>C-AUS-SKRAPIDWIEN</v>
      </c>
      <c r="E590" s="16"/>
      <c r="F590" s="16"/>
      <c r="G590" s="1" t="b">
        <f>COUNTBLANK(Teams[[#This Row],[startDate]:[endDate]]) &lt; 2</f>
        <v>0</v>
      </c>
      <c r="H590" s="1" t="str">
        <f>IF(Teams[[#This Row],[relevant]], COUNTIFS(Fixtures[userTeam], Teams[[#This Row],[name]], Fixtures[APP], TRUE), "")</f>
        <v/>
      </c>
      <c r="I590" s="1" t="str">
        <f>IF(Teams[[#This Row],[relevant]], COUNTIFS(Fixtures[userTeam], Teams[[#This Row],[name]], Fixtures[result], "W", Fixtures[APP], TRUE), "")</f>
        <v/>
      </c>
      <c r="J590" s="1" t="str">
        <f>IF(Teams[[#This Row],[relevant]], COUNTIFS(Fixtures[userTeam], Teams[[#This Row],[name]], Fixtures[result], "D", Fixtures[APP], TRUE), "")</f>
        <v/>
      </c>
      <c r="K590" s="1" t="str">
        <f>IF(Teams[[#This Row],[relevant]], COUNTIFS(Fixtures[userTeam], Teams[[#This Row],[name]], Fixtures[result], "L", Fixtures[APP], TRUE), "")</f>
        <v/>
      </c>
      <c r="L590" s="1" t="str">
        <f>IF(Teams[[#This Row],[relevant]], SUMIFS(Fixtures[G], Fixtures[userTeam], Teams[[#This Row],[name]]), "")</f>
        <v/>
      </c>
      <c r="M590" s="1" t="str">
        <f>IF(Teams[[#This Row],[relevant]], SUMIFS(Fixtures[A], Fixtures[userTeam], Teams[[#This Row],[name]]), "")</f>
        <v/>
      </c>
      <c r="N590" s="1" t="str">
        <f>IF(Teams[[#This Row],[relevant]], SUMIFS(Fixtures[INV], Fixtures[userTeam], Teams[[#This Row],[name]]), "")</f>
        <v/>
      </c>
      <c r="O590" s="1" t="str">
        <f>IF(Teams[[#This Row],[relevant]], SUMIFS(Fixtures[YC], Fixtures[userTeam], Teams[[#This Row],[name]]), "")</f>
        <v/>
      </c>
      <c r="P590" s="1" t="str">
        <f>IF(Teams[[#This Row],[relevant]], SUMIFS(Fixtures[RC], Fixtures[userTeam], Teams[[#This Row],[name]]), "")</f>
        <v/>
      </c>
      <c r="Q590" s="13" t="str">
        <f>IF(Teams[[#This Row],[relevant]], IF(ISERROR(AVERAGEIFS(Fixtures[MR], Fixtures[userTeam], Teams[[#This Row],[name]])), 0, AVERAGEIFS(Fixtures[MR], Fixtures[userTeam], Teams[[#This Row],[name]])), "")</f>
        <v/>
      </c>
      <c r="R590" s="1" t="str">
        <f>IF(Teams[[#This Row],[relevant]], COUNTIFS(Fixtures[userTeam], Teams[[#This Row],[name]], Fixtures[MOTM], TRUE), "")</f>
        <v/>
      </c>
      <c r="S590" s="1" t="str" cm="1">
        <f t="array" ref="S590">IF(Teams[[#This Row],[relevant]], _xlfn.TEXTJOIN(", ", TRUE, _xlfn._xlws.FILTER(Stats[competition]&amp;" ("&amp;Stats[season]&amp;")",(Stats[team]=Teams[[#This Row],[name]])*(Stats[result]="Winner"),"")), "")</f>
        <v/>
      </c>
    </row>
    <row r="591" spans="1:19" ht="13" hidden="1">
      <c r="A591" s="1" t="s">
        <v>919</v>
      </c>
      <c r="B591" s="1" t="s">
        <v>414</v>
      </c>
      <c r="C591" s="1" t="s">
        <v>391</v>
      </c>
      <c r="D591" s="1" t="str">
        <f>UPPER(_xlfn.CONCAT(LEFT(Teams[[#This Row],[teamType]], 1), "-", LEFT(SUBSTITUTE(Teams[[#This Row],[nation]], "/", ""), 3), "-", SUBSTITUTE(SUBSTITUTE(SUBSTITUTE(Teams[[#This Row],[name]], ".", ""), " ", ""), "-", "")))</f>
        <v>C-AUS-SKSTURMGRAZ</v>
      </c>
      <c r="E591" s="16"/>
      <c r="F591" s="16"/>
      <c r="G591" s="1" t="b">
        <f>COUNTBLANK(Teams[[#This Row],[startDate]:[endDate]]) &lt; 2</f>
        <v>0</v>
      </c>
      <c r="H591" s="1" t="str">
        <f>IF(Teams[[#This Row],[relevant]], COUNTIFS(Fixtures[userTeam], Teams[[#This Row],[name]], Fixtures[APP], TRUE), "")</f>
        <v/>
      </c>
      <c r="I591" s="1" t="str">
        <f>IF(Teams[[#This Row],[relevant]], COUNTIFS(Fixtures[userTeam], Teams[[#This Row],[name]], Fixtures[result], "W", Fixtures[APP], TRUE), "")</f>
        <v/>
      </c>
      <c r="J591" s="1" t="str">
        <f>IF(Teams[[#This Row],[relevant]], COUNTIFS(Fixtures[userTeam], Teams[[#This Row],[name]], Fixtures[result], "D", Fixtures[APP], TRUE), "")</f>
        <v/>
      </c>
      <c r="K591" s="1" t="str">
        <f>IF(Teams[[#This Row],[relevant]], COUNTIFS(Fixtures[userTeam], Teams[[#This Row],[name]], Fixtures[result], "L", Fixtures[APP], TRUE), "")</f>
        <v/>
      </c>
      <c r="L591" s="1" t="str">
        <f>IF(Teams[[#This Row],[relevant]], SUMIFS(Fixtures[G], Fixtures[userTeam], Teams[[#This Row],[name]]), "")</f>
        <v/>
      </c>
      <c r="M591" s="1" t="str">
        <f>IF(Teams[[#This Row],[relevant]], SUMIFS(Fixtures[A], Fixtures[userTeam], Teams[[#This Row],[name]]), "")</f>
        <v/>
      </c>
      <c r="N591" s="1" t="str">
        <f>IF(Teams[[#This Row],[relevant]], SUMIFS(Fixtures[INV], Fixtures[userTeam], Teams[[#This Row],[name]]), "")</f>
        <v/>
      </c>
      <c r="O591" s="1" t="str">
        <f>IF(Teams[[#This Row],[relevant]], SUMIFS(Fixtures[YC], Fixtures[userTeam], Teams[[#This Row],[name]]), "")</f>
        <v/>
      </c>
      <c r="P591" s="1" t="str">
        <f>IF(Teams[[#This Row],[relevant]], SUMIFS(Fixtures[RC], Fixtures[userTeam], Teams[[#This Row],[name]]), "")</f>
        <v/>
      </c>
      <c r="Q591" s="13" t="str">
        <f>IF(Teams[[#This Row],[relevant]], IF(ISERROR(AVERAGEIFS(Fixtures[MR], Fixtures[userTeam], Teams[[#This Row],[name]])), 0, AVERAGEIFS(Fixtures[MR], Fixtures[userTeam], Teams[[#This Row],[name]])), "")</f>
        <v/>
      </c>
      <c r="R591" s="1" t="str">
        <f>IF(Teams[[#This Row],[relevant]], COUNTIFS(Fixtures[userTeam], Teams[[#This Row],[name]], Fixtures[MOTM], TRUE), "")</f>
        <v/>
      </c>
      <c r="S591" s="1" t="str" cm="1">
        <f t="array" ref="S591">IF(Teams[[#This Row],[relevant]], _xlfn.TEXTJOIN(", ", TRUE, _xlfn._xlws.FILTER(Stats[competition]&amp;" ("&amp;Stats[season]&amp;")",(Stats[team]=Teams[[#This Row],[name]])*(Stats[result]="Winner"),"")), "")</f>
        <v/>
      </c>
    </row>
    <row r="592" spans="1:19" ht="13" hidden="1">
      <c r="A592" s="1" t="s">
        <v>920</v>
      </c>
      <c r="B592" s="1" t="s">
        <v>463</v>
      </c>
      <c r="C592" s="1" t="s">
        <v>391</v>
      </c>
      <c r="D592" s="1" t="str">
        <f>UPPER(_xlfn.CONCAT(LEFT(Teams[[#This Row],[teamType]], 1), "-", LEFT(SUBSTITUTE(Teams[[#This Row],[nation]], "/", ""), 3), "-", SUBSTITUTE(SUBSTITUTE(SUBSTITUTE(Teams[[#This Row],[name]], ".", ""), " ", ""), "-", "")))</f>
        <v>C-POR-SLBENFICA</v>
      </c>
      <c r="E592" s="16"/>
      <c r="F592" s="16"/>
      <c r="G592" s="1" t="b">
        <f>COUNTBLANK(Teams[[#This Row],[startDate]:[endDate]]) &lt; 2</f>
        <v>0</v>
      </c>
      <c r="H592" s="1" t="str">
        <f>IF(Teams[[#This Row],[relevant]], COUNTIFS(Fixtures[userTeam], Teams[[#This Row],[name]], Fixtures[APP], TRUE), "")</f>
        <v/>
      </c>
      <c r="I592" s="1" t="str">
        <f>IF(Teams[[#This Row],[relevant]], COUNTIFS(Fixtures[userTeam], Teams[[#This Row],[name]], Fixtures[result], "W", Fixtures[APP], TRUE), "")</f>
        <v/>
      </c>
      <c r="J592" s="1" t="str">
        <f>IF(Teams[[#This Row],[relevant]], COUNTIFS(Fixtures[userTeam], Teams[[#This Row],[name]], Fixtures[result], "D", Fixtures[APP], TRUE), "")</f>
        <v/>
      </c>
      <c r="K592" s="1" t="str">
        <f>IF(Teams[[#This Row],[relevant]], COUNTIFS(Fixtures[userTeam], Teams[[#This Row],[name]], Fixtures[result], "L", Fixtures[APP], TRUE), "")</f>
        <v/>
      </c>
      <c r="L592" s="1" t="str">
        <f>IF(Teams[[#This Row],[relevant]], SUMIFS(Fixtures[G], Fixtures[userTeam], Teams[[#This Row],[name]]), "")</f>
        <v/>
      </c>
      <c r="M592" s="1" t="str">
        <f>IF(Teams[[#This Row],[relevant]], SUMIFS(Fixtures[A], Fixtures[userTeam], Teams[[#This Row],[name]]), "")</f>
        <v/>
      </c>
      <c r="N592" s="1" t="str">
        <f>IF(Teams[[#This Row],[relevant]], SUMIFS(Fixtures[INV], Fixtures[userTeam], Teams[[#This Row],[name]]), "")</f>
        <v/>
      </c>
      <c r="O592" s="1" t="str">
        <f>IF(Teams[[#This Row],[relevant]], SUMIFS(Fixtures[YC], Fixtures[userTeam], Teams[[#This Row],[name]]), "")</f>
        <v/>
      </c>
      <c r="P592" s="1" t="str">
        <f>IF(Teams[[#This Row],[relevant]], SUMIFS(Fixtures[RC], Fixtures[userTeam], Teams[[#This Row],[name]]), "")</f>
        <v/>
      </c>
      <c r="Q592" s="13" t="str">
        <f>IF(Teams[[#This Row],[relevant]], IF(ISERROR(AVERAGEIFS(Fixtures[MR], Fixtures[userTeam], Teams[[#This Row],[name]])), 0, AVERAGEIFS(Fixtures[MR], Fixtures[userTeam], Teams[[#This Row],[name]])), "")</f>
        <v/>
      </c>
      <c r="R592" s="1" t="str">
        <f>IF(Teams[[#This Row],[relevant]], COUNTIFS(Fixtures[userTeam], Teams[[#This Row],[name]], Fixtures[MOTM], TRUE), "")</f>
        <v/>
      </c>
      <c r="S592" s="1" t="str" cm="1">
        <f t="array" ref="S592">IF(Teams[[#This Row],[relevant]], _xlfn.TEXTJOIN(", ", TRUE, _xlfn._xlws.FILTER(Stats[competition]&amp;" ("&amp;Stats[season]&amp;")",(Stats[team]=Teams[[#This Row],[name]])*(Stats[result]="Winner"),"")), "")</f>
        <v/>
      </c>
    </row>
    <row r="593" spans="1:19" ht="13" hidden="1">
      <c r="A593" s="1" t="s">
        <v>921</v>
      </c>
      <c r="B593" s="1" t="s">
        <v>213</v>
      </c>
      <c r="C593" s="1" t="s">
        <v>391</v>
      </c>
      <c r="D593" s="1" t="str">
        <f>UPPER(_xlfn.CONCAT(LEFT(Teams[[#This Row],[teamType]], 1), "-", LEFT(SUBSTITUTE(Teams[[#This Row],[nation]], "/", ""), 3), "-", SUBSTITUTE(SUBSTITUTE(SUBSTITUTE(Teams[[#This Row],[name]], ".", ""), " ", ""), "-", "")))</f>
        <v>C-POL-ŚLĄSKWROCŁAW</v>
      </c>
      <c r="E593" s="16"/>
      <c r="F593" s="16"/>
      <c r="G593" s="1" t="b">
        <f>COUNTBLANK(Teams[[#This Row],[startDate]:[endDate]]) &lt; 2</f>
        <v>0</v>
      </c>
      <c r="H593" s="1" t="str">
        <f>IF(Teams[[#This Row],[relevant]], COUNTIFS(Fixtures[userTeam], Teams[[#This Row],[name]], Fixtures[APP], TRUE), "")</f>
        <v/>
      </c>
      <c r="I593" s="1" t="str">
        <f>IF(Teams[[#This Row],[relevant]], COUNTIFS(Fixtures[userTeam], Teams[[#This Row],[name]], Fixtures[result], "W", Fixtures[APP], TRUE), "")</f>
        <v/>
      </c>
      <c r="J593" s="1" t="str">
        <f>IF(Teams[[#This Row],[relevant]], COUNTIFS(Fixtures[userTeam], Teams[[#This Row],[name]], Fixtures[result], "D", Fixtures[APP], TRUE), "")</f>
        <v/>
      </c>
      <c r="K593" s="1" t="str">
        <f>IF(Teams[[#This Row],[relevant]], COUNTIFS(Fixtures[userTeam], Teams[[#This Row],[name]], Fixtures[result], "L", Fixtures[APP], TRUE), "")</f>
        <v/>
      </c>
      <c r="L593" s="1" t="str">
        <f>IF(Teams[[#This Row],[relevant]], SUMIFS(Fixtures[G], Fixtures[userTeam], Teams[[#This Row],[name]]), "")</f>
        <v/>
      </c>
      <c r="M593" s="1" t="str">
        <f>IF(Teams[[#This Row],[relevant]], SUMIFS(Fixtures[A], Fixtures[userTeam], Teams[[#This Row],[name]]), "")</f>
        <v/>
      </c>
      <c r="N593" s="1" t="str">
        <f>IF(Teams[[#This Row],[relevant]], SUMIFS(Fixtures[INV], Fixtures[userTeam], Teams[[#This Row],[name]]), "")</f>
        <v/>
      </c>
      <c r="O593" s="1" t="str">
        <f>IF(Teams[[#This Row],[relevant]], SUMIFS(Fixtures[YC], Fixtures[userTeam], Teams[[#This Row],[name]]), "")</f>
        <v/>
      </c>
      <c r="P593" s="1" t="str">
        <f>IF(Teams[[#This Row],[relevant]], SUMIFS(Fixtures[RC], Fixtures[userTeam], Teams[[#This Row],[name]]), "")</f>
        <v/>
      </c>
      <c r="Q593" s="13" t="str">
        <f>IF(Teams[[#This Row],[relevant]], IF(ISERROR(AVERAGEIFS(Fixtures[MR], Fixtures[userTeam], Teams[[#This Row],[name]])), 0, AVERAGEIFS(Fixtures[MR], Fixtures[userTeam], Teams[[#This Row],[name]])), "")</f>
        <v/>
      </c>
      <c r="R593" s="1" t="str">
        <f>IF(Teams[[#This Row],[relevant]], COUNTIFS(Fixtures[userTeam], Teams[[#This Row],[name]], Fixtures[MOTM], TRUE), "")</f>
        <v/>
      </c>
      <c r="S593" s="1" t="str" cm="1">
        <f t="array" ref="S593">IF(Teams[[#This Row],[relevant]], _xlfn.TEXTJOIN(", ", TRUE, _xlfn._xlws.FILTER(Stats[competition]&amp;" ("&amp;Stats[season]&amp;")",(Stats[team]=Teams[[#This Row],[name]])*(Stats[result]="Winner"),"")), "")</f>
        <v/>
      </c>
    </row>
    <row r="594" spans="1:19" ht="13" hidden="1">
      <c r="A594" s="1" t="s">
        <v>922</v>
      </c>
      <c r="B594" s="1" t="s">
        <v>164</v>
      </c>
      <c r="C594" s="1" t="s">
        <v>391</v>
      </c>
      <c r="D594" s="1" t="str">
        <f>UPPER(_xlfn.CONCAT(LEFT(Teams[[#This Row],[teamType]], 1), "-", LEFT(SUBSTITUTE(Teams[[#This Row],[nation]], "/", ""), 3), "-", SUBSTITUTE(SUBSTITUTE(SUBSTITUTE(Teams[[#This Row],[name]], ".", ""), " ", ""), "-", "")))</f>
        <v>C-CZE-SLAVIAPRAHA</v>
      </c>
      <c r="E594" s="16"/>
      <c r="F594" s="16"/>
      <c r="G594" s="1" t="b">
        <f>COUNTBLANK(Teams[[#This Row],[startDate]:[endDate]]) &lt; 2</f>
        <v>0</v>
      </c>
      <c r="H594" s="1" t="str">
        <f>IF(Teams[[#This Row],[relevant]], COUNTIFS(Fixtures[userTeam], Teams[[#This Row],[name]], Fixtures[APP], TRUE), "")</f>
        <v/>
      </c>
      <c r="I594" s="1" t="str">
        <f>IF(Teams[[#This Row],[relevant]], COUNTIFS(Fixtures[userTeam], Teams[[#This Row],[name]], Fixtures[result], "W", Fixtures[APP], TRUE), "")</f>
        <v/>
      </c>
      <c r="J594" s="1" t="str">
        <f>IF(Teams[[#This Row],[relevant]], COUNTIFS(Fixtures[userTeam], Teams[[#This Row],[name]], Fixtures[result], "D", Fixtures[APP], TRUE), "")</f>
        <v/>
      </c>
      <c r="K594" s="1" t="str">
        <f>IF(Teams[[#This Row],[relevant]], COUNTIFS(Fixtures[userTeam], Teams[[#This Row],[name]], Fixtures[result], "L", Fixtures[APP], TRUE), "")</f>
        <v/>
      </c>
      <c r="L594" s="1" t="str">
        <f>IF(Teams[[#This Row],[relevant]], SUMIFS(Fixtures[G], Fixtures[userTeam], Teams[[#This Row],[name]]), "")</f>
        <v/>
      </c>
      <c r="M594" s="1" t="str">
        <f>IF(Teams[[#This Row],[relevant]], SUMIFS(Fixtures[A], Fixtures[userTeam], Teams[[#This Row],[name]]), "")</f>
        <v/>
      </c>
      <c r="N594" s="1" t="str">
        <f>IF(Teams[[#This Row],[relevant]], SUMIFS(Fixtures[INV], Fixtures[userTeam], Teams[[#This Row],[name]]), "")</f>
        <v/>
      </c>
      <c r="O594" s="1" t="str">
        <f>IF(Teams[[#This Row],[relevant]], SUMIFS(Fixtures[YC], Fixtures[userTeam], Teams[[#This Row],[name]]), "")</f>
        <v/>
      </c>
      <c r="P594" s="1" t="str">
        <f>IF(Teams[[#This Row],[relevant]], SUMIFS(Fixtures[RC], Fixtures[userTeam], Teams[[#This Row],[name]]), "")</f>
        <v/>
      </c>
      <c r="Q594" s="13" t="str">
        <f>IF(Teams[[#This Row],[relevant]], IF(ISERROR(AVERAGEIFS(Fixtures[MR], Fixtures[userTeam], Teams[[#This Row],[name]])), 0, AVERAGEIFS(Fixtures[MR], Fixtures[userTeam], Teams[[#This Row],[name]])), "")</f>
        <v/>
      </c>
      <c r="R594" s="1" t="str">
        <f>IF(Teams[[#This Row],[relevant]], COUNTIFS(Fixtures[userTeam], Teams[[#This Row],[name]], Fixtures[MOTM], TRUE), "")</f>
        <v/>
      </c>
      <c r="S594" s="1" t="str" cm="1">
        <f t="array" ref="S594">IF(Teams[[#This Row],[relevant]], _xlfn.TEXTJOIN(", ", TRUE, _xlfn._xlws.FILTER(Stats[competition]&amp;" ("&amp;Stats[season]&amp;")",(Stats[team]=Teams[[#This Row],[name]])*(Stats[result]="Winner"),"")), "")</f>
        <v/>
      </c>
    </row>
    <row r="595" spans="1:19" ht="13" hidden="1">
      <c r="A595" s="1" t="s">
        <v>923</v>
      </c>
      <c r="B595" s="1" t="s">
        <v>270</v>
      </c>
      <c r="C595" s="1" t="s">
        <v>391</v>
      </c>
      <c r="D595" s="1" t="str">
        <f>UPPER(_xlfn.CONCAT(LEFT(Teams[[#This Row],[teamType]], 1), "-", LEFT(SUBSTITUTE(Teams[[#This Row],[nation]], "/", ""), 3), "-", SUBSTITUTE(SUBSTITUTE(SUBSTITUTE(Teams[[#This Row],[name]], ".", ""), " ", ""), "-", "")))</f>
        <v>C-IRE-SLIGOROVERS</v>
      </c>
      <c r="E595" s="16"/>
      <c r="F595" s="16"/>
      <c r="G595" s="1" t="b">
        <f>COUNTBLANK(Teams[[#This Row],[startDate]:[endDate]]) &lt; 2</f>
        <v>0</v>
      </c>
      <c r="H595" s="1" t="str">
        <f>IF(Teams[[#This Row],[relevant]], COUNTIFS(Fixtures[userTeam], Teams[[#This Row],[name]], Fixtures[APP], TRUE), "")</f>
        <v/>
      </c>
      <c r="I595" s="1" t="str">
        <f>IF(Teams[[#This Row],[relevant]], COUNTIFS(Fixtures[userTeam], Teams[[#This Row],[name]], Fixtures[result], "W", Fixtures[APP], TRUE), "")</f>
        <v/>
      </c>
      <c r="J595" s="1" t="str">
        <f>IF(Teams[[#This Row],[relevant]], COUNTIFS(Fixtures[userTeam], Teams[[#This Row],[name]], Fixtures[result], "D", Fixtures[APP], TRUE), "")</f>
        <v/>
      </c>
      <c r="K595" s="1" t="str">
        <f>IF(Teams[[#This Row],[relevant]], COUNTIFS(Fixtures[userTeam], Teams[[#This Row],[name]], Fixtures[result], "L", Fixtures[APP], TRUE), "")</f>
        <v/>
      </c>
      <c r="L595" s="1" t="str">
        <f>IF(Teams[[#This Row],[relevant]], SUMIFS(Fixtures[G], Fixtures[userTeam], Teams[[#This Row],[name]]), "")</f>
        <v/>
      </c>
      <c r="M595" s="1" t="str">
        <f>IF(Teams[[#This Row],[relevant]], SUMIFS(Fixtures[A], Fixtures[userTeam], Teams[[#This Row],[name]]), "")</f>
        <v/>
      </c>
      <c r="N595" s="1" t="str">
        <f>IF(Teams[[#This Row],[relevant]], SUMIFS(Fixtures[INV], Fixtures[userTeam], Teams[[#This Row],[name]]), "")</f>
        <v/>
      </c>
      <c r="O595" s="1" t="str">
        <f>IF(Teams[[#This Row],[relevant]], SUMIFS(Fixtures[YC], Fixtures[userTeam], Teams[[#This Row],[name]]), "")</f>
        <v/>
      </c>
      <c r="P595" s="1" t="str">
        <f>IF(Teams[[#This Row],[relevant]], SUMIFS(Fixtures[RC], Fixtures[userTeam], Teams[[#This Row],[name]]), "")</f>
        <v/>
      </c>
      <c r="Q595" s="13" t="str">
        <f>IF(Teams[[#This Row],[relevant]], IF(ISERROR(AVERAGEIFS(Fixtures[MR], Fixtures[userTeam], Teams[[#This Row],[name]])), 0, AVERAGEIFS(Fixtures[MR], Fixtures[userTeam], Teams[[#This Row],[name]])), "")</f>
        <v/>
      </c>
      <c r="R595" s="1" t="str">
        <f>IF(Teams[[#This Row],[relevant]], COUNTIFS(Fixtures[userTeam], Teams[[#This Row],[name]], Fixtures[MOTM], TRUE), "")</f>
        <v/>
      </c>
      <c r="S595" s="1" t="str" cm="1">
        <f t="array" ref="S595">IF(Teams[[#This Row],[relevant]], _xlfn.TEXTJOIN(", ", TRUE, _xlfn._xlws.FILTER(Stats[competition]&amp;" ("&amp;Stats[season]&amp;")",(Stats[team]=Teams[[#This Row],[name]])*(Stats[result]="Winner"),"")), "")</f>
        <v/>
      </c>
    </row>
    <row r="596" spans="1:19" ht="13" hidden="1">
      <c r="A596" s="1" t="s">
        <v>924</v>
      </c>
      <c r="B596" s="1" t="s">
        <v>339</v>
      </c>
      <c r="C596" s="1" t="s">
        <v>391</v>
      </c>
      <c r="D596" s="1" t="str">
        <f>UPPER(_xlfn.CONCAT(LEFT(Teams[[#This Row],[teamType]], 1), "-", LEFT(SUBSTITUTE(Teams[[#This Row],[nation]], "/", ""), 3), "-", SUBSTITUTE(SUBSTITUTE(SUBSTITUTE(Teams[[#This Row],[name]], ".", ""), " ", ""), "-", "")))</f>
        <v>C-FRA-SMCAEN</v>
      </c>
      <c r="E596" s="16"/>
      <c r="F596" s="16"/>
      <c r="G596" s="1" t="b">
        <f>COUNTBLANK(Teams[[#This Row],[startDate]:[endDate]]) &lt; 2</f>
        <v>0</v>
      </c>
      <c r="H596" s="1" t="str">
        <f>IF(Teams[[#This Row],[relevant]], COUNTIFS(Fixtures[userTeam], Teams[[#This Row],[name]], Fixtures[APP], TRUE), "")</f>
        <v/>
      </c>
      <c r="I596" s="1" t="str">
        <f>IF(Teams[[#This Row],[relevant]], COUNTIFS(Fixtures[userTeam], Teams[[#This Row],[name]], Fixtures[result], "W", Fixtures[APP], TRUE), "")</f>
        <v/>
      </c>
      <c r="J596" s="1" t="str">
        <f>IF(Teams[[#This Row],[relevant]], COUNTIFS(Fixtures[userTeam], Teams[[#This Row],[name]], Fixtures[result], "D", Fixtures[APP], TRUE), "")</f>
        <v/>
      </c>
      <c r="K596" s="1" t="str">
        <f>IF(Teams[[#This Row],[relevant]], COUNTIFS(Fixtures[userTeam], Teams[[#This Row],[name]], Fixtures[result], "L", Fixtures[APP], TRUE), "")</f>
        <v/>
      </c>
      <c r="L596" s="1" t="str">
        <f>IF(Teams[[#This Row],[relevant]], SUMIFS(Fixtures[G], Fixtures[userTeam], Teams[[#This Row],[name]]), "")</f>
        <v/>
      </c>
      <c r="M596" s="1" t="str">
        <f>IF(Teams[[#This Row],[relevant]], SUMIFS(Fixtures[A], Fixtures[userTeam], Teams[[#This Row],[name]]), "")</f>
        <v/>
      </c>
      <c r="N596" s="1" t="str">
        <f>IF(Teams[[#This Row],[relevant]], SUMIFS(Fixtures[INV], Fixtures[userTeam], Teams[[#This Row],[name]]), "")</f>
        <v/>
      </c>
      <c r="O596" s="1" t="str">
        <f>IF(Teams[[#This Row],[relevant]], SUMIFS(Fixtures[YC], Fixtures[userTeam], Teams[[#This Row],[name]]), "")</f>
        <v/>
      </c>
      <c r="P596" s="1" t="str">
        <f>IF(Teams[[#This Row],[relevant]], SUMIFS(Fixtures[RC], Fixtures[userTeam], Teams[[#This Row],[name]]), "")</f>
        <v/>
      </c>
      <c r="Q596" s="13" t="str">
        <f>IF(Teams[[#This Row],[relevant]], IF(ISERROR(AVERAGEIFS(Fixtures[MR], Fixtures[userTeam], Teams[[#This Row],[name]])), 0, AVERAGEIFS(Fixtures[MR], Fixtures[userTeam], Teams[[#This Row],[name]])), "")</f>
        <v/>
      </c>
      <c r="R596" s="1" t="str">
        <f>IF(Teams[[#This Row],[relevant]], COUNTIFS(Fixtures[userTeam], Teams[[#This Row],[name]], Fixtures[MOTM], TRUE), "")</f>
        <v/>
      </c>
      <c r="S596" s="1" t="str" cm="1">
        <f t="array" ref="S596">IF(Teams[[#This Row],[relevant]], _xlfn.TEXTJOIN(", ", TRUE, _xlfn._xlws.FILTER(Stats[competition]&amp;" ("&amp;Stats[season]&amp;")",(Stats[team]=Teams[[#This Row],[name]])*(Stats[result]="Winner"),"")), "")</f>
        <v/>
      </c>
    </row>
    <row r="597" spans="1:19" ht="13" hidden="1">
      <c r="A597" s="1" t="s">
        <v>925</v>
      </c>
      <c r="B597" s="1" t="s">
        <v>152</v>
      </c>
      <c r="C597" s="1" t="s">
        <v>412</v>
      </c>
      <c r="D597" s="1" t="str">
        <f>UPPER(_xlfn.CONCAT(LEFT(Teams[[#This Row],[teamType]], 1), "-", LEFT(SUBSTITUTE(Teams[[#This Row],[nation]], "/", ""), 3), "-", SUBSTITUTE(SUBSTITUTE(SUBSTITUTE(Teams[[#This Row],[name]], ".", ""), " ", ""), "-", "")))</f>
        <v>S-ENG-SOCCERAID</v>
      </c>
      <c r="E597" s="16"/>
      <c r="F597" s="16"/>
      <c r="G597" s="1" t="b">
        <f>COUNTBLANK(Teams[[#This Row],[startDate]:[endDate]]) &lt; 2</f>
        <v>0</v>
      </c>
      <c r="H597" s="1" t="str">
        <f>IF(Teams[[#This Row],[relevant]], COUNTIFS(Fixtures[userTeam], Teams[[#This Row],[name]], Fixtures[APP], TRUE), "")</f>
        <v/>
      </c>
      <c r="I597" s="1" t="str">
        <f>IF(Teams[[#This Row],[relevant]], COUNTIFS(Fixtures[userTeam], Teams[[#This Row],[name]], Fixtures[result], "W", Fixtures[APP], TRUE), "")</f>
        <v/>
      </c>
      <c r="J597" s="1" t="str">
        <f>IF(Teams[[#This Row],[relevant]], COUNTIFS(Fixtures[userTeam], Teams[[#This Row],[name]], Fixtures[result], "D", Fixtures[APP], TRUE), "")</f>
        <v/>
      </c>
      <c r="K597" s="1" t="str">
        <f>IF(Teams[[#This Row],[relevant]], COUNTIFS(Fixtures[userTeam], Teams[[#This Row],[name]], Fixtures[result], "L", Fixtures[APP], TRUE), "")</f>
        <v/>
      </c>
      <c r="L597" s="1" t="str">
        <f>IF(Teams[[#This Row],[relevant]], SUMIFS(Fixtures[G], Fixtures[userTeam], Teams[[#This Row],[name]]), "")</f>
        <v/>
      </c>
      <c r="M597" s="1" t="str">
        <f>IF(Teams[[#This Row],[relevant]], SUMIFS(Fixtures[A], Fixtures[userTeam], Teams[[#This Row],[name]]), "")</f>
        <v/>
      </c>
      <c r="N597" s="1" t="str">
        <f>IF(Teams[[#This Row],[relevant]], SUMIFS(Fixtures[INV], Fixtures[userTeam], Teams[[#This Row],[name]]), "")</f>
        <v/>
      </c>
      <c r="O597" s="1" t="str">
        <f>IF(Teams[[#This Row],[relevant]], SUMIFS(Fixtures[YC], Fixtures[userTeam], Teams[[#This Row],[name]]), "")</f>
        <v/>
      </c>
      <c r="P597" s="1" t="str">
        <f>IF(Teams[[#This Row],[relevant]], SUMIFS(Fixtures[RC], Fixtures[userTeam], Teams[[#This Row],[name]]), "")</f>
        <v/>
      </c>
      <c r="Q597" s="13" t="str">
        <f>IF(Teams[[#This Row],[relevant]], IF(ISERROR(AVERAGEIFS(Fixtures[MR], Fixtures[userTeam], Teams[[#This Row],[name]])), 0, AVERAGEIFS(Fixtures[MR], Fixtures[userTeam], Teams[[#This Row],[name]])), "")</f>
        <v/>
      </c>
      <c r="R597" s="1" t="str">
        <f>IF(Teams[[#This Row],[relevant]], COUNTIFS(Fixtures[userTeam], Teams[[#This Row],[name]], Fixtures[MOTM], TRUE), "")</f>
        <v/>
      </c>
      <c r="S597" s="1" t="str" cm="1">
        <f t="array" ref="S597">IF(Teams[[#This Row],[relevant]], _xlfn.TEXTJOIN(", ", TRUE, _xlfn._xlws.FILTER(Stats[competition]&amp;" ("&amp;Stats[season]&amp;")",(Stats[team]=Teams[[#This Row],[name]])*(Stats[result]="Winner"),"")), "")</f>
        <v/>
      </c>
    </row>
    <row r="598" spans="1:19" ht="13" hidden="1">
      <c r="A598" s="1" t="s">
        <v>926</v>
      </c>
      <c r="B598" s="1" t="s">
        <v>536</v>
      </c>
      <c r="C598" s="1" t="s">
        <v>391</v>
      </c>
      <c r="D598" s="1" t="str">
        <f>UPPER(_xlfn.CONCAT(LEFT(Teams[[#This Row],[teamType]], 1), "-", LEFT(SUBSTITUTE(Teams[[#This Row],[nation]], "/", ""), 3), "-", SUBSTITUTE(SUBSTITUTE(SUBSTITUTE(Teams[[#This Row],[name]], ".", ""), " ", ""), "-", "")))</f>
        <v>C-PAR-SOLDEAMÉRICA</v>
      </c>
      <c r="E598" s="16"/>
      <c r="F598" s="16"/>
      <c r="G598" s="1" t="b">
        <f>COUNTBLANK(Teams[[#This Row],[startDate]:[endDate]]) &lt; 2</f>
        <v>0</v>
      </c>
      <c r="H598" s="1" t="str">
        <f>IF(Teams[[#This Row],[relevant]], COUNTIFS(Fixtures[userTeam], Teams[[#This Row],[name]], Fixtures[APP], TRUE), "")</f>
        <v/>
      </c>
      <c r="I598" s="1" t="str">
        <f>IF(Teams[[#This Row],[relevant]], COUNTIFS(Fixtures[userTeam], Teams[[#This Row],[name]], Fixtures[result], "W", Fixtures[APP], TRUE), "")</f>
        <v/>
      </c>
      <c r="J598" s="1" t="str">
        <f>IF(Teams[[#This Row],[relevant]], COUNTIFS(Fixtures[userTeam], Teams[[#This Row],[name]], Fixtures[result], "D", Fixtures[APP], TRUE), "")</f>
        <v/>
      </c>
      <c r="K598" s="1" t="str">
        <f>IF(Teams[[#This Row],[relevant]], COUNTIFS(Fixtures[userTeam], Teams[[#This Row],[name]], Fixtures[result], "L", Fixtures[APP], TRUE), "")</f>
        <v/>
      </c>
      <c r="L598" s="1" t="str">
        <f>IF(Teams[[#This Row],[relevant]], SUMIFS(Fixtures[G], Fixtures[userTeam], Teams[[#This Row],[name]]), "")</f>
        <v/>
      </c>
      <c r="M598" s="1" t="str">
        <f>IF(Teams[[#This Row],[relevant]], SUMIFS(Fixtures[A], Fixtures[userTeam], Teams[[#This Row],[name]]), "")</f>
        <v/>
      </c>
      <c r="N598" s="1" t="str">
        <f>IF(Teams[[#This Row],[relevant]], SUMIFS(Fixtures[INV], Fixtures[userTeam], Teams[[#This Row],[name]]), "")</f>
        <v/>
      </c>
      <c r="O598" s="1" t="str">
        <f>IF(Teams[[#This Row],[relevant]], SUMIFS(Fixtures[YC], Fixtures[userTeam], Teams[[#This Row],[name]]), "")</f>
        <v/>
      </c>
      <c r="P598" s="1" t="str">
        <f>IF(Teams[[#This Row],[relevant]], SUMIFS(Fixtures[RC], Fixtures[userTeam], Teams[[#This Row],[name]]), "")</f>
        <v/>
      </c>
      <c r="Q598" s="13" t="str">
        <f>IF(Teams[[#This Row],[relevant]], IF(ISERROR(AVERAGEIFS(Fixtures[MR], Fixtures[userTeam], Teams[[#This Row],[name]])), 0, AVERAGEIFS(Fixtures[MR], Fixtures[userTeam], Teams[[#This Row],[name]])), "")</f>
        <v/>
      </c>
      <c r="R598" s="1" t="str">
        <f>IF(Teams[[#This Row],[relevant]], COUNTIFS(Fixtures[userTeam], Teams[[#This Row],[name]], Fixtures[MOTM], TRUE), "")</f>
        <v/>
      </c>
      <c r="S598" s="1" t="str" cm="1">
        <f t="array" ref="S598">IF(Teams[[#This Row],[relevant]], _xlfn.TEXTJOIN(", ", TRUE, _xlfn._xlws.FILTER(Stats[competition]&amp;" ("&amp;Stats[season]&amp;")",(Stats[team]=Teams[[#This Row],[name]])*(Stats[result]="Winner"),"")), "")</f>
        <v/>
      </c>
    </row>
    <row r="599" spans="1:19" ht="13" hidden="1">
      <c r="A599" s="1" t="s">
        <v>927</v>
      </c>
      <c r="B599" s="1" t="s">
        <v>16</v>
      </c>
      <c r="C599" s="1" t="s">
        <v>391</v>
      </c>
      <c r="D599" s="1" t="str">
        <f>UPPER(_xlfn.CONCAT(LEFT(Teams[[#This Row],[teamType]], 1), "-", LEFT(SUBSTITUTE(Teams[[#This Row],[nation]], "/", ""), 3), "-", SUBSTITUTE(SUBSTITUTE(SUBSTITUTE(Teams[[#This Row],[name]], ".", ""), " ", ""), "-", "")))</f>
        <v>C-UNI-SOUNDERSFC</v>
      </c>
      <c r="E599" s="16"/>
      <c r="F599" s="16"/>
      <c r="G599" s="1" t="b">
        <f>COUNTBLANK(Teams[[#This Row],[startDate]:[endDate]]) &lt; 2</f>
        <v>0</v>
      </c>
      <c r="H599" s="1" t="str">
        <f>IF(Teams[[#This Row],[relevant]], COUNTIFS(Fixtures[userTeam], Teams[[#This Row],[name]], Fixtures[APP], TRUE), "")</f>
        <v/>
      </c>
      <c r="I599" s="1" t="str">
        <f>IF(Teams[[#This Row],[relevant]], COUNTIFS(Fixtures[userTeam], Teams[[#This Row],[name]], Fixtures[result], "W", Fixtures[APP], TRUE), "")</f>
        <v/>
      </c>
      <c r="J599" s="1" t="str">
        <f>IF(Teams[[#This Row],[relevant]], COUNTIFS(Fixtures[userTeam], Teams[[#This Row],[name]], Fixtures[result], "D", Fixtures[APP], TRUE), "")</f>
        <v/>
      </c>
      <c r="K599" s="1" t="str">
        <f>IF(Teams[[#This Row],[relevant]], COUNTIFS(Fixtures[userTeam], Teams[[#This Row],[name]], Fixtures[result], "L", Fixtures[APP], TRUE), "")</f>
        <v/>
      </c>
      <c r="L599" s="1" t="str">
        <f>IF(Teams[[#This Row],[relevant]], SUMIFS(Fixtures[G], Fixtures[userTeam], Teams[[#This Row],[name]]), "")</f>
        <v/>
      </c>
      <c r="M599" s="1" t="str">
        <f>IF(Teams[[#This Row],[relevant]], SUMIFS(Fixtures[A], Fixtures[userTeam], Teams[[#This Row],[name]]), "")</f>
        <v/>
      </c>
      <c r="N599" s="1" t="str">
        <f>IF(Teams[[#This Row],[relevant]], SUMIFS(Fixtures[INV], Fixtures[userTeam], Teams[[#This Row],[name]]), "")</f>
        <v/>
      </c>
      <c r="O599" s="1" t="str">
        <f>IF(Teams[[#This Row],[relevant]], SUMIFS(Fixtures[YC], Fixtures[userTeam], Teams[[#This Row],[name]]), "")</f>
        <v/>
      </c>
      <c r="P599" s="1" t="str">
        <f>IF(Teams[[#This Row],[relevant]], SUMIFS(Fixtures[RC], Fixtures[userTeam], Teams[[#This Row],[name]]), "")</f>
        <v/>
      </c>
      <c r="Q599" s="13" t="str">
        <f>IF(Teams[[#This Row],[relevant]], IF(ISERROR(AVERAGEIFS(Fixtures[MR], Fixtures[userTeam], Teams[[#This Row],[name]])), 0, AVERAGEIFS(Fixtures[MR], Fixtures[userTeam], Teams[[#This Row],[name]])), "")</f>
        <v/>
      </c>
      <c r="R599" s="1" t="str">
        <f>IF(Teams[[#This Row],[relevant]], COUNTIFS(Fixtures[userTeam], Teams[[#This Row],[name]], Fixtures[MOTM], TRUE), "")</f>
        <v/>
      </c>
      <c r="S599" s="1" t="str" cm="1">
        <f t="array" ref="S599">IF(Teams[[#This Row],[relevant]], _xlfn.TEXTJOIN(", ", TRUE, _xlfn._xlws.FILTER(Stats[competition]&amp;" ("&amp;Stats[season]&amp;")",(Stats[team]=Teams[[#This Row],[name]])*(Stats[result]="Winner"),"")), "")</f>
        <v/>
      </c>
    </row>
    <row r="600" spans="1:19" ht="13" hidden="1">
      <c r="A600" s="1" t="s">
        <v>229</v>
      </c>
      <c r="B600" s="1" t="s">
        <v>152</v>
      </c>
      <c r="C600" s="1" t="s">
        <v>391</v>
      </c>
      <c r="D600" s="1" t="str">
        <f>UPPER(_xlfn.CONCAT(LEFT(Teams[[#This Row],[teamType]], 1), "-", LEFT(SUBSTITUTE(Teams[[#This Row],[nation]], "/", ""), 3), "-", SUBSTITUTE(SUBSTITUTE(SUBSTITUTE(Teams[[#This Row],[name]], ".", ""), " ", ""), "-", "")))</f>
        <v>C-ENG-SOUTHAMPTON</v>
      </c>
      <c r="E600" s="16"/>
      <c r="F600" s="16"/>
      <c r="G600" s="1" t="b">
        <f>COUNTBLANK(Teams[[#This Row],[startDate]:[endDate]]) &lt; 2</f>
        <v>0</v>
      </c>
      <c r="H600" s="1" t="str">
        <f>IF(Teams[[#This Row],[relevant]], COUNTIFS(Fixtures[userTeam], Teams[[#This Row],[name]], Fixtures[APP], TRUE), "")</f>
        <v/>
      </c>
      <c r="I600" s="1" t="str">
        <f>IF(Teams[[#This Row],[relevant]], COUNTIFS(Fixtures[userTeam], Teams[[#This Row],[name]], Fixtures[result], "W", Fixtures[APP], TRUE), "")</f>
        <v/>
      </c>
      <c r="J600" s="1" t="str">
        <f>IF(Teams[[#This Row],[relevant]], COUNTIFS(Fixtures[userTeam], Teams[[#This Row],[name]], Fixtures[result], "D", Fixtures[APP], TRUE), "")</f>
        <v/>
      </c>
      <c r="K600" s="1" t="str">
        <f>IF(Teams[[#This Row],[relevant]], COUNTIFS(Fixtures[userTeam], Teams[[#This Row],[name]], Fixtures[result], "L", Fixtures[APP], TRUE), "")</f>
        <v/>
      </c>
      <c r="L600" s="1" t="str">
        <f>IF(Teams[[#This Row],[relevant]], SUMIFS(Fixtures[G], Fixtures[userTeam], Teams[[#This Row],[name]]), "")</f>
        <v/>
      </c>
      <c r="M600" s="1" t="str">
        <f>IF(Teams[[#This Row],[relevant]], SUMIFS(Fixtures[A], Fixtures[userTeam], Teams[[#This Row],[name]]), "")</f>
        <v/>
      </c>
      <c r="N600" s="1" t="str">
        <f>IF(Teams[[#This Row],[relevant]], SUMIFS(Fixtures[INV], Fixtures[userTeam], Teams[[#This Row],[name]]), "")</f>
        <v/>
      </c>
      <c r="O600" s="1" t="str">
        <f>IF(Teams[[#This Row],[relevant]], SUMIFS(Fixtures[YC], Fixtures[userTeam], Teams[[#This Row],[name]]), "")</f>
        <v/>
      </c>
      <c r="P600" s="1" t="str">
        <f>IF(Teams[[#This Row],[relevant]], SUMIFS(Fixtures[RC], Fixtures[userTeam], Teams[[#This Row],[name]]), "")</f>
        <v/>
      </c>
      <c r="Q600" s="13" t="str">
        <f>IF(Teams[[#This Row],[relevant]], IF(ISERROR(AVERAGEIFS(Fixtures[MR], Fixtures[userTeam], Teams[[#This Row],[name]])), 0, AVERAGEIFS(Fixtures[MR], Fixtures[userTeam], Teams[[#This Row],[name]])), "")</f>
        <v/>
      </c>
      <c r="R600" s="1" t="str">
        <f>IF(Teams[[#This Row],[relevant]], COUNTIFS(Fixtures[userTeam], Teams[[#This Row],[name]], Fixtures[MOTM], TRUE), "")</f>
        <v/>
      </c>
      <c r="S600" s="1" t="str" cm="1">
        <f t="array" ref="S600">IF(Teams[[#This Row],[relevant]], _xlfn.TEXTJOIN(", ", TRUE, _xlfn._xlws.FILTER(Stats[competition]&amp;" ("&amp;Stats[season]&amp;")",(Stats[team]=Teams[[#This Row],[name]])*(Stats[result]="Winner"),"")), "")</f>
        <v/>
      </c>
    </row>
    <row r="601" spans="1:19" ht="13" hidden="1">
      <c r="A601" s="1" t="s">
        <v>149</v>
      </c>
      <c r="B601" s="1" t="s">
        <v>144</v>
      </c>
      <c r="C601" s="1" t="s">
        <v>391</v>
      </c>
      <c r="D601" s="1" t="str">
        <f>UPPER(_xlfn.CONCAT(LEFT(Teams[[#This Row],[teamType]], 1), "-", LEFT(SUBSTITUTE(Teams[[#This Row],[nation]], "/", ""), 3), "-", SUBSTITUTE(SUBSTITUTE(SUBSTITUTE(Teams[[#This Row],[name]], ".", ""), " ", ""), "-", "")))</f>
        <v>C-BEL-SPCHARLEROI</v>
      </c>
      <c r="E601" s="16"/>
      <c r="F601" s="16"/>
      <c r="G601" s="1" t="b">
        <f>COUNTBLANK(Teams[[#This Row],[startDate]:[endDate]]) &lt; 2</f>
        <v>0</v>
      </c>
      <c r="H601" s="1" t="str">
        <f>IF(Teams[[#This Row],[relevant]], COUNTIFS(Fixtures[userTeam], Teams[[#This Row],[name]], Fixtures[APP], TRUE), "")</f>
        <v/>
      </c>
      <c r="I601" s="1" t="str">
        <f>IF(Teams[[#This Row],[relevant]], COUNTIFS(Fixtures[userTeam], Teams[[#This Row],[name]], Fixtures[result], "W", Fixtures[APP], TRUE), "")</f>
        <v/>
      </c>
      <c r="J601" s="1" t="str">
        <f>IF(Teams[[#This Row],[relevant]], COUNTIFS(Fixtures[userTeam], Teams[[#This Row],[name]], Fixtures[result], "D", Fixtures[APP], TRUE), "")</f>
        <v/>
      </c>
      <c r="K601" s="1" t="str">
        <f>IF(Teams[[#This Row],[relevant]], COUNTIFS(Fixtures[userTeam], Teams[[#This Row],[name]], Fixtures[result], "L", Fixtures[APP], TRUE), "")</f>
        <v/>
      </c>
      <c r="L601" s="1" t="str">
        <f>IF(Teams[[#This Row],[relevant]], SUMIFS(Fixtures[G], Fixtures[userTeam], Teams[[#This Row],[name]]), "")</f>
        <v/>
      </c>
      <c r="M601" s="1" t="str">
        <f>IF(Teams[[#This Row],[relevant]], SUMIFS(Fixtures[A], Fixtures[userTeam], Teams[[#This Row],[name]]), "")</f>
        <v/>
      </c>
      <c r="N601" s="1" t="str">
        <f>IF(Teams[[#This Row],[relevant]], SUMIFS(Fixtures[INV], Fixtures[userTeam], Teams[[#This Row],[name]]), "")</f>
        <v/>
      </c>
      <c r="O601" s="1" t="str">
        <f>IF(Teams[[#This Row],[relevant]], SUMIFS(Fixtures[YC], Fixtures[userTeam], Teams[[#This Row],[name]]), "")</f>
        <v/>
      </c>
      <c r="P601" s="1" t="str">
        <f>IF(Teams[[#This Row],[relevant]], SUMIFS(Fixtures[RC], Fixtures[userTeam], Teams[[#This Row],[name]]), "")</f>
        <v/>
      </c>
      <c r="Q601" s="13" t="str">
        <f>IF(Teams[[#This Row],[relevant]], IF(ISERROR(AVERAGEIFS(Fixtures[MR], Fixtures[userTeam], Teams[[#This Row],[name]])), 0, AVERAGEIFS(Fixtures[MR], Fixtures[userTeam], Teams[[#This Row],[name]])), "")</f>
        <v/>
      </c>
      <c r="R601" s="1" t="str">
        <f>IF(Teams[[#This Row],[relevant]], COUNTIFS(Fixtures[userTeam], Teams[[#This Row],[name]], Fixtures[MOTM], TRUE), "")</f>
        <v/>
      </c>
      <c r="S601" s="1" t="str" cm="1">
        <f t="array" ref="S601">IF(Teams[[#This Row],[relevant]], _xlfn.TEXTJOIN(", ", TRUE, _xlfn._xlws.FILTER(Stats[competition]&amp;" ("&amp;Stats[season]&amp;")",(Stats[team]=Teams[[#This Row],[name]])*(Stats[result]="Winner"),"")), "")</f>
        <v/>
      </c>
    </row>
    <row r="602" spans="1:19" ht="13" hidden="1">
      <c r="A602" s="1" t="s">
        <v>163</v>
      </c>
      <c r="B602" s="1" t="s">
        <v>163</v>
      </c>
      <c r="C602" s="1" t="s">
        <v>459</v>
      </c>
      <c r="D602" s="1" t="str">
        <f>UPPER(_xlfn.CONCAT(LEFT(Teams[[#This Row],[teamType]], 1), "-", LEFT(SUBSTITUTE(Teams[[#This Row],[nation]], "/", ""), 3), "-", SUBSTITUTE(SUBSTITUTE(SUBSTITUTE(Teams[[#This Row],[name]], ".", ""), " ", ""), "-", "")))</f>
        <v>N-SPA-SPAIN</v>
      </c>
      <c r="E602" s="16"/>
      <c r="F602" s="16"/>
      <c r="G602" s="1" t="b">
        <f>COUNTBLANK(Teams[[#This Row],[startDate]:[endDate]]) &lt; 2</f>
        <v>0</v>
      </c>
      <c r="H602" s="1" t="str">
        <f>IF(Teams[[#This Row],[relevant]], COUNTIFS(Fixtures[userTeam], Teams[[#This Row],[name]], Fixtures[APP], TRUE), "")</f>
        <v/>
      </c>
      <c r="I602" s="1" t="str">
        <f>IF(Teams[[#This Row],[relevant]], COUNTIFS(Fixtures[userTeam], Teams[[#This Row],[name]], Fixtures[result], "W", Fixtures[APP], TRUE), "")</f>
        <v/>
      </c>
      <c r="J602" s="1" t="str">
        <f>IF(Teams[[#This Row],[relevant]], COUNTIFS(Fixtures[userTeam], Teams[[#This Row],[name]], Fixtures[result], "D", Fixtures[APP], TRUE), "")</f>
        <v/>
      </c>
      <c r="K602" s="1" t="str">
        <f>IF(Teams[[#This Row],[relevant]], COUNTIFS(Fixtures[userTeam], Teams[[#This Row],[name]], Fixtures[result], "L", Fixtures[APP], TRUE), "")</f>
        <v/>
      </c>
      <c r="L602" s="1" t="str">
        <f>IF(Teams[[#This Row],[relevant]], SUMIFS(Fixtures[G], Fixtures[userTeam], Teams[[#This Row],[name]]), "")</f>
        <v/>
      </c>
      <c r="M602" s="1" t="str">
        <f>IF(Teams[[#This Row],[relevant]], SUMIFS(Fixtures[A], Fixtures[userTeam], Teams[[#This Row],[name]]), "")</f>
        <v/>
      </c>
      <c r="N602" s="1" t="str">
        <f>IF(Teams[[#This Row],[relevant]], SUMIFS(Fixtures[INV], Fixtures[userTeam], Teams[[#This Row],[name]]), "")</f>
        <v/>
      </c>
      <c r="O602" s="1" t="str">
        <f>IF(Teams[[#This Row],[relevant]], SUMIFS(Fixtures[YC], Fixtures[userTeam], Teams[[#This Row],[name]]), "")</f>
        <v/>
      </c>
      <c r="P602" s="1" t="str">
        <f>IF(Teams[[#This Row],[relevant]], SUMIFS(Fixtures[RC], Fixtures[userTeam], Teams[[#This Row],[name]]), "")</f>
        <v/>
      </c>
      <c r="Q602" s="13" t="str">
        <f>IF(Teams[[#This Row],[relevant]], IF(ISERROR(AVERAGEIFS(Fixtures[MR], Fixtures[userTeam], Teams[[#This Row],[name]])), 0, AVERAGEIFS(Fixtures[MR], Fixtures[userTeam], Teams[[#This Row],[name]])), "")</f>
        <v/>
      </c>
      <c r="R602" s="1" t="str">
        <f>IF(Teams[[#This Row],[relevant]], COUNTIFS(Fixtures[userTeam], Teams[[#This Row],[name]], Fixtures[MOTM], TRUE), "")</f>
        <v/>
      </c>
      <c r="S602" s="1" t="str" cm="1">
        <f t="array" ref="S602">IF(Teams[[#This Row],[relevant]], _xlfn.TEXTJOIN(", ", TRUE, _xlfn._xlws.FILTER(Stats[competition]&amp;" ("&amp;Stats[season]&amp;")",(Stats[team]=Teams[[#This Row],[name]])*(Stats[result]="Winner"),"")), "")</f>
        <v/>
      </c>
    </row>
    <row r="603" spans="1:19" ht="13" hidden="1">
      <c r="A603" s="1" t="s">
        <v>928</v>
      </c>
      <c r="B603" s="1" t="s">
        <v>254</v>
      </c>
      <c r="C603" s="1" t="s">
        <v>391</v>
      </c>
      <c r="D603" s="1" t="str">
        <f>UPPER(_xlfn.CONCAT(LEFT(Teams[[#This Row],[teamType]], 1), "-", LEFT(SUBSTITUTE(Teams[[#This Row],[nation]], "/", ""), 3), "-", SUBSTITUTE(SUBSTITUTE(SUBSTITUTE(Teams[[#This Row],[name]], ".", ""), " ", ""), "-", "")))</f>
        <v>C-ITA-SPAL</v>
      </c>
      <c r="E603" s="16"/>
      <c r="F603" s="16"/>
      <c r="G603" s="1" t="b">
        <f>COUNTBLANK(Teams[[#This Row],[startDate]:[endDate]]) &lt; 2</f>
        <v>0</v>
      </c>
      <c r="H603" s="1" t="str">
        <f>IF(Teams[[#This Row],[relevant]], COUNTIFS(Fixtures[userTeam], Teams[[#This Row],[name]], Fixtures[APP], TRUE), "")</f>
        <v/>
      </c>
      <c r="I603" s="1" t="str">
        <f>IF(Teams[[#This Row],[relevant]], COUNTIFS(Fixtures[userTeam], Teams[[#This Row],[name]], Fixtures[result], "W", Fixtures[APP], TRUE), "")</f>
        <v/>
      </c>
      <c r="J603" s="1" t="str">
        <f>IF(Teams[[#This Row],[relevant]], COUNTIFS(Fixtures[userTeam], Teams[[#This Row],[name]], Fixtures[result], "D", Fixtures[APP], TRUE), "")</f>
        <v/>
      </c>
      <c r="K603" s="1" t="str">
        <f>IF(Teams[[#This Row],[relevant]], COUNTIFS(Fixtures[userTeam], Teams[[#This Row],[name]], Fixtures[result], "L", Fixtures[APP], TRUE), "")</f>
        <v/>
      </c>
      <c r="L603" s="1" t="str">
        <f>IF(Teams[[#This Row],[relevant]], SUMIFS(Fixtures[G], Fixtures[userTeam], Teams[[#This Row],[name]]), "")</f>
        <v/>
      </c>
      <c r="M603" s="1" t="str">
        <f>IF(Teams[[#This Row],[relevant]], SUMIFS(Fixtures[A], Fixtures[userTeam], Teams[[#This Row],[name]]), "")</f>
        <v/>
      </c>
      <c r="N603" s="1" t="str">
        <f>IF(Teams[[#This Row],[relevant]], SUMIFS(Fixtures[INV], Fixtures[userTeam], Teams[[#This Row],[name]]), "")</f>
        <v/>
      </c>
      <c r="O603" s="1" t="str">
        <f>IF(Teams[[#This Row],[relevant]], SUMIFS(Fixtures[YC], Fixtures[userTeam], Teams[[#This Row],[name]]), "")</f>
        <v/>
      </c>
      <c r="P603" s="1" t="str">
        <f>IF(Teams[[#This Row],[relevant]], SUMIFS(Fixtures[RC], Fixtures[userTeam], Teams[[#This Row],[name]]), "")</f>
        <v/>
      </c>
      <c r="Q603" s="13" t="str">
        <f>IF(Teams[[#This Row],[relevant]], IF(ISERROR(AVERAGEIFS(Fixtures[MR], Fixtures[userTeam], Teams[[#This Row],[name]])), 0, AVERAGEIFS(Fixtures[MR], Fixtures[userTeam], Teams[[#This Row],[name]])), "")</f>
        <v/>
      </c>
      <c r="R603" s="1" t="str">
        <f>IF(Teams[[#This Row],[relevant]], COUNTIFS(Fixtures[userTeam], Teams[[#This Row],[name]], Fixtures[MOTM], TRUE), "")</f>
        <v/>
      </c>
      <c r="S603" s="1" t="str" cm="1">
        <f t="array" ref="S603">IF(Teams[[#This Row],[relevant]], _xlfn.TEXTJOIN(", ", TRUE, _xlfn._xlws.FILTER(Stats[competition]&amp;" ("&amp;Stats[season]&amp;")",(Stats[team]=Teams[[#This Row],[name]])*(Stats[result]="Winner"),"")), "")</f>
        <v/>
      </c>
    </row>
    <row r="604" spans="1:19" ht="13" hidden="1">
      <c r="A604" s="1" t="s">
        <v>929</v>
      </c>
      <c r="B604" s="1" t="s">
        <v>164</v>
      </c>
      <c r="C604" s="1" t="s">
        <v>391</v>
      </c>
      <c r="D604" s="1" t="str">
        <f>UPPER(_xlfn.CONCAT(LEFT(Teams[[#This Row],[teamType]], 1), "-", LEFT(SUBSTITUTE(Teams[[#This Row],[nation]], "/", ""), 3), "-", SUBSTITUTE(SUBSTITUTE(SUBSTITUTE(Teams[[#This Row],[name]], ".", ""), " ", ""), "-", "")))</f>
        <v>C-CZE-SPARTAPRAHA</v>
      </c>
      <c r="E604" s="16"/>
      <c r="F604" s="16"/>
      <c r="G604" s="1" t="b">
        <f>COUNTBLANK(Teams[[#This Row],[startDate]:[endDate]]) &lt; 2</f>
        <v>0</v>
      </c>
      <c r="H604" s="1" t="str">
        <f>IF(Teams[[#This Row],[relevant]], COUNTIFS(Fixtures[userTeam], Teams[[#This Row],[name]], Fixtures[APP], TRUE), "")</f>
        <v/>
      </c>
      <c r="I604" s="1" t="str">
        <f>IF(Teams[[#This Row],[relevant]], COUNTIFS(Fixtures[userTeam], Teams[[#This Row],[name]], Fixtures[result], "W", Fixtures[APP], TRUE), "")</f>
        <v/>
      </c>
      <c r="J604" s="1" t="str">
        <f>IF(Teams[[#This Row],[relevant]], COUNTIFS(Fixtures[userTeam], Teams[[#This Row],[name]], Fixtures[result], "D", Fixtures[APP], TRUE), "")</f>
        <v/>
      </c>
      <c r="K604" s="1" t="str">
        <f>IF(Teams[[#This Row],[relevant]], COUNTIFS(Fixtures[userTeam], Teams[[#This Row],[name]], Fixtures[result], "L", Fixtures[APP], TRUE), "")</f>
        <v/>
      </c>
      <c r="L604" s="1" t="str">
        <f>IF(Teams[[#This Row],[relevant]], SUMIFS(Fixtures[G], Fixtures[userTeam], Teams[[#This Row],[name]]), "")</f>
        <v/>
      </c>
      <c r="M604" s="1" t="str">
        <f>IF(Teams[[#This Row],[relevant]], SUMIFS(Fixtures[A], Fixtures[userTeam], Teams[[#This Row],[name]]), "")</f>
        <v/>
      </c>
      <c r="N604" s="1" t="str">
        <f>IF(Teams[[#This Row],[relevant]], SUMIFS(Fixtures[INV], Fixtures[userTeam], Teams[[#This Row],[name]]), "")</f>
        <v/>
      </c>
      <c r="O604" s="1" t="str">
        <f>IF(Teams[[#This Row],[relevant]], SUMIFS(Fixtures[YC], Fixtures[userTeam], Teams[[#This Row],[name]]), "")</f>
        <v/>
      </c>
      <c r="P604" s="1" t="str">
        <f>IF(Teams[[#This Row],[relevant]], SUMIFS(Fixtures[RC], Fixtures[userTeam], Teams[[#This Row],[name]]), "")</f>
        <v/>
      </c>
      <c r="Q604" s="13" t="str">
        <f>IF(Teams[[#This Row],[relevant]], IF(ISERROR(AVERAGEIFS(Fixtures[MR], Fixtures[userTeam], Teams[[#This Row],[name]])), 0, AVERAGEIFS(Fixtures[MR], Fixtures[userTeam], Teams[[#This Row],[name]])), "")</f>
        <v/>
      </c>
      <c r="R604" s="1" t="str">
        <f>IF(Teams[[#This Row],[relevant]], COUNTIFS(Fixtures[userTeam], Teams[[#This Row],[name]], Fixtures[MOTM], TRUE), "")</f>
        <v/>
      </c>
      <c r="S604" s="1" t="str" cm="1">
        <f t="array" ref="S604">IF(Teams[[#This Row],[relevant]], _xlfn.TEXTJOIN(", ", TRUE, _xlfn._xlws.FILTER(Stats[competition]&amp;" ("&amp;Stats[season]&amp;")",(Stats[team]=Teams[[#This Row],[name]])*(Stats[result]="Winner"),"")), "")</f>
        <v/>
      </c>
    </row>
    <row r="605" spans="1:19" ht="13" hidden="1">
      <c r="A605" s="1" t="s">
        <v>165</v>
      </c>
      <c r="B605" s="1" t="s">
        <v>425</v>
      </c>
      <c r="C605" s="1" t="s">
        <v>391</v>
      </c>
      <c r="D605" s="1" t="str">
        <f>UPPER(_xlfn.CONCAT(LEFT(Teams[[#This Row],[teamType]], 1), "-", LEFT(SUBSTITUTE(Teams[[#This Row],[nation]], "/", ""), 3), "-", SUBSTITUTE(SUBSTITUTE(SUBSTITUTE(Teams[[#This Row],[name]], ".", ""), " ", ""), "-", "")))</f>
        <v>C-NET-SPARTAROTTERDAM</v>
      </c>
      <c r="E605" s="16"/>
      <c r="F605" s="16"/>
      <c r="G605" s="1" t="b">
        <f>COUNTBLANK(Teams[[#This Row],[startDate]:[endDate]]) &lt; 2</f>
        <v>0</v>
      </c>
      <c r="H605" s="1" t="str">
        <f>IF(Teams[[#This Row],[relevant]], COUNTIFS(Fixtures[userTeam], Teams[[#This Row],[name]], Fixtures[APP], TRUE), "")</f>
        <v/>
      </c>
      <c r="I605" s="1" t="str">
        <f>IF(Teams[[#This Row],[relevant]], COUNTIFS(Fixtures[userTeam], Teams[[#This Row],[name]], Fixtures[result], "W", Fixtures[APP], TRUE), "")</f>
        <v/>
      </c>
      <c r="J605" s="1" t="str">
        <f>IF(Teams[[#This Row],[relevant]], COUNTIFS(Fixtures[userTeam], Teams[[#This Row],[name]], Fixtures[result], "D", Fixtures[APP], TRUE), "")</f>
        <v/>
      </c>
      <c r="K605" s="1" t="str">
        <f>IF(Teams[[#This Row],[relevant]], COUNTIFS(Fixtures[userTeam], Teams[[#This Row],[name]], Fixtures[result], "L", Fixtures[APP], TRUE), "")</f>
        <v/>
      </c>
      <c r="L605" s="1" t="str">
        <f>IF(Teams[[#This Row],[relevant]], SUMIFS(Fixtures[G], Fixtures[userTeam], Teams[[#This Row],[name]]), "")</f>
        <v/>
      </c>
      <c r="M605" s="1" t="str">
        <f>IF(Teams[[#This Row],[relevant]], SUMIFS(Fixtures[A], Fixtures[userTeam], Teams[[#This Row],[name]]), "")</f>
        <v/>
      </c>
      <c r="N605" s="1" t="str">
        <f>IF(Teams[[#This Row],[relevant]], SUMIFS(Fixtures[INV], Fixtures[userTeam], Teams[[#This Row],[name]]), "")</f>
        <v/>
      </c>
      <c r="O605" s="1" t="str">
        <f>IF(Teams[[#This Row],[relevant]], SUMIFS(Fixtures[YC], Fixtures[userTeam], Teams[[#This Row],[name]]), "")</f>
        <v/>
      </c>
      <c r="P605" s="1" t="str">
        <f>IF(Teams[[#This Row],[relevant]], SUMIFS(Fixtures[RC], Fixtures[userTeam], Teams[[#This Row],[name]]), "")</f>
        <v/>
      </c>
      <c r="Q605" s="13" t="str">
        <f>IF(Teams[[#This Row],[relevant]], IF(ISERROR(AVERAGEIFS(Fixtures[MR], Fixtures[userTeam], Teams[[#This Row],[name]])), 0, AVERAGEIFS(Fixtures[MR], Fixtures[userTeam], Teams[[#This Row],[name]])), "")</f>
        <v/>
      </c>
      <c r="R605" s="1" t="str">
        <f>IF(Teams[[#This Row],[relevant]], COUNTIFS(Fixtures[userTeam], Teams[[#This Row],[name]], Fixtures[MOTM], TRUE), "")</f>
        <v/>
      </c>
      <c r="S605" s="1" t="str" cm="1">
        <f t="array" ref="S605">IF(Teams[[#This Row],[relevant]], _xlfn.TEXTJOIN(", ", TRUE, _xlfn._xlws.FILTER(Stats[competition]&amp;" ("&amp;Stats[season]&amp;")",(Stats[team]=Teams[[#This Row],[name]])*(Stats[result]="Winner"),"")), "")</f>
        <v/>
      </c>
    </row>
    <row r="606" spans="1:19" ht="13" hidden="1">
      <c r="A606" s="1" t="s">
        <v>930</v>
      </c>
      <c r="B606" s="1" t="s">
        <v>254</v>
      </c>
      <c r="C606" s="1" t="s">
        <v>391</v>
      </c>
      <c r="D606" s="1" t="str">
        <f>UPPER(_xlfn.CONCAT(LEFT(Teams[[#This Row],[teamType]], 1), "-", LEFT(SUBSTITUTE(Teams[[#This Row],[nation]], "/", ""), 3), "-", SUBSTITUTE(SUBSTITUTE(SUBSTITUTE(Teams[[#This Row],[name]], ".", ""), " ", ""), "-", "")))</f>
        <v>C-ITA-SPEZIA</v>
      </c>
      <c r="E606" s="16"/>
      <c r="F606" s="16"/>
      <c r="G606" s="1" t="b">
        <f>COUNTBLANK(Teams[[#This Row],[startDate]:[endDate]]) &lt; 2</f>
        <v>0</v>
      </c>
      <c r="H606" s="1" t="str">
        <f>IF(Teams[[#This Row],[relevant]], COUNTIFS(Fixtures[userTeam], Teams[[#This Row],[name]], Fixtures[APP], TRUE), "")</f>
        <v/>
      </c>
      <c r="I606" s="1" t="str">
        <f>IF(Teams[[#This Row],[relevant]], COUNTIFS(Fixtures[userTeam], Teams[[#This Row],[name]], Fixtures[result], "W", Fixtures[APP], TRUE), "")</f>
        <v/>
      </c>
      <c r="J606" s="1" t="str">
        <f>IF(Teams[[#This Row],[relevant]], COUNTIFS(Fixtures[userTeam], Teams[[#This Row],[name]], Fixtures[result], "D", Fixtures[APP], TRUE), "")</f>
        <v/>
      </c>
      <c r="K606" s="1" t="str">
        <f>IF(Teams[[#This Row],[relevant]], COUNTIFS(Fixtures[userTeam], Teams[[#This Row],[name]], Fixtures[result], "L", Fixtures[APP], TRUE), "")</f>
        <v/>
      </c>
      <c r="L606" s="1" t="str">
        <f>IF(Teams[[#This Row],[relevant]], SUMIFS(Fixtures[G], Fixtures[userTeam], Teams[[#This Row],[name]]), "")</f>
        <v/>
      </c>
      <c r="M606" s="1" t="str">
        <f>IF(Teams[[#This Row],[relevant]], SUMIFS(Fixtures[A], Fixtures[userTeam], Teams[[#This Row],[name]]), "")</f>
        <v/>
      </c>
      <c r="N606" s="1" t="str">
        <f>IF(Teams[[#This Row],[relevant]], SUMIFS(Fixtures[INV], Fixtures[userTeam], Teams[[#This Row],[name]]), "")</f>
        <v/>
      </c>
      <c r="O606" s="1" t="str">
        <f>IF(Teams[[#This Row],[relevant]], SUMIFS(Fixtures[YC], Fixtures[userTeam], Teams[[#This Row],[name]]), "")</f>
        <v/>
      </c>
      <c r="P606" s="1" t="str">
        <f>IF(Teams[[#This Row],[relevant]], SUMIFS(Fixtures[RC], Fixtures[userTeam], Teams[[#This Row],[name]]), "")</f>
        <v/>
      </c>
      <c r="Q606" s="13" t="str">
        <f>IF(Teams[[#This Row],[relevant]], IF(ISERROR(AVERAGEIFS(Fixtures[MR], Fixtures[userTeam], Teams[[#This Row],[name]])), 0, AVERAGEIFS(Fixtures[MR], Fixtures[userTeam], Teams[[#This Row],[name]])), "")</f>
        <v/>
      </c>
      <c r="R606" s="1" t="str">
        <f>IF(Teams[[#This Row],[relevant]], COUNTIFS(Fixtures[userTeam], Teams[[#This Row],[name]], Fixtures[MOTM], TRUE), "")</f>
        <v/>
      </c>
      <c r="S606" s="1" t="str" cm="1">
        <f t="array" ref="S606">IF(Teams[[#This Row],[relevant]], _xlfn.TEXTJOIN(", ", TRUE, _xlfn._xlws.FILTER(Stats[competition]&amp;" ("&amp;Stats[season]&amp;")",(Stats[team]=Teams[[#This Row],[name]])*(Stats[result]="Winner"),"")), "")</f>
        <v/>
      </c>
    </row>
    <row r="607" spans="1:19" ht="13" hidden="1">
      <c r="A607" s="1" t="s">
        <v>931</v>
      </c>
      <c r="B607" s="1" t="s">
        <v>445</v>
      </c>
      <c r="C607" s="1" t="s">
        <v>391</v>
      </c>
      <c r="D607" s="1" t="str">
        <f>UPPER(_xlfn.CONCAT(LEFT(Teams[[#This Row],[teamType]], 1), "-", LEFT(SUBSTITUTE(Teams[[#This Row],[nation]], "/", ""), 3), "-", SUBSTITUTE(SUBSTITUTE(SUBSTITUTE(Teams[[#This Row],[name]], ".", ""), " ", ""), "-", "")))</f>
        <v>C-PER-SPORTBOYS</v>
      </c>
      <c r="E607" s="16"/>
      <c r="F607" s="16"/>
      <c r="G607" s="1" t="b">
        <f>COUNTBLANK(Teams[[#This Row],[startDate]:[endDate]]) &lt; 2</f>
        <v>0</v>
      </c>
      <c r="H607" s="1" t="str">
        <f>IF(Teams[[#This Row],[relevant]], COUNTIFS(Fixtures[userTeam], Teams[[#This Row],[name]], Fixtures[APP], TRUE), "")</f>
        <v/>
      </c>
      <c r="I607" s="1" t="str">
        <f>IF(Teams[[#This Row],[relevant]], COUNTIFS(Fixtures[userTeam], Teams[[#This Row],[name]], Fixtures[result], "W", Fixtures[APP], TRUE), "")</f>
        <v/>
      </c>
      <c r="J607" s="1" t="str">
        <f>IF(Teams[[#This Row],[relevant]], COUNTIFS(Fixtures[userTeam], Teams[[#This Row],[name]], Fixtures[result], "D", Fixtures[APP], TRUE), "")</f>
        <v/>
      </c>
      <c r="K607" s="1" t="str">
        <f>IF(Teams[[#This Row],[relevant]], COUNTIFS(Fixtures[userTeam], Teams[[#This Row],[name]], Fixtures[result], "L", Fixtures[APP], TRUE), "")</f>
        <v/>
      </c>
      <c r="L607" s="1" t="str">
        <f>IF(Teams[[#This Row],[relevant]], SUMIFS(Fixtures[G], Fixtures[userTeam], Teams[[#This Row],[name]]), "")</f>
        <v/>
      </c>
      <c r="M607" s="1" t="str">
        <f>IF(Teams[[#This Row],[relevant]], SUMIFS(Fixtures[A], Fixtures[userTeam], Teams[[#This Row],[name]]), "")</f>
        <v/>
      </c>
      <c r="N607" s="1" t="str">
        <f>IF(Teams[[#This Row],[relevant]], SUMIFS(Fixtures[INV], Fixtures[userTeam], Teams[[#This Row],[name]]), "")</f>
        <v/>
      </c>
      <c r="O607" s="1" t="str">
        <f>IF(Teams[[#This Row],[relevant]], SUMIFS(Fixtures[YC], Fixtures[userTeam], Teams[[#This Row],[name]]), "")</f>
        <v/>
      </c>
      <c r="P607" s="1" t="str">
        <f>IF(Teams[[#This Row],[relevant]], SUMIFS(Fixtures[RC], Fixtures[userTeam], Teams[[#This Row],[name]]), "")</f>
        <v/>
      </c>
      <c r="Q607" s="13" t="str">
        <f>IF(Teams[[#This Row],[relevant]], IF(ISERROR(AVERAGEIFS(Fixtures[MR], Fixtures[userTeam], Teams[[#This Row],[name]])), 0, AVERAGEIFS(Fixtures[MR], Fixtures[userTeam], Teams[[#This Row],[name]])), "")</f>
        <v/>
      </c>
      <c r="R607" s="1" t="str">
        <f>IF(Teams[[#This Row],[relevant]], COUNTIFS(Fixtures[userTeam], Teams[[#This Row],[name]], Fixtures[MOTM], TRUE), "")</f>
        <v/>
      </c>
      <c r="S607" s="1" t="str" cm="1">
        <f t="array" ref="S607">IF(Teams[[#This Row],[relevant]], _xlfn.TEXTJOIN(", ", TRUE, _xlfn._xlws.FILTER(Stats[competition]&amp;" ("&amp;Stats[season]&amp;")",(Stats[team]=Teams[[#This Row],[name]])*(Stats[result]="Winner"),"")), "")</f>
        <v/>
      </c>
    </row>
    <row r="608" spans="1:19" ht="13" hidden="1">
      <c r="A608" s="1" t="s">
        <v>932</v>
      </c>
      <c r="B608" s="1" t="s">
        <v>463</v>
      </c>
      <c r="C608" s="1" t="s">
        <v>391</v>
      </c>
      <c r="D608" s="1" t="str">
        <f>UPPER(_xlfn.CONCAT(LEFT(Teams[[#This Row],[teamType]], 1), "-", LEFT(SUBSTITUTE(Teams[[#This Row],[nation]], "/", ""), 3), "-", SUBSTITUTE(SUBSTITUTE(SUBSTITUTE(Teams[[#This Row],[name]], ".", ""), " ", ""), "-", "")))</f>
        <v>C-POR-SPORTINGCP</v>
      </c>
      <c r="E608" s="16"/>
      <c r="F608" s="16"/>
      <c r="G608" s="1" t="b">
        <f>COUNTBLANK(Teams[[#This Row],[startDate]:[endDate]]) &lt; 2</f>
        <v>0</v>
      </c>
      <c r="H608" s="1" t="str">
        <f>IF(Teams[[#This Row],[relevant]], COUNTIFS(Fixtures[userTeam], Teams[[#This Row],[name]], Fixtures[APP], TRUE), "")</f>
        <v/>
      </c>
      <c r="I608" s="1" t="str">
        <f>IF(Teams[[#This Row],[relevant]], COUNTIFS(Fixtures[userTeam], Teams[[#This Row],[name]], Fixtures[result], "W", Fixtures[APP], TRUE), "")</f>
        <v/>
      </c>
      <c r="J608" s="1" t="str">
        <f>IF(Teams[[#This Row],[relevant]], COUNTIFS(Fixtures[userTeam], Teams[[#This Row],[name]], Fixtures[result], "D", Fixtures[APP], TRUE), "")</f>
        <v/>
      </c>
      <c r="K608" s="1" t="str">
        <f>IF(Teams[[#This Row],[relevant]], COUNTIFS(Fixtures[userTeam], Teams[[#This Row],[name]], Fixtures[result], "L", Fixtures[APP], TRUE), "")</f>
        <v/>
      </c>
      <c r="L608" s="1" t="str">
        <f>IF(Teams[[#This Row],[relevant]], SUMIFS(Fixtures[G], Fixtures[userTeam], Teams[[#This Row],[name]]), "")</f>
        <v/>
      </c>
      <c r="M608" s="1" t="str">
        <f>IF(Teams[[#This Row],[relevant]], SUMIFS(Fixtures[A], Fixtures[userTeam], Teams[[#This Row],[name]]), "")</f>
        <v/>
      </c>
      <c r="N608" s="1" t="str">
        <f>IF(Teams[[#This Row],[relevant]], SUMIFS(Fixtures[INV], Fixtures[userTeam], Teams[[#This Row],[name]]), "")</f>
        <v/>
      </c>
      <c r="O608" s="1" t="str">
        <f>IF(Teams[[#This Row],[relevant]], SUMIFS(Fixtures[YC], Fixtures[userTeam], Teams[[#This Row],[name]]), "")</f>
        <v/>
      </c>
      <c r="P608" s="1" t="str">
        <f>IF(Teams[[#This Row],[relevant]], SUMIFS(Fixtures[RC], Fixtures[userTeam], Teams[[#This Row],[name]]), "")</f>
        <v/>
      </c>
      <c r="Q608" s="13" t="str">
        <f>IF(Teams[[#This Row],[relevant]], IF(ISERROR(AVERAGEIFS(Fixtures[MR], Fixtures[userTeam], Teams[[#This Row],[name]])), 0, AVERAGEIFS(Fixtures[MR], Fixtures[userTeam], Teams[[#This Row],[name]])), "")</f>
        <v/>
      </c>
      <c r="R608" s="1" t="str">
        <f>IF(Teams[[#This Row],[relevant]], COUNTIFS(Fixtures[userTeam], Teams[[#This Row],[name]], Fixtures[MOTM], TRUE), "")</f>
        <v/>
      </c>
      <c r="S608" s="1" t="str" cm="1">
        <f t="array" ref="S608">IF(Teams[[#This Row],[relevant]], _xlfn.TEXTJOIN(", ", TRUE, _xlfn._xlws.FILTER(Stats[competition]&amp;" ("&amp;Stats[season]&amp;")",(Stats[team]=Teams[[#This Row],[name]])*(Stats[result]="Winner"),"")), "")</f>
        <v/>
      </c>
    </row>
    <row r="609" spans="1:19" ht="13" hidden="1">
      <c r="A609" s="1" t="s">
        <v>933</v>
      </c>
      <c r="B609" s="1" t="s">
        <v>445</v>
      </c>
      <c r="C609" s="1" t="s">
        <v>391</v>
      </c>
      <c r="D609" s="1" t="str">
        <f>UPPER(_xlfn.CONCAT(LEFT(Teams[[#This Row],[teamType]], 1), "-", LEFT(SUBSTITUTE(Teams[[#This Row],[nation]], "/", ""), 3), "-", SUBSTITUTE(SUBSTITUTE(SUBSTITUTE(Teams[[#This Row],[name]], ".", ""), " ", ""), "-", "")))</f>
        <v>C-PER-SPORTINGCRISTAL</v>
      </c>
      <c r="E609" s="16"/>
      <c r="F609" s="16"/>
      <c r="G609" s="1" t="b">
        <f>COUNTBLANK(Teams[[#This Row],[startDate]:[endDate]]) &lt; 2</f>
        <v>0</v>
      </c>
      <c r="H609" s="1" t="str">
        <f>IF(Teams[[#This Row],[relevant]], COUNTIFS(Fixtures[userTeam], Teams[[#This Row],[name]], Fixtures[APP], TRUE), "")</f>
        <v/>
      </c>
      <c r="I609" s="1" t="str">
        <f>IF(Teams[[#This Row],[relevant]], COUNTIFS(Fixtures[userTeam], Teams[[#This Row],[name]], Fixtures[result], "W", Fixtures[APP], TRUE), "")</f>
        <v/>
      </c>
      <c r="J609" s="1" t="str">
        <f>IF(Teams[[#This Row],[relevant]], COUNTIFS(Fixtures[userTeam], Teams[[#This Row],[name]], Fixtures[result], "D", Fixtures[APP], TRUE), "")</f>
        <v/>
      </c>
      <c r="K609" s="1" t="str">
        <f>IF(Teams[[#This Row],[relevant]], COUNTIFS(Fixtures[userTeam], Teams[[#This Row],[name]], Fixtures[result], "L", Fixtures[APP], TRUE), "")</f>
        <v/>
      </c>
      <c r="L609" s="1" t="str">
        <f>IF(Teams[[#This Row],[relevant]], SUMIFS(Fixtures[G], Fixtures[userTeam], Teams[[#This Row],[name]]), "")</f>
        <v/>
      </c>
      <c r="M609" s="1" t="str">
        <f>IF(Teams[[#This Row],[relevant]], SUMIFS(Fixtures[A], Fixtures[userTeam], Teams[[#This Row],[name]]), "")</f>
        <v/>
      </c>
      <c r="N609" s="1" t="str">
        <f>IF(Teams[[#This Row],[relevant]], SUMIFS(Fixtures[INV], Fixtures[userTeam], Teams[[#This Row],[name]]), "")</f>
        <v/>
      </c>
      <c r="O609" s="1" t="str">
        <f>IF(Teams[[#This Row],[relevant]], SUMIFS(Fixtures[YC], Fixtures[userTeam], Teams[[#This Row],[name]]), "")</f>
        <v/>
      </c>
      <c r="P609" s="1" t="str">
        <f>IF(Teams[[#This Row],[relevant]], SUMIFS(Fixtures[RC], Fixtures[userTeam], Teams[[#This Row],[name]]), "")</f>
        <v/>
      </c>
      <c r="Q609" s="13" t="str">
        <f>IF(Teams[[#This Row],[relevant]], IF(ISERROR(AVERAGEIFS(Fixtures[MR], Fixtures[userTeam], Teams[[#This Row],[name]])), 0, AVERAGEIFS(Fixtures[MR], Fixtures[userTeam], Teams[[#This Row],[name]])), "")</f>
        <v/>
      </c>
      <c r="R609" s="1" t="str">
        <f>IF(Teams[[#This Row],[relevant]], COUNTIFS(Fixtures[userTeam], Teams[[#This Row],[name]], Fixtures[MOTM], TRUE), "")</f>
        <v/>
      </c>
      <c r="S609" s="1" t="str" cm="1">
        <f t="array" ref="S609">IF(Teams[[#This Row],[relevant]], _xlfn.TEXTJOIN(", ", TRUE, _xlfn._xlws.FILTER(Stats[competition]&amp;" ("&amp;Stats[season]&amp;")",(Stats[team]=Teams[[#This Row],[name]])*(Stats[result]="Winner"),"")), "")</f>
        <v/>
      </c>
    </row>
    <row r="610" spans="1:19" ht="13" hidden="1">
      <c r="A610" s="1" t="s">
        <v>934</v>
      </c>
      <c r="B610" s="1" t="s">
        <v>16</v>
      </c>
      <c r="C610" s="1" t="s">
        <v>391</v>
      </c>
      <c r="D610" s="1" t="str">
        <f>UPPER(_xlfn.CONCAT(LEFT(Teams[[#This Row],[teamType]], 1), "-", LEFT(SUBSTITUTE(Teams[[#This Row],[nation]], "/", ""), 3), "-", SUBSTITUTE(SUBSTITUTE(SUBSTITUTE(Teams[[#This Row],[name]], ".", ""), " ", ""), "-", "")))</f>
        <v>C-UNI-SPORTINGKC</v>
      </c>
      <c r="E610" s="16"/>
      <c r="F610" s="16"/>
      <c r="G610" s="1" t="b">
        <f>COUNTBLANK(Teams[[#This Row],[startDate]:[endDate]]) &lt; 2</f>
        <v>0</v>
      </c>
      <c r="H610" s="1" t="str">
        <f>IF(Teams[[#This Row],[relevant]], COUNTIFS(Fixtures[userTeam], Teams[[#This Row],[name]], Fixtures[APP], TRUE), "")</f>
        <v/>
      </c>
      <c r="I610" s="1" t="str">
        <f>IF(Teams[[#This Row],[relevant]], COUNTIFS(Fixtures[userTeam], Teams[[#This Row],[name]], Fixtures[result], "W", Fixtures[APP], TRUE), "")</f>
        <v/>
      </c>
      <c r="J610" s="1" t="str">
        <f>IF(Teams[[#This Row],[relevant]], COUNTIFS(Fixtures[userTeam], Teams[[#This Row],[name]], Fixtures[result], "D", Fixtures[APP], TRUE), "")</f>
        <v/>
      </c>
      <c r="K610" s="1" t="str">
        <f>IF(Teams[[#This Row],[relevant]], COUNTIFS(Fixtures[userTeam], Teams[[#This Row],[name]], Fixtures[result], "L", Fixtures[APP], TRUE), "")</f>
        <v/>
      </c>
      <c r="L610" s="1" t="str">
        <f>IF(Teams[[#This Row],[relevant]], SUMIFS(Fixtures[G], Fixtures[userTeam], Teams[[#This Row],[name]]), "")</f>
        <v/>
      </c>
      <c r="M610" s="1" t="str">
        <f>IF(Teams[[#This Row],[relevant]], SUMIFS(Fixtures[A], Fixtures[userTeam], Teams[[#This Row],[name]]), "")</f>
        <v/>
      </c>
      <c r="N610" s="1" t="str">
        <f>IF(Teams[[#This Row],[relevant]], SUMIFS(Fixtures[INV], Fixtures[userTeam], Teams[[#This Row],[name]]), "")</f>
        <v/>
      </c>
      <c r="O610" s="1" t="str">
        <f>IF(Teams[[#This Row],[relevant]], SUMIFS(Fixtures[YC], Fixtures[userTeam], Teams[[#This Row],[name]]), "")</f>
        <v/>
      </c>
      <c r="P610" s="1" t="str">
        <f>IF(Teams[[#This Row],[relevant]], SUMIFS(Fixtures[RC], Fixtures[userTeam], Teams[[#This Row],[name]]), "")</f>
        <v/>
      </c>
      <c r="Q610" s="13" t="str">
        <f>IF(Teams[[#This Row],[relevant]], IF(ISERROR(AVERAGEIFS(Fixtures[MR], Fixtures[userTeam], Teams[[#This Row],[name]])), 0, AVERAGEIFS(Fixtures[MR], Fixtures[userTeam], Teams[[#This Row],[name]])), "")</f>
        <v/>
      </c>
      <c r="R610" s="1" t="str">
        <f>IF(Teams[[#This Row],[relevant]], COUNTIFS(Fixtures[userTeam], Teams[[#This Row],[name]], Fixtures[MOTM], TRUE), "")</f>
        <v/>
      </c>
      <c r="S610" s="1" t="str" cm="1">
        <f t="array" ref="S610">IF(Teams[[#This Row],[relevant]], _xlfn.TEXTJOIN(", ", TRUE, _xlfn._xlws.FILTER(Stats[competition]&amp;" ("&amp;Stats[season]&amp;")",(Stats[team]=Teams[[#This Row],[name]])*(Stats[result]="Winner"),"")), "")</f>
        <v/>
      </c>
    </row>
    <row r="611" spans="1:19" ht="13" hidden="1">
      <c r="A611" s="1" t="s">
        <v>935</v>
      </c>
      <c r="B611" s="1" t="s">
        <v>152</v>
      </c>
      <c r="C611" s="1" t="s">
        <v>391</v>
      </c>
      <c r="D611" s="1" t="str">
        <f>UPPER(_xlfn.CONCAT(LEFT(Teams[[#This Row],[teamType]], 1), "-", LEFT(SUBSTITUTE(Teams[[#This Row],[nation]], "/", ""), 3), "-", SUBSTITUTE(SUBSTITUTE(SUBSTITUTE(Teams[[#This Row],[name]], ".", ""), " ", ""), "-", "")))</f>
        <v>C-ENG-SPURS</v>
      </c>
      <c r="E611" s="16"/>
      <c r="F611" s="16"/>
      <c r="G611" s="1" t="b">
        <f>COUNTBLANK(Teams[[#This Row],[startDate]:[endDate]]) &lt; 2</f>
        <v>0</v>
      </c>
      <c r="H611" s="1" t="str">
        <f>IF(Teams[[#This Row],[relevant]], COUNTIFS(Fixtures[userTeam], Teams[[#This Row],[name]], Fixtures[APP], TRUE), "")</f>
        <v/>
      </c>
      <c r="I611" s="1" t="str">
        <f>IF(Teams[[#This Row],[relevant]], COUNTIFS(Fixtures[userTeam], Teams[[#This Row],[name]], Fixtures[result], "W", Fixtures[APP], TRUE), "")</f>
        <v/>
      </c>
      <c r="J611" s="1" t="str">
        <f>IF(Teams[[#This Row],[relevant]], COUNTIFS(Fixtures[userTeam], Teams[[#This Row],[name]], Fixtures[result], "D", Fixtures[APP], TRUE), "")</f>
        <v/>
      </c>
      <c r="K611" s="1" t="str">
        <f>IF(Teams[[#This Row],[relevant]], COUNTIFS(Fixtures[userTeam], Teams[[#This Row],[name]], Fixtures[result], "L", Fixtures[APP], TRUE), "")</f>
        <v/>
      </c>
      <c r="L611" s="1" t="str">
        <f>IF(Teams[[#This Row],[relevant]], SUMIFS(Fixtures[G], Fixtures[userTeam], Teams[[#This Row],[name]]), "")</f>
        <v/>
      </c>
      <c r="M611" s="1" t="str">
        <f>IF(Teams[[#This Row],[relevant]], SUMIFS(Fixtures[A], Fixtures[userTeam], Teams[[#This Row],[name]]), "")</f>
        <v/>
      </c>
      <c r="N611" s="1" t="str">
        <f>IF(Teams[[#This Row],[relevant]], SUMIFS(Fixtures[INV], Fixtures[userTeam], Teams[[#This Row],[name]]), "")</f>
        <v/>
      </c>
      <c r="O611" s="1" t="str">
        <f>IF(Teams[[#This Row],[relevant]], SUMIFS(Fixtures[YC], Fixtures[userTeam], Teams[[#This Row],[name]]), "")</f>
        <v/>
      </c>
      <c r="P611" s="1" t="str">
        <f>IF(Teams[[#This Row],[relevant]], SUMIFS(Fixtures[RC], Fixtures[userTeam], Teams[[#This Row],[name]]), "")</f>
        <v/>
      </c>
      <c r="Q611" s="13" t="str">
        <f>IF(Teams[[#This Row],[relevant]], IF(ISERROR(AVERAGEIFS(Fixtures[MR], Fixtures[userTeam], Teams[[#This Row],[name]])), 0, AVERAGEIFS(Fixtures[MR], Fixtures[userTeam], Teams[[#This Row],[name]])), "")</f>
        <v/>
      </c>
      <c r="R611" s="1" t="str">
        <f>IF(Teams[[#This Row],[relevant]], COUNTIFS(Fixtures[userTeam], Teams[[#This Row],[name]], Fixtures[MOTM], TRUE), "")</f>
        <v/>
      </c>
      <c r="S611" s="1" t="str" cm="1">
        <f t="array" ref="S611">IF(Teams[[#This Row],[relevant]], _xlfn.TEXTJOIN(", ", TRUE, _xlfn._xlws.FILTER(Stats[competition]&amp;" ("&amp;Stats[season]&amp;")",(Stats[team]=Teams[[#This Row],[name]])*(Stats[result]="Winner"),"")), "")</f>
        <v/>
      </c>
    </row>
    <row r="612" spans="1:19" ht="13" hidden="1">
      <c r="A612" s="1" t="s">
        <v>936</v>
      </c>
      <c r="B612" s="1" t="s">
        <v>337</v>
      </c>
      <c r="C612" s="1" t="s">
        <v>391</v>
      </c>
      <c r="D612" s="1" t="str">
        <f>UPPER(_xlfn.CONCAT(LEFT(Teams[[#This Row],[teamType]], 1), "-", LEFT(SUBSTITUTE(Teams[[#This Row],[nation]], "/", ""), 3), "-", SUBSTITUTE(SUBSTITUTE(SUBSTITUTE(Teams[[#This Row],[name]], ".", ""), " ", ""), "-", "")))</f>
        <v>C-GER-SPVGGBAYREUTH</v>
      </c>
      <c r="E612" s="16"/>
      <c r="F612" s="16"/>
      <c r="G612" s="1" t="b">
        <f>COUNTBLANK(Teams[[#This Row],[startDate]:[endDate]]) &lt; 2</f>
        <v>0</v>
      </c>
      <c r="H612" s="1" t="str">
        <f>IF(Teams[[#This Row],[relevant]], COUNTIFS(Fixtures[userTeam], Teams[[#This Row],[name]], Fixtures[APP], TRUE), "")</f>
        <v/>
      </c>
      <c r="I612" s="1" t="str">
        <f>IF(Teams[[#This Row],[relevant]], COUNTIFS(Fixtures[userTeam], Teams[[#This Row],[name]], Fixtures[result], "W", Fixtures[APP], TRUE), "")</f>
        <v/>
      </c>
      <c r="J612" s="1" t="str">
        <f>IF(Teams[[#This Row],[relevant]], COUNTIFS(Fixtures[userTeam], Teams[[#This Row],[name]], Fixtures[result], "D", Fixtures[APP], TRUE), "")</f>
        <v/>
      </c>
      <c r="K612" s="1" t="str">
        <f>IF(Teams[[#This Row],[relevant]], COUNTIFS(Fixtures[userTeam], Teams[[#This Row],[name]], Fixtures[result], "L", Fixtures[APP], TRUE), "")</f>
        <v/>
      </c>
      <c r="L612" s="1" t="str">
        <f>IF(Teams[[#This Row],[relevant]], SUMIFS(Fixtures[G], Fixtures[userTeam], Teams[[#This Row],[name]]), "")</f>
        <v/>
      </c>
      <c r="M612" s="1" t="str">
        <f>IF(Teams[[#This Row],[relevant]], SUMIFS(Fixtures[A], Fixtures[userTeam], Teams[[#This Row],[name]]), "")</f>
        <v/>
      </c>
      <c r="N612" s="1" t="str">
        <f>IF(Teams[[#This Row],[relevant]], SUMIFS(Fixtures[INV], Fixtures[userTeam], Teams[[#This Row],[name]]), "")</f>
        <v/>
      </c>
      <c r="O612" s="1" t="str">
        <f>IF(Teams[[#This Row],[relevant]], SUMIFS(Fixtures[YC], Fixtures[userTeam], Teams[[#This Row],[name]]), "")</f>
        <v/>
      </c>
      <c r="P612" s="1" t="str">
        <f>IF(Teams[[#This Row],[relevant]], SUMIFS(Fixtures[RC], Fixtures[userTeam], Teams[[#This Row],[name]]), "")</f>
        <v/>
      </c>
      <c r="Q612" s="13" t="str">
        <f>IF(Teams[[#This Row],[relevant]], IF(ISERROR(AVERAGEIFS(Fixtures[MR], Fixtures[userTeam], Teams[[#This Row],[name]])), 0, AVERAGEIFS(Fixtures[MR], Fixtures[userTeam], Teams[[#This Row],[name]])), "")</f>
        <v/>
      </c>
      <c r="R612" s="1" t="str">
        <f>IF(Teams[[#This Row],[relevant]], COUNTIFS(Fixtures[userTeam], Teams[[#This Row],[name]], Fixtures[MOTM], TRUE), "")</f>
        <v/>
      </c>
      <c r="S612" s="1" t="str" cm="1">
        <f t="array" ref="S612">IF(Teams[[#This Row],[relevant]], _xlfn.TEXTJOIN(", ", TRUE, _xlfn._xlws.FILTER(Stats[competition]&amp;" ("&amp;Stats[season]&amp;")",(Stats[team]=Teams[[#This Row],[name]])*(Stats[result]="Winner"),"")), "")</f>
        <v/>
      </c>
    </row>
    <row r="613" spans="1:19" ht="13" hidden="1">
      <c r="A613" s="1" t="s">
        <v>937</v>
      </c>
      <c r="B613" s="1" t="s">
        <v>401</v>
      </c>
      <c r="C613" s="1" t="s">
        <v>391</v>
      </c>
      <c r="D613" s="1" t="str">
        <f>UPPER(_xlfn.CONCAT(LEFT(Teams[[#This Row],[teamType]], 1), "-", LEFT(SUBSTITUTE(Teams[[#This Row],[nation]], "/", ""), 3), "-", SUBSTITUTE(SUBSTITUTE(SUBSTITUTE(Teams[[#This Row],[name]], ".", ""), " ", ""), "-", "")))</f>
        <v>C-SCO-STJOHNSTONE</v>
      </c>
      <c r="E613" s="16"/>
      <c r="F613" s="16"/>
      <c r="G613" s="1" t="b">
        <f>COUNTBLANK(Teams[[#This Row],[startDate]:[endDate]]) &lt; 2</f>
        <v>0</v>
      </c>
      <c r="H613" s="1" t="str">
        <f>IF(Teams[[#This Row],[relevant]], COUNTIFS(Fixtures[userTeam], Teams[[#This Row],[name]], Fixtures[APP], TRUE), "")</f>
        <v/>
      </c>
      <c r="I613" s="1" t="str">
        <f>IF(Teams[[#This Row],[relevant]], COUNTIFS(Fixtures[userTeam], Teams[[#This Row],[name]], Fixtures[result], "W", Fixtures[APP], TRUE), "")</f>
        <v/>
      </c>
      <c r="J613" s="1" t="str">
        <f>IF(Teams[[#This Row],[relevant]], COUNTIFS(Fixtures[userTeam], Teams[[#This Row],[name]], Fixtures[result], "D", Fixtures[APP], TRUE), "")</f>
        <v/>
      </c>
      <c r="K613" s="1" t="str">
        <f>IF(Teams[[#This Row],[relevant]], COUNTIFS(Fixtures[userTeam], Teams[[#This Row],[name]], Fixtures[result], "L", Fixtures[APP], TRUE), "")</f>
        <v/>
      </c>
      <c r="L613" s="1" t="str">
        <f>IF(Teams[[#This Row],[relevant]], SUMIFS(Fixtures[G], Fixtures[userTeam], Teams[[#This Row],[name]]), "")</f>
        <v/>
      </c>
      <c r="M613" s="1" t="str">
        <f>IF(Teams[[#This Row],[relevant]], SUMIFS(Fixtures[A], Fixtures[userTeam], Teams[[#This Row],[name]]), "")</f>
        <v/>
      </c>
      <c r="N613" s="1" t="str">
        <f>IF(Teams[[#This Row],[relevant]], SUMIFS(Fixtures[INV], Fixtures[userTeam], Teams[[#This Row],[name]]), "")</f>
        <v/>
      </c>
      <c r="O613" s="1" t="str">
        <f>IF(Teams[[#This Row],[relevant]], SUMIFS(Fixtures[YC], Fixtures[userTeam], Teams[[#This Row],[name]]), "")</f>
        <v/>
      </c>
      <c r="P613" s="1" t="str">
        <f>IF(Teams[[#This Row],[relevant]], SUMIFS(Fixtures[RC], Fixtures[userTeam], Teams[[#This Row],[name]]), "")</f>
        <v/>
      </c>
      <c r="Q613" s="13" t="str">
        <f>IF(Teams[[#This Row],[relevant]], IF(ISERROR(AVERAGEIFS(Fixtures[MR], Fixtures[userTeam], Teams[[#This Row],[name]])), 0, AVERAGEIFS(Fixtures[MR], Fixtures[userTeam], Teams[[#This Row],[name]])), "")</f>
        <v/>
      </c>
      <c r="R613" s="1" t="str">
        <f>IF(Teams[[#This Row],[relevant]], COUNTIFS(Fixtures[userTeam], Teams[[#This Row],[name]], Fixtures[MOTM], TRUE), "")</f>
        <v/>
      </c>
      <c r="S613" s="1" t="str" cm="1">
        <f t="array" ref="S613">IF(Teams[[#This Row],[relevant]], _xlfn.TEXTJOIN(", ", TRUE, _xlfn._xlws.FILTER(Stats[competition]&amp;" ("&amp;Stats[season]&amp;")",(Stats[team]=Teams[[#This Row],[name]])*(Stats[result]="Winner"),"")), "")</f>
        <v/>
      </c>
    </row>
    <row r="614" spans="1:19" ht="13" hidden="1">
      <c r="A614" s="1" t="s">
        <v>938</v>
      </c>
      <c r="B614" s="1" t="s">
        <v>401</v>
      </c>
      <c r="C614" s="1" t="s">
        <v>391</v>
      </c>
      <c r="D614" s="1" t="str">
        <f>UPPER(_xlfn.CONCAT(LEFT(Teams[[#This Row],[teamType]], 1), "-", LEFT(SUBSTITUTE(Teams[[#This Row],[nation]], "/", ""), 3), "-", SUBSTITUTE(SUBSTITUTE(SUBSTITUTE(Teams[[#This Row],[name]], ".", ""), " ", ""), "-", "")))</f>
        <v>C-SCO-STMIRREN</v>
      </c>
      <c r="E614" s="16"/>
      <c r="F614" s="16"/>
      <c r="G614" s="1" t="b">
        <f>COUNTBLANK(Teams[[#This Row],[startDate]:[endDate]]) &lt; 2</f>
        <v>0</v>
      </c>
      <c r="H614" s="1" t="str">
        <f>IF(Teams[[#This Row],[relevant]], COUNTIFS(Fixtures[userTeam], Teams[[#This Row],[name]], Fixtures[APP], TRUE), "")</f>
        <v/>
      </c>
      <c r="I614" s="1" t="str">
        <f>IF(Teams[[#This Row],[relevant]], COUNTIFS(Fixtures[userTeam], Teams[[#This Row],[name]], Fixtures[result], "W", Fixtures[APP], TRUE), "")</f>
        <v/>
      </c>
      <c r="J614" s="1" t="str">
        <f>IF(Teams[[#This Row],[relevant]], COUNTIFS(Fixtures[userTeam], Teams[[#This Row],[name]], Fixtures[result], "D", Fixtures[APP], TRUE), "")</f>
        <v/>
      </c>
      <c r="K614" s="1" t="str">
        <f>IF(Teams[[#This Row],[relevant]], COUNTIFS(Fixtures[userTeam], Teams[[#This Row],[name]], Fixtures[result], "L", Fixtures[APP], TRUE), "")</f>
        <v/>
      </c>
      <c r="L614" s="1" t="str">
        <f>IF(Teams[[#This Row],[relevant]], SUMIFS(Fixtures[G], Fixtures[userTeam], Teams[[#This Row],[name]]), "")</f>
        <v/>
      </c>
      <c r="M614" s="1" t="str">
        <f>IF(Teams[[#This Row],[relevant]], SUMIFS(Fixtures[A], Fixtures[userTeam], Teams[[#This Row],[name]]), "")</f>
        <v/>
      </c>
      <c r="N614" s="1" t="str">
        <f>IF(Teams[[#This Row],[relevant]], SUMIFS(Fixtures[INV], Fixtures[userTeam], Teams[[#This Row],[name]]), "")</f>
        <v/>
      </c>
      <c r="O614" s="1" t="str">
        <f>IF(Teams[[#This Row],[relevant]], SUMIFS(Fixtures[YC], Fixtures[userTeam], Teams[[#This Row],[name]]), "")</f>
        <v/>
      </c>
      <c r="P614" s="1" t="str">
        <f>IF(Teams[[#This Row],[relevant]], SUMIFS(Fixtures[RC], Fixtures[userTeam], Teams[[#This Row],[name]]), "")</f>
        <v/>
      </c>
      <c r="Q614" s="13" t="str">
        <f>IF(Teams[[#This Row],[relevant]], IF(ISERROR(AVERAGEIFS(Fixtures[MR], Fixtures[userTeam], Teams[[#This Row],[name]])), 0, AVERAGEIFS(Fixtures[MR], Fixtures[userTeam], Teams[[#This Row],[name]])), "")</f>
        <v/>
      </c>
      <c r="R614" s="1" t="str">
        <f>IF(Teams[[#This Row],[relevant]], COUNTIFS(Fixtures[userTeam], Teams[[#This Row],[name]], Fixtures[MOTM], TRUE), "")</f>
        <v/>
      </c>
      <c r="S614" s="1" t="str" cm="1">
        <f t="array" ref="S614">IF(Teams[[#This Row],[relevant]], _xlfn.TEXTJOIN(", ", TRUE, _xlfn._xlws.FILTER(Stats[competition]&amp;" ("&amp;Stats[season]&amp;")",(Stats[team]=Teams[[#This Row],[name]])*(Stats[result]="Winner"),"")), "")</f>
        <v/>
      </c>
    </row>
    <row r="615" spans="1:19" ht="13" hidden="1">
      <c r="A615" s="1" t="s">
        <v>135</v>
      </c>
      <c r="B615" s="1" t="s">
        <v>270</v>
      </c>
      <c r="C615" s="1" t="s">
        <v>391</v>
      </c>
      <c r="D615" s="1" t="str">
        <f>UPPER(_xlfn.CONCAT(LEFT(Teams[[#This Row],[teamType]], 1), "-", LEFT(SUBSTITUTE(Teams[[#This Row],[nation]], "/", ""), 3), "-", SUBSTITUTE(SUBSTITUTE(SUBSTITUTE(Teams[[#This Row],[name]], ".", ""), " ", ""), "-", "")))</f>
        <v>C-IRE-STPATS</v>
      </c>
      <c r="E615" s="16"/>
      <c r="F615" s="16"/>
      <c r="G615" s="1" t="b">
        <f>COUNTBLANK(Teams[[#This Row],[startDate]:[endDate]]) &lt; 2</f>
        <v>0</v>
      </c>
      <c r="H615" s="1" t="str">
        <f>IF(Teams[[#This Row],[relevant]], COUNTIFS(Fixtures[userTeam], Teams[[#This Row],[name]], Fixtures[APP], TRUE), "")</f>
        <v/>
      </c>
      <c r="I615" s="1" t="str">
        <f>IF(Teams[[#This Row],[relevant]], COUNTIFS(Fixtures[userTeam], Teams[[#This Row],[name]], Fixtures[result], "W", Fixtures[APP], TRUE), "")</f>
        <v/>
      </c>
      <c r="J615" s="1" t="str">
        <f>IF(Teams[[#This Row],[relevant]], COUNTIFS(Fixtures[userTeam], Teams[[#This Row],[name]], Fixtures[result], "D", Fixtures[APP], TRUE), "")</f>
        <v/>
      </c>
      <c r="K615" s="1" t="str">
        <f>IF(Teams[[#This Row],[relevant]], COUNTIFS(Fixtures[userTeam], Teams[[#This Row],[name]], Fixtures[result], "L", Fixtures[APP], TRUE), "")</f>
        <v/>
      </c>
      <c r="L615" s="1" t="str">
        <f>IF(Teams[[#This Row],[relevant]], SUMIFS(Fixtures[G], Fixtures[userTeam], Teams[[#This Row],[name]]), "")</f>
        <v/>
      </c>
      <c r="M615" s="1" t="str">
        <f>IF(Teams[[#This Row],[relevant]], SUMIFS(Fixtures[A], Fixtures[userTeam], Teams[[#This Row],[name]]), "")</f>
        <v/>
      </c>
      <c r="N615" s="1" t="str">
        <f>IF(Teams[[#This Row],[relevant]], SUMIFS(Fixtures[INV], Fixtures[userTeam], Teams[[#This Row],[name]]), "")</f>
        <v/>
      </c>
      <c r="O615" s="1" t="str">
        <f>IF(Teams[[#This Row],[relevant]], SUMIFS(Fixtures[YC], Fixtures[userTeam], Teams[[#This Row],[name]]), "")</f>
        <v/>
      </c>
      <c r="P615" s="1" t="str">
        <f>IF(Teams[[#This Row],[relevant]], SUMIFS(Fixtures[RC], Fixtures[userTeam], Teams[[#This Row],[name]]), "")</f>
        <v/>
      </c>
      <c r="Q615" s="13" t="str">
        <f>IF(Teams[[#This Row],[relevant]], IF(ISERROR(AVERAGEIFS(Fixtures[MR], Fixtures[userTeam], Teams[[#This Row],[name]])), 0, AVERAGEIFS(Fixtures[MR], Fixtures[userTeam], Teams[[#This Row],[name]])), "")</f>
        <v/>
      </c>
      <c r="R615" s="1" t="str">
        <f>IF(Teams[[#This Row],[relevant]], COUNTIFS(Fixtures[userTeam], Teams[[#This Row],[name]], Fixtures[MOTM], TRUE), "")</f>
        <v/>
      </c>
      <c r="S615" s="1" t="str" cm="1">
        <f t="array" ref="S615">IF(Teams[[#This Row],[relevant]], _xlfn.TEXTJOIN(", ", TRUE, _xlfn._xlws.FILTER(Stats[competition]&amp;" ("&amp;Stats[season]&amp;")",(Stats[team]=Teams[[#This Row],[name]])*(Stats[result]="Winner"),"")), "")</f>
        <v/>
      </c>
    </row>
    <row r="616" spans="1:19" ht="13" hidden="1">
      <c r="A616" s="1" t="s">
        <v>939</v>
      </c>
      <c r="B616" s="1" t="s">
        <v>339</v>
      </c>
      <c r="C616" s="1" t="s">
        <v>391</v>
      </c>
      <c r="D616" s="1" t="str">
        <f>UPPER(_xlfn.CONCAT(LEFT(Teams[[#This Row],[teamType]], 1), "-", LEFT(SUBSTITUTE(Teams[[#This Row],[nation]], "/", ""), 3), "-", SUBSTITUTE(SUBSTITUTE(SUBSTITUTE(Teams[[#This Row],[name]], ".", ""), " ", ""), "-", "")))</f>
        <v>C-FRA-STADEBRESTOIS29</v>
      </c>
      <c r="E616" s="16"/>
      <c r="F616" s="16"/>
      <c r="G616" s="1" t="b">
        <f>COUNTBLANK(Teams[[#This Row],[startDate]:[endDate]]) &lt; 2</f>
        <v>0</v>
      </c>
      <c r="H616" s="1" t="str">
        <f>IF(Teams[[#This Row],[relevant]], COUNTIFS(Fixtures[userTeam], Teams[[#This Row],[name]], Fixtures[APP], TRUE), "")</f>
        <v/>
      </c>
      <c r="I616" s="1" t="str">
        <f>IF(Teams[[#This Row],[relevant]], COUNTIFS(Fixtures[userTeam], Teams[[#This Row],[name]], Fixtures[result], "W", Fixtures[APP], TRUE), "")</f>
        <v/>
      </c>
      <c r="J616" s="1" t="str">
        <f>IF(Teams[[#This Row],[relevant]], COUNTIFS(Fixtures[userTeam], Teams[[#This Row],[name]], Fixtures[result], "D", Fixtures[APP], TRUE), "")</f>
        <v/>
      </c>
      <c r="K616" s="1" t="str">
        <f>IF(Teams[[#This Row],[relevant]], COUNTIFS(Fixtures[userTeam], Teams[[#This Row],[name]], Fixtures[result], "L", Fixtures[APP], TRUE), "")</f>
        <v/>
      </c>
      <c r="L616" s="1" t="str">
        <f>IF(Teams[[#This Row],[relevant]], SUMIFS(Fixtures[G], Fixtures[userTeam], Teams[[#This Row],[name]]), "")</f>
        <v/>
      </c>
      <c r="M616" s="1" t="str">
        <f>IF(Teams[[#This Row],[relevant]], SUMIFS(Fixtures[A], Fixtures[userTeam], Teams[[#This Row],[name]]), "")</f>
        <v/>
      </c>
      <c r="N616" s="1" t="str">
        <f>IF(Teams[[#This Row],[relevant]], SUMIFS(Fixtures[INV], Fixtures[userTeam], Teams[[#This Row],[name]]), "")</f>
        <v/>
      </c>
      <c r="O616" s="1" t="str">
        <f>IF(Teams[[#This Row],[relevant]], SUMIFS(Fixtures[YC], Fixtures[userTeam], Teams[[#This Row],[name]]), "")</f>
        <v/>
      </c>
      <c r="P616" s="1" t="str">
        <f>IF(Teams[[#This Row],[relevant]], SUMIFS(Fixtures[RC], Fixtures[userTeam], Teams[[#This Row],[name]]), "")</f>
        <v/>
      </c>
      <c r="Q616" s="13" t="str">
        <f>IF(Teams[[#This Row],[relevant]], IF(ISERROR(AVERAGEIFS(Fixtures[MR], Fixtures[userTeam], Teams[[#This Row],[name]])), 0, AVERAGEIFS(Fixtures[MR], Fixtures[userTeam], Teams[[#This Row],[name]])), "")</f>
        <v/>
      </c>
      <c r="R616" s="1" t="str">
        <f>IF(Teams[[#This Row],[relevant]], COUNTIFS(Fixtures[userTeam], Teams[[#This Row],[name]], Fixtures[MOTM], TRUE), "")</f>
        <v/>
      </c>
      <c r="S616" s="1" t="str" cm="1">
        <f t="array" ref="S616">IF(Teams[[#This Row],[relevant]], _xlfn.TEXTJOIN(", ", TRUE, _xlfn._xlws.FILTER(Stats[competition]&amp;" ("&amp;Stats[season]&amp;")",(Stats[team]=Teams[[#This Row],[name]])*(Stats[result]="Winner"),"")), "")</f>
        <v/>
      </c>
    </row>
    <row r="617" spans="1:19" ht="13" hidden="1">
      <c r="A617" s="1" t="s">
        <v>940</v>
      </c>
      <c r="B617" s="1" t="s">
        <v>339</v>
      </c>
      <c r="C617" s="1" t="s">
        <v>391</v>
      </c>
      <c r="D617" s="1" t="str">
        <f>UPPER(_xlfn.CONCAT(LEFT(Teams[[#This Row],[teamType]], 1), "-", LEFT(SUBSTITUTE(Teams[[#This Row],[nation]], "/", ""), 3), "-", SUBSTITUTE(SUBSTITUTE(SUBSTITUTE(Teams[[#This Row],[name]], ".", ""), " ", ""), "-", "")))</f>
        <v>C-FRA-STADEDEREIMS</v>
      </c>
      <c r="E617" s="16"/>
      <c r="F617" s="16"/>
      <c r="G617" s="1" t="b">
        <f>COUNTBLANK(Teams[[#This Row],[startDate]:[endDate]]) &lt; 2</f>
        <v>0</v>
      </c>
      <c r="H617" s="1" t="str">
        <f>IF(Teams[[#This Row],[relevant]], COUNTIFS(Fixtures[userTeam], Teams[[#This Row],[name]], Fixtures[APP], TRUE), "")</f>
        <v/>
      </c>
      <c r="I617" s="1" t="str">
        <f>IF(Teams[[#This Row],[relevant]], COUNTIFS(Fixtures[userTeam], Teams[[#This Row],[name]], Fixtures[result], "W", Fixtures[APP], TRUE), "")</f>
        <v/>
      </c>
      <c r="J617" s="1" t="str">
        <f>IF(Teams[[#This Row],[relevant]], COUNTIFS(Fixtures[userTeam], Teams[[#This Row],[name]], Fixtures[result], "D", Fixtures[APP], TRUE), "")</f>
        <v/>
      </c>
      <c r="K617" s="1" t="str">
        <f>IF(Teams[[#This Row],[relevant]], COUNTIFS(Fixtures[userTeam], Teams[[#This Row],[name]], Fixtures[result], "L", Fixtures[APP], TRUE), "")</f>
        <v/>
      </c>
      <c r="L617" s="1" t="str">
        <f>IF(Teams[[#This Row],[relevant]], SUMIFS(Fixtures[G], Fixtures[userTeam], Teams[[#This Row],[name]]), "")</f>
        <v/>
      </c>
      <c r="M617" s="1" t="str">
        <f>IF(Teams[[#This Row],[relevant]], SUMIFS(Fixtures[A], Fixtures[userTeam], Teams[[#This Row],[name]]), "")</f>
        <v/>
      </c>
      <c r="N617" s="1" t="str">
        <f>IF(Teams[[#This Row],[relevant]], SUMIFS(Fixtures[INV], Fixtures[userTeam], Teams[[#This Row],[name]]), "")</f>
        <v/>
      </c>
      <c r="O617" s="1" t="str">
        <f>IF(Teams[[#This Row],[relevant]], SUMIFS(Fixtures[YC], Fixtures[userTeam], Teams[[#This Row],[name]]), "")</f>
        <v/>
      </c>
      <c r="P617" s="1" t="str">
        <f>IF(Teams[[#This Row],[relevant]], SUMIFS(Fixtures[RC], Fixtures[userTeam], Teams[[#This Row],[name]]), "")</f>
        <v/>
      </c>
      <c r="Q617" s="13" t="str">
        <f>IF(Teams[[#This Row],[relevant]], IF(ISERROR(AVERAGEIFS(Fixtures[MR], Fixtures[userTeam], Teams[[#This Row],[name]])), 0, AVERAGEIFS(Fixtures[MR], Fixtures[userTeam], Teams[[#This Row],[name]])), "")</f>
        <v/>
      </c>
      <c r="R617" s="1" t="str">
        <f>IF(Teams[[#This Row],[relevant]], COUNTIFS(Fixtures[userTeam], Teams[[#This Row],[name]], Fixtures[MOTM], TRUE), "")</f>
        <v/>
      </c>
      <c r="S617" s="1" t="str" cm="1">
        <f t="array" ref="S617">IF(Teams[[#This Row],[relevant]], _xlfn.TEXTJOIN(", ", TRUE, _xlfn._xlws.FILTER(Stats[competition]&amp;" ("&amp;Stats[season]&amp;")",(Stats[team]=Teams[[#This Row],[name]])*(Stats[result]="Winner"),"")), "")</f>
        <v/>
      </c>
    </row>
    <row r="618" spans="1:19" ht="13" hidden="1">
      <c r="A618" s="1" t="s">
        <v>941</v>
      </c>
      <c r="B618" s="1" t="s">
        <v>339</v>
      </c>
      <c r="C618" s="1" t="s">
        <v>391</v>
      </c>
      <c r="D618" s="1" t="str">
        <f>UPPER(_xlfn.CONCAT(LEFT(Teams[[#This Row],[teamType]], 1), "-", LEFT(SUBSTITUTE(Teams[[#This Row],[nation]], "/", ""), 3), "-", SUBSTITUTE(SUBSTITUTE(SUBSTITUTE(Teams[[#This Row],[name]], ".", ""), " ", ""), "-", "")))</f>
        <v>C-FRA-STADELAVALLOIS</v>
      </c>
      <c r="E618" s="16"/>
      <c r="F618" s="16"/>
      <c r="G618" s="1" t="b">
        <f>COUNTBLANK(Teams[[#This Row],[startDate]:[endDate]]) &lt; 2</f>
        <v>0</v>
      </c>
      <c r="H618" s="1" t="str">
        <f>IF(Teams[[#This Row],[relevant]], COUNTIFS(Fixtures[userTeam], Teams[[#This Row],[name]], Fixtures[APP], TRUE), "")</f>
        <v/>
      </c>
      <c r="I618" s="1" t="str">
        <f>IF(Teams[[#This Row],[relevant]], COUNTIFS(Fixtures[userTeam], Teams[[#This Row],[name]], Fixtures[result], "W", Fixtures[APP], TRUE), "")</f>
        <v/>
      </c>
      <c r="J618" s="1" t="str">
        <f>IF(Teams[[#This Row],[relevant]], COUNTIFS(Fixtures[userTeam], Teams[[#This Row],[name]], Fixtures[result], "D", Fixtures[APP], TRUE), "")</f>
        <v/>
      </c>
      <c r="K618" s="1" t="str">
        <f>IF(Teams[[#This Row],[relevant]], COUNTIFS(Fixtures[userTeam], Teams[[#This Row],[name]], Fixtures[result], "L", Fixtures[APP], TRUE), "")</f>
        <v/>
      </c>
      <c r="L618" s="1" t="str">
        <f>IF(Teams[[#This Row],[relevant]], SUMIFS(Fixtures[G], Fixtures[userTeam], Teams[[#This Row],[name]]), "")</f>
        <v/>
      </c>
      <c r="M618" s="1" t="str">
        <f>IF(Teams[[#This Row],[relevant]], SUMIFS(Fixtures[A], Fixtures[userTeam], Teams[[#This Row],[name]]), "")</f>
        <v/>
      </c>
      <c r="N618" s="1" t="str">
        <f>IF(Teams[[#This Row],[relevant]], SUMIFS(Fixtures[INV], Fixtures[userTeam], Teams[[#This Row],[name]]), "")</f>
        <v/>
      </c>
      <c r="O618" s="1" t="str">
        <f>IF(Teams[[#This Row],[relevant]], SUMIFS(Fixtures[YC], Fixtures[userTeam], Teams[[#This Row],[name]]), "")</f>
        <v/>
      </c>
      <c r="P618" s="1" t="str">
        <f>IF(Teams[[#This Row],[relevant]], SUMIFS(Fixtures[RC], Fixtures[userTeam], Teams[[#This Row],[name]]), "")</f>
        <v/>
      </c>
      <c r="Q618" s="13" t="str">
        <f>IF(Teams[[#This Row],[relevant]], IF(ISERROR(AVERAGEIFS(Fixtures[MR], Fixtures[userTeam], Teams[[#This Row],[name]])), 0, AVERAGEIFS(Fixtures[MR], Fixtures[userTeam], Teams[[#This Row],[name]])), "")</f>
        <v/>
      </c>
      <c r="R618" s="1" t="str">
        <f>IF(Teams[[#This Row],[relevant]], COUNTIFS(Fixtures[userTeam], Teams[[#This Row],[name]], Fixtures[MOTM], TRUE), "")</f>
        <v/>
      </c>
      <c r="S618" s="1" t="str" cm="1">
        <f t="array" ref="S618">IF(Teams[[#This Row],[relevant]], _xlfn.TEXTJOIN(", ", TRUE, _xlfn._xlws.FILTER(Stats[competition]&amp;" ("&amp;Stats[season]&amp;")",(Stats[team]=Teams[[#This Row],[name]])*(Stats[result]="Winner"),"")), "")</f>
        <v/>
      </c>
    </row>
    <row r="619" spans="1:19" ht="13" hidden="1">
      <c r="A619" s="1" t="s">
        <v>942</v>
      </c>
      <c r="B619" s="1" t="s">
        <v>339</v>
      </c>
      <c r="C619" s="1" t="s">
        <v>391</v>
      </c>
      <c r="D619" s="1" t="str">
        <f>UPPER(_xlfn.CONCAT(LEFT(Teams[[#This Row],[teamType]], 1), "-", LEFT(SUBSTITUTE(Teams[[#This Row],[nation]], "/", ""), 3), "-", SUBSTITUTE(SUBSTITUTE(SUBSTITUTE(Teams[[#This Row],[name]], ".", ""), " ", ""), "-", "")))</f>
        <v>C-FRA-STADERENNAISFC</v>
      </c>
      <c r="E619" s="16"/>
      <c r="F619" s="16"/>
      <c r="G619" s="1" t="b">
        <f>COUNTBLANK(Teams[[#This Row],[startDate]:[endDate]]) &lt; 2</f>
        <v>0</v>
      </c>
      <c r="H619" s="1" t="str">
        <f>IF(Teams[[#This Row],[relevant]], COUNTIFS(Fixtures[userTeam], Teams[[#This Row],[name]], Fixtures[APP], TRUE), "")</f>
        <v/>
      </c>
      <c r="I619" s="1" t="str">
        <f>IF(Teams[[#This Row],[relevant]], COUNTIFS(Fixtures[userTeam], Teams[[#This Row],[name]], Fixtures[result], "W", Fixtures[APP], TRUE), "")</f>
        <v/>
      </c>
      <c r="J619" s="1" t="str">
        <f>IF(Teams[[#This Row],[relevant]], COUNTIFS(Fixtures[userTeam], Teams[[#This Row],[name]], Fixtures[result], "D", Fixtures[APP], TRUE), "")</f>
        <v/>
      </c>
      <c r="K619" s="1" t="str">
        <f>IF(Teams[[#This Row],[relevant]], COUNTIFS(Fixtures[userTeam], Teams[[#This Row],[name]], Fixtures[result], "L", Fixtures[APP], TRUE), "")</f>
        <v/>
      </c>
      <c r="L619" s="1" t="str">
        <f>IF(Teams[[#This Row],[relevant]], SUMIFS(Fixtures[G], Fixtures[userTeam], Teams[[#This Row],[name]]), "")</f>
        <v/>
      </c>
      <c r="M619" s="1" t="str">
        <f>IF(Teams[[#This Row],[relevant]], SUMIFS(Fixtures[A], Fixtures[userTeam], Teams[[#This Row],[name]]), "")</f>
        <v/>
      </c>
      <c r="N619" s="1" t="str">
        <f>IF(Teams[[#This Row],[relevant]], SUMIFS(Fixtures[INV], Fixtures[userTeam], Teams[[#This Row],[name]]), "")</f>
        <v/>
      </c>
      <c r="O619" s="1" t="str">
        <f>IF(Teams[[#This Row],[relevant]], SUMIFS(Fixtures[YC], Fixtures[userTeam], Teams[[#This Row],[name]]), "")</f>
        <v/>
      </c>
      <c r="P619" s="1" t="str">
        <f>IF(Teams[[#This Row],[relevant]], SUMIFS(Fixtures[RC], Fixtures[userTeam], Teams[[#This Row],[name]]), "")</f>
        <v/>
      </c>
      <c r="Q619" s="13" t="str">
        <f>IF(Teams[[#This Row],[relevant]], IF(ISERROR(AVERAGEIFS(Fixtures[MR], Fixtures[userTeam], Teams[[#This Row],[name]])), 0, AVERAGEIFS(Fixtures[MR], Fixtures[userTeam], Teams[[#This Row],[name]])), "")</f>
        <v/>
      </c>
      <c r="R619" s="1" t="str">
        <f>IF(Teams[[#This Row],[relevant]], COUNTIFS(Fixtures[userTeam], Teams[[#This Row],[name]], Fixtures[MOTM], TRUE), "")</f>
        <v/>
      </c>
      <c r="S619" s="1" t="str" cm="1">
        <f t="array" ref="S619">IF(Teams[[#This Row],[relevant]], _xlfn.TEXTJOIN(", ", TRUE, _xlfn._xlws.FILTER(Stats[competition]&amp;" ("&amp;Stats[season]&amp;")",(Stats[team]=Teams[[#This Row],[name]])*(Stats[result]="Winner"),"")), "")</f>
        <v/>
      </c>
    </row>
    <row r="620" spans="1:19" ht="13" hidden="1">
      <c r="A620" s="1" t="s">
        <v>943</v>
      </c>
      <c r="B620" s="1" t="s">
        <v>213</v>
      </c>
      <c r="C620" s="1" t="s">
        <v>391</v>
      </c>
      <c r="D620" s="1" t="str">
        <f>UPPER(_xlfn.CONCAT(LEFT(Teams[[#This Row],[teamType]], 1), "-", LEFT(SUBSTITUTE(Teams[[#This Row],[nation]], "/", ""), 3), "-", SUBSTITUTE(SUBSTITUTE(SUBSTITUTE(Teams[[#This Row],[name]], ".", ""), " ", ""), "-", "")))</f>
        <v>C-POL-STALMIELEC</v>
      </c>
      <c r="E620" s="16"/>
      <c r="F620" s="16"/>
      <c r="G620" s="1" t="b">
        <f>COUNTBLANK(Teams[[#This Row],[startDate]:[endDate]]) &lt; 2</f>
        <v>0</v>
      </c>
      <c r="H620" s="1" t="str">
        <f>IF(Teams[[#This Row],[relevant]], COUNTIFS(Fixtures[userTeam], Teams[[#This Row],[name]], Fixtures[APP], TRUE), "")</f>
        <v/>
      </c>
      <c r="I620" s="1" t="str">
        <f>IF(Teams[[#This Row],[relevant]], COUNTIFS(Fixtures[userTeam], Teams[[#This Row],[name]], Fixtures[result], "W", Fixtures[APP], TRUE), "")</f>
        <v/>
      </c>
      <c r="J620" s="1" t="str">
        <f>IF(Teams[[#This Row],[relevant]], COUNTIFS(Fixtures[userTeam], Teams[[#This Row],[name]], Fixtures[result], "D", Fixtures[APP], TRUE), "")</f>
        <v/>
      </c>
      <c r="K620" s="1" t="str">
        <f>IF(Teams[[#This Row],[relevant]], COUNTIFS(Fixtures[userTeam], Teams[[#This Row],[name]], Fixtures[result], "L", Fixtures[APP], TRUE), "")</f>
        <v/>
      </c>
      <c r="L620" s="1" t="str">
        <f>IF(Teams[[#This Row],[relevant]], SUMIFS(Fixtures[G], Fixtures[userTeam], Teams[[#This Row],[name]]), "")</f>
        <v/>
      </c>
      <c r="M620" s="1" t="str">
        <f>IF(Teams[[#This Row],[relevant]], SUMIFS(Fixtures[A], Fixtures[userTeam], Teams[[#This Row],[name]]), "")</f>
        <v/>
      </c>
      <c r="N620" s="1" t="str">
        <f>IF(Teams[[#This Row],[relevant]], SUMIFS(Fixtures[INV], Fixtures[userTeam], Teams[[#This Row],[name]]), "")</f>
        <v/>
      </c>
      <c r="O620" s="1" t="str">
        <f>IF(Teams[[#This Row],[relevant]], SUMIFS(Fixtures[YC], Fixtures[userTeam], Teams[[#This Row],[name]]), "")</f>
        <v/>
      </c>
      <c r="P620" s="1" t="str">
        <f>IF(Teams[[#This Row],[relevant]], SUMIFS(Fixtures[RC], Fixtures[userTeam], Teams[[#This Row],[name]]), "")</f>
        <v/>
      </c>
      <c r="Q620" s="13" t="str">
        <f>IF(Teams[[#This Row],[relevant]], IF(ISERROR(AVERAGEIFS(Fixtures[MR], Fixtures[userTeam], Teams[[#This Row],[name]])), 0, AVERAGEIFS(Fixtures[MR], Fixtures[userTeam], Teams[[#This Row],[name]])), "")</f>
        <v/>
      </c>
      <c r="R620" s="1" t="str">
        <f>IF(Teams[[#This Row],[relevant]], COUNTIFS(Fixtures[userTeam], Teams[[#This Row],[name]], Fixtures[MOTM], TRUE), "")</f>
        <v/>
      </c>
      <c r="S620" s="1" t="str" cm="1">
        <f t="array" ref="S620">IF(Teams[[#This Row],[relevant]], _xlfn.TEXTJOIN(", ", TRUE, _xlfn._xlws.FILTER(Stats[competition]&amp;" ("&amp;Stats[season]&amp;")",(Stats[team]=Teams[[#This Row],[name]])*(Stats[result]="Winner"),"")), "")</f>
        <v/>
      </c>
    </row>
    <row r="621" spans="1:19" ht="13" hidden="1">
      <c r="A621" s="1" t="s">
        <v>124</v>
      </c>
      <c r="B621" s="1" t="s">
        <v>144</v>
      </c>
      <c r="C621" s="1" t="s">
        <v>391</v>
      </c>
      <c r="D621" s="1" t="str">
        <f>UPPER(_xlfn.CONCAT(LEFT(Teams[[#This Row],[teamType]], 1), "-", LEFT(SUBSTITUTE(Teams[[#This Row],[nation]], "/", ""), 3), "-", SUBSTITUTE(SUBSTITUTE(SUBSTITUTE(Teams[[#This Row],[name]], ".", ""), " ", ""), "-", "")))</f>
        <v>C-BEL-STANDARDLIÈGE</v>
      </c>
      <c r="E621" s="16"/>
      <c r="F621" s="16"/>
      <c r="G621" s="1" t="b">
        <f>COUNTBLANK(Teams[[#This Row],[startDate]:[endDate]]) &lt; 2</f>
        <v>0</v>
      </c>
      <c r="H621" s="1" t="str">
        <f>IF(Teams[[#This Row],[relevant]], COUNTIFS(Fixtures[userTeam], Teams[[#This Row],[name]], Fixtures[APP], TRUE), "")</f>
        <v/>
      </c>
      <c r="I621" s="1" t="str">
        <f>IF(Teams[[#This Row],[relevant]], COUNTIFS(Fixtures[userTeam], Teams[[#This Row],[name]], Fixtures[result], "W", Fixtures[APP], TRUE), "")</f>
        <v/>
      </c>
      <c r="J621" s="1" t="str">
        <f>IF(Teams[[#This Row],[relevant]], COUNTIFS(Fixtures[userTeam], Teams[[#This Row],[name]], Fixtures[result], "D", Fixtures[APP], TRUE), "")</f>
        <v/>
      </c>
      <c r="K621" s="1" t="str">
        <f>IF(Teams[[#This Row],[relevant]], COUNTIFS(Fixtures[userTeam], Teams[[#This Row],[name]], Fixtures[result], "L", Fixtures[APP], TRUE), "")</f>
        <v/>
      </c>
      <c r="L621" s="1" t="str">
        <f>IF(Teams[[#This Row],[relevant]], SUMIFS(Fixtures[G], Fixtures[userTeam], Teams[[#This Row],[name]]), "")</f>
        <v/>
      </c>
      <c r="M621" s="1" t="str">
        <f>IF(Teams[[#This Row],[relevant]], SUMIFS(Fixtures[A], Fixtures[userTeam], Teams[[#This Row],[name]]), "")</f>
        <v/>
      </c>
      <c r="N621" s="1" t="str">
        <f>IF(Teams[[#This Row],[relevant]], SUMIFS(Fixtures[INV], Fixtures[userTeam], Teams[[#This Row],[name]]), "")</f>
        <v/>
      </c>
      <c r="O621" s="1" t="str">
        <f>IF(Teams[[#This Row],[relevant]], SUMIFS(Fixtures[YC], Fixtures[userTeam], Teams[[#This Row],[name]]), "")</f>
        <v/>
      </c>
      <c r="P621" s="1" t="str">
        <f>IF(Teams[[#This Row],[relevant]], SUMIFS(Fixtures[RC], Fixtures[userTeam], Teams[[#This Row],[name]]), "")</f>
        <v/>
      </c>
      <c r="Q621" s="13" t="str">
        <f>IF(Teams[[#This Row],[relevant]], IF(ISERROR(AVERAGEIFS(Fixtures[MR], Fixtures[userTeam], Teams[[#This Row],[name]])), 0, AVERAGEIFS(Fixtures[MR], Fixtures[userTeam], Teams[[#This Row],[name]])), "")</f>
        <v/>
      </c>
      <c r="R621" s="1" t="str">
        <f>IF(Teams[[#This Row],[relevant]], COUNTIFS(Fixtures[userTeam], Teams[[#This Row],[name]], Fixtures[MOTM], TRUE), "")</f>
        <v/>
      </c>
      <c r="S621" s="1" t="str" cm="1">
        <f t="array" ref="S621">IF(Teams[[#This Row],[relevant]], _xlfn.TEXTJOIN(", ", TRUE, _xlfn._xlws.FILTER(Stats[competition]&amp;" ("&amp;Stats[season]&amp;")",(Stats[team]=Teams[[#This Row],[name]])*(Stats[result]="Winner"),"")), "")</f>
        <v/>
      </c>
    </row>
    <row r="622" spans="1:19" ht="13" hidden="1">
      <c r="A622" s="1" t="s">
        <v>944</v>
      </c>
      <c r="B622" s="1" t="s">
        <v>152</v>
      </c>
      <c r="C622" s="1" t="s">
        <v>391</v>
      </c>
      <c r="D622" s="1" t="str">
        <f>UPPER(_xlfn.CONCAT(LEFT(Teams[[#This Row],[teamType]], 1), "-", LEFT(SUBSTITUTE(Teams[[#This Row],[nation]], "/", ""), 3), "-", SUBSTITUTE(SUBSTITUTE(SUBSTITUTE(Teams[[#This Row],[name]], ".", ""), " ", ""), "-", "")))</f>
        <v>C-ENG-STEVENAGE</v>
      </c>
      <c r="E622" s="16"/>
      <c r="F622" s="16"/>
      <c r="G622" s="1" t="b">
        <f>COUNTBLANK(Teams[[#This Row],[startDate]:[endDate]]) &lt; 2</f>
        <v>0</v>
      </c>
      <c r="H622" s="1" t="str">
        <f>IF(Teams[[#This Row],[relevant]], COUNTIFS(Fixtures[userTeam], Teams[[#This Row],[name]], Fixtures[APP], TRUE), "")</f>
        <v/>
      </c>
      <c r="I622" s="1" t="str">
        <f>IF(Teams[[#This Row],[relevant]], COUNTIFS(Fixtures[userTeam], Teams[[#This Row],[name]], Fixtures[result], "W", Fixtures[APP], TRUE), "")</f>
        <v/>
      </c>
      <c r="J622" s="1" t="str">
        <f>IF(Teams[[#This Row],[relevant]], COUNTIFS(Fixtures[userTeam], Teams[[#This Row],[name]], Fixtures[result], "D", Fixtures[APP], TRUE), "")</f>
        <v/>
      </c>
      <c r="K622" s="1" t="str">
        <f>IF(Teams[[#This Row],[relevant]], COUNTIFS(Fixtures[userTeam], Teams[[#This Row],[name]], Fixtures[result], "L", Fixtures[APP], TRUE), "")</f>
        <v/>
      </c>
      <c r="L622" s="1" t="str">
        <f>IF(Teams[[#This Row],[relevant]], SUMIFS(Fixtures[G], Fixtures[userTeam], Teams[[#This Row],[name]]), "")</f>
        <v/>
      </c>
      <c r="M622" s="1" t="str">
        <f>IF(Teams[[#This Row],[relevant]], SUMIFS(Fixtures[A], Fixtures[userTeam], Teams[[#This Row],[name]]), "")</f>
        <v/>
      </c>
      <c r="N622" s="1" t="str">
        <f>IF(Teams[[#This Row],[relevant]], SUMIFS(Fixtures[INV], Fixtures[userTeam], Teams[[#This Row],[name]]), "")</f>
        <v/>
      </c>
      <c r="O622" s="1" t="str">
        <f>IF(Teams[[#This Row],[relevant]], SUMIFS(Fixtures[YC], Fixtures[userTeam], Teams[[#This Row],[name]]), "")</f>
        <v/>
      </c>
      <c r="P622" s="1" t="str">
        <f>IF(Teams[[#This Row],[relevant]], SUMIFS(Fixtures[RC], Fixtures[userTeam], Teams[[#This Row],[name]]), "")</f>
        <v/>
      </c>
      <c r="Q622" s="13" t="str">
        <f>IF(Teams[[#This Row],[relevant]], IF(ISERROR(AVERAGEIFS(Fixtures[MR], Fixtures[userTeam], Teams[[#This Row],[name]])), 0, AVERAGEIFS(Fixtures[MR], Fixtures[userTeam], Teams[[#This Row],[name]])), "")</f>
        <v/>
      </c>
      <c r="R622" s="1" t="str">
        <f>IF(Teams[[#This Row],[relevant]], COUNTIFS(Fixtures[userTeam], Teams[[#This Row],[name]], Fixtures[MOTM], TRUE), "")</f>
        <v/>
      </c>
      <c r="S622" s="1" t="str" cm="1">
        <f t="array" ref="S622">IF(Teams[[#This Row],[relevant]], _xlfn.TEXTJOIN(", ", TRUE, _xlfn._xlws.FILTER(Stats[competition]&amp;" ("&amp;Stats[season]&amp;")",(Stats[team]=Teams[[#This Row],[name]])*(Stats[result]="Winner"),"")), "")</f>
        <v/>
      </c>
    </row>
    <row r="623" spans="1:19" ht="13" hidden="1">
      <c r="A623" s="1" t="s">
        <v>945</v>
      </c>
      <c r="B623" s="1" t="s">
        <v>152</v>
      </c>
      <c r="C623" s="1" t="s">
        <v>391</v>
      </c>
      <c r="D623" s="1" t="str">
        <f>UPPER(_xlfn.CONCAT(LEFT(Teams[[#This Row],[teamType]], 1), "-", LEFT(SUBSTITUTE(Teams[[#This Row],[nation]], "/", ""), 3), "-", SUBSTITUTE(SUBSTITUTE(SUBSTITUTE(Teams[[#This Row],[name]], ".", ""), " ", ""), "-", "")))</f>
        <v>C-ENG-STOCKPORT</v>
      </c>
      <c r="E623" s="16"/>
      <c r="F623" s="16"/>
      <c r="G623" s="1" t="b">
        <f>COUNTBLANK(Teams[[#This Row],[startDate]:[endDate]]) &lt; 2</f>
        <v>0</v>
      </c>
      <c r="H623" s="1" t="str">
        <f>IF(Teams[[#This Row],[relevant]], COUNTIFS(Fixtures[userTeam], Teams[[#This Row],[name]], Fixtures[APP], TRUE), "")</f>
        <v/>
      </c>
      <c r="I623" s="1" t="str">
        <f>IF(Teams[[#This Row],[relevant]], COUNTIFS(Fixtures[userTeam], Teams[[#This Row],[name]], Fixtures[result], "W", Fixtures[APP], TRUE), "")</f>
        <v/>
      </c>
      <c r="J623" s="1" t="str">
        <f>IF(Teams[[#This Row],[relevant]], COUNTIFS(Fixtures[userTeam], Teams[[#This Row],[name]], Fixtures[result], "D", Fixtures[APP], TRUE), "")</f>
        <v/>
      </c>
      <c r="K623" s="1" t="str">
        <f>IF(Teams[[#This Row],[relevant]], COUNTIFS(Fixtures[userTeam], Teams[[#This Row],[name]], Fixtures[result], "L", Fixtures[APP], TRUE), "")</f>
        <v/>
      </c>
      <c r="L623" s="1" t="str">
        <f>IF(Teams[[#This Row],[relevant]], SUMIFS(Fixtures[G], Fixtures[userTeam], Teams[[#This Row],[name]]), "")</f>
        <v/>
      </c>
      <c r="M623" s="1" t="str">
        <f>IF(Teams[[#This Row],[relevant]], SUMIFS(Fixtures[A], Fixtures[userTeam], Teams[[#This Row],[name]]), "")</f>
        <v/>
      </c>
      <c r="N623" s="1" t="str">
        <f>IF(Teams[[#This Row],[relevant]], SUMIFS(Fixtures[INV], Fixtures[userTeam], Teams[[#This Row],[name]]), "")</f>
        <v/>
      </c>
      <c r="O623" s="1" t="str">
        <f>IF(Teams[[#This Row],[relevant]], SUMIFS(Fixtures[YC], Fixtures[userTeam], Teams[[#This Row],[name]]), "")</f>
        <v/>
      </c>
      <c r="P623" s="1" t="str">
        <f>IF(Teams[[#This Row],[relevant]], SUMIFS(Fixtures[RC], Fixtures[userTeam], Teams[[#This Row],[name]]), "")</f>
        <v/>
      </c>
      <c r="Q623" s="13" t="str">
        <f>IF(Teams[[#This Row],[relevant]], IF(ISERROR(AVERAGEIFS(Fixtures[MR], Fixtures[userTeam], Teams[[#This Row],[name]])), 0, AVERAGEIFS(Fixtures[MR], Fixtures[userTeam], Teams[[#This Row],[name]])), "")</f>
        <v/>
      </c>
      <c r="R623" s="1" t="str">
        <f>IF(Teams[[#This Row],[relevant]], COUNTIFS(Fixtures[userTeam], Teams[[#This Row],[name]], Fixtures[MOTM], TRUE), "")</f>
        <v/>
      </c>
      <c r="S623" s="1" t="str" cm="1">
        <f t="array" ref="S623">IF(Teams[[#This Row],[relevant]], _xlfn.TEXTJOIN(", ", TRUE, _xlfn._xlws.FILTER(Stats[competition]&amp;" ("&amp;Stats[season]&amp;")",(Stats[team]=Teams[[#This Row],[name]])*(Stats[result]="Winner"),"")), "")</f>
        <v/>
      </c>
    </row>
    <row r="624" spans="1:19" ht="13" hidden="1">
      <c r="A624" s="1" t="s">
        <v>206</v>
      </c>
      <c r="B624" s="1" t="s">
        <v>152</v>
      </c>
      <c r="C624" s="1" t="s">
        <v>391</v>
      </c>
      <c r="D624" s="1" t="str">
        <f>UPPER(_xlfn.CONCAT(LEFT(Teams[[#This Row],[teamType]], 1), "-", LEFT(SUBSTITUTE(Teams[[#This Row],[nation]], "/", ""), 3), "-", SUBSTITUTE(SUBSTITUTE(SUBSTITUTE(Teams[[#This Row],[name]], ".", ""), " ", ""), "-", "")))</f>
        <v>C-ENG-STOKECITY</v>
      </c>
      <c r="E624" s="16"/>
      <c r="F624" s="16"/>
      <c r="G624" s="1" t="b">
        <f>COUNTBLANK(Teams[[#This Row],[startDate]:[endDate]]) &lt; 2</f>
        <v>0</v>
      </c>
      <c r="H624" s="1" t="str">
        <f>IF(Teams[[#This Row],[relevant]], COUNTIFS(Fixtures[userTeam], Teams[[#This Row],[name]], Fixtures[APP], TRUE), "")</f>
        <v/>
      </c>
      <c r="I624" s="1" t="str">
        <f>IF(Teams[[#This Row],[relevant]], COUNTIFS(Fixtures[userTeam], Teams[[#This Row],[name]], Fixtures[result], "W", Fixtures[APP], TRUE), "")</f>
        <v/>
      </c>
      <c r="J624" s="1" t="str">
        <f>IF(Teams[[#This Row],[relevant]], COUNTIFS(Fixtures[userTeam], Teams[[#This Row],[name]], Fixtures[result], "D", Fixtures[APP], TRUE), "")</f>
        <v/>
      </c>
      <c r="K624" s="1" t="str">
        <f>IF(Teams[[#This Row],[relevant]], COUNTIFS(Fixtures[userTeam], Teams[[#This Row],[name]], Fixtures[result], "L", Fixtures[APP], TRUE), "")</f>
        <v/>
      </c>
      <c r="L624" s="1" t="str">
        <f>IF(Teams[[#This Row],[relevant]], SUMIFS(Fixtures[G], Fixtures[userTeam], Teams[[#This Row],[name]]), "")</f>
        <v/>
      </c>
      <c r="M624" s="1" t="str">
        <f>IF(Teams[[#This Row],[relevant]], SUMIFS(Fixtures[A], Fixtures[userTeam], Teams[[#This Row],[name]]), "")</f>
        <v/>
      </c>
      <c r="N624" s="1" t="str">
        <f>IF(Teams[[#This Row],[relevant]], SUMIFS(Fixtures[INV], Fixtures[userTeam], Teams[[#This Row],[name]]), "")</f>
        <v/>
      </c>
      <c r="O624" s="1" t="str">
        <f>IF(Teams[[#This Row],[relevant]], SUMIFS(Fixtures[YC], Fixtures[userTeam], Teams[[#This Row],[name]]), "")</f>
        <v/>
      </c>
      <c r="P624" s="1" t="str">
        <f>IF(Teams[[#This Row],[relevant]], SUMIFS(Fixtures[RC], Fixtures[userTeam], Teams[[#This Row],[name]]), "")</f>
        <v/>
      </c>
      <c r="Q624" s="13" t="str">
        <f>IF(Teams[[#This Row],[relevant]], IF(ISERROR(AVERAGEIFS(Fixtures[MR], Fixtures[userTeam], Teams[[#This Row],[name]])), 0, AVERAGEIFS(Fixtures[MR], Fixtures[userTeam], Teams[[#This Row],[name]])), "")</f>
        <v/>
      </c>
      <c r="R624" s="1" t="str">
        <f>IF(Teams[[#This Row],[relevant]], COUNTIFS(Fixtures[userTeam], Teams[[#This Row],[name]], Fixtures[MOTM], TRUE), "")</f>
        <v/>
      </c>
      <c r="S624" s="1" t="str" cm="1">
        <f t="array" ref="S624">IF(Teams[[#This Row],[relevant]], _xlfn.TEXTJOIN(", ", TRUE, _xlfn._xlws.FILTER(Stats[competition]&amp;" ("&amp;Stats[season]&amp;")",(Stats[team]=Teams[[#This Row],[name]])*(Stats[result]="Winner"),"")), "")</f>
        <v/>
      </c>
    </row>
    <row r="625" spans="1:19" ht="13" hidden="1">
      <c r="A625" s="1" t="s">
        <v>946</v>
      </c>
      <c r="B625" s="1" t="s">
        <v>339</v>
      </c>
      <c r="C625" s="1" t="s">
        <v>391</v>
      </c>
      <c r="D625" s="1" t="str">
        <f>UPPER(_xlfn.CONCAT(LEFT(Teams[[#This Row],[teamType]], 1), "-", LEFT(SUBSTITUTE(Teams[[#This Row],[nation]], "/", ""), 3), "-", SUBSTITUTE(SUBSTITUTE(SUBSTITUTE(Teams[[#This Row],[name]], ".", ""), " ", ""), "-", "")))</f>
        <v>C-FRA-STRASBOURG</v>
      </c>
      <c r="E625" s="16"/>
      <c r="F625" s="16"/>
      <c r="G625" s="1" t="b">
        <f>COUNTBLANK(Teams[[#This Row],[startDate]:[endDate]]) &lt; 2</f>
        <v>0</v>
      </c>
      <c r="H625" s="1" t="str">
        <f>IF(Teams[[#This Row],[relevant]], COUNTIFS(Fixtures[userTeam], Teams[[#This Row],[name]], Fixtures[APP], TRUE), "")</f>
        <v/>
      </c>
      <c r="I625" s="1" t="str">
        <f>IF(Teams[[#This Row],[relevant]], COUNTIFS(Fixtures[userTeam], Teams[[#This Row],[name]], Fixtures[result], "W", Fixtures[APP], TRUE), "")</f>
        <v/>
      </c>
      <c r="J625" s="1" t="str">
        <f>IF(Teams[[#This Row],[relevant]], COUNTIFS(Fixtures[userTeam], Teams[[#This Row],[name]], Fixtures[result], "D", Fixtures[APP], TRUE), "")</f>
        <v/>
      </c>
      <c r="K625" s="1" t="str">
        <f>IF(Teams[[#This Row],[relevant]], COUNTIFS(Fixtures[userTeam], Teams[[#This Row],[name]], Fixtures[result], "L", Fixtures[APP], TRUE), "")</f>
        <v/>
      </c>
      <c r="L625" s="1" t="str">
        <f>IF(Teams[[#This Row],[relevant]], SUMIFS(Fixtures[G], Fixtures[userTeam], Teams[[#This Row],[name]]), "")</f>
        <v/>
      </c>
      <c r="M625" s="1" t="str">
        <f>IF(Teams[[#This Row],[relevant]], SUMIFS(Fixtures[A], Fixtures[userTeam], Teams[[#This Row],[name]]), "")</f>
        <v/>
      </c>
      <c r="N625" s="1" t="str">
        <f>IF(Teams[[#This Row],[relevant]], SUMIFS(Fixtures[INV], Fixtures[userTeam], Teams[[#This Row],[name]]), "")</f>
        <v/>
      </c>
      <c r="O625" s="1" t="str">
        <f>IF(Teams[[#This Row],[relevant]], SUMIFS(Fixtures[YC], Fixtures[userTeam], Teams[[#This Row],[name]]), "")</f>
        <v/>
      </c>
      <c r="P625" s="1" t="str">
        <f>IF(Teams[[#This Row],[relevant]], SUMIFS(Fixtures[RC], Fixtures[userTeam], Teams[[#This Row],[name]]), "")</f>
        <v/>
      </c>
      <c r="Q625" s="13" t="str">
        <f>IF(Teams[[#This Row],[relevant]], IF(ISERROR(AVERAGEIFS(Fixtures[MR], Fixtures[userTeam], Teams[[#This Row],[name]])), 0, AVERAGEIFS(Fixtures[MR], Fixtures[userTeam], Teams[[#This Row],[name]])), "")</f>
        <v/>
      </c>
      <c r="R625" s="1" t="str">
        <f>IF(Teams[[#This Row],[relevant]], COUNTIFS(Fixtures[userTeam], Teams[[#This Row],[name]], Fixtures[MOTM], TRUE), "")</f>
        <v/>
      </c>
      <c r="S625" s="1" t="str" cm="1">
        <f t="array" ref="S625">IF(Teams[[#This Row],[relevant]], _xlfn.TEXTJOIN(", ", TRUE, _xlfn._xlws.FILTER(Stats[competition]&amp;" ("&amp;Stats[season]&amp;")",(Stats[team]=Teams[[#This Row],[name]])*(Stats[result]="Winner"),"")), "")</f>
        <v/>
      </c>
    </row>
    <row r="626" spans="1:19" ht="13" hidden="1">
      <c r="A626" s="1" t="s">
        <v>947</v>
      </c>
      <c r="B626" s="1" t="s">
        <v>286</v>
      </c>
      <c r="C626" s="1" t="s">
        <v>391</v>
      </c>
      <c r="D626" s="1" t="str">
        <f>UPPER(_xlfn.CONCAT(LEFT(Teams[[#This Row],[teamType]], 1), "-", LEFT(SUBSTITUTE(Teams[[#This Row],[nation]], "/", ""), 3), "-", SUBSTITUTE(SUBSTITUTE(SUBSTITUTE(Teams[[#This Row],[name]], ".", ""), " ", ""), "-", "")))</f>
        <v>C-NOR-STRØMSGODSETIF</v>
      </c>
      <c r="E626" s="16"/>
      <c r="F626" s="16"/>
      <c r="G626" s="1" t="b">
        <f>COUNTBLANK(Teams[[#This Row],[startDate]:[endDate]]) &lt; 2</f>
        <v>0</v>
      </c>
      <c r="H626" s="1" t="str">
        <f>IF(Teams[[#This Row],[relevant]], COUNTIFS(Fixtures[userTeam], Teams[[#This Row],[name]], Fixtures[APP], TRUE), "")</f>
        <v/>
      </c>
      <c r="I626" s="1" t="str">
        <f>IF(Teams[[#This Row],[relevant]], COUNTIFS(Fixtures[userTeam], Teams[[#This Row],[name]], Fixtures[result], "W", Fixtures[APP], TRUE), "")</f>
        <v/>
      </c>
      <c r="J626" s="1" t="str">
        <f>IF(Teams[[#This Row],[relevant]], COUNTIFS(Fixtures[userTeam], Teams[[#This Row],[name]], Fixtures[result], "D", Fixtures[APP], TRUE), "")</f>
        <v/>
      </c>
      <c r="K626" s="1" t="str">
        <f>IF(Teams[[#This Row],[relevant]], COUNTIFS(Fixtures[userTeam], Teams[[#This Row],[name]], Fixtures[result], "L", Fixtures[APP], TRUE), "")</f>
        <v/>
      </c>
      <c r="L626" s="1" t="str">
        <f>IF(Teams[[#This Row],[relevant]], SUMIFS(Fixtures[G], Fixtures[userTeam], Teams[[#This Row],[name]]), "")</f>
        <v/>
      </c>
      <c r="M626" s="1" t="str">
        <f>IF(Teams[[#This Row],[relevant]], SUMIFS(Fixtures[A], Fixtures[userTeam], Teams[[#This Row],[name]]), "")</f>
        <v/>
      </c>
      <c r="N626" s="1" t="str">
        <f>IF(Teams[[#This Row],[relevant]], SUMIFS(Fixtures[INV], Fixtures[userTeam], Teams[[#This Row],[name]]), "")</f>
        <v/>
      </c>
      <c r="O626" s="1" t="str">
        <f>IF(Teams[[#This Row],[relevant]], SUMIFS(Fixtures[YC], Fixtures[userTeam], Teams[[#This Row],[name]]), "")</f>
        <v/>
      </c>
      <c r="P626" s="1" t="str">
        <f>IF(Teams[[#This Row],[relevant]], SUMIFS(Fixtures[RC], Fixtures[userTeam], Teams[[#This Row],[name]]), "")</f>
        <v/>
      </c>
      <c r="Q626" s="13" t="str">
        <f>IF(Teams[[#This Row],[relevant]], IF(ISERROR(AVERAGEIFS(Fixtures[MR], Fixtures[userTeam], Teams[[#This Row],[name]])), 0, AVERAGEIFS(Fixtures[MR], Fixtures[userTeam], Teams[[#This Row],[name]])), "")</f>
        <v/>
      </c>
      <c r="R626" s="1" t="str">
        <f>IF(Teams[[#This Row],[relevant]], COUNTIFS(Fixtures[userTeam], Teams[[#This Row],[name]], Fixtures[MOTM], TRUE), "")</f>
        <v/>
      </c>
      <c r="S626" s="1" t="str" cm="1">
        <f t="array" ref="S626">IF(Teams[[#This Row],[relevant]], _xlfn.TEXTJOIN(", ", TRUE, _xlfn._xlws.FILTER(Stats[competition]&amp;" ("&amp;Stats[season]&amp;")",(Stats[team]=Teams[[#This Row],[name]])*(Stats[result]="Winner"),"")), "")</f>
        <v/>
      </c>
    </row>
    <row r="627" spans="1:19" ht="13" hidden="1">
      <c r="A627" s="1" t="s">
        <v>132</v>
      </c>
      <c r="B627" s="1" t="s">
        <v>144</v>
      </c>
      <c r="C627" s="1" t="s">
        <v>391</v>
      </c>
      <c r="D627" s="1" t="str">
        <f>UPPER(_xlfn.CONCAT(LEFT(Teams[[#This Row],[teamType]], 1), "-", LEFT(SUBSTITUTE(Teams[[#This Row],[nation]], "/", ""), 3), "-", SUBSTITUTE(SUBSTITUTE(SUBSTITUTE(Teams[[#This Row],[name]], ".", ""), " ", ""), "-", "")))</f>
        <v>C-BEL-STVV</v>
      </c>
      <c r="E627" s="16"/>
      <c r="F627" s="16"/>
      <c r="G627" s="1" t="b">
        <f>COUNTBLANK(Teams[[#This Row],[startDate]:[endDate]]) &lt; 2</f>
        <v>0</v>
      </c>
      <c r="H627" s="1" t="str">
        <f>IF(Teams[[#This Row],[relevant]], COUNTIFS(Fixtures[userTeam], Teams[[#This Row],[name]], Fixtures[APP], TRUE), "")</f>
        <v/>
      </c>
      <c r="I627" s="1" t="str">
        <f>IF(Teams[[#This Row],[relevant]], COUNTIFS(Fixtures[userTeam], Teams[[#This Row],[name]], Fixtures[result], "W", Fixtures[APP], TRUE), "")</f>
        <v/>
      </c>
      <c r="J627" s="1" t="str">
        <f>IF(Teams[[#This Row],[relevant]], COUNTIFS(Fixtures[userTeam], Teams[[#This Row],[name]], Fixtures[result], "D", Fixtures[APP], TRUE), "")</f>
        <v/>
      </c>
      <c r="K627" s="1" t="str">
        <f>IF(Teams[[#This Row],[relevant]], COUNTIFS(Fixtures[userTeam], Teams[[#This Row],[name]], Fixtures[result], "L", Fixtures[APP], TRUE), "")</f>
        <v/>
      </c>
      <c r="L627" s="1" t="str">
        <f>IF(Teams[[#This Row],[relevant]], SUMIFS(Fixtures[G], Fixtures[userTeam], Teams[[#This Row],[name]]), "")</f>
        <v/>
      </c>
      <c r="M627" s="1" t="str">
        <f>IF(Teams[[#This Row],[relevant]], SUMIFS(Fixtures[A], Fixtures[userTeam], Teams[[#This Row],[name]]), "")</f>
        <v/>
      </c>
      <c r="N627" s="1" t="str">
        <f>IF(Teams[[#This Row],[relevant]], SUMIFS(Fixtures[INV], Fixtures[userTeam], Teams[[#This Row],[name]]), "")</f>
        <v/>
      </c>
      <c r="O627" s="1" t="str">
        <f>IF(Teams[[#This Row],[relevant]], SUMIFS(Fixtures[YC], Fixtures[userTeam], Teams[[#This Row],[name]]), "")</f>
        <v/>
      </c>
      <c r="P627" s="1" t="str">
        <f>IF(Teams[[#This Row],[relevant]], SUMIFS(Fixtures[RC], Fixtures[userTeam], Teams[[#This Row],[name]]), "")</f>
        <v/>
      </c>
      <c r="Q627" s="13" t="str">
        <f>IF(Teams[[#This Row],[relevant]], IF(ISERROR(AVERAGEIFS(Fixtures[MR], Fixtures[userTeam], Teams[[#This Row],[name]])), 0, AVERAGEIFS(Fixtures[MR], Fixtures[userTeam], Teams[[#This Row],[name]])), "")</f>
        <v/>
      </c>
      <c r="R627" s="1" t="str">
        <f>IF(Teams[[#This Row],[relevant]], COUNTIFS(Fixtures[userTeam], Teams[[#This Row],[name]], Fixtures[MOTM], TRUE), "")</f>
        <v/>
      </c>
      <c r="S627" s="1" t="str" cm="1">
        <f t="array" ref="S627">IF(Teams[[#This Row],[relevant]], _xlfn.TEXTJOIN(", ", TRUE, _xlfn._xlws.FILTER(Stats[competition]&amp;" ("&amp;Stats[season]&amp;")",(Stats[team]=Teams[[#This Row],[name]])*(Stats[result]="Winner"),"")), "")</f>
        <v/>
      </c>
    </row>
    <row r="628" spans="1:19" ht="13" hidden="1">
      <c r="A628" s="1" t="s">
        <v>948</v>
      </c>
      <c r="B628" s="1" t="s">
        <v>254</v>
      </c>
      <c r="C628" s="1" t="s">
        <v>391</v>
      </c>
      <c r="D628" s="1" t="str">
        <f>UPPER(_xlfn.CONCAT(LEFT(Teams[[#This Row],[teamType]], 1), "-", LEFT(SUBSTITUTE(Teams[[#This Row],[nation]], "/", ""), 3), "-", SUBSTITUTE(SUBSTITUTE(SUBSTITUTE(Teams[[#This Row],[name]], ".", ""), " ", ""), "-", "")))</f>
        <v>C-ITA-SÜDTIROL</v>
      </c>
      <c r="E628" s="16"/>
      <c r="F628" s="16"/>
      <c r="G628" s="1" t="b">
        <f>COUNTBLANK(Teams[[#This Row],[startDate]:[endDate]]) &lt; 2</f>
        <v>0</v>
      </c>
      <c r="H628" s="1" t="str">
        <f>IF(Teams[[#This Row],[relevant]], COUNTIFS(Fixtures[userTeam], Teams[[#This Row],[name]], Fixtures[APP], TRUE), "")</f>
        <v/>
      </c>
      <c r="I628" s="1" t="str">
        <f>IF(Teams[[#This Row],[relevant]], COUNTIFS(Fixtures[userTeam], Teams[[#This Row],[name]], Fixtures[result], "W", Fixtures[APP], TRUE), "")</f>
        <v/>
      </c>
      <c r="J628" s="1" t="str">
        <f>IF(Teams[[#This Row],[relevant]], COUNTIFS(Fixtures[userTeam], Teams[[#This Row],[name]], Fixtures[result], "D", Fixtures[APP], TRUE), "")</f>
        <v/>
      </c>
      <c r="K628" s="1" t="str">
        <f>IF(Teams[[#This Row],[relevant]], COUNTIFS(Fixtures[userTeam], Teams[[#This Row],[name]], Fixtures[result], "L", Fixtures[APP], TRUE), "")</f>
        <v/>
      </c>
      <c r="L628" s="1" t="str">
        <f>IF(Teams[[#This Row],[relevant]], SUMIFS(Fixtures[G], Fixtures[userTeam], Teams[[#This Row],[name]]), "")</f>
        <v/>
      </c>
      <c r="M628" s="1" t="str">
        <f>IF(Teams[[#This Row],[relevant]], SUMIFS(Fixtures[A], Fixtures[userTeam], Teams[[#This Row],[name]]), "")</f>
        <v/>
      </c>
      <c r="N628" s="1" t="str">
        <f>IF(Teams[[#This Row],[relevant]], SUMIFS(Fixtures[INV], Fixtures[userTeam], Teams[[#This Row],[name]]), "")</f>
        <v/>
      </c>
      <c r="O628" s="1" t="str">
        <f>IF(Teams[[#This Row],[relevant]], SUMIFS(Fixtures[YC], Fixtures[userTeam], Teams[[#This Row],[name]]), "")</f>
        <v/>
      </c>
      <c r="P628" s="1" t="str">
        <f>IF(Teams[[#This Row],[relevant]], SUMIFS(Fixtures[RC], Fixtures[userTeam], Teams[[#This Row],[name]]), "")</f>
        <v/>
      </c>
      <c r="Q628" s="13" t="str">
        <f>IF(Teams[[#This Row],[relevant]], IF(ISERROR(AVERAGEIFS(Fixtures[MR], Fixtures[userTeam], Teams[[#This Row],[name]])), 0, AVERAGEIFS(Fixtures[MR], Fixtures[userTeam], Teams[[#This Row],[name]])), "")</f>
        <v/>
      </c>
      <c r="R628" s="1" t="str">
        <f>IF(Teams[[#This Row],[relevant]], COUNTIFS(Fixtures[userTeam], Teams[[#This Row],[name]], Fixtures[MOTM], TRUE), "")</f>
        <v/>
      </c>
      <c r="S628" s="1" t="str" cm="1">
        <f t="array" ref="S628">IF(Teams[[#This Row],[relevant]], _xlfn.TEXTJOIN(", ", TRUE, _xlfn._xlws.FILTER(Stats[competition]&amp;" ("&amp;Stats[season]&amp;")",(Stats[team]=Teams[[#This Row],[name]])*(Stats[result]="Winner"),"")), "")</f>
        <v/>
      </c>
    </row>
    <row r="629" spans="1:19" ht="13" hidden="1">
      <c r="A629" s="1" t="s">
        <v>179</v>
      </c>
      <c r="B629" s="1" t="s">
        <v>152</v>
      </c>
      <c r="C629" s="1" t="s">
        <v>391</v>
      </c>
      <c r="D629" s="1" t="str">
        <f>UPPER(_xlfn.CONCAT(LEFT(Teams[[#This Row],[teamType]], 1), "-", LEFT(SUBSTITUTE(Teams[[#This Row],[nation]], "/", ""), 3), "-", SUBSTITUTE(SUBSTITUTE(SUBSTITUTE(Teams[[#This Row],[name]], ".", ""), " ", ""), "-", "")))</f>
        <v>C-ENG-SUNDERLAND</v>
      </c>
      <c r="E629" s="16"/>
      <c r="F629" s="16"/>
      <c r="G629" s="1" t="b">
        <f>COUNTBLANK(Teams[[#This Row],[startDate]:[endDate]]) &lt; 2</f>
        <v>0</v>
      </c>
      <c r="H629" s="1" t="str">
        <f>IF(Teams[[#This Row],[relevant]], COUNTIFS(Fixtures[userTeam], Teams[[#This Row],[name]], Fixtures[APP], TRUE), "")</f>
        <v/>
      </c>
      <c r="I629" s="1" t="str">
        <f>IF(Teams[[#This Row],[relevant]], COUNTIFS(Fixtures[userTeam], Teams[[#This Row],[name]], Fixtures[result], "W", Fixtures[APP], TRUE), "")</f>
        <v/>
      </c>
      <c r="J629" s="1" t="str">
        <f>IF(Teams[[#This Row],[relevant]], COUNTIFS(Fixtures[userTeam], Teams[[#This Row],[name]], Fixtures[result], "D", Fixtures[APP], TRUE), "")</f>
        <v/>
      </c>
      <c r="K629" s="1" t="str">
        <f>IF(Teams[[#This Row],[relevant]], COUNTIFS(Fixtures[userTeam], Teams[[#This Row],[name]], Fixtures[result], "L", Fixtures[APP], TRUE), "")</f>
        <v/>
      </c>
      <c r="L629" s="1" t="str">
        <f>IF(Teams[[#This Row],[relevant]], SUMIFS(Fixtures[G], Fixtures[userTeam], Teams[[#This Row],[name]]), "")</f>
        <v/>
      </c>
      <c r="M629" s="1" t="str">
        <f>IF(Teams[[#This Row],[relevant]], SUMIFS(Fixtures[A], Fixtures[userTeam], Teams[[#This Row],[name]]), "")</f>
        <v/>
      </c>
      <c r="N629" s="1" t="str">
        <f>IF(Teams[[#This Row],[relevant]], SUMIFS(Fixtures[INV], Fixtures[userTeam], Teams[[#This Row],[name]]), "")</f>
        <v/>
      </c>
      <c r="O629" s="1" t="str">
        <f>IF(Teams[[#This Row],[relevant]], SUMIFS(Fixtures[YC], Fixtures[userTeam], Teams[[#This Row],[name]]), "")</f>
        <v/>
      </c>
      <c r="P629" s="1" t="str">
        <f>IF(Teams[[#This Row],[relevant]], SUMIFS(Fixtures[RC], Fixtures[userTeam], Teams[[#This Row],[name]]), "")</f>
        <v/>
      </c>
      <c r="Q629" s="13" t="str">
        <f>IF(Teams[[#This Row],[relevant]], IF(ISERROR(AVERAGEIFS(Fixtures[MR], Fixtures[userTeam], Teams[[#This Row],[name]])), 0, AVERAGEIFS(Fixtures[MR], Fixtures[userTeam], Teams[[#This Row],[name]])), "")</f>
        <v/>
      </c>
      <c r="R629" s="1" t="str">
        <f>IF(Teams[[#This Row],[relevant]], COUNTIFS(Fixtures[userTeam], Teams[[#This Row],[name]], Fixtures[MOTM], TRUE), "")</f>
        <v/>
      </c>
      <c r="S629" s="1" t="str" cm="1">
        <f t="array" ref="S629">IF(Teams[[#This Row],[relevant]], _xlfn.TEXTJOIN(", ", TRUE, _xlfn._xlws.FILTER(Stats[competition]&amp;" ("&amp;Stats[season]&amp;")",(Stats[team]=Teams[[#This Row],[name]])*(Stats[result]="Winner"),"")), "")</f>
        <v/>
      </c>
    </row>
    <row r="630" spans="1:19" ht="13" hidden="1">
      <c r="A630" s="1" t="s">
        <v>949</v>
      </c>
      <c r="B630" s="1" t="s">
        <v>152</v>
      </c>
      <c r="C630" s="1" t="s">
        <v>391</v>
      </c>
      <c r="D630" s="1" t="str">
        <f>UPPER(_xlfn.CONCAT(LEFT(Teams[[#This Row],[teamType]], 1), "-", LEFT(SUBSTITUTE(Teams[[#This Row],[nation]], "/", ""), 3), "-", SUBSTITUTE(SUBSTITUTE(SUBSTITUTE(Teams[[#This Row],[name]], ".", ""), " ", ""), "-", "")))</f>
        <v>C-ENG-SUTTONUNITED</v>
      </c>
      <c r="E630" s="16"/>
      <c r="F630" s="16"/>
      <c r="G630" s="1" t="b">
        <f>COUNTBLANK(Teams[[#This Row],[startDate]:[endDate]]) &lt; 2</f>
        <v>0</v>
      </c>
      <c r="H630" s="1" t="str">
        <f>IF(Teams[[#This Row],[relevant]], COUNTIFS(Fixtures[userTeam], Teams[[#This Row],[name]], Fixtures[APP], TRUE), "")</f>
        <v/>
      </c>
      <c r="I630" s="1" t="str">
        <f>IF(Teams[[#This Row],[relevant]], COUNTIFS(Fixtures[userTeam], Teams[[#This Row],[name]], Fixtures[result], "W", Fixtures[APP], TRUE), "")</f>
        <v/>
      </c>
      <c r="J630" s="1" t="str">
        <f>IF(Teams[[#This Row],[relevant]], COUNTIFS(Fixtures[userTeam], Teams[[#This Row],[name]], Fixtures[result], "D", Fixtures[APP], TRUE), "")</f>
        <v/>
      </c>
      <c r="K630" s="1" t="str">
        <f>IF(Teams[[#This Row],[relevant]], COUNTIFS(Fixtures[userTeam], Teams[[#This Row],[name]], Fixtures[result], "L", Fixtures[APP], TRUE), "")</f>
        <v/>
      </c>
      <c r="L630" s="1" t="str">
        <f>IF(Teams[[#This Row],[relevant]], SUMIFS(Fixtures[G], Fixtures[userTeam], Teams[[#This Row],[name]]), "")</f>
        <v/>
      </c>
      <c r="M630" s="1" t="str">
        <f>IF(Teams[[#This Row],[relevant]], SUMIFS(Fixtures[A], Fixtures[userTeam], Teams[[#This Row],[name]]), "")</f>
        <v/>
      </c>
      <c r="N630" s="1" t="str">
        <f>IF(Teams[[#This Row],[relevant]], SUMIFS(Fixtures[INV], Fixtures[userTeam], Teams[[#This Row],[name]]), "")</f>
        <v/>
      </c>
      <c r="O630" s="1" t="str">
        <f>IF(Teams[[#This Row],[relevant]], SUMIFS(Fixtures[YC], Fixtures[userTeam], Teams[[#This Row],[name]]), "")</f>
        <v/>
      </c>
      <c r="P630" s="1" t="str">
        <f>IF(Teams[[#This Row],[relevant]], SUMIFS(Fixtures[RC], Fixtures[userTeam], Teams[[#This Row],[name]]), "")</f>
        <v/>
      </c>
      <c r="Q630" s="13" t="str">
        <f>IF(Teams[[#This Row],[relevant]], IF(ISERROR(AVERAGEIFS(Fixtures[MR], Fixtures[userTeam], Teams[[#This Row],[name]])), 0, AVERAGEIFS(Fixtures[MR], Fixtures[userTeam], Teams[[#This Row],[name]])), "")</f>
        <v/>
      </c>
      <c r="R630" s="1" t="str">
        <f>IF(Teams[[#This Row],[relevant]], COUNTIFS(Fixtures[userTeam], Teams[[#This Row],[name]], Fixtures[MOTM], TRUE), "")</f>
        <v/>
      </c>
      <c r="S630" s="1" t="str" cm="1">
        <f t="array" ref="S630">IF(Teams[[#This Row],[relevant]], _xlfn.TEXTJOIN(", ", TRUE, _xlfn._xlws.FILTER(Stats[competition]&amp;" ("&amp;Stats[season]&amp;")",(Stats[team]=Teams[[#This Row],[name]])*(Stats[result]="Winner"),"")), "")</f>
        <v/>
      </c>
    </row>
    <row r="631" spans="1:19" ht="13" hidden="1">
      <c r="A631" s="1" t="s">
        <v>950</v>
      </c>
      <c r="B631" s="1" t="s">
        <v>568</v>
      </c>
      <c r="C631" s="1" t="s">
        <v>391</v>
      </c>
      <c r="D631" s="1" t="str">
        <f>UPPER(_xlfn.CONCAT(LEFT(Teams[[#This Row],[teamType]], 1), "-", LEFT(SUBSTITUTE(Teams[[#This Row],[nation]], "/", ""), 3), "-", SUBSTITUTE(SUBSTITUTE(SUBSTITUTE(Teams[[#This Row],[name]], ".", ""), " ", ""), "-", "")))</f>
        <v>C-KOR-SUWONFC</v>
      </c>
      <c r="E631" s="16"/>
      <c r="F631" s="16"/>
      <c r="G631" s="1" t="b">
        <f>COUNTBLANK(Teams[[#This Row],[startDate]:[endDate]]) &lt; 2</f>
        <v>0</v>
      </c>
      <c r="H631" s="1" t="str">
        <f>IF(Teams[[#This Row],[relevant]], COUNTIFS(Fixtures[userTeam], Teams[[#This Row],[name]], Fixtures[APP], TRUE), "")</f>
        <v/>
      </c>
      <c r="I631" s="1" t="str">
        <f>IF(Teams[[#This Row],[relevant]], COUNTIFS(Fixtures[userTeam], Teams[[#This Row],[name]], Fixtures[result], "W", Fixtures[APP], TRUE), "")</f>
        <v/>
      </c>
      <c r="J631" s="1" t="str">
        <f>IF(Teams[[#This Row],[relevant]], COUNTIFS(Fixtures[userTeam], Teams[[#This Row],[name]], Fixtures[result], "D", Fixtures[APP], TRUE), "")</f>
        <v/>
      </c>
      <c r="K631" s="1" t="str">
        <f>IF(Teams[[#This Row],[relevant]], COUNTIFS(Fixtures[userTeam], Teams[[#This Row],[name]], Fixtures[result], "L", Fixtures[APP], TRUE), "")</f>
        <v/>
      </c>
      <c r="L631" s="1" t="str">
        <f>IF(Teams[[#This Row],[relevant]], SUMIFS(Fixtures[G], Fixtures[userTeam], Teams[[#This Row],[name]]), "")</f>
        <v/>
      </c>
      <c r="M631" s="1" t="str">
        <f>IF(Teams[[#This Row],[relevant]], SUMIFS(Fixtures[A], Fixtures[userTeam], Teams[[#This Row],[name]]), "")</f>
        <v/>
      </c>
      <c r="N631" s="1" t="str">
        <f>IF(Teams[[#This Row],[relevant]], SUMIFS(Fixtures[INV], Fixtures[userTeam], Teams[[#This Row],[name]]), "")</f>
        <v/>
      </c>
      <c r="O631" s="1" t="str">
        <f>IF(Teams[[#This Row],[relevant]], SUMIFS(Fixtures[YC], Fixtures[userTeam], Teams[[#This Row],[name]]), "")</f>
        <v/>
      </c>
      <c r="P631" s="1" t="str">
        <f>IF(Teams[[#This Row],[relevant]], SUMIFS(Fixtures[RC], Fixtures[userTeam], Teams[[#This Row],[name]]), "")</f>
        <v/>
      </c>
      <c r="Q631" s="13" t="str">
        <f>IF(Teams[[#This Row],[relevant]], IF(ISERROR(AVERAGEIFS(Fixtures[MR], Fixtures[userTeam], Teams[[#This Row],[name]])), 0, AVERAGEIFS(Fixtures[MR], Fixtures[userTeam], Teams[[#This Row],[name]])), "")</f>
        <v/>
      </c>
      <c r="R631" s="1" t="str">
        <f>IF(Teams[[#This Row],[relevant]], COUNTIFS(Fixtures[userTeam], Teams[[#This Row],[name]], Fixtures[MOTM], TRUE), "")</f>
        <v/>
      </c>
      <c r="S631" s="1" t="str" cm="1">
        <f t="array" ref="S631">IF(Teams[[#This Row],[relevant]], _xlfn.TEXTJOIN(", ", TRUE, _xlfn._xlws.FILTER(Stats[competition]&amp;" ("&amp;Stats[season]&amp;")",(Stats[team]=Teams[[#This Row],[name]])*(Stats[result]="Winner"),"")), "")</f>
        <v/>
      </c>
    </row>
    <row r="632" spans="1:19" ht="13" hidden="1">
      <c r="A632" s="1" t="s">
        <v>951</v>
      </c>
      <c r="B632" s="1" t="s">
        <v>568</v>
      </c>
      <c r="C632" s="1" t="s">
        <v>391</v>
      </c>
      <c r="D632" s="1" t="str">
        <f>UPPER(_xlfn.CONCAT(LEFT(Teams[[#This Row],[teamType]], 1), "-", LEFT(SUBSTITUTE(Teams[[#This Row],[nation]], "/", ""), 3), "-", SUBSTITUTE(SUBSTITUTE(SUBSTITUTE(Teams[[#This Row],[name]], ".", ""), " ", ""), "-", "")))</f>
        <v>C-KOR-SUWONSAMSUNG</v>
      </c>
      <c r="E632" s="16"/>
      <c r="F632" s="16"/>
      <c r="G632" s="1" t="b">
        <f>COUNTBLANK(Teams[[#This Row],[startDate]:[endDate]]) &lt; 2</f>
        <v>0</v>
      </c>
      <c r="H632" s="1" t="str">
        <f>IF(Teams[[#This Row],[relevant]], COUNTIFS(Fixtures[userTeam], Teams[[#This Row],[name]], Fixtures[APP], TRUE), "")</f>
        <v/>
      </c>
      <c r="I632" s="1" t="str">
        <f>IF(Teams[[#This Row],[relevant]], COUNTIFS(Fixtures[userTeam], Teams[[#This Row],[name]], Fixtures[result], "W", Fixtures[APP], TRUE), "")</f>
        <v/>
      </c>
      <c r="J632" s="1" t="str">
        <f>IF(Teams[[#This Row],[relevant]], COUNTIFS(Fixtures[userTeam], Teams[[#This Row],[name]], Fixtures[result], "D", Fixtures[APP], TRUE), "")</f>
        <v/>
      </c>
      <c r="K632" s="1" t="str">
        <f>IF(Teams[[#This Row],[relevant]], COUNTIFS(Fixtures[userTeam], Teams[[#This Row],[name]], Fixtures[result], "L", Fixtures[APP], TRUE), "")</f>
        <v/>
      </c>
      <c r="L632" s="1" t="str">
        <f>IF(Teams[[#This Row],[relevant]], SUMIFS(Fixtures[G], Fixtures[userTeam], Teams[[#This Row],[name]]), "")</f>
        <v/>
      </c>
      <c r="M632" s="1" t="str">
        <f>IF(Teams[[#This Row],[relevant]], SUMIFS(Fixtures[A], Fixtures[userTeam], Teams[[#This Row],[name]]), "")</f>
        <v/>
      </c>
      <c r="N632" s="1" t="str">
        <f>IF(Teams[[#This Row],[relevant]], SUMIFS(Fixtures[INV], Fixtures[userTeam], Teams[[#This Row],[name]]), "")</f>
        <v/>
      </c>
      <c r="O632" s="1" t="str">
        <f>IF(Teams[[#This Row],[relevant]], SUMIFS(Fixtures[YC], Fixtures[userTeam], Teams[[#This Row],[name]]), "")</f>
        <v/>
      </c>
      <c r="P632" s="1" t="str">
        <f>IF(Teams[[#This Row],[relevant]], SUMIFS(Fixtures[RC], Fixtures[userTeam], Teams[[#This Row],[name]]), "")</f>
        <v/>
      </c>
      <c r="Q632" s="13" t="str">
        <f>IF(Teams[[#This Row],[relevant]], IF(ISERROR(AVERAGEIFS(Fixtures[MR], Fixtures[userTeam], Teams[[#This Row],[name]])), 0, AVERAGEIFS(Fixtures[MR], Fixtures[userTeam], Teams[[#This Row],[name]])), "")</f>
        <v/>
      </c>
      <c r="R632" s="1" t="str">
        <f>IF(Teams[[#This Row],[relevant]], COUNTIFS(Fixtures[userTeam], Teams[[#This Row],[name]], Fixtures[MOTM], TRUE), "")</f>
        <v/>
      </c>
      <c r="S632" s="1" t="str" cm="1">
        <f t="array" ref="S632">IF(Teams[[#This Row],[relevant]], _xlfn.TEXTJOIN(", ", TRUE, _xlfn._xlws.FILTER(Stats[competition]&amp;" ("&amp;Stats[season]&amp;")",(Stats[team]=Teams[[#This Row],[name]])*(Stats[result]="Winner"),"")), "")</f>
        <v/>
      </c>
    </row>
    <row r="633" spans="1:19" ht="13" hidden="1">
      <c r="A633" s="1" t="s">
        <v>348</v>
      </c>
      <c r="B633" s="1" t="s">
        <v>337</v>
      </c>
      <c r="C633" s="1" t="s">
        <v>391</v>
      </c>
      <c r="D633" s="1" t="str">
        <f>UPPER(_xlfn.CONCAT(LEFT(Teams[[#This Row],[teamType]], 1), "-", LEFT(SUBSTITUTE(Teams[[#This Row],[nation]], "/", ""), 3), "-", SUBSTITUTE(SUBSTITUTE(SUBSTITUTE(Teams[[#This Row],[name]], ".", ""), " ", ""), "-", "")))</f>
        <v>C-GER-SVDARMSTADT98</v>
      </c>
      <c r="E633" s="16"/>
      <c r="F633" s="16"/>
      <c r="G633" s="1" t="b">
        <f>COUNTBLANK(Teams[[#This Row],[startDate]:[endDate]]) &lt; 2</f>
        <v>0</v>
      </c>
      <c r="H633" s="1" t="str">
        <f>IF(Teams[[#This Row],[relevant]], COUNTIFS(Fixtures[userTeam], Teams[[#This Row],[name]], Fixtures[APP], TRUE), "")</f>
        <v/>
      </c>
      <c r="I633" s="1" t="str">
        <f>IF(Teams[[#This Row],[relevant]], COUNTIFS(Fixtures[userTeam], Teams[[#This Row],[name]], Fixtures[result], "W", Fixtures[APP], TRUE), "")</f>
        <v/>
      </c>
      <c r="J633" s="1" t="str">
        <f>IF(Teams[[#This Row],[relevant]], COUNTIFS(Fixtures[userTeam], Teams[[#This Row],[name]], Fixtures[result], "D", Fixtures[APP], TRUE), "")</f>
        <v/>
      </c>
      <c r="K633" s="1" t="str">
        <f>IF(Teams[[#This Row],[relevant]], COUNTIFS(Fixtures[userTeam], Teams[[#This Row],[name]], Fixtures[result], "L", Fixtures[APP], TRUE), "")</f>
        <v/>
      </c>
      <c r="L633" s="1" t="str">
        <f>IF(Teams[[#This Row],[relevant]], SUMIFS(Fixtures[G], Fixtures[userTeam], Teams[[#This Row],[name]]), "")</f>
        <v/>
      </c>
      <c r="M633" s="1" t="str">
        <f>IF(Teams[[#This Row],[relevant]], SUMIFS(Fixtures[A], Fixtures[userTeam], Teams[[#This Row],[name]]), "")</f>
        <v/>
      </c>
      <c r="N633" s="1" t="str">
        <f>IF(Teams[[#This Row],[relevant]], SUMIFS(Fixtures[INV], Fixtures[userTeam], Teams[[#This Row],[name]]), "")</f>
        <v/>
      </c>
      <c r="O633" s="1" t="str">
        <f>IF(Teams[[#This Row],[relevant]], SUMIFS(Fixtures[YC], Fixtures[userTeam], Teams[[#This Row],[name]]), "")</f>
        <v/>
      </c>
      <c r="P633" s="1" t="str">
        <f>IF(Teams[[#This Row],[relevant]], SUMIFS(Fixtures[RC], Fixtures[userTeam], Teams[[#This Row],[name]]), "")</f>
        <v/>
      </c>
      <c r="Q633" s="13" t="str">
        <f>IF(Teams[[#This Row],[relevant]], IF(ISERROR(AVERAGEIFS(Fixtures[MR], Fixtures[userTeam], Teams[[#This Row],[name]])), 0, AVERAGEIFS(Fixtures[MR], Fixtures[userTeam], Teams[[#This Row],[name]])), "")</f>
        <v/>
      </c>
      <c r="R633" s="1" t="str">
        <f>IF(Teams[[#This Row],[relevant]], COUNTIFS(Fixtures[userTeam], Teams[[#This Row],[name]], Fixtures[MOTM], TRUE), "")</f>
        <v/>
      </c>
      <c r="S633" s="1" t="str" cm="1">
        <f t="array" ref="S633">IF(Teams[[#This Row],[relevant]], _xlfn.TEXTJOIN(", ", TRUE, _xlfn._xlws.FILTER(Stats[competition]&amp;" ("&amp;Stats[season]&amp;")",(Stats[team]=Teams[[#This Row],[name]])*(Stats[result]="Winner"),"")), "")</f>
        <v/>
      </c>
    </row>
    <row r="634" spans="1:19" ht="13" hidden="1">
      <c r="A634" s="1" t="s">
        <v>952</v>
      </c>
      <c r="B634" s="1" t="s">
        <v>337</v>
      </c>
      <c r="C634" s="1" t="s">
        <v>391</v>
      </c>
      <c r="D634" s="1" t="str">
        <f>UPPER(_xlfn.CONCAT(LEFT(Teams[[#This Row],[teamType]], 1), "-", LEFT(SUBSTITUTE(Teams[[#This Row],[nation]], "/", ""), 3), "-", SUBSTITUTE(SUBSTITUTE(SUBSTITUTE(Teams[[#This Row],[name]], ".", ""), " ", ""), "-", "")))</f>
        <v>C-GER-SVELVERSBERG</v>
      </c>
      <c r="E634" s="16"/>
      <c r="F634" s="16"/>
      <c r="G634" s="1" t="b">
        <f>COUNTBLANK(Teams[[#This Row],[startDate]:[endDate]]) &lt; 2</f>
        <v>0</v>
      </c>
      <c r="H634" s="1" t="str">
        <f>IF(Teams[[#This Row],[relevant]], COUNTIFS(Fixtures[userTeam], Teams[[#This Row],[name]], Fixtures[APP], TRUE), "")</f>
        <v/>
      </c>
      <c r="I634" s="1" t="str">
        <f>IF(Teams[[#This Row],[relevant]], COUNTIFS(Fixtures[userTeam], Teams[[#This Row],[name]], Fixtures[result], "W", Fixtures[APP], TRUE), "")</f>
        <v/>
      </c>
      <c r="J634" s="1" t="str">
        <f>IF(Teams[[#This Row],[relevant]], COUNTIFS(Fixtures[userTeam], Teams[[#This Row],[name]], Fixtures[result], "D", Fixtures[APP], TRUE), "")</f>
        <v/>
      </c>
      <c r="K634" s="1" t="str">
        <f>IF(Teams[[#This Row],[relevant]], COUNTIFS(Fixtures[userTeam], Teams[[#This Row],[name]], Fixtures[result], "L", Fixtures[APP], TRUE), "")</f>
        <v/>
      </c>
      <c r="L634" s="1" t="str">
        <f>IF(Teams[[#This Row],[relevant]], SUMIFS(Fixtures[G], Fixtures[userTeam], Teams[[#This Row],[name]]), "")</f>
        <v/>
      </c>
      <c r="M634" s="1" t="str">
        <f>IF(Teams[[#This Row],[relevant]], SUMIFS(Fixtures[A], Fixtures[userTeam], Teams[[#This Row],[name]]), "")</f>
        <v/>
      </c>
      <c r="N634" s="1" t="str">
        <f>IF(Teams[[#This Row],[relevant]], SUMIFS(Fixtures[INV], Fixtures[userTeam], Teams[[#This Row],[name]]), "")</f>
        <v/>
      </c>
      <c r="O634" s="1" t="str">
        <f>IF(Teams[[#This Row],[relevant]], SUMIFS(Fixtures[YC], Fixtures[userTeam], Teams[[#This Row],[name]]), "")</f>
        <v/>
      </c>
      <c r="P634" s="1" t="str">
        <f>IF(Teams[[#This Row],[relevant]], SUMIFS(Fixtures[RC], Fixtures[userTeam], Teams[[#This Row],[name]]), "")</f>
        <v/>
      </c>
      <c r="Q634" s="13" t="str">
        <f>IF(Teams[[#This Row],[relevant]], IF(ISERROR(AVERAGEIFS(Fixtures[MR], Fixtures[userTeam], Teams[[#This Row],[name]])), 0, AVERAGEIFS(Fixtures[MR], Fixtures[userTeam], Teams[[#This Row],[name]])), "")</f>
        <v/>
      </c>
      <c r="R634" s="1" t="str">
        <f>IF(Teams[[#This Row],[relevant]], COUNTIFS(Fixtures[userTeam], Teams[[#This Row],[name]], Fixtures[MOTM], TRUE), "")</f>
        <v/>
      </c>
      <c r="S634" s="1" t="str" cm="1">
        <f t="array" ref="S634">IF(Teams[[#This Row],[relevant]], _xlfn.TEXTJOIN(", ", TRUE, _xlfn._xlws.FILTER(Stats[competition]&amp;" ("&amp;Stats[season]&amp;")",(Stats[team]=Teams[[#This Row],[name]])*(Stats[result]="Winner"),"")), "")</f>
        <v/>
      </c>
    </row>
    <row r="635" spans="1:19" ht="13" hidden="1">
      <c r="A635" s="1" t="s">
        <v>953</v>
      </c>
      <c r="B635" s="1" t="s">
        <v>337</v>
      </c>
      <c r="C635" s="1" t="s">
        <v>391</v>
      </c>
      <c r="D635" s="1" t="str">
        <f>UPPER(_xlfn.CONCAT(LEFT(Teams[[#This Row],[teamType]], 1), "-", LEFT(SUBSTITUTE(Teams[[#This Row],[nation]], "/", ""), 3), "-", SUBSTITUTE(SUBSTITUTE(SUBSTITUTE(Teams[[#This Row],[name]], ".", ""), " ", ""), "-", "")))</f>
        <v>C-GER-SVMEPPEN</v>
      </c>
      <c r="E635" s="16"/>
      <c r="F635" s="16"/>
      <c r="G635" s="1" t="b">
        <f>COUNTBLANK(Teams[[#This Row],[startDate]:[endDate]]) &lt; 2</f>
        <v>0</v>
      </c>
      <c r="H635" s="1" t="str">
        <f>IF(Teams[[#This Row],[relevant]], COUNTIFS(Fixtures[userTeam], Teams[[#This Row],[name]], Fixtures[APP], TRUE), "")</f>
        <v/>
      </c>
      <c r="I635" s="1" t="str">
        <f>IF(Teams[[#This Row],[relevant]], COUNTIFS(Fixtures[userTeam], Teams[[#This Row],[name]], Fixtures[result], "W", Fixtures[APP], TRUE), "")</f>
        <v/>
      </c>
      <c r="J635" s="1" t="str">
        <f>IF(Teams[[#This Row],[relevant]], COUNTIFS(Fixtures[userTeam], Teams[[#This Row],[name]], Fixtures[result], "D", Fixtures[APP], TRUE), "")</f>
        <v/>
      </c>
      <c r="K635" s="1" t="str">
        <f>IF(Teams[[#This Row],[relevant]], COUNTIFS(Fixtures[userTeam], Teams[[#This Row],[name]], Fixtures[result], "L", Fixtures[APP], TRUE), "")</f>
        <v/>
      </c>
      <c r="L635" s="1" t="str">
        <f>IF(Teams[[#This Row],[relevant]], SUMIFS(Fixtures[G], Fixtures[userTeam], Teams[[#This Row],[name]]), "")</f>
        <v/>
      </c>
      <c r="M635" s="1" t="str">
        <f>IF(Teams[[#This Row],[relevant]], SUMIFS(Fixtures[A], Fixtures[userTeam], Teams[[#This Row],[name]]), "")</f>
        <v/>
      </c>
      <c r="N635" s="1" t="str">
        <f>IF(Teams[[#This Row],[relevant]], SUMIFS(Fixtures[INV], Fixtures[userTeam], Teams[[#This Row],[name]]), "")</f>
        <v/>
      </c>
      <c r="O635" s="1" t="str">
        <f>IF(Teams[[#This Row],[relevant]], SUMIFS(Fixtures[YC], Fixtures[userTeam], Teams[[#This Row],[name]]), "")</f>
        <v/>
      </c>
      <c r="P635" s="1" t="str">
        <f>IF(Teams[[#This Row],[relevant]], SUMIFS(Fixtures[RC], Fixtures[userTeam], Teams[[#This Row],[name]]), "")</f>
        <v/>
      </c>
      <c r="Q635" s="13" t="str">
        <f>IF(Teams[[#This Row],[relevant]], IF(ISERROR(AVERAGEIFS(Fixtures[MR], Fixtures[userTeam], Teams[[#This Row],[name]])), 0, AVERAGEIFS(Fixtures[MR], Fixtures[userTeam], Teams[[#This Row],[name]])), "")</f>
        <v/>
      </c>
      <c r="R635" s="1" t="str">
        <f>IF(Teams[[#This Row],[relevant]], COUNTIFS(Fixtures[userTeam], Teams[[#This Row],[name]], Fixtures[MOTM], TRUE), "")</f>
        <v/>
      </c>
      <c r="S635" s="1" t="str" cm="1">
        <f t="array" ref="S635">IF(Teams[[#This Row],[relevant]], _xlfn.TEXTJOIN(", ", TRUE, _xlfn._xlws.FILTER(Stats[competition]&amp;" ("&amp;Stats[season]&amp;")",(Stats[team]=Teams[[#This Row],[name]])*(Stats[result]="Winner"),"")), "")</f>
        <v/>
      </c>
    </row>
    <row r="636" spans="1:19" ht="13" hidden="1">
      <c r="A636" s="1" t="s">
        <v>954</v>
      </c>
      <c r="B636" s="1" t="s">
        <v>414</v>
      </c>
      <c r="C636" s="1" t="s">
        <v>391</v>
      </c>
      <c r="D636" s="1" t="str">
        <f>UPPER(_xlfn.CONCAT(LEFT(Teams[[#This Row],[teamType]], 1), "-", LEFT(SUBSTITUTE(Teams[[#This Row],[nation]], "/", ""), 3), "-", SUBSTITUTE(SUBSTITUTE(SUBSTITUTE(Teams[[#This Row],[name]], ".", ""), " ", ""), "-", "")))</f>
        <v>C-AUS-SVRIED</v>
      </c>
      <c r="E636" s="16"/>
      <c r="F636" s="16"/>
      <c r="G636" s="1" t="b">
        <f>COUNTBLANK(Teams[[#This Row],[startDate]:[endDate]]) &lt; 2</f>
        <v>0</v>
      </c>
      <c r="H636" s="1" t="str">
        <f>IF(Teams[[#This Row],[relevant]], COUNTIFS(Fixtures[userTeam], Teams[[#This Row],[name]], Fixtures[APP], TRUE), "")</f>
        <v/>
      </c>
      <c r="I636" s="1" t="str">
        <f>IF(Teams[[#This Row],[relevant]], COUNTIFS(Fixtures[userTeam], Teams[[#This Row],[name]], Fixtures[result], "W", Fixtures[APP], TRUE), "")</f>
        <v/>
      </c>
      <c r="J636" s="1" t="str">
        <f>IF(Teams[[#This Row],[relevant]], COUNTIFS(Fixtures[userTeam], Teams[[#This Row],[name]], Fixtures[result], "D", Fixtures[APP], TRUE), "")</f>
        <v/>
      </c>
      <c r="K636" s="1" t="str">
        <f>IF(Teams[[#This Row],[relevant]], COUNTIFS(Fixtures[userTeam], Teams[[#This Row],[name]], Fixtures[result], "L", Fixtures[APP], TRUE), "")</f>
        <v/>
      </c>
      <c r="L636" s="1" t="str">
        <f>IF(Teams[[#This Row],[relevant]], SUMIFS(Fixtures[G], Fixtures[userTeam], Teams[[#This Row],[name]]), "")</f>
        <v/>
      </c>
      <c r="M636" s="1" t="str">
        <f>IF(Teams[[#This Row],[relevant]], SUMIFS(Fixtures[A], Fixtures[userTeam], Teams[[#This Row],[name]]), "")</f>
        <v/>
      </c>
      <c r="N636" s="1" t="str">
        <f>IF(Teams[[#This Row],[relevant]], SUMIFS(Fixtures[INV], Fixtures[userTeam], Teams[[#This Row],[name]]), "")</f>
        <v/>
      </c>
      <c r="O636" s="1" t="str">
        <f>IF(Teams[[#This Row],[relevant]], SUMIFS(Fixtures[YC], Fixtures[userTeam], Teams[[#This Row],[name]]), "")</f>
        <v/>
      </c>
      <c r="P636" s="1" t="str">
        <f>IF(Teams[[#This Row],[relevant]], SUMIFS(Fixtures[RC], Fixtures[userTeam], Teams[[#This Row],[name]]), "")</f>
        <v/>
      </c>
      <c r="Q636" s="13" t="str">
        <f>IF(Teams[[#This Row],[relevant]], IF(ISERROR(AVERAGEIFS(Fixtures[MR], Fixtures[userTeam], Teams[[#This Row],[name]])), 0, AVERAGEIFS(Fixtures[MR], Fixtures[userTeam], Teams[[#This Row],[name]])), "")</f>
        <v/>
      </c>
      <c r="R636" s="1" t="str">
        <f>IF(Teams[[#This Row],[relevant]], COUNTIFS(Fixtures[userTeam], Teams[[#This Row],[name]], Fixtures[MOTM], TRUE), "")</f>
        <v/>
      </c>
      <c r="S636" s="1" t="str" cm="1">
        <f t="array" ref="S636">IF(Teams[[#This Row],[relevant]], _xlfn.TEXTJOIN(", ", TRUE, _xlfn._xlws.FILTER(Stats[competition]&amp;" ("&amp;Stats[season]&amp;")",(Stats[team]=Teams[[#This Row],[name]])*(Stats[result]="Winner"),"")), "")</f>
        <v/>
      </c>
    </row>
    <row r="637" spans="1:19" ht="13" hidden="1">
      <c r="A637" s="1" t="s">
        <v>955</v>
      </c>
      <c r="B637" s="1" t="s">
        <v>337</v>
      </c>
      <c r="C637" s="1" t="s">
        <v>391</v>
      </c>
      <c r="D637" s="1" t="str">
        <f>UPPER(_xlfn.CONCAT(LEFT(Teams[[#This Row],[teamType]], 1), "-", LEFT(SUBSTITUTE(Teams[[#This Row],[nation]], "/", ""), 3), "-", SUBSTITUTE(SUBSTITUTE(SUBSTITUTE(Teams[[#This Row],[name]], ".", ""), " ", ""), "-", "")))</f>
        <v>C-GER-SVSANDHAUSEN</v>
      </c>
      <c r="E637" s="16"/>
      <c r="F637" s="16"/>
      <c r="G637" s="1" t="b">
        <f>COUNTBLANK(Teams[[#This Row],[startDate]:[endDate]]) &lt; 2</f>
        <v>0</v>
      </c>
      <c r="H637" s="1" t="str">
        <f>IF(Teams[[#This Row],[relevant]], COUNTIFS(Fixtures[userTeam], Teams[[#This Row],[name]], Fixtures[APP], TRUE), "")</f>
        <v/>
      </c>
      <c r="I637" s="1" t="str">
        <f>IF(Teams[[#This Row],[relevant]], COUNTIFS(Fixtures[userTeam], Teams[[#This Row],[name]], Fixtures[result], "W", Fixtures[APP], TRUE), "")</f>
        <v/>
      </c>
      <c r="J637" s="1" t="str">
        <f>IF(Teams[[#This Row],[relevant]], COUNTIFS(Fixtures[userTeam], Teams[[#This Row],[name]], Fixtures[result], "D", Fixtures[APP], TRUE), "")</f>
        <v/>
      </c>
      <c r="K637" s="1" t="str">
        <f>IF(Teams[[#This Row],[relevant]], COUNTIFS(Fixtures[userTeam], Teams[[#This Row],[name]], Fixtures[result], "L", Fixtures[APP], TRUE), "")</f>
        <v/>
      </c>
      <c r="L637" s="1" t="str">
        <f>IF(Teams[[#This Row],[relevant]], SUMIFS(Fixtures[G], Fixtures[userTeam], Teams[[#This Row],[name]]), "")</f>
        <v/>
      </c>
      <c r="M637" s="1" t="str">
        <f>IF(Teams[[#This Row],[relevant]], SUMIFS(Fixtures[A], Fixtures[userTeam], Teams[[#This Row],[name]]), "")</f>
        <v/>
      </c>
      <c r="N637" s="1" t="str">
        <f>IF(Teams[[#This Row],[relevant]], SUMIFS(Fixtures[INV], Fixtures[userTeam], Teams[[#This Row],[name]]), "")</f>
        <v/>
      </c>
      <c r="O637" s="1" t="str">
        <f>IF(Teams[[#This Row],[relevant]], SUMIFS(Fixtures[YC], Fixtures[userTeam], Teams[[#This Row],[name]]), "")</f>
        <v/>
      </c>
      <c r="P637" s="1" t="str">
        <f>IF(Teams[[#This Row],[relevant]], SUMIFS(Fixtures[RC], Fixtures[userTeam], Teams[[#This Row],[name]]), "")</f>
        <v/>
      </c>
      <c r="Q637" s="13" t="str">
        <f>IF(Teams[[#This Row],[relevant]], IF(ISERROR(AVERAGEIFS(Fixtures[MR], Fixtures[userTeam], Teams[[#This Row],[name]])), 0, AVERAGEIFS(Fixtures[MR], Fixtures[userTeam], Teams[[#This Row],[name]])), "")</f>
        <v/>
      </c>
      <c r="R637" s="1" t="str">
        <f>IF(Teams[[#This Row],[relevant]], COUNTIFS(Fixtures[userTeam], Teams[[#This Row],[name]], Fixtures[MOTM], TRUE), "")</f>
        <v/>
      </c>
      <c r="S637" s="1" t="str" cm="1">
        <f t="array" ref="S637">IF(Teams[[#This Row],[relevant]], _xlfn.TEXTJOIN(", ", TRUE, _xlfn._xlws.FILTER(Stats[competition]&amp;" ("&amp;Stats[season]&amp;")",(Stats[team]=Teams[[#This Row],[name]])*(Stats[result]="Winner"),"")), "")</f>
        <v/>
      </c>
    </row>
    <row r="638" spans="1:19" ht="13" hidden="1">
      <c r="A638" s="1" t="s">
        <v>956</v>
      </c>
      <c r="B638" s="1" t="s">
        <v>337</v>
      </c>
      <c r="C638" s="1" t="s">
        <v>391</v>
      </c>
      <c r="D638" s="1" t="str">
        <f>UPPER(_xlfn.CONCAT(LEFT(Teams[[#This Row],[teamType]], 1), "-", LEFT(SUBSTITUTE(Teams[[#This Row],[nation]], "/", ""), 3), "-", SUBSTITUTE(SUBSTITUTE(SUBSTITUTE(Teams[[#This Row],[name]], ".", ""), " ", ""), "-", "")))</f>
        <v>C-GER-SVWALDHOF</v>
      </c>
      <c r="E638" s="16"/>
      <c r="F638" s="16"/>
      <c r="G638" s="1" t="b">
        <f>COUNTBLANK(Teams[[#This Row],[startDate]:[endDate]]) &lt; 2</f>
        <v>0</v>
      </c>
      <c r="H638" s="1" t="str">
        <f>IF(Teams[[#This Row],[relevant]], COUNTIFS(Fixtures[userTeam], Teams[[#This Row],[name]], Fixtures[APP], TRUE), "")</f>
        <v/>
      </c>
      <c r="I638" s="1" t="str">
        <f>IF(Teams[[#This Row],[relevant]], COUNTIFS(Fixtures[userTeam], Teams[[#This Row],[name]], Fixtures[result], "W", Fixtures[APP], TRUE), "")</f>
        <v/>
      </c>
      <c r="J638" s="1" t="str">
        <f>IF(Teams[[#This Row],[relevant]], COUNTIFS(Fixtures[userTeam], Teams[[#This Row],[name]], Fixtures[result], "D", Fixtures[APP], TRUE), "")</f>
        <v/>
      </c>
      <c r="K638" s="1" t="str">
        <f>IF(Teams[[#This Row],[relevant]], COUNTIFS(Fixtures[userTeam], Teams[[#This Row],[name]], Fixtures[result], "L", Fixtures[APP], TRUE), "")</f>
        <v/>
      </c>
      <c r="L638" s="1" t="str">
        <f>IF(Teams[[#This Row],[relevant]], SUMIFS(Fixtures[G], Fixtures[userTeam], Teams[[#This Row],[name]]), "")</f>
        <v/>
      </c>
      <c r="M638" s="1" t="str">
        <f>IF(Teams[[#This Row],[relevant]], SUMIFS(Fixtures[A], Fixtures[userTeam], Teams[[#This Row],[name]]), "")</f>
        <v/>
      </c>
      <c r="N638" s="1" t="str">
        <f>IF(Teams[[#This Row],[relevant]], SUMIFS(Fixtures[INV], Fixtures[userTeam], Teams[[#This Row],[name]]), "")</f>
        <v/>
      </c>
      <c r="O638" s="1" t="str">
        <f>IF(Teams[[#This Row],[relevant]], SUMIFS(Fixtures[YC], Fixtures[userTeam], Teams[[#This Row],[name]]), "")</f>
        <v/>
      </c>
      <c r="P638" s="1" t="str">
        <f>IF(Teams[[#This Row],[relevant]], SUMIFS(Fixtures[RC], Fixtures[userTeam], Teams[[#This Row],[name]]), "")</f>
        <v/>
      </c>
      <c r="Q638" s="13" t="str">
        <f>IF(Teams[[#This Row],[relevant]], IF(ISERROR(AVERAGEIFS(Fixtures[MR], Fixtures[userTeam], Teams[[#This Row],[name]])), 0, AVERAGEIFS(Fixtures[MR], Fixtures[userTeam], Teams[[#This Row],[name]])), "")</f>
        <v/>
      </c>
      <c r="R638" s="1" t="str">
        <f>IF(Teams[[#This Row],[relevant]], COUNTIFS(Fixtures[userTeam], Teams[[#This Row],[name]], Fixtures[MOTM], TRUE), "")</f>
        <v/>
      </c>
      <c r="S638" s="1" t="str" cm="1">
        <f t="array" ref="S638">IF(Teams[[#This Row],[relevant]], _xlfn.TEXTJOIN(", ", TRUE, _xlfn._xlws.FILTER(Stats[competition]&amp;" ("&amp;Stats[season]&amp;")",(Stats[team]=Teams[[#This Row],[name]])*(Stats[result]="Winner"),"")), "")</f>
        <v/>
      </c>
    </row>
    <row r="639" spans="1:19" ht="13" hidden="1">
      <c r="A639" s="1" t="s">
        <v>113</v>
      </c>
      <c r="B639" s="1" t="s">
        <v>337</v>
      </c>
      <c r="C639" s="1" t="s">
        <v>391</v>
      </c>
      <c r="D639" s="1" t="str">
        <f>UPPER(_xlfn.CONCAT(LEFT(Teams[[#This Row],[teamType]], 1), "-", LEFT(SUBSTITUTE(Teams[[#This Row],[nation]], "/", ""), 3), "-", SUBSTITUTE(SUBSTITUTE(SUBSTITUTE(Teams[[#This Row],[name]], ".", ""), " ", ""), "-", "")))</f>
        <v>C-GER-SVWERDERBREMEN</v>
      </c>
      <c r="E639" s="16"/>
      <c r="F639" s="16"/>
      <c r="G639" s="1" t="b">
        <f>COUNTBLANK(Teams[[#This Row],[startDate]:[endDate]]) &lt; 2</f>
        <v>0</v>
      </c>
      <c r="H639" s="1" t="str">
        <f>IF(Teams[[#This Row],[relevant]], COUNTIFS(Fixtures[userTeam], Teams[[#This Row],[name]], Fixtures[APP], TRUE), "")</f>
        <v/>
      </c>
      <c r="I639" s="1" t="str">
        <f>IF(Teams[[#This Row],[relevant]], COUNTIFS(Fixtures[userTeam], Teams[[#This Row],[name]], Fixtures[result], "W", Fixtures[APP], TRUE), "")</f>
        <v/>
      </c>
      <c r="J639" s="1" t="str">
        <f>IF(Teams[[#This Row],[relevant]], COUNTIFS(Fixtures[userTeam], Teams[[#This Row],[name]], Fixtures[result], "D", Fixtures[APP], TRUE), "")</f>
        <v/>
      </c>
      <c r="K639" s="1" t="str">
        <f>IF(Teams[[#This Row],[relevant]], COUNTIFS(Fixtures[userTeam], Teams[[#This Row],[name]], Fixtures[result], "L", Fixtures[APP], TRUE), "")</f>
        <v/>
      </c>
      <c r="L639" s="1" t="str">
        <f>IF(Teams[[#This Row],[relevant]], SUMIFS(Fixtures[G], Fixtures[userTeam], Teams[[#This Row],[name]]), "")</f>
        <v/>
      </c>
      <c r="M639" s="1" t="str">
        <f>IF(Teams[[#This Row],[relevant]], SUMIFS(Fixtures[A], Fixtures[userTeam], Teams[[#This Row],[name]]), "")</f>
        <v/>
      </c>
      <c r="N639" s="1" t="str">
        <f>IF(Teams[[#This Row],[relevant]], SUMIFS(Fixtures[INV], Fixtures[userTeam], Teams[[#This Row],[name]]), "")</f>
        <v/>
      </c>
      <c r="O639" s="1" t="str">
        <f>IF(Teams[[#This Row],[relevant]], SUMIFS(Fixtures[YC], Fixtures[userTeam], Teams[[#This Row],[name]]), "")</f>
        <v/>
      </c>
      <c r="P639" s="1" t="str">
        <f>IF(Teams[[#This Row],[relevant]], SUMIFS(Fixtures[RC], Fixtures[userTeam], Teams[[#This Row],[name]]), "")</f>
        <v/>
      </c>
      <c r="Q639" s="13" t="str">
        <f>IF(Teams[[#This Row],[relevant]], IF(ISERROR(AVERAGEIFS(Fixtures[MR], Fixtures[userTeam], Teams[[#This Row],[name]])), 0, AVERAGEIFS(Fixtures[MR], Fixtures[userTeam], Teams[[#This Row],[name]])), "")</f>
        <v/>
      </c>
      <c r="R639" s="1" t="str">
        <f>IF(Teams[[#This Row],[relevant]], COUNTIFS(Fixtures[userTeam], Teams[[#This Row],[name]], Fixtures[MOTM], TRUE), "")</f>
        <v/>
      </c>
      <c r="S639" s="1" t="str" cm="1">
        <f t="array" ref="S639">IF(Teams[[#This Row],[relevant]], _xlfn.TEXTJOIN(", ", TRUE, _xlfn._xlws.FILTER(Stats[competition]&amp;" ("&amp;Stats[season]&amp;")",(Stats[team]=Teams[[#This Row],[name]])*(Stats[result]="Winner"),"")), "")</f>
        <v/>
      </c>
    </row>
    <row r="640" spans="1:19" ht="13" hidden="1">
      <c r="A640" s="1" t="s">
        <v>207</v>
      </c>
      <c r="B640" s="1" t="s">
        <v>152</v>
      </c>
      <c r="C640" s="1" t="s">
        <v>391</v>
      </c>
      <c r="D640" s="1" t="str">
        <f>UPPER(_xlfn.CONCAT(LEFT(Teams[[#This Row],[teamType]], 1), "-", LEFT(SUBSTITUTE(Teams[[#This Row],[nation]], "/", ""), 3), "-", SUBSTITUTE(SUBSTITUTE(SUBSTITUTE(Teams[[#This Row],[name]], ".", ""), " ", ""), "-", "")))</f>
        <v>C-ENG-SWANSEACITY</v>
      </c>
      <c r="E640" s="16"/>
      <c r="F640" s="16"/>
      <c r="G640" s="1" t="b">
        <f>COUNTBLANK(Teams[[#This Row],[startDate]:[endDate]]) &lt; 2</f>
        <v>0</v>
      </c>
      <c r="H640" s="1" t="str">
        <f>IF(Teams[[#This Row],[relevant]], COUNTIFS(Fixtures[userTeam], Teams[[#This Row],[name]], Fixtures[APP], TRUE), "")</f>
        <v/>
      </c>
      <c r="I640" s="1" t="str">
        <f>IF(Teams[[#This Row],[relevant]], COUNTIFS(Fixtures[userTeam], Teams[[#This Row],[name]], Fixtures[result], "W", Fixtures[APP], TRUE), "")</f>
        <v/>
      </c>
      <c r="J640" s="1" t="str">
        <f>IF(Teams[[#This Row],[relevant]], COUNTIFS(Fixtures[userTeam], Teams[[#This Row],[name]], Fixtures[result], "D", Fixtures[APP], TRUE), "")</f>
        <v/>
      </c>
      <c r="K640" s="1" t="str">
        <f>IF(Teams[[#This Row],[relevant]], COUNTIFS(Fixtures[userTeam], Teams[[#This Row],[name]], Fixtures[result], "L", Fixtures[APP], TRUE), "")</f>
        <v/>
      </c>
      <c r="L640" s="1" t="str">
        <f>IF(Teams[[#This Row],[relevant]], SUMIFS(Fixtures[G], Fixtures[userTeam], Teams[[#This Row],[name]]), "")</f>
        <v/>
      </c>
      <c r="M640" s="1" t="str">
        <f>IF(Teams[[#This Row],[relevant]], SUMIFS(Fixtures[A], Fixtures[userTeam], Teams[[#This Row],[name]]), "")</f>
        <v/>
      </c>
      <c r="N640" s="1" t="str">
        <f>IF(Teams[[#This Row],[relevant]], SUMIFS(Fixtures[INV], Fixtures[userTeam], Teams[[#This Row],[name]]), "")</f>
        <v/>
      </c>
      <c r="O640" s="1" t="str">
        <f>IF(Teams[[#This Row],[relevant]], SUMIFS(Fixtures[YC], Fixtures[userTeam], Teams[[#This Row],[name]]), "")</f>
        <v/>
      </c>
      <c r="P640" s="1" t="str">
        <f>IF(Teams[[#This Row],[relevant]], SUMIFS(Fixtures[RC], Fixtures[userTeam], Teams[[#This Row],[name]]), "")</f>
        <v/>
      </c>
      <c r="Q640" s="13" t="str">
        <f>IF(Teams[[#This Row],[relevant]], IF(ISERROR(AVERAGEIFS(Fixtures[MR], Fixtures[userTeam], Teams[[#This Row],[name]])), 0, AVERAGEIFS(Fixtures[MR], Fixtures[userTeam], Teams[[#This Row],[name]])), "")</f>
        <v/>
      </c>
      <c r="R640" s="1" t="str">
        <f>IF(Teams[[#This Row],[relevant]], COUNTIFS(Fixtures[userTeam], Teams[[#This Row],[name]], Fixtures[MOTM], TRUE), "")</f>
        <v/>
      </c>
      <c r="S640" s="1" t="str" cm="1">
        <f t="array" ref="S640">IF(Teams[[#This Row],[relevant]], _xlfn.TEXTJOIN(", ", TRUE, _xlfn._xlws.FILTER(Stats[competition]&amp;" ("&amp;Stats[season]&amp;")",(Stats[team]=Teams[[#This Row],[name]])*(Stats[result]="Winner"),"")), "")</f>
        <v/>
      </c>
    </row>
    <row r="641" spans="1:19" ht="13" hidden="1">
      <c r="A641" s="1" t="s">
        <v>284</v>
      </c>
      <c r="B641" s="1" t="s">
        <v>284</v>
      </c>
      <c r="C641" s="1" t="s">
        <v>459</v>
      </c>
      <c r="D641" s="1" t="str">
        <f>UPPER(_xlfn.CONCAT(LEFT(Teams[[#This Row],[teamType]], 1), "-", LEFT(SUBSTITUTE(Teams[[#This Row],[nation]], "/", ""), 3), "-", SUBSTITUTE(SUBSTITUTE(SUBSTITUTE(Teams[[#This Row],[name]], ".", ""), " ", ""), "-", "")))</f>
        <v>N-SWE-SWEDEN</v>
      </c>
      <c r="E641" s="16"/>
      <c r="F641" s="16"/>
      <c r="G641" s="1" t="b">
        <f>COUNTBLANK(Teams[[#This Row],[startDate]:[endDate]]) &lt; 2</f>
        <v>0</v>
      </c>
      <c r="H641" s="1" t="str">
        <f>IF(Teams[[#This Row],[relevant]], COUNTIFS(Fixtures[userTeam], Teams[[#This Row],[name]], Fixtures[APP], TRUE), "")</f>
        <v/>
      </c>
      <c r="I641" s="1" t="str">
        <f>IF(Teams[[#This Row],[relevant]], COUNTIFS(Fixtures[userTeam], Teams[[#This Row],[name]], Fixtures[result], "W", Fixtures[APP], TRUE), "")</f>
        <v/>
      </c>
      <c r="J641" s="1" t="str">
        <f>IF(Teams[[#This Row],[relevant]], COUNTIFS(Fixtures[userTeam], Teams[[#This Row],[name]], Fixtures[result], "D", Fixtures[APP], TRUE), "")</f>
        <v/>
      </c>
      <c r="K641" s="1" t="str">
        <f>IF(Teams[[#This Row],[relevant]], COUNTIFS(Fixtures[userTeam], Teams[[#This Row],[name]], Fixtures[result], "L", Fixtures[APP], TRUE), "")</f>
        <v/>
      </c>
      <c r="L641" s="1" t="str">
        <f>IF(Teams[[#This Row],[relevant]], SUMIFS(Fixtures[G], Fixtures[userTeam], Teams[[#This Row],[name]]), "")</f>
        <v/>
      </c>
      <c r="M641" s="1" t="str">
        <f>IF(Teams[[#This Row],[relevant]], SUMIFS(Fixtures[A], Fixtures[userTeam], Teams[[#This Row],[name]]), "")</f>
        <v/>
      </c>
      <c r="N641" s="1" t="str">
        <f>IF(Teams[[#This Row],[relevant]], SUMIFS(Fixtures[INV], Fixtures[userTeam], Teams[[#This Row],[name]]), "")</f>
        <v/>
      </c>
      <c r="O641" s="1" t="str">
        <f>IF(Teams[[#This Row],[relevant]], SUMIFS(Fixtures[YC], Fixtures[userTeam], Teams[[#This Row],[name]]), "")</f>
        <v/>
      </c>
      <c r="P641" s="1" t="str">
        <f>IF(Teams[[#This Row],[relevant]], SUMIFS(Fixtures[RC], Fixtures[userTeam], Teams[[#This Row],[name]]), "")</f>
        <v/>
      </c>
      <c r="Q641" s="13" t="str">
        <f>IF(Teams[[#This Row],[relevant]], IF(ISERROR(AVERAGEIFS(Fixtures[MR], Fixtures[userTeam], Teams[[#This Row],[name]])), 0, AVERAGEIFS(Fixtures[MR], Fixtures[userTeam], Teams[[#This Row],[name]])), "")</f>
        <v/>
      </c>
      <c r="R641" s="1" t="str">
        <f>IF(Teams[[#This Row],[relevant]], COUNTIFS(Fixtures[userTeam], Teams[[#This Row],[name]], Fixtures[MOTM], TRUE), "")</f>
        <v/>
      </c>
      <c r="S641" s="1" t="str" cm="1">
        <f t="array" ref="S641">IF(Teams[[#This Row],[relevant]], _xlfn.TEXTJOIN(", ", TRUE, _xlfn._xlws.FILTER(Stats[competition]&amp;" ("&amp;Stats[season]&amp;")",(Stats[team]=Teams[[#This Row],[name]])*(Stats[result]="Winner"),"")), "")</f>
        <v/>
      </c>
    </row>
    <row r="642" spans="1:19" ht="13" hidden="1">
      <c r="A642" s="1" t="s">
        <v>957</v>
      </c>
      <c r="B642" s="1" t="s">
        <v>152</v>
      </c>
      <c r="C642" s="1" t="s">
        <v>391</v>
      </c>
      <c r="D642" s="1" t="str">
        <f>UPPER(_xlfn.CONCAT(LEFT(Teams[[#This Row],[teamType]], 1), "-", LEFT(SUBSTITUTE(Teams[[#This Row],[nation]], "/", ""), 3), "-", SUBSTITUTE(SUBSTITUTE(SUBSTITUTE(Teams[[#This Row],[name]], ".", ""), " ", ""), "-", "")))</f>
        <v>C-ENG-SWINDONTOWN</v>
      </c>
      <c r="E642" s="16"/>
      <c r="F642" s="16"/>
      <c r="G642" s="1" t="b">
        <f>COUNTBLANK(Teams[[#This Row],[startDate]:[endDate]]) &lt; 2</f>
        <v>0</v>
      </c>
      <c r="H642" s="1" t="str">
        <f>IF(Teams[[#This Row],[relevant]], COUNTIFS(Fixtures[userTeam], Teams[[#This Row],[name]], Fixtures[APP], TRUE), "")</f>
        <v/>
      </c>
      <c r="I642" s="1" t="str">
        <f>IF(Teams[[#This Row],[relevant]], COUNTIFS(Fixtures[userTeam], Teams[[#This Row],[name]], Fixtures[result], "W", Fixtures[APP], TRUE), "")</f>
        <v/>
      </c>
      <c r="J642" s="1" t="str">
        <f>IF(Teams[[#This Row],[relevant]], COUNTIFS(Fixtures[userTeam], Teams[[#This Row],[name]], Fixtures[result], "D", Fixtures[APP], TRUE), "")</f>
        <v/>
      </c>
      <c r="K642" s="1" t="str">
        <f>IF(Teams[[#This Row],[relevant]], COUNTIFS(Fixtures[userTeam], Teams[[#This Row],[name]], Fixtures[result], "L", Fixtures[APP], TRUE), "")</f>
        <v/>
      </c>
      <c r="L642" s="1" t="str">
        <f>IF(Teams[[#This Row],[relevant]], SUMIFS(Fixtures[G], Fixtures[userTeam], Teams[[#This Row],[name]]), "")</f>
        <v/>
      </c>
      <c r="M642" s="1" t="str">
        <f>IF(Teams[[#This Row],[relevant]], SUMIFS(Fixtures[A], Fixtures[userTeam], Teams[[#This Row],[name]]), "")</f>
        <v/>
      </c>
      <c r="N642" s="1" t="str">
        <f>IF(Teams[[#This Row],[relevant]], SUMIFS(Fixtures[INV], Fixtures[userTeam], Teams[[#This Row],[name]]), "")</f>
        <v/>
      </c>
      <c r="O642" s="1" t="str">
        <f>IF(Teams[[#This Row],[relevant]], SUMIFS(Fixtures[YC], Fixtures[userTeam], Teams[[#This Row],[name]]), "")</f>
        <v/>
      </c>
      <c r="P642" s="1" t="str">
        <f>IF(Teams[[#This Row],[relevant]], SUMIFS(Fixtures[RC], Fixtures[userTeam], Teams[[#This Row],[name]]), "")</f>
        <v/>
      </c>
      <c r="Q642" s="13" t="str">
        <f>IF(Teams[[#This Row],[relevant]], IF(ISERROR(AVERAGEIFS(Fixtures[MR], Fixtures[userTeam], Teams[[#This Row],[name]])), 0, AVERAGEIFS(Fixtures[MR], Fixtures[userTeam], Teams[[#This Row],[name]])), "")</f>
        <v/>
      </c>
      <c r="R642" s="1" t="str">
        <f>IF(Teams[[#This Row],[relevant]], COUNTIFS(Fixtures[userTeam], Teams[[#This Row],[name]], Fixtures[MOTM], TRUE), "")</f>
        <v/>
      </c>
      <c r="S642" s="1" t="str" cm="1">
        <f t="array" ref="S642">IF(Teams[[#This Row],[relevant]], _xlfn.TEXTJOIN(", ", TRUE, _xlfn._xlws.FILTER(Stats[competition]&amp;" ("&amp;Stats[season]&amp;")",(Stats[team]=Teams[[#This Row],[name]])*(Stats[result]="Winner"),"")), "")</f>
        <v/>
      </c>
    </row>
    <row r="643" spans="1:19" ht="13" hidden="1">
      <c r="A643" s="1" t="s">
        <v>958</v>
      </c>
      <c r="B643" s="1" t="s">
        <v>410</v>
      </c>
      <c r="C643" s="1" t="s">
        <v>391</v>
      </c>
      <c r="D643" s="1" t="str">
        <f>UPPER(_xlfn.CONCAT(LEFT(Teams[[#This Row],[teamType]], 1), "-", LEFT(SUBSTITUTE(Teams[[#This Row],[nation]], "/", ""), 3), "-", SUBSTITUTE(SUBSTITUTE(SUBSTITUTE(Teams[[#This Row],[name]], ".", ""), " ", ""), "-", "")))</f>
        <v>C-AUS-SYDNEYFC</v>
      </c>
      <c r="E643" s="16"/>
      <c r="F643" s="16"/>
      <c r="G643" s="1" t="b">
        <f>COUNTBLANK(Teams[[#This Row],[startDate]:[endDate]]) &lt; 2</f>
        <v>0</v>
      </c>
      <c r="H643" s="1" t="str">
        <f>IF(Teams[[#This Row],[relevant]], COUNTIFS(Fixtures[userTeam], Teams[[#This Row],[name]], Fixtures[APP], TRUE), "")</f>
        <v/>
      </c>
      <c r="I643" s="1" t="str">
        <f>IF(Teams[[#This Row],[relevant]], COUNTIFS(Fixtures[userTeam], Teams[[#This Row],[name]], Fixtures[result], "W", Fixtures[APP], TRUE), "")</f>
        <v/>
      </c>
      <c r="J643" s="1" t="str">
        <f>IF(Teams[[#This Row],[relevant]], COUNTIFS(Fixtures[userTeam], Teams[[#This Row],[name]], Fixtures[result], "D", Fixtures[APP], TRUE), "")</f>
        <v/>
      </c>
      <c r="K643" s="1" t="str">
        <f>IF(Teams[[#This Row],[relevant]], COUNTIFS(Fixtures[userTeam], Teams[[#This Row],[name]], Fixtures[result], "L", Fixtures[APP], TRUE), "")</f>
        <v/>
      </c>
      <c r="L643" s="1" t="str">
        <f>IF(Teams[[#This Row],[relevant]], SUMIFS(Fixtures[G], Fixtures[userTeam], Teams[[#This Row],[name]]), "")</f>
        <v/>
      </c>
      <c r="M643" s="1" t="str">
        <f>IF(Teams[[#This Row],[relevant]], SUMIFS(Fixtures[A], Fixtures[userTeam], Teams[[#This Row],[name]]), "")</f>
        <v/>
      </c>
      <c r="N643" s="1" t="str">
        <f>IF(Teams[[#This Row],[relevant]], SUMIFS(Fixtures[INV], Fixtures[userTeam], Teams[[#This Row],[name]]), "")</f>
        <v/>
      </c>
      <c r="O643" s="1" t="str">
        <f>IF(Teams[[#This Row],[relevant]], SUMIFS(Fixtures[YC], Fixtures[userTeam], Teams[[#This Row],[name]]), "")</f>
        <v/>
      </c>
      <c r="P643" s="1" t="str">
        <f>IF(Teams[[#This Row],[relevant]], SUMIFS(Fixtures[RC], Fixtures[userTeam], Teams[[#This Row],[name]]), "")</f>
        <v/>
      </c>
      <c r="Q643" s="13" t="str">
        <f>IF(Teams[[#This Row],[relevant]], IF(ISERROR(AVERAGEIFS(Fixtures[MR], Fixtures[userTeam], Teams[[#This Row],[name]])), 0, AVERAGEIFS(Fixtures[MR], Fixtures[userTeam], Teams[[#This Row],[name]])), "")</f>
        <v/>
      </c>
      <c r="R643" s="1" t="str">
        <f>IF(Teams[[#This Row],[relevant]], COUNTIFS(Fixtures[userTeam], Teams[[#This Row],[name]], Fixtures[MOTM], TRUE), "")</f>
        <v/>
      </c>
      <c r="S643" s="1" t="str" cm="1">
        <f t="array" ref="S643">IF(Teams[[#This Row],[relevant]], _xlfn.TEXTJOIN(", ", TRUE, _xlfn._xlws.FILTER(Stats[competition]&amp;" ("&amp;Stats[season]&amp;")",(Stats[team]=Teams[[#This Row],[name]])*(Stats[result]="Winner"),"")), "")</f>
        <v/>
      </c>
    </row>
    <row r="644" spans="1:19" ht="13" hidden="1">
      <c r="A644" s="1" t="s">
        <v>959</v>
      </c>
      <c r="B644" s="1" t="s">
        <v>131</v>
      </c>
      <c r="C644" s="1" t="s">
        <v>391</v>
      </c>
      <c r="D644" s="1" t="str">
        <f>UPPER(_xlfn.CONCAT(LEFT(Teams[[#This Row],[teamType]], 1), "-", LEFT(SUBSTITUTE(Teams[[#This Row],[nation]], "/", ""), 3), "-", SUBSTITUTE(SUBSTITUTE(SUBSTITUTE(Teams[[#This Row],[name]], ".", ""), " ", ""), "-", "")))</f>
        <v>C-ARG-TALLERES</v>
      </c>
      <c r="E644" s="16"/>
      <c r="F644" s="16"/>
      <c r="G644" s="1" t="b">
        <f>COUNTBLANK(Teams[[#This Row],[startDate]:[endDate]]) &lt; 2</f>
        <v>0</v>
      </c>
      <c r="H644" s="1" t="str">
        <f>IF(Teams[[#This Row],[relevant]], COUNTIFS(Fixtures[userTeam], Teams[[#This Row],[name]], Fixtures[APP], TRUE), "")</f>
        <v/>
      </c>
      <c r="I644" s="1" t="str">
        <f>IF(Teams[[#This Row],[relevant]], COUNTIFS(Fixtures[userTeam], Teams[[#This Row],[name]], Fixtures[result], "W", Fixtures[APP], TRUE), "")</f>
        <v/>
      </c>
      <c r="J644" s="1" t="str">
        <f>IF(Teams[[#This Row],[relevant]], COUNTIFS(Fixtures[userTeam], Teams[[#This Row],[name]], Fixtures[result], "D", Fixtures[APP], TRUE), "")</f>
        <v/>
      </c>
      <c r="K644" s="1" t="str">
        <f>IF(Teams[[#This Row],[relevant]], COUNTIFS(Fixtures[userTeam], Teams[[#This Row],[name]], Fixtures[result], "L", Fixtures[APP], TRUE), "")</f>
        <v/>
      </c>
      <c r="L644" s="1" t="str">
        <f>IF(Teams[[#This Row],[relevant]], SUMIFS(Fixtures[G], Fixtures[userTeam], Teams[[#This Row],[name]]), "")</f>
        <v/>
      </c>
      <c r="M644" s="1" t="str">
        <f>IF(Teams[[#This Row],[relevant]], SUMIFS(Fixtures[A], Fixtures[userTeam], Teams[[#This Row],[name]]), "")</f>
        <v/>
      </c>
      <c r="N644" s="1" t="str">
        <f>IF(Teams[[#This Row],[relevant]], SUMIFS(Fixtures[INV], Fixtures[userTeam], Teams[[#This Row],[name]]), "")</f>
        <v/>
      </c>
      <c r="O644" s="1" t="str">
        <f>IF(Teams[[#This Row],[relevant]], SUMIFS(Fixtures[YC], Fixtures[userTeam], Teams[[#This Row],[name]]), "")</f>
        <v/>
      </c>
      <c r="P644" s="1" t="str">
        <f>IF(Teams[[#This Row],[relevant]], SUMIFS(Fixtures[RC], Fixtures[userTeam], Teams[[#This Row],[name]]), "")</f>
        <v/>
      </c>
      <c r="Q644" s="13" t="str">
        <f>IF(Teams[[#This Row],[relevant]], IF(ISERROR(AVERAGEIFS(Fixtures[MR], Fixtures[userTeam], Teams[[#This Row],[name]])), 0, AVERAGEIFS(Fixtures[MR], Fixtures[userTeam], Teams[[#This Row],[name]])), "")</f>
        <v/>
      </c>
      <c r="R644" s="1" t="str">
        <f>IF(Teams[[#This Row],[relevant]], COUNTIFS(Fixtures[userTeam], Teams[[#This Row],[name]], Fixtures[MOTM], TRUE), "")</f>
        <v/>
      </c>
      <c r="S644" s="1" t="str" cm="1">
        <f t="array" ref="S644">IF(Teams[[#This Row],[relevant]], _xlfn.TEXTJOIN(", ", TRUE, _xlfn._xlws.FILTER(Stats[competition]&amp;" ("&amp;Stats[season]&amp;")",(Stats[team]=Teams[[#This Row],[name]])*(Stats[result]="Winner"),"")), "")</f>
        <v/>
      </c>
    </row>
    <row r="645" spans="1:19" ht="13" hidden="1">
      <c r="A645" s="1" t="s">
        <v>960</v>
      </c>
      <c r="B645" s="1" t="s">
        <v>254</v>
      </c>
      <c r="C645" s="1" t="s">
        <v>391</v>
      </c>
      <c r="D645" s="1" t="str">
        <f>UPPER(_xlfn.CONCAT(LEFT(Teams[[#This Row],[teamType]], 1), "-", LEFT(SUBSTITUTE(Teams[[#This Row],[nation]], "/", ""), 3), "-", SUBSTITUTE(SUBSTITUTE(SUBSTITUTE(Teams[[#This Row],[name]], ".", ""), " ", ""), "-", "")))</f>
        <v>C-ITA-TERNANA</v>
      </c>
      <c r="E645" s="16"/>
      <c r="F645" s="16"/>
      <c r="G645" s="1" t="b">
        <f>COUNTBLANK(Teams[[#This Row],[startDate]:[endDate]]) &lt; 2</f>
        <v>0</v>
      </c>
      <c r="H645" s="1" t="str">
        <f>IF(Teams[[#This Row],[relevant]], COUNTIFS(Fixtures[userTeam], Teams[[#This Row],[name]], Fixtures[APP], TRUE), "")</f>
        <v/>
      </c>
      <c r="I645" s="1" t="str">
        <f>IF(Teams[[#This Row],[relevant]], COUNTIFS(Fixtures[userTeam], Teams[[#This Row],[name]], Fixtures[result], "W", Fixtures[APP], TRUE), "")</f>
        <v/>
      </c>
      <c r="J645" s="1" t="str">
        <f>IF(Teams[[#This Row],[relevant]], COUNTIFS(Fixtures[userTeam], Teams[[#This Row],[name]], Fixtures[result], "D", Fixtures[APP], TRUE), "")</f>
        <v/>
      </c>
      <c r="K645" s="1" t="str">
        <f>IF(Teams[[#This Row],[relevant]], COUNTIFS(Fixtures[userTeam], Teams[[#This Row],[name]], Fixtures[result], "L", Fixtures[APP], TRUE), "")</f>
        <v/>
      </c>
      <c r="L645" s="1" t="str">
        <f>IF(Teams[[#This Row],[relevant]], SUMIFS(Fixtures[G], Fixtures[userTeam], Teams[[#This Row],[name]]), "")</f>
        <v/>
      </c>
      <c r="M645" s="1" t="str">
        <f>IF(Teams[[#This Row],[relevant]], SUMIFS(Fixtures[A], Fixtures[userTeam], Teams[[#This Row],[name]]), "")</f>
        <v/>
      </c>
      <c r="N645" s="1" t="str">
        <f>IF(Teams[[#This Row],[relevant]], SUMIFS(Fixtures[INV], Fixtures[userTeam], Teams[[#This Row],[name]]), "")</f>
        <v/>
      </c>
      <c r="O645" s="1" t="str">
        <f>IF(Teams[[#This Row],[relevant]], SUMIFS(Fixtures[YC], Fixtures[userTeam], Teams[[#This Row],[name]]), "")</f>
        <v/>
      </c>
      <c r="P645" s="1" t="str">
        <f>IF(Teams[[#This Row],[relevant]], SUMIFS(Fixtures[RC], Fixtures[userTeam], Teams[[#This Row],[name]]), "")</f>
        <v/>
      </c>
      <c r="Q645" s="13" t="str">
        <f>IF(Teams[[#This Row],[relevant]], IF(ISERROR(AVERAGEIFS(Fixtures[MR], Fixtures[userTeam], Teams[[#This Row],[name]])), 0, AVERAGEIFS(Fixtures[MR], Fixtures[userTeam], Teams[[#This Row],[name]])), "")</f>
        <v/>
      </c>
      <c r="R645" s="1" t="str">
        <f>IF(Teams[[#This Row],[relevant]], COUNTIFS(Fixtures[userTeam], Teams[[#This Row],[name]], Fixtures[MOTM], TRUE), "")</f>
        <v/>
      </c>
      <c r="S645" s="1" t="str" cm="1">
        <f t="array" ref="S645">IF(Teams[[#This Row],[relevant]], _xlfn.TEXTJOIN(", ", TRUE, _xlfn._xlws.FILTER(Stats[competition]&amp;" ("&amp;Stats[season]&amp;")",(Stats[team]=Teams[[#This Row],[name]])*(Stats[result]="Winner"),"")), "")</f>
        <v/>
      </c>
    </row>
    <row r="646" spans="1:19" ht="13" hidden="1">
      <c r="A646" s="1" t="s">
        <v>961</v>
      </c>
      <c r="B646" s="1" t="s">
        <v>447</v>
      </c>
      <c r="C646" s="1" t="s">
        <v>391</v>
      </c>
      <c r="D646" s="1" t="str">
        <f>UPPER(_xlfn.CONCAT(LEFT(Teams[[#This Row],[teamType]], 1), "-", LEFT(SUBSTITUTE(Teams[[#This Row],[nation]], "/", ""), 3), "-", SUBSTITUTE(SUBSTITUTE(SUBSTITUTE(Teams[[#This Row],[name]], ".", ""), " ", ""), "-", "")))</f>
        <v>C-BOL-THESTRONGEST</v>
      </c>
      <c r="E646" s="16"/>
      <c r="F646" s="16"/>
      <c r="G646" s="1" t="b">
        <f>COUNTBLANK(Teams[[#This Row],[startDate]:[endDate]]) &lt; 2</f>
        <v>0</v>
      </c>
      <c r="H646" s="1" t="str">
        <f>IF(Teams[[#This Row],[relevant]], COUNTIFS(Fixtures[userTeam], Teams[[#This Row],[name]], Fixtures[APP], TRUE), "")</f>
        <v/>
      </c>
      <c r="I646" s="1" t="str">
        <f>IF(Teams[[#This Row],[relevant]], COUNTIFS(Fixtures[userTeam], Teams[[#This Row],[name]], Fixtures[result], "W", Fixtures[APP], TRUE), "")</f>
        <v/>
      </c>
      <c r="J646" s="1" t="str">
        <f>IF(Teams[[#This Row],[relevant]], COUNTIFS(Fixtures[userTeam], Teams[[#This Row],[name]], Fixtures[result], "D", Fixtures[APP], TRUE), "")</f>
        <v/>
      </c>
      <c r="K646" s="1" t="str">
        <f>IF(Teams[[#This Row],[relevant]], COUNTIFS(Fixtures[userTeam], Teams[[#This Row],[name]], Fixtures[result], "L", Fixtures[APP], TRUE), "")</f>
        <v/>
      </c>
      <c r="L646" s="1" t="str">
        <f>IF(Teams[[#This Row],[relevant]], SUMIFS(Fixtures[G], Fixtures[userTeam], Teams[[#This Row],[name]]), "")</f>
        <v/>
      </c>
      <c r="M646" s="1" t="str">
        <f>IF(Teams[[#This Row],[relevant]], SUMIFS(Fixtures[A], Fixtures[userTeam], Teams[[#This Row],[name]]), "")</f>
        <v/>
      </c>
      <c r="N646" s="1" t="str">
        <f>IF(Teams[[#This Row],[relevant]], SUMIFS(Fixtures[INV], Fixtures[userTeam], Teams[[#This Row],[name]]), "")</f>
        <v/>
      </c>
      <c r="O646" s="1" t="str">
        <f>IF(Teams[[#This Row],[relevant]], SUMIFS(Fixtures[YC], Fixtures[userTeam], Teams[[#This Row],[name]]), "")</f>
        <v/>
      </c>
      <c r="P646" s="1" t="str">
        <f>IF(Teams[[#This Row],[relevant]], SUMIFS(Fixtures[RC], Fixtures[userTeam], Teams[[#This Row],[name]]), "")</f>
        <v/>
      </c>
      <c r="Q646" s="13" t="str">
        <f>IF(Teams[[#This Row],[relevant]], IF(ISERROR(AVERAGEIFS(Fixtures[MR], Fixtures[userTeam], Teams[[#This Row],[name]])), 0, AVERAGEIFS(Fixtures[MR], Fixtures[userTeam], Teams[[#This Row],[name]])), "")</f>
        <v/>
      </c>
      <c r="R646" s="1" t="str">
        <f>IF(Teams[[#This Row],[relevant]], COUNTIFS(Fixtures[userTeam], Teams[[#This Row],[name]], Fixtures[MOTM], TRUE), "")</f>
        <v/>
      </c>
      <c r="S646" s="1" t="str" cm="1">
        <f t="array" ref="S646">IF(Teams[[#This Row],[relevant]], _xlfn.TEXTJOIN(", ", TRUE, _xlfn._xlws.FILTER(Stats[competition]&amp;" ("&amp;Stats[season]&amp;")",(Stats[team]=Teams[[#This Row],[name]])*(Stats[result]="Winner"),"")), "")</f>
        <v/>
      </c>
    </row>
    <row r="647" spans="1:19" ht="13" hidden="1">
      <c r="A647" s="1" t="s">
        <v>962</v>
      </c>
      <c r="B647" s="1" t="s">
        <v>493</v>
      </c>
      <c r="C647" s="1" t="s">
        <v>391</v>
      </c>
      <c r="D647" s="1" t="str">
        <f>UPPER(_xlfn.CONCAT(LEFT(Teams[[#This Row],[teamType]], 1), "-", LEFT(SUBSTITUTE(Teams[[#This Row],[nation]], "/", ""), 3), "-", SUBSTITUTE(SUBSTITUTE(SUBSTITUTE(Teams[[#This Row],[name]], ".", ""), " ", ""), "-", "")))</f>
        <v>C-CHI-TIANJINJMTFC</v>
      </c>
      <c r="E647" s="16"/>
      <c r="F647" s="16"/>
      <c r="G647" s="1" t="b">
        <f>COUNTBLANK(Teams[[#This Row],[startDate]:[endDate]]) &lt; 2</f>
        <v>0</v>
      </c>
      <c r="H647" s="1" t="str">
        <f>IF(Teams[[#This Row],[relevant]], COUNTIFS(Fixtures[userTeam], Teams[[#This Row],[name]], Fixtures[APP], TRUE), "")</f>
        <v/>
      </c>
      <c r="I647" s="1" t="str">
        <f>IF(Teams[[#This Row],[relevant]], COUNTIFS(Fixtures[userTeam], Teams[[#This Row],[name]], Fixtures[result], "W", Fixtures[APP], TRUE), "")</f>
        <v/>
      </c>
      <c r="J647" s="1" t="str">
        <f>IF(Teams[[#This Row],[relevant]], COUNTIFS(Fixtures[userTeam], Teams[[#This Row],[name]], Fixtures[result], "D", Fixtures[APP], TRUE), "")</f>
        <v/>
      </c>
      <c r="K647" s="1" t="str">
        <f>IF(Teams[[#This Row],[relevant]], COUNTIFS(Fixtures[userTeam], Teams[[#This Row],[name]], Fixtures[result], "L", Fixtures[APP], TRUE), "")</f>
        <v/>
      </c>
      <c r="L647" s="1" t="str">
        <f>IF(Teams[[#This Row],[relevant]], SUMIFS(Fixtures[G], Fixtures[userTeam], Teams[[#This Row],[name]]), "")</f>
        <v/>
      </c>
      <c r="M647" s="1" t="str">
        <f>IF(Teams[[#This Row],[relevant]], SUMIFS(Fixtures[A], Fixtures[userTeam], Teams[[#This Row],[name]]), "")</f>
        <v/>
      </c>
      <c r="N647" s="1" t="str">
        <f>IF(Teams[[#This Row],[relevant]], SUMIFS(Fixtures[INV], Fixtures[userTeam], Teams[[#This Row],[name]]), "")</f>
        <v/>
      </c>
      <c r="O647" s="1" t="str">
        <f>IF(Teams[[#This Row],[relevant]], SUMIFS(Fixtures[YC], Fixtures[userTeam], Teams[[#This Row],[name]]), "")</f>
        <v/>
      </c>
      <c r="P647" s="1" t="str">
        <f>IF(Teams[[#This Row],[relevant]], SUMIFS(Fixtures[RC], Fixtures[userTeam], Teams[[#This Row],[name]]), "")</f>
        <v/>
      </c>
      <c r="Q647" s="13" t="str">
        <f>IF(Teams[[#This Row],[relevant]], IF(ISERROR(AVERAGEIFS(Fixtures[MR], Fixtures[userTeam], Teams[[#This Row],[name]])), 0, AVERAGEIFS(Fixtures[MR], Fixtures[userTeam], Teams[[#This Row],[name]])), "")</f>
        <v/>
      </c>
      <c r="R647" s="1" t="str">
        <f>IF(Teams[[#This Row],[relevant]], COUNTIFS(Fixtures[userTeam], Teams[[#This Row],[name]], Fixtures[MOTM], TRUE), "")</f>
        <v/>
      </c>
      <c r="S647" s="1" t="str" cm="1">
        <f t="array" ref="S647">IF(Teams[[#This Row],[relevant]], _xlfn.TEXTJOIN(", ", TRUE, _xlfn._xlws.FILTER(Stats[competition]&amp;" ("&amp;Stats[season]&amp;")",(Stats[team]=Teams[[#This Row],[name]])*(Stats[result]="Winner"),"")), "")</f>
        <v/>
      </c>
    </row>
    <row r="648" spans="1:19" ht="13" hidden="1">
      <c r="A648" s="1" t="s">
        <v>963</v>
      </c>
      <c r="B648" s="1" t="s">
        <v>131</v>
      </c>
      <c r="C648" s="1" t="s">
        <v>391</v>
      </c>
      <c r="D648" s="1" t="str">
        <f>UPPER(_xlfn.CONCAT(LEFT(Teams[[#This Row],[teamType]], 1), "-", LEFT(SUBSTITUTE(Teams[[#This Row],[nation]], "/", ""), 3), "-", SUBSTITUTE(SUBSTITUTE(SUBSTITUTE(Teams[[#This Row],[name]], ".", ""), " ", ""), "-", "")))</f>
        <v>C-ARG-TIGRE</v>
      </c>
      <c r="E648" s="16"/>
      <c r="F648" s="16"/>
      <c r="G648" s="1" t="b">
        <f>COUNTBLANK(Teams[[#This Row],[startDate]:[endDate]]) &lt; 2</f>
        <v>0</v>
      </c>
      <c r="H648" s="1" t="str">
        <f>IF(Teams[[#This Row],[relevant]], COUNTIFS(Fixtures[userTeam], Teams[[#This Row],[name]], Fixtures[APP], TRUE), "")</f>
        <v/>
      </c>
      <c r="I648" s="1" t="str">
        <f>IF(Teams[[#This Row],[relevant]], COUNTIFS(Fixtures[userTeam], Teams[[#This Row],[name]], Fixtures[result], "W", Fixtures[APP], TRUE), "")</f>
        <v/>
      </c>
      <c r="J648" s="1" t="str">
        <f>IF(Teams[[#This Row],[relevant]], COUNTIFS(Fixtures[userTeam], Teams[[#This Row],[name]], Fixtures[result], "D", Fixtures[APP], TRUE), "")</f>
        <v/>
      </c>
      <c r="K648" s="1" t="str">
        <f>IF(Teams[[#This Row],[relevant]], COUNTIFS(Fixtures[userTeam], Teams[[#This Row],[name]], Fixtures[result], "L", Fixtures[APP], TRUE), "")</f>
        <v/>
      </c>
      <c r="L648" s="1" t="str">
        <f>IF(Teams[[#This Row],[relevant]], SUMIFS(Fixtures[G], Fixtures[userTeam], Teams[[#This Row],[name]]), "")</f>
        <v/>
      </c>
      <c r="M648" s="1" t="str">
        <f>IF(Teams[[#This Row],[relevant]], SUMIFS(Fixtures[A], Fixtures[userTeam], Teams[[#This Row],[name]]), "")</f>
        <v/>
      </c>
      <c r="N648" s="1" t="str">
        <f>IF(Teams[[#This Row],[relevant]], SUMIFS(Fixtures[INV], Fixtures[userTeam], Teams[[#This Row],[name]]), "")</f>
        <v/>
      </c>
      <c r="O648" s="1" t="str">
        <f>IF(Teams[[#This Row],[relevant]], SUMIFS(Fixtures[YC], Fixtures[userTeam], Teams[[#This Row],[name]]), "")</f>
        <v/>
      </c>
      <c r="P648" s="1" t="str">
        <f>IF(Teams[[#This Row],[relevant]], SUMIFS(Fixtures[RC], Fixtures[userTeam], Teams[[#This Row],[name]]), "")</f>
        <v/>
      </c>
      <c r="Q648" s="13" t="str">
        <f>IF(Teams[[#This Row],[relevant]], IF(ISERROR(AVERAGEIFS(Fixtures[MR], Fixtures[userTeam], Teams[[#This Row],[name]])), 0, AVERAGEIFS(Fixtures[MR], Fixtures[userTeam], Teams[[#This Row],[name]])), "")</f>
        <v/>
      </c>
      <c r="R648" s="1" t="str">
        <f>IF(Teams[[#This Row],[relevant]], COUNTIFS(Fixtures[userTeam], Teams[[#This Row],[name]], Fixtures[MOTM], TRUE), "")</f>
        <v/>
      </c>
      <c r="S648" s="1" t="str" cm="1">
        <f t="array" ref="S648">IF(Teams[[#This Row],[relevant]], _xlfn.TEXTJOIN(", ", TRUE, _xlfn._xlws.FILTER(Stats[competition]&amp;" ("&amp;Stats[season]&amp;")",(Stats[team]=Teams[[#This Row],[name]])*(Stats[result]="Winner"),"")), "")</f>
        <v/>
      </c>
    </row>
    <row r="649" spans="1:19" ht="13" hidden="1">
      <c r="A649" s="1" t="s">
        <v>964</v>
      </c>
      <c r="B649" s="1" t="s">
        <v>254</v>
      </c>
      <c r="C649" s="1" t="s">
        <v>391</v>
      </c>
      <c r="D649" s="1" t="str">
        <f>UPPER(_xlfn.CONCAT(LEFT(Teams[[#This Row],[teamType]], 1), "-", LEFT(SUBSTITUTE(Teams[[#This Row],[nation]], "/", ""), 3), "-", SUBSTITUTE(SUBSTITUTE(SUBSTITUTE(Teams[[#This Row],[name]], ".", ""), " ", ""), "-", "")))</f>
        <v>C-ITA-TORINO</v>
      </c>
      <c r="E649" s="16"/>
      <c r="F649" s="16"/>
      <c r="G649" s="1" t="b">
        <f>COUNTBLANK(Teams[[#This Row],[startDate]:[endDate]]) &lt; 2</f>
        <v>0</v>
      </c>
      <c r="H649" s="1" t="str">
        <f>IF(Teams[[#This Row],[relevant]], COUNTIFS(Fixtures[userTeam], Teams[[#This Row],[name]], Fixtures[APP], TRUE), "")</f>
        <v/>
      </c>
      <c r="I649" s="1" t="str">
        <f>IF(Teams[[#This Row],[relevant]], COUNTIFS(Fixtures[userTeam], Teams[[#This Row],[name]], Fixtures[result], "W", Fixtures[APP], TRUE), "")</f>
        <v/>
      </c>
      <c r="J649" s="1" t="str">
        <f>IF(Teams[[#This Row],[relevant]], COUNTIFS(Fixtures[userTeam], Teams[[#This Row],[name]], Fixtures[result], "D", Fixtures[APP], TRUE), "")</f>
        <v/>
      </c>
      <c r="K649" s="1" t="str">
        <f>IF(Teams[[#This Row],[relevant]], COUNTIFS(Fixtures[userTeam], Teams[[#This Row],[name]], Fixtures[result], "L", Fixtures[APP], TRUE), "")</f>
        <v/>
      </c>
      <c r="L649" s="1" t="str">
        <f>IF(Teams[[#This Row],[relevant]], SUMIFS(Fixtures[G], Fixtures[userTeam], Teams[[#This Row],[name]]), "")</f>
        <v/>
      </c>
      <c r="M649" s="1" t="str">
        <f>IF(Teams[[#This Row],[relevant]], SUMIFS(Fixtures[A], Fixtures[userTeam], Teams[[#This Row],[name]]), "")</f>
        <v/>
      </c>
      <c r="N649" s="1" t="str">
        <f>IF(Teams[[#This Row],[relevant]], SUMIFS(Fixtures[INV], Fixtures[userTeam], Teams[[#This Row],[name]]), "")</f>
        <v/>
      </c>
      <c r="O649" s="1" t="str">
        <f>IF(Teams[[#This Row],[relevant]], SUMIFS(Fixtures[YC], Fixtures[userTeam], Teams[[#This Row],[name]]), "")</f>
        <v/>
      </c>
      <c r="P649" s="1" t="str">
        <f>IF(Teams[[#This Row],[relevant]], SUMIFS(Fixtures[RC], Fixtures[userTeam], Teams[[#This Row],[name]]), "")</f>
        <v/>
      </c>
      <c r="Q649" s="13" t="str">
        <f>IF(Teams[[#This Row],[relevant]], IF(ISERROR(AVERAGEIFS(Fixtures[MR], Fixtures[userTeam], Teams[[#This Row],[name]])), 0, AVERAGEIFS(Fixtures[MR], Fixtures[userTeam], Teams[[#This Row],[name]])), "")</f>
        <v/>
      </c>
      <c r="R649" s="1" t="str">
        <f>IF(Teams[[#This Row],[relevant]], COUNTIFS(Fixtures[userTeam], Teams[[#This Row],[name]], Fixtures[MOTM], TRUE), "")</f>
        <v/>
      </c>
      <c r="S649" s="1" t="str" cm="1">
        <f t="array" ref="S649">IF(Teams[[#This Row],[relevant]], _xlfn.TEXTJOIN(", ", TRUE, _xlfn._xlws.FILTER(Stats[competition]&amp;" ("&amp;Stats[season]&amp;")",(Stats[team]=Teams[[#This Row],[name]])*(Stats[result]="Winner"),"")), "")</f>
        <v/>
      </c>
    </row>
    <row r="650" spans="1:19" ht="13" hidden="1">
      <c r="A650" s="1" t="s">
        <v>965</v>
      </c>
      <c r="B650" s="1" t="s">
        <v>519</v>
      </c>
      <c r="C650" s="1" t="s">
        <v>391</v>
      </c>
      <c r="D650" s="1" t="str">
        <f>UPPER(_xlfn.CONCAT(LEFT(Teams[[#This Row],[teamType]], 1), "-", LEFT(SUBSTITUTE(Teams[[#This Row],[nation]], "/", ""), 3), "-", SUBSTITUTE(SUBSTITUTE(SUBSTITUTE(Teams[[#This Row],[name]], ".", ""), " ", ""), "-", "")))</f>
        <v>C-CAN-TORONTOFC</v>
      </c>
      <c r="E650" s="16"/>
      <c r="F650" s="16"/>
      <c r="G650" s="1" t="b">
        <f>COUNTBLANK(Teams[[#This Row],[startDate]:[endDate]]) &lt; 2</f>
        <v>0</v>
      </c>
      <c r="H650" s="1" t="str">
        <f>IF(Teams[[#This Row],[relevant]], COUNTIFS(Fixtures[userTeam], Teams[[#This Row],[name]], Fixtures[APP], TRUE), "")</f>
        <v/>
      </c>
      <c r="I650" s="1" t="str">
        <f>IF(Teams[[#This Row],[relevant]], COUNTIFS(Fixtures[userTeam], Teams[[#This Row],[name]], Fixtures[result], "W", Fixtures[APP], TRUE), "")</f>
        <v/>
      </c>
      <c r="J650" s="1" t="str">
        <f>IF(Teams[[#This Row],[relevant]], COUNTIFS(Fixtures[userTeam], Teams[[#This Row],[name]], Fixtures[result], "D", Fixtures[APP], TRUE), "")</f>
        <v/>
      </c>
      <c r="K650" s="1" t="str">
        <f>IF(Teams[[#This Row],[relevant]], COUNTIFS(Fixtures[userTeam], Teams[[#This Row],[name]], Fixtures[result], "L", Fixtures[APP], TRUE), "")</f>
        <v/>
      </c>
      <c r="L650" s="1" t="str">
        <f>IF(Teams[[#This Row],[relevant]], SUMIFS(Fixtures[G], Fixtures[userTeam], Teams[[#This Row],[name]]), "")</f>
        <v/>
      </c>
      <c r="M650" s="1" t="str">
        <f>IF(Teams[[#This Row],[relevant]], SUMIFS(Fixtures[A], Fixtures[userTeam], Teams[[#This Row],[name]]), "")</f>
        <v/>
      </c>
      <c r="N650" s="1" t="str">
        <f>IF(Teams[[#This Row],[relevant]], SUMIFS(Fixtures[INV], Fixtures[userTeam], Teams[[#This Row],[name]]), "")</f>
        <v/>
      </c>
      <c r="O650" s="1" t="str">
        <f>IF(Teams[[#This Row],[relevant]], SUMIFS(Fixtures[YC], Fixtures[userTeam], Teams[[#This Row],[name]]), "")</f>
        <v/>
      </c>
      <c r="P650" s="1" t="str">
        <f>IF(Teams[[#This Row],[relevant]], SUMIFS(Fixtures[RC], Fixtures[userTeam], Teams[[#This Row],[name]]), "")</f>
        <v/>
      </c>
      <c r="Q650" s="13" t="str">
        <f>IF(Teams[[#This Row],[relevant]], IF(ISERROR(AVERAGEIFS(Fixtures[MR], Fixtures[userTeam], Teams[[#This Row],[name]])), 0, AVERAGEIFS(Fixtures[MR], Fixtures[userTeam], Teams[[#This Row],[name]])), "")</f>
        <v/>
      </c>
      <c r="R650" s="1" t="str">
        <f>IF(Teams[[#This Row],[relevant]], COUNTIFS(Fixtures[userTeam], Teams[[#This Row],[name]], Fixtures[MOTM], TRUE), "")</f>
        <v/>
      </c>
      <c r="S650" s="1" t="str" cm="1">
        <f t="array" ref="S650">IF(Teams[[#This Row],[relevant]], _xlfn.TEXTJOIN(", ", TRUE, _xlfn._xlws.FILTER(Stats[competition]&amp;" ("&amp;Stats[season]&amp;")",(Stats[team]=Teams[[#This Row],[name]])*(Stats[result]="Winner"),"")), "")</f>
        <v/>
      </c>
    </row>
    <row r="651" spans="1:19" ht="13" hidden="1">
      <c r="A651" s="1" t="s">
        <v>966</v>
      </c>
      <c r="B651" s="1" t="s">
        <v>339</v>
      </c>
      <c r="C651" s="1" t="s">
        <v>391</v>
      </c>
      <c r="D651" s="1" t="str">
        <f>UPPER(_xlfn.CONCAT(LEFT(Teams[[#This Row],[teamType]], 1), "-", LEFT(SUBSTITUTE(Teams[[#This Row],[nation]], "/", ""), 3), "-", SUBSTITUTE(SUBSTITUTE(SUBSTITUTE(Teams[[#This Row],[name]], ".", ""), " ", ""), "-", "")))</f>
        <v>C-FRA-TOULOUSEFC</v>
      </c>
      <c r="E651" s="16"/>
      <c r="F651" s="16"/>
      <c r="G651" s="1" t="b">
        <f>COUNTBLANK(Teams[[#This Row],[startDate]:[endDate]]) &lt; 2</f>
        <v>0</v>
      </c>
      <c r="H651" s="1" t="str">
        <f>IF(Teams[[#This Row],[relevant]], COUNTIFS(Fixtures[userTeam], Teams[[#This Row],[name]], Fixtures[APP], TRUE), "")</f>
        <v/>
      </c>
      <c r="I651" s="1" t="str">
        <f>IF(Teams[[#This Row],[relevant]], COUNTIFS(Fixtures[userTeam], Teams[[#This Row],[name]], Fixtures[result], "W", Fixtures[APP], TRUE), "")</f>
        <v/>
      </c>
      <c r="J651" s="1" t="str">
        <f>IF(Teams[[#This Row],[relevant]], COUNTIFS(Fixtures[userTeam], Teams[[#This Row],[name]], Fixtures[result], "D", Fixtures[APP], TRUE), "")</f>
        <v/>
      </c>
      <c r="K651" s="1" t="str">
        <f>IF(Teams[[#This Row],[relevant]], COUNTIFS(Fixtures[userTeam], Teams[[#This Row],[name]], Fixtures[result], "L", Fixtures[APP], TRUE), "")</f>
        <v/>
      </c>
      <c r="L651" s="1" t="str">
        <f>IF(Teams[[#This Row],[relevant]], SUMIFS(Fixtures[G], Fixtures[userTeam], Teams[[#This Row],[name]]), "")</f>
        <v/>
      </c>
      <c r="M651" s="1" t="str">
        <f>IF(Teams[[#This Row],[relevant]], SUMIFS(Fixtures[A], Fixtures[userTeam], Teams[[#This Row],[name]]), "")</f>
        <v/>
      </c>
      <c r="N651" s="1" t="str">
        <f>IF(Teams[[#This Row],[relevant]], SUMIFS(Fixtures[INV], Fixtures[userTeam], Teams[[#This Row],[name]]), "")</f>
        <v/>
      </c>
      <c r="O651" s="1" t="str">
        <f>IF(Teams[[#This Row],[relevant]], SUMIFS(Fixtures[YC], Fixtures[userTeam], Teams[[#This Row],[name]]), "")</f>
        <v/>
      </c>
      <c r="P651" s="1" t="str">
        <f>IF(Teams[[#This Row],[relevant]], SUMIFS(Fixtures[RC], Fixtures[userTeam], Teams[[#This Row],[name]]), "")</f>
        <v/>
      </c>
      <c r="Q651" s="13" t="str">
        <f>IF(Teams[[#This Row],[relevant]], IF(ISERROR(AVERAGEIFS(Fixtures[MR], Fixtures[userTeam], Teams[[#This Row],[name]])), 0, AVERAGEIFS(Fixtures[MR], Fixtures[userTeam], Teams[[#This Row],[name]])), "")</f>
        <v/>
      </c>
      <c r="R651" s="1" t="str">
        <f>IF(Teams[[#This Row],[relevant]], COUNTIFS(Fixtures[userTeam], Teams[[#This Row],[name]], Fixtures[MOTM], TRUE), "")</f>
        <v/>
      </c>
      <c r="S651" s="1" t="str" cm="1">
        <f t="array" ref="S651">IF(Teams[[#This Row],[relevant]], _xlfn.TEXTJOIN(", ", TRUE, _xlfn._xlws.FILTER(Stats[competition]&amp;" ("&amp;Stats[season]&amp;")",(Stats[team]=Teams[[#This Row],[name]])*(Stats[result]="Winner"),"")), "")</f>
        <v/>
      </c>
    </row>
    <row r="652" spans="1:19" ht="13" hidden="1">
      <c r="A652" s="1" t="s">
        <v>967</v>
      </c>
      <c r="B652" s="1" t="s">
        <v>408</v>
      </c>
      <c r="C652" s="1" t="s">
        <v>391</v>
      </c>
      <c r="D652" s="1" t="str">
        <f>UPPER(_xlfn.CONCAT(LEFT(Teams[[#This Row],[teamType]], 1), "-", LEFT(SUBSTITUTE(Teams[[#This Row],[nation]], "/", ""), 3), "-", SUBSTITUTE(SUBSTITUTE(SUBSTITUTE(Teams[[#This Row],[name]], ".", ""), " ", ""), "-", "")))</f>
        <v>C-TUR-TRABZONSPOR</v>
      </c>
      <c r="E652" s="16"/>
      <c r="F652" s="16"/>
      <c r="G652" s="1" t="b">
        <f>COUNTBLANK(Teams[[#This Row],[startDate]:[endDate]]) &lt; 2</f>
        <v>0</v>
      </c>
      <c r="H652" s="1" t="str">
        <f>IF(Teams[[#This Row],[relevant]], COUNTIFS(Fixtures[userTeam], Teams[[#This Row],[name]], Fixtures[APP], TRUE), "")</f>
        <v/>
      </c>
      <c r="I652" s="1" t="str">
        <f>IF(Teams[[#This Row],[relevant]], COUNTIFS(Fixtures[userTeam], Teams[[#This Row],[name]], Fixtures[result], "W", Fixtures[APP], TRUE), "")</f>
        <v/>
      </c>
      <c r="J652" s="1" t="str">
        <f>IF(Teams[[#This Row],[relevant]], COUNTIFS(Fixtures[userTeam], Teams[[#This Row],[name]], Fixtures[result], "D", Fixtures[APP], TRUE), "")</f>
        <v/>
      </c>
      <c r="K652" s="1" t="str">
        <f>IF(Teams[[#This Row],[relevant]], COUNTIFS(Fixtures[userTeam], Teams[[#This Row],[name]], Fixtures[result], "L", Fixtures[APP], TRUE), "")</f>
        <v/>
      </c>
      <c r="L652" s="1" t="str">
        <f>IF(Teams[[#This Row],[relevant]], SUMIFS(Fixtures[G], Fixtures[userTeam], Teams[[#This Row],[name]]), "")</f>
        <v/>
      </c>
      <c r="M652" s="1" t="str">
        <f>IF(Teams[[#This Row],[relevant]], SUMIFS(Fixtures[A], Fixtures[userTeam], Teams[[#This Row],[name]]), "")</f>
        <v/>
      </c>
      <c r="N652" s="1" t="str">
        <f>IF(Teams[[#This Row],[relevant]], SUMIFS(Fixtures[INV], Fixtures[userTeam], Teams[[#This Row],[name]]), "")</f>
        <v/>
      </c>
      <c r="O652" s="1" t="str">
        <f>IF(Teams[[#This Row],[relevant]], SUMIFS(Fixtures[YC], Fixtures[userTeam], Teams[[#This Row],[name]]), "")</f>
        <v/>
      </c>
      <c r="P652" s="1" t="str">
        <f>IF(Teams[[#This Row],[relevant]], SUMIFS(Fixtures[RC], Fixtures[userTeam], Teams[[#This Row],[name]]), "")</f>
        <v/>
      </c>
      <c r="Q652" s="13" t="str">
        <f>IF(Teams[[#This Row],[relevant]], IF(ISERROR(AVERAGEIFS(Fixtures[MR], Fixtures[userTeam], Teams[[#This Row],[name]])), 0, AVERAGEIFS(Fixtures[MR], Fixtures[userTeam], Teams[[#This Row],[name]])), "")</f>
        <v/>
      </c>
      <c r="R652" s="1" t="str">
        <f>IF(Teams[[#This Row],[relevant]], COUNTIFS(Fixtures[userTeam], Teams[[#This Row],[name]], Fixtures[MOTM], TRUE), "")</f>
        <v/>
      </c>
      <c r="S652" s="1" t="str" cm="1">
        <f t="array" ref="S652">IF(Teams[[#This Row],[relevant]], _xlfn.TEXTJOIN(", ", TRUE, _xlfn._xlws.FILTER(Stats[competition]&amp;" ("&amp;Stats[season]&amp;")",(Stats[team]=Teams[[#This Row],[name]])*(Stats[result]="Winner"),"")), "")</f>
        <v/>
      </c>
    </row>
    <row r="653" spans="1:19" ht="13" hidden="1">
      <c r="A653" s="1" t="s">
        <v>968</v>
      </c>
      <c r="B653" s="1" t="s">
        <v>152</v>
      </c>
      <c r="C653" s="1" t="s">
        <v>391</v>
      </c>
      <c r="D653" s="1" t="str">
        <f>UPPER(_xlfn.CONCAT(LEFT(Teams[[#This Row],[teamType]], 1), "-", LEFT(SUBSTITUTE(Teams[[#This Row],[nation]], "/", ""), 3), "-", SUBSTITUTE(SUBSTITUTE(SUBSTITUTE(Teams[[#This Row],[name]], ".", ""), " ", ""), "-", "")))</f>
        <v>C-ENG-TRANMEREROVERS</v>
      </c>
      <c r="E653" s="16"/>
      <c r="F653" s="16"/>
      <c r="G653" s="1" t="b">
        <f>COUNTBLANK(Teams[[#This Row],[startDate]:[endDate]]) &lt; 2</f>
        <v>0</v>
      </c>
      <c r="H653" s="1" t="str">
        <f>IF(Teams[[#This Row],[relevant]], COUNTIFS(Fixtures[userTeam], Teams[[#This Row],[name]], Fixtures[APP], TRUE), "")</f>
        <v/>
      </c>
      <c r="I653" s="1" t="str">
        <f>IF(Teams[[#This Row],[relevant]], COUNTIFS(Fixtures[userTeam], Teams[[#This Row],[name]], Fixtures[result], "W", Fixtures[APP], TRUE), "")</f>
        <v/>
      </c>
      <c r="J653" s="1" t="str">
        <f>IF(Teams[[#This Row],[relevant]], COUNTIFS(Fixtures[userTeam], Teams[[#This Row],[name]], Fixtures[result], "D", Fixtures[APP], TRUE), "")</f>
        <v/>
      </c>
      <c r="K653" s="1" t="str">
        <f>IF(Teams[[#This Row],[relevant]], COUNTIFS(Fixtures[userTeam], Teams[[#This Row],[name]], Fixtures[result], "L", Fixtures[APP], TRUE), "")</f>
        <v/>
      </c>
      <c r="L653" s="1" t="str">
        <f>IF(Teams[[#This Row],[relevant]], SUMIFS(Fixtures[G], Fixtures[userTeam], Teams[[#This Row],[name]]), "")</f>
        <v/>
      </c>
      <c r="M653" s="1" t="str">
        <f>IF(Teams[[#This Row],[relevant]], SUMIFS(Fixtures[A], Fixtures[userTeam], Teams[[#This Row],[name]]), "")</f>
        <v/>
      </c>
      <c r="N653" s="1" t="str">
        <f>IF(Teams[[#This Row],[relevant]], SUMIFS(Fixtures[INV], Fixtures[userTeam], Teams[[#This Row],[name]]), "")</f>
        <v/>
      </c>
      <c r="O653" s="1" t="str">
        <f>IF(Teams[[#This Row],[relevant]], SUMIFS(Fixtures[YC], Fixtures[userTeam], Teams[[#This Row],[name]]), "")</f>
        <v/>
      </c>
      <c r="P653" s="1" t="str">
        <f>IF(Teams[[#This Row],[relevant]], SUMIFS(Fixtures[RC], Fixtures[userTeam], Teams[[#This Row],[name]]), "")</f>
        <v/>
      </c>
      <c r="Q653" s="13" t="str">
        <f>IF(Teams[[#This Row],[relevant]], IF(ISERROR(AVERAGEIFS(Fixtures[MR], Fixtures[userTeam], Teams[[#This Row],[name]])), 0, AVERAGEIFS(Fixtures[MR], Fixtures[userTeam], Teams[[#This Row],[name]])), "")</f>
        <v/>
      </c>
      <c r="R653" s="1" t="str">
        <f>IF(Teams[[#This Row],[relevant]], COUNTIFS(Fixtures[userTeam], Teams[[#This Row],[name]], Fixtures[MOTM], TRUE), "")</f>
        <v/>
      </c>
      <c r="S653" s="1" t="str" cm="1">
        <f t="array" ref="S653">IF(Teams[[#This Row],[relevant]], _xlfn.TEXTJOIN(", ", TRUE, _xlfn._xlws.FILTER(Stats[competition]&amp;" ("&amp;Stats[season]&amp;")",(Stats[team]=Teams[[#This Row],[name]])*(Stats[result]="Winner"),"")), "")</f>
        <v/>
      </c>
    </row>
    <row r="654" spans="1:19" ht="13" hidden="1">
      <c r="A654" s="1" t="s">
        <v>969</v>
      </c>
      <c r="B654" s="1" t="s">
        <v>286</v>
      </c>
      <c r="C654" s="1" t="s">
        <v>391</v>
      </c>
      <c r="D654" s="1" t="str">
        <f>UPPER(_xlfn.CONCAT(LEFT(Teams[[#This Row],[teamType]], 1), "-", LEFT(SUBSTITUTE(Teams[[#This Row],[nation]], "/", ""), 3), "-", SUBSTITUTE(SUBSTITUTE(SUBSTITUTE(Teams[[#This Row],[name]], ".", ""), " ", ""), "-", "")))</f>
        <v>C-NOR-TROMSØIL</v>
      </c>
      <c r="E654" s="16"/>
      <c r="F654" s="16"/>
      <c r="G654" s="1" t="b">
        <f>COUNTBLANK(Teams[[#This Row],[startDate]:[endDate]]) &lt; 2</f>
        <v>0</v>
      </c>
      <c r="H654" s="1" t="str">
        <f>IF(Teams[[#This Row],[relevant]], COUNTIFS(Fixtures[userTeam], Teams[[#This Row],[name]], Fixtures[APP], TRUE), "")</f>
        <v/>
      </c>
      <c r="I654" s="1" t="str">
        <f>IF(Teams[[#This Row],[relevant]], COUNTIFS(Fixtures[userTeam], Teams[[#This Row],[name]], Fixtures[result], "W", Fixtures[APP], TRUE), "")</f>
        <v/>
      </c>
      <c r="J654" s="1" t="str">
        <f>IF(Teams[[#This Row],[relevant]], COUNTIFS(Fixtures[userTeam], Teams[[#This Row],[name]], Fixtures[result], "D", Fixtures[APP], TRUE), "")</f>
        <v/>
      </c>
      <c r="K654" s="1" t="str">
        <f>IF(Teams[[#This Row],[relevant]], COUNTIFS(Fixtures[userTeam], Teams[[#This Row],[name]], Fixtures[result], "L", Fixtures[APP], TRUE), "")</f>
        <v/>
      </c>
      <c r="L654" s="1" t="str">
        <f>IF(Teams[[#This Row],[relevant]], SUMIFS(Fixtures[G], Fixtures[userTeam], Teams[[#This Row],[name]]), "")</f>
        <v/>
      </c>
      <c r="M654" s="1" t="str">
        <f>IF(Teams[[#This Row],[relevant]], SUMIFS(Fixtures[A], Fixtures[userTeam], Teams[[#This Row],[name]]), "")</f>
        <v/>
      </c>
      <c r="N654" s="1" t="str">
        <f>IF(Teams[[#This Row],[relevant]], SUMIFS(Fixtures[INV], Fixtures[userTeam], Teams[[#This Row],[name]]), "")</f>
        <v/>
      </c>
      <c r="O654" s="1" t="str">
        <f>IF(Teams[[#This Row],[relevant]], SUMIFS(Fixtures[YC], Fixtures[userTeam], Teams[[#This Row],[name]]), "")</f>
        <v/>
      </c>
      <c r="P654" s="1" t="str">
        <f>IF(Teams[[#This Row],[relevant]], SUMIFS(Fixtures[RC], Fixtures[userTeam], Teams[[#This Row],[name]]), "")</f>
        <v/>
      </c>
      <c r="Q654" s="13" t="str">
        <f>IF(Teams[[#This Row],[relevant]], IF(ISERROR(AVERAGEIFS(Fixtures[MR], Fixtures[userTeam], Teams[[#This Row],[name]])), 0, AVERAGEIFS(Fixtures[MR], Fixtures[userTeam], Teams[[#This Row],[name]])), "")</f>
        <v/>
      </c>
      <c r="R654" s="1" t="str">
        <f>IF(Teams[[#This Row],[relevant]], COUNTIFS(Fixtures[userTeam], Teams[[#This Row],[name]], Fixtures[MOTM], TRUE), "")</f>
        <v/>
      </c>
      <c r="S654" s="1" t="str" cm="1">
        <f t="array" ref="S654">IF(Teams[[#This Row],[relevant]], _xlfn.TEXTJOIN(", ", TRUE, _xlfn._xlws.FILTER(Stats[competition]&amp;" ("&amp;Stats[season]&amp;")",(Stats[team]=Teams[[#This Row],[name]])*(Stats[result]="Winner"),"")), "")</f>
        <v/>
      </c>
    </row>
    <row r="655" spans="1:19" ht="13" hidden="1">
      <c r="A655" s="1" t="s">
        <v>313</v>
      </c>
      <c r="B655" s="1" t="s">
        <v>337</v>
      </c>
      <c r="C655" s="1" t="s">
        <v>391</v>
      </c>
      <c r="D655" s="1" t="str">
        <f>UPPER(_xlfn.CONCAT(LEFT(Teams[[#This Row],[teamType]], 1), "-", LEFT(SUBSTITUTE(Teams[[#This Row],[nation]], "/", ""), 3), "-", SUBSTITUTE(SUBSTITUTE(SUBSTITUTE(Teams[[#This Row],[name]], ".", ""), " ", ""), "-", "")))</f>
        <v>C-GER-TSGHOFFENHEIM</v>
      </c>
      <c r="E655" s="16"/>
      <c r="F655" s="16"/>
      <c r="G655" s="1" t="b">
        <f>COUNTBLANK(Teams[[#This Row],[startDate]:[endDate]]) &lt; 2</f>
        <v>0</v>
      </c>
      <c r="H655" s="1" t="str">
        <f>IF(Teams[[#This Row],[relevant]], COUNTIFS(Fixtures[userTeam], Teams[[#This Row],[name]], Fixtures[APP], TRUE), "")</f>
        <v/>
      </c>
      <c r="I655" s="1" t="str">
        <f>IF(Teams[[#This Row],[relevant]], COUNTIFS(Fixtures[userTeam], Teams[[#This Row],[name]], Fixtures[result], "W", Fixtures[APP], TRUE), "")</f>
        <v/>
      </c>
      <c r="J655" s="1" t="str">
        <f>IF(Teams[[#This Row],[relevant]], COUNTIFS(Fixtures[userTeam], Teams[[#This Row],[name]], Fixtures[result], "D", Fixtures[APP], TRUE), "")</f>
        <v/>
      </c>
      <c r="K655" s="1" t="str">
        <f>IF(Teams[[#This Row],[relevant]], COUNTIFS(Fixtures[userTeam], Teams[[#This Row],[name]], Fixtures[result], "L", Fixtures[APP], TRUE), "")</f>
        <v/>
      </c>
      <c r="L655" s="1" t="str">
        <f>IF(Teams[[#This Row],[relevant]], SUMIFS(Fixtures[G], Fixtures[userTeam], Teams[[#This Row],[name]]), "")</f>
        <v/>
      </c>
      <c r="M655" s="1" t="str">
        <f>IF(Teams[[#This Row],[relevant]], SUMIFS(Fixtures[A], Fixtures[userTeam], Teams[[#This Row],[name]]), "")</f>
        <v/>
      </c>
      <c r="N655" s="1" t="str">
        <f>IF(Teams[[#This Row],[relevant]], SUMIFS(Fixtures[INV], Fixtures[userTeam], Teams[[#This Row],[name]]), "")</f>
        <v/>
      </c>
      <c r="O655" s="1" t="str">
        <f>IF(Teams[[#This Row],[relevant]], SUMIFS(Fixtures[YC], Fixtures[userTeam], Teams[[#This Row],[name]]), "")</f>
        <v/>
      </c>
      <c r="P655" s="1" t="str">
        <f>IF(Teams[[#This Row],[relevant]], SUMIFS(Fixtures[RC], Fixtures[userTeam], Teams[[#This Row],[name]]), "")</f>
        <v/>
      </c>
      <c r="Q655" s="13" t="str">
        <f>IF(Teams[[#This Row],[relevant]], IF(ISERROR(AVERAGEIFS(Fixtures[MR], Fixtures[userTeam], Teams[[#This Row],[name]])), 0, AVERAGEIFS(Fixtures[MR], Fixtures[userTeam], Teams[[#This Row],[name]])), "")</f>
        <v/>
      </c>
      <c r="R655" s="1" t="str">
        <f>IF(Teams[[#This Row],[relevant]], COUNTIFS(Fixtures[userTeam], Teams[[#This Row],[name]], Fixtures[MOTM], TRUE), "")</f>
        <v/>
      </c>
      <c r="S655" s="1" t="str" cm="1">
        <f t="array" ref="S655">IF(Teams[[#This Row],[relevant]], _xlfn.TEXTJOIN(", ", TRUE, _xlfn._xlws.FILTER(Stats[competition]&amp;" ("&amp;Stats[season]&amp;")",(Stats[team]=Teams[[#This Row],[name]])*(Stats[result]="Winner"),"")), "")</f>
        <v/>
      </c>
    </row>
    <row r="656" spans="1:19" ht="13" hidden="1">
      <c r="A656" s="1" t="s">
        <v>970</v>
      </c>
      <c r="B656" s="1" t="s">
        <v>414</v>
      </c>
      <c r="C656" s="1" t="s">
        <v>391</v>
      </c>
      <c r="D656" s="1" t="str">
        <f>UPPER(_xlfn.CONCAT(LEFT(Teams[[#This Row],[teamType]], 1), "-", LEFT(SUBSTITUTE(Teams[[#This Row],[nation]], "/", ""), 3), "-", SUBSTITUTE(SUBSTITUTE(SUBSTITUTE(Teams[[#This Row],[name]], ".", ""), " ", ""), "-", "")))</f>
        <v>C-AUS-TSVHARTBERG</v>
      </c>
      <c r="E656" s="16"/>
      <c r="F656" s="16"/>
      <c r="G656" s="1" t="b">
        <f>COUNTBLANK(Teams[[#This Row],[startDate]:[endDate]]) &lt; 2</f>
        <v>0</v>
      </c>
      <c r="H656" s="1" t="str">
        <f>IF(Teams[[#This Row],[relevant]], COUNTIFS(Fixtures[userTeam], Teams[[#This Row],[name]], Fixtures[APP], TRUE), "")</f>
        <v/>
      </c>
      <c r="I656" s="1" t="str">
        <f>IF(Teams[[#This Row],[relevant]], COUNTIFS(Fixtures[userTeam], Teams[[#This Row],[name]], Fixtures[result], "W", Fixtures[APP], TRUE), "")</f>
        <v/>
      </c>
      <c r="J656" s="1" t="str">
        <f>IF(Teams[[#This Row],[relevant]], COUNTIFS(Fixtures[userTeam], Teams[[#This Row],[name]], Fixtures[result], "D", Fixtures[APP], TRUE), "")</f>
        <v/>
      </c>
      <c r="K656" s="1" t="str">
        <f>IF(Teams[[#This Row],[relevant]], COUNTIFS(Fixtures[userTeam], Teams[[#This Row],[name]], Fixtures[result], "L", Fixtures[APP], TRUE), "")</f>
        <v/>
      </c>
      <c r="L656" s="1" t="str">
        <f>IF(Teams[[#This Row],[relevant]], SUMIFS(Fixtures[G], Fixtures[userTeam], Teams[[#This Row],[name]]), "")</f>
        <v/>
      </c>
      <c r="M656" s="1" t="str">
        <f>IF(Teams[[#This Row],[relevant]], SUMIFS(Fixtures[A], Fixtures[userTeam], Teams[[#This Row],[name]]), "")</f>
        <v/>
      </c>
      <c r="N656" s="1" t="str">
        <f>IF(Teams[[#This Row],[relevant]], SUMIFS(Fixtures[INV], Fixtures[userTeam], Teams[[#This Row],[name]]), "")</f>
        <v/>
      </c>
      <c r="O656" s="1" t="str">
        <f>IF(Teams[[#This Row],[relevant]], SUMIFS(Fixtures[YC], Fixtures[userTeam], Teams[[#This Row],[name]]), "")</f>
        <v/>
      </c>
      <c r="P656" s="1" t="str">
        <f>IF(Teams[[#This Row],[relevant]], SUMIFS(Fixtures[RC], Fixtures[userTeam], Teams[[#This Row],[name]]), "")</f>
        <v/>
      </c>
      <c r="Q656" s="13" t="str">
        <f>IF(Teams[[#This Row],[relevant]], IF(ISERROR(AVERAGEIFS(Fixtures[MR], Fixtures[userTeam], Teams[[#This Row],[name]])), 0, AVERAGEIFS(Fixtures[MR], Fixtures[userTeam], Teams[[#This Row],[name]])), "")</f>
        <v/>
      </c>
      <c r="R656" s="1" t="str">
        <f>IF(Teams[[#This Row],[relevant]], COUNTIFS(Fixtures[userTeam], Teams[[#This Row],[name]], Fixtures[MOTM], TRUE), "")</f>
        <v/>
      </c>
      <c r="S656" s="1" t="str" cm="1">
        <f t="array" ref="S656">IF(Teams[[#This Row],[relevant]], _xlfn.TEXTJOIN(", ", TRUE, _xlfn._xlws.FILTER(Stats[competition]&amp;" ("&amp;Stats[season]&amp;")",(Stats[team]=Teams[[#This Row],[name]])*(Stats[result]="Winner"),"")), "")</f>
        <v/>
      </c>
    </row>
    <row r="657" spans="1:19" ht="13" hidden="1">
      <c r="A657" s="1" t="s">
        <v>971</v>
      </c>
      <c r="B657" s="1" t="s">
        <v>456</v>
      </c>
      <c r="C657" s="1" t="s">
        <v>391</v>
      </c>
      <c r="D657" s="1" t="str">
        <f>UPPER(_xlfn.CONCAT(LEFT(Teams[[#This Row],[teamType]], 1), "-", LEFT(SUBSTITUTE(Teams[[#This Row],[nation]], "/", ""), 3), "-", SUBSTITUTE(SUBSTITUTE(SUBSTITUTE(Teams[[#This Row],[name]], ".", ""), " ", ""), "-", "")))</f>
        <v>C-CHI-UCATÓLICA</v>
      </c>
      <c r="E657" s="16"/>
      <c r="F657" s="16"/>
      <c r="G657" s="1" t="b">
        <f>COUNTBLANK(Teams[[#This Row],[startDate]:[endDate]]) &lt; 2</f>
        <v>0</v>
      </c>
      <c r="H657" s="1" t="str">
        <f>IF(Teams[[#This Row],[relevant]], COUNTIFS(Fixtures[userTeam], Teams[[#This Row],[name]], Fixtures[APP], TRUE), "")</f>
        <v/>
      </c>
      <c r="I657" s="1" t="str">
        <f>IF(Teams[[#This Row],[relevant]], COUNTIFS(Fixtures[userTeam], Teams[[#This Row],[name]], Fixtures[result], "W", Fixtures[APP], TRUE), "")</f>
        <v/>
      </c>
      <c r="J657" s="1" t="str">
        <f>IF(Teams[[#This Row],[relevant]], COUNTIFS(Fixtures[userTeam], Teams[[#This Row],[name]], Fixtures[result], "D", Fixtures[APP], TRUE), "")</f>
        <v/>
      </c>
      <c r="K657" s="1" t="str">
        <f>IF(Teams[[#This Row],[relevant]], COUNTIFS(Fixtures[userTeam], Teams[[#This Row],[name]], Fixtures[result], "L", Fixtures[APP], TRUE), "")</f>
        <v/>
      </c>
      <c r="L657" s="1" t="str">
        <f>IF(Teams[[#This Row],[relevant]], SUMIFS(Fixtures[G], Fixtures[userTeam], Teams[[#This Row],[name]]), "")</f>
        <v/>
      </c>
      <c r="M657" s="1" t="str">
        <f>IF(Teams[[#This Row],[relevant]], SUMIFS(Fixtures[A], Fixtures[userTeam], Teams[[#This Row],[name]]), "")</f>
        <v/>
      </c>
      <c r="N657" s="1" t="str">
        <f>IF(Teams[[#This Row],[relevant]], SUMIFS(Fixtures[INV], Fixtures[userTeam], Teams[[#This Row],[name]]), "")</f>
        <v/>
      </c>
      <c r="O657" s="1" t="str">
        <f>IF(Teams[[#This Row],[relevant]], SUMIFS(Fixtures[YC], Fixtures[userTeam], Teams[[#This Row],[name]]), "")</f>
        <v/>
      </c>
      <c r="P657" s="1" t="str">
        <f>IF(Teams[[#This Row],[relevant]], SUMIFS(Fixtures[RC], Fixtures[userTeam], Teams[[#This Row],[name]]), "")</f>
        <v/>
      </c>
      <c r="Q657" s="13" t="str">
        <f>IF(Teams[[#This Row],[relevant]], IF(ISERROR(AVERAGEIFS(Fixtures[MR], Fixtures[userTeam], Teams[[#This Row],[name]])), 0, AVERAGEIFS(Fixtures[MR], Fixtures[userTeam], Teams[[#This Row],[name]])), "")</f>
        <v/>
      </c>
      <c r="R657" s="1" t="str">
        <f>IF(Teams[[#This Row],[relevant]], COUNTIFS(Fixtures[userTeam], Teams[[#This Row],[name]], Fixtures[MOTM], TRUE), "")</f>
        <v/>
      </c>
      <c r="S657" s="1" t="str" cm="1">
        <f t="array" ref="S657">IF(Teams[[#This Row],[relevant]], _xlfn.TEXTJOIN(", ", TRUE, _xlfn._xlws.FILTER(Stats[competition]&amp;" ("&amp;Stats[season]&amp;")",(Stats[team]=Teams[[#This Row],[name]])*(Stats[result]="Winner"),"")), "")</f>
        <v/>
      </c>
    </row>
    <row r="658" spans="1:19" ht="13" hidden="1">
      <c r="A658" s="1" t="s">
        <v>972</v>
      </c>
      <c r="B658" s="1" t="s">
        <v>270</v>
      </c>
      <c r="C658" s="1" t="s">
        <v>391</v>
      </c>
      <c r="D658" s="1" t="str">
        <f>UPPER(_xlfn.CONCAT(LEFT(Teams[[#This Row],[teamType]], 1), "-", LEFT(SUBSTITUTE(Teams[[#This Row],[nation]], "/", ""), 3), "-", SUBSTITUTE(SUBSTITUTE(SUBSTITUTE(Teams[[#This Row],[name]], ".", ""), " ", ""), "-", "")))</f>
        <v>C-IRE-UCDAFC</v>
      </c>
      <c r="E658" s="16"/>
      <c r="F658" s="16"/>
      <c r="G658" s="1" t="b">
        <f>COUNTBLANK(Teams[[#This Row],[startDate]:[endDate]]) &lt; 2</f>
        <v>0</v>
      </c>
      <c r="H658" s="1" t="str">
        <f>IF(Teams[[#This Row],[relevant]], COUNTIFS(Fixtures[userTeam], Teams[[#This Row],[name]], Fixtures[APP], TRUE), "")</f>
        <v/>
      </c>
      <c r="I658" s="1" t="str">
        <f>IF(Teams[[#This Row],[relevant]], COUNTIFS(Fixtures[userTeam], Teams[[#This Row],[name]], Fixtures[result], "W", Fixtures[APP], TRUE), "")</f>
        <v/>
      </c>
      <c r="J658" s="1" t="str">
        <f>IF(Teams[[#This Row],[relevant]], COUNTIFS(Fixtures[userTeam], Teams[[#This Row],[name]], Fixtures[result], "D", Fixtures[APP], TRUE), "")</f>
        <v/>
      </c>
      <c r="K658" s="1" t="str">
        <f>IF(Teams[[#This Row],[relevant]], COUNTIFS(Fixtures[userTeam], Teams[[#This Row],[name]], Fixtures[result], "L", Fixtures[APP], TRUE), "")</f>
        <v/>
      </c>
      <c r="L658" s="1" t="str">
        <f>IF(Teams[[#This Row],[relevant]], SUMIFS(Fixtures[G], Fixtures[userTeam], Teams[[#This Row],[name]]), "")</f>
        <v/>
      </c>
      <c r="M658" s="1" t="str">
        <f>IF(Teams[[#This Row],[relevant]], SUMIFS(Fixtures[A], Fixtures[userTeam], Teams[[#This Row],[name]]), "")</f>
        <v/>
      </c>
      <c r="N658" s="1" t="str">
        <f>IF(Teams[[#This Row],[relevant]], SUMIFS(Fixtures[INV], Fixtures[userTeam], Teams[[#This Row],[name]]), "")</f>
        <v/>
      </c>
      <c r="O658" s="1" t="str">
        <f>IF(Teams[[#This Row],[relevant]], SUMIFS(Fixtures[YC], Fixtures[userTeam], Teams[[#This Row],[name]]), "")</f>
        <v/>
      </c>
      <c r="P658" s="1" t="str">
        <f>IF(Teams[[#This Row],[relevant]], SUMIFS(Fixtures[RC], Fixtures[userTeam], Teams[[#This Row],[name]]), "")</f>
        <v/>
      </c>
      <c r="Q658" s="13" t="str">
        <f>IF(Teams[[#This Row],[relevant]], IF(ISERROR(AVERAGEIFS(Fixtures[MR], Fixtures[userTeam], Teams[[#This Row],[name]])), 0, AVERAGEIFS(Fixtures[MR], Fixtures[userTeam], Teams[[#This Row],[name]])), "")</f>
        <v/>
      </c>
      <c r="R658" s="1" t="str">
        <f>IF(Teams[[#This Row],[relevant]], COUNTIFS(Fixtures[userTeam], Teams[[#This Row],[name]], Fixtures[MOTM], TRUE), "")</f>
        <v/>
      </c>
      <c r="S658" s="1" t="str" cm="1">
        <f t="array" ref="S658">IF(Teams[[#This Row],[relevant]], _xlfn.TEXTJOIN(", ", TRUE, _xlfn._xlws.FILTER(Stats[competition]&amp;" ("&amp;Stats[season]&amp;")",(Stats[team]=Teams[[#This Row],[name]])*(Stats[result]="Winner"),"")), "")</f>
        <v/>
      </c>
    </row>
    <row r="659" spans="1:19" ht="13" hidden="1">
      <c r="A659" s="1" t="s">
        <v>973</v>
      </c>
      <c r="B659" s="1" t="s">
        <v>163</v>
      </c>
      <c r="C659" s="1" t="s">
        <v>391</v>
      </c>
      <c r="D659" s="1" t="str">
        <f>UPPER(_xlfn.CONCAT(LEFT(Teams[[#This Row],[teamType]], 1), "-", LEFT(SUBSTITUTE(Teams[[#This Row],[nation]], "/", ""), 3), "-", SUBSTITUTE(SUBSTITUTE(SUBSTITUTE(Teams[[#This Row],[name]], ".", ""), " ", ""), "-", "")))</f>
        <v>C-SPA-UDALMERÍA</v>
      </c>
      <c r="E659" s="16"/>
      <c r="F659" s="16"/>
      <c r="G659" s="1" t="b">
        <f>COUNTBLANK(Teams[[#This Row],[startDate]:[endDate]]) &lt; 2</f>
        <v>0</v>
      </c>
      <c r="H659" s="1" t="str">
        <f>IF(Teams[[#This Row],[relevant]], COUNTIFS(Fixtures[userTeam], Teams[[#This Row],[name]], Fixtures[APP], TRUE), "")</f>
        <v/>
      </c>
      <c r="I659" s="1" t="str">
        <f>IF(Teams[[#This Row],[relevant]], COUNTIFS(Fixtures[userTeam], Teams[[#This Row],[name]], Fixtures[result], "W", Fixtures[APP], TRUE), "")</f>
        <v/>
      </c>
      <c r="J659" s="1" t="str">
        <f>IF(Teams[[#This Row],[relevant]], COUNTIFS(Fixtures[userTeam], Teams[[#This Row],[name]], Fixtures[result], "D", Fixtures[APP], TRUE), "")</f>
        <v/>
      </c>
      <c r="K659" s="1" t="str">
        <f>IF(Teams[[#This Row],[relevant]], COUNTIFS(Fixtures[userTeam], Teams[[#This Row],[name]], Fixtures[result], "L", Fixtures[APP], TRUE), "")</f>
        <v/>
      </c>
      <c r="L659" s="1" t="str">
        <f>IF(Teams[[#This Row],[relevant]], SUMIFS(Fixtures[G], Fixtures[userTeam], Teams[[#This Row],[name]]), "")</f>
        <v/>
      </c>
      <c r="M659" s="1" t="str">
        <f>IF(Teams[[#This Row],[relevant]], SUMIFS(Fixtures[A], Fixtures[userTeam], Teams[[#This Row],[name]]), "")</f>
        <v/>
      </c>
      <c r="N659" s="1" t="str">
        <f>IF(Teams[[#This Row],[relevant]], SUMIFS(Fixtures[INV], Fixtures[userTeam], Teams[[#This Row],[name]]), "")</f>
        <v/>
      </c>
      <c r="O659" s="1" t="str">
        <f>IF(Teams[[#This Row],[relevant]], SUMIFS(Fixtures[YC], Fixtures[userTeam], Teams[[#This Row],[name]]), "")</f>
        <v/>
      </c>
      <c r="P659" s="1" t="str">
        <f>IF(Teams[[#This Row],[relevant]], SUMIFS(Fixtures[RC], Fixtures[userTeam], Teams[[#This Row],[name]]), "")</f>
        <v/>
      </c>
      <c r="Q659" s="13" t="str">
        <f>IF(Teams[[#This Row],[relevant]], IF(ISERROR(AVERAGEIFS(Fixtures[MR], Fixtures[userTeam], Teams[[#This Row],[name]])), 0, AVERAGEIFS(Fixtures[MR], Fixtures[userTeam], Teams[[#This Row],[name]])), "")</f>
        <v/>
      </c>
      <c r="R659" s="1" t="str">
        <f>IF(Teams[[#This Row],[relevant]], COUNTIFS(Fixtures[userTeam], Teams[[#This Row],[name]], Fixtures[MOTM], TRUE), "")</f>
        <v/>
      </c>
      <c r="S659" s="1" t="str" cm="1">
        <f t="array" ref="S659">IF(Teams[[#This Row],[relevant]], _xlfn.TEXTJOIN(", ", TRUE, _xlfn._xlws.FILTER(Stats[competition]&amp;" ("&amp;Stats[season]&amp;")",(Stats[team]=Teams[[#This Row],[name]])*(Stats[result]="Winner"),"")), "")</f>
        <v/>
      </c>
    </row>
    <row r="660" spans="1:19" ht="13" hidden="1">
      <c r="A660" s="1" t="s">
        <v>974</v>
      </c>
      <c r="B660" s="1" t="s">
        <v>163</v>
      </c>
      <c r="C660" s="1" t="s">
        <v>391</v>
      </c>
      <c r="D660" s="1" t="str">
        <f>UPPER(_xlfn.CONCAT(LEFT(Teams[[#This Row],[teamType]], 1), "-", LEFT(SUBSTITUTE(Teams[[#This Row],[nation]], "/", ""), 3), "-", SUBSTITUTE(SUBSTITUTE(SUBSTITUTE(Teams[[#This Row],[name]], ".", ""), " ", ""), "-", "")))</f>
        <v>C-SPA-UDIBIZA</v>
      </c>
      <c r="E660" s="16"/>
      <c r="F660" s="16"/>
      <c r="G660" s="1" t="b">
        <f>COUNTBLANK(Teams[[#This Row],[startDate]:[endDate]]) &lt; 2</f>
        <v>0</v>
      </c>
      <c r="H660" s="1" t="str">
        <f>IF(Teams[[#This Row],[relevant]], COUNTIFS(Fixtures[userTeam], Teams[[#This Row],[name]], Fixtures[APP], TRUE), "")</f>
        <v/>
      </c>
      <c r="I660" s="1" t="str">
        <f>IF(Teams[[#This Row],[relevant]], COUNTIFS(Fixtures[userTeam], Teams[[#This Row],[name]], Fixtures[result], "W", Fixtures[APP], TRUE), "")</f>
        <v/>
      </c>
      <c r="J660" s="1" t="str">
        <f>IF(Teams[[#This Row],[relevant]], COUNTIFS(Fixtures[userTeam], Teams[[#This Row],[name]], Fixtures[result], "D", Fixtures[APP], TRUE), "")</f>
        <v/>
      </c>
      <c r="K660" s="1" t="str">
        <f>IF(Teams[[#This Row],[relevant]], COUNTIFS(Fixtures[userTeam], Teams[[#This Row],[name]], Fixtures[result], "L", Fixtures[APP], TRUE), "")</f>
        <v/>
      </c>
      <c r="L660" s="1" t="str">
        <f>IF(Teams[[#This Row],[relevant]], SUMIFS(Fixtures[G], Fixtures[userTeam], Teams[[#This Row],[name]]), "")</f>
        <v/>
      </c>
      <c r="M660" s="1" t="str">
        <f>IF(Teams[[#This Row],[relevant]], SUMIFS(Fixtures[A], Fixtures[userTeam], Teams[[#This Row],[name]]), "")</f>
        <v/>
      </c>
      <c r="N660" s="1" t="str">
        <f>IF(Teams[[#This Row],[relevant]], SUMIFS(Fixtures[INV], Fixtures[userTeam], Teams[[#This Row],[name]]), "")</f>
        <v/>
      </c>
      <c r="O660" s="1" t="str">
        <f>IF(Teams[[#This Row],[relevant]], SUMIFS(Fixtures[YC], Fixtures[userTeam], Teams[[#This Row],[name]]), "")</f>
        <v/>
      </c>
      <c r="P660" s="1" t="str">
        <f>IF(Teams[[#This Row],[relevant]], SUMIFS(Fixtures[RC], Fixtures[userTeam], Teams[[#This Row],[name]]), "")</f>
        <v/>
      </c>
      <c r="Q660" s="13" t="str">
        <f>IF(Teams[[#This Row],[relevant]], IF(ISERROR(AVERAGEIFS(Fixtures[MR], Fixtures[userTeam], Teams[[#This Row],[name]])), 0, AVERAGEIFS(Fixtures[MR], Fixtures[userTeam], Teams[[#This Row],[name]])), "")</f>
        <v/>
      </c>
      <c r="R660" s="1" t="str">
        <f>IF(Teams[[#This Row],[relevant]], COUNTIFS(Fixtures[userTeam], Teams[[#This Row],[name]], Fixtures[MOTM], TRUE), "")</f>
        <v/>
      </c>
      <c r="S660" s="1" t="str" cm="1">
        <f t="array" ref="S660">IF(Teams[[#This Row],[relevant]], _xlfn.TEXTJOIN(", ", TRUE, _xlfn._xlws.FILTER(Stats[competition]&amp;" ("&amp;Stats[season]&amp;")",(Stats[team]=Teams[[#This Row],[name]])*(Stats[result]="Winner"),"")), "")</f>
        <v/>
      </c>
    </row>
    <row r="661" spans="1:19" ht="13" hidden="1">
      <c r="A661" s="1" t="s">
        <v>975</v>
      </c>
      <c r="B661" s="1" t="s">
        <v>163</v>
      </c>
      <c r="C661" s="1" t="s">
        <v>391</v>
      </c>
      <c r="D661" s="1" t="str">
        <f>UPPER(_xlfn.CONCAT(LEFT(Teams[[#This Row],[teamType]], 1), "-", LEFT(SUBSTITUTE(Teams[[#This Row],[nation]], "/", ""), 3), "-", SUBSTITUTE(SUBSTITUTE(SUBSTITUTE(Teams[[#This Row],[name]], ".", ""), " ", ""), "-", "")))</f>
        <v>C-SPA-UDLASPALMAS</v>
      </c>
      <c r="E661" s="16"/>
      <c r="F661" s="16"/>
      <c r="G661" s="1" t="b">
        <f>COUNTBLANK(Teams[[#This Row],[startDate]:[endDate]]) &lt; 2</f>
        <v>0</v>
      </c>
      <c r="H661" s="1" t="str">
        <f>IF(Teams[[#This Row],[relevant]], COUNTIFS(Fixtures[userTeam], Teams[[#This Row],[name]], Fixtures[APP], TRUE), "")</f>
        <v/>
      </c>
      <c r="I661" s="1" t="str">
        <f>IF(Teams[[#This Row],[relevant]], COUNTIFS(Fixtures[userTeam], Teams[[#This Row],[name]], Fixtures[result], "W", Fixtures[APP], TRUE), "")</f>
        <v/>
      </c>
      <c r="J661" s="1" t="str">
        <f>IF(Teams[[#This Row],[relevant]], COUNTIFS(Fixtures[userTeam], Teams[[#This Row],[name]], Fixtures[result], "D", Fixtures[APP], TRUE), "")</f>
        <v/>
      </c>
      <c r="K661" s="1" t="str">
        <f>IF(Teams[[#This Row],[relevant]], COUNTIFS(Fixtures[userTeam], Teams[[#This Row],[name]], Fixtures[result], "L", Fixtures[APP], TRUE), "")</f>
        <v/>
      </c>
      <c r="L661" s="1" t="str">
        <f>IF(Teams[[#This Row],[relevant]], SUMIFS(Fixtures[G], Fixtures[userTeam], Teams[[#This Row],[name]]), "")</f>
        <v/>
      </c>
      <c r="M661" s="1" t="str">
        <f>IF(Teams[[#This Row],[relevant]], SUMIFS(Fixtures[A], Fixtures[userTeam], Teams[[#This Row],[name]]), "")</f>
        <v/>
      </c>
      <c r="N661" s="1" t="str">
        <f>IF(Teams[[#This Row],[relevant]], SUMIFS(Fixtures[INV], Fixtures[userTeam], Teams[[#This Row],[name]]), "")</f>
        <v/>
      </c>
      <c r="O661" s="1" t="str">
        <f>IF(Teams[[#This Row],[relevant]], SUMIFS(Fixtures[YC], Fixtures[userTeam], Teams[[#This Row],[name]]), "")</f>
        <v/>
      </c>
      <c r="P661" s="1" t="str">
        <f>IF(Teams[[#This Row],[relevant]], SUMIFS(Fixtures[RC], Fixtures[userTeam], Teams[[#This Row],[name]]), "")</f>
        <v/>
      </c>
      <c r="Q661" s="13" t="str">
        <f>IF(Teams[[#This Row],[relevant]], IF(ISERROR(AVERAGEIFS(Fixtures[MR], Fixtures[userTeam], Teams[[#This Row],[name]])), 0, AVERAGEIFS(Fixtures[MR], Fixtures[userTeam], Teams[[#This Row],[name]])), "")</f>
        <v/>
      </c>
      <c r="R661" s="1" t="str">
        <f>IF(Teams[[#This Row],[relevant]], COUNTIFS(Fixtures[userTeam], Teams[[#This Row],[name]], Fixtures[MOTM], TRUE), "")</f>
        <v/>
      </c>
      <c r="S661" s="1" t="str" cm="1">
        <f t="array" ref="S661">IF(Teams[[#This Row],[relevant]], _xlfn.TEXTJOIN(", ", TRUE, _xlfn._xlws.FILTER(Stats[competition]&amp;" ("&amp;Stats[season]&amp;")",(Stats[team]=Teams[[#This Row],[name]])*(Stats[result]="Winner"),"")), "")</f>
        <v/>
      </c>
    </row>
    <row r="662" spans="1:19" ht="13" hidden="1">
      <c r="A662" s="1" t="s">
        <v>343</v>
      </c>
      <c r="B662" s="1" t="s">
        <v>254</v>
      </c>
      <c r="C662" s="1" t="s">
        <v>391</v>
      </c>
      <c r="D662" s="1" t="str">
        <f>UPPER(_xlfn.CONCAT(LEFT(Teams[[#This Row],[teamType]], 1), "-", LEFT(SUBSTITUTE(Teams[[#This Row],[nation]], "/", ""), 3), "-", SUBSTITUTE(SUBSTITUTE(SUBSTITUTE(Teams[[#This Row],[name]], ".", ""), " ", ""), "-", "")))</f>
        <v>C-ITA-UDINESE</v>
      </c>
      <c r="E662" s="16"/>
      <c r="F662" s="16"/>
      <c r="G662" s="1" t="b">
        <f>COUNTBLANK(Teams[[#This Row],[startDate]:[endDate]]) &lt; 2</f>
        <v>0</v>
      </c>
      <c r="H662" s="1" t="str">
        <f>IF(Teams[[#This Row],[relevant]], COUNTIFS(Fixtures[userTeam], Teams[[#This Row],[name]], Fixtures[APP], TRUE), "")</f>
        <v/>
      </c>
      <c r="I662" s="1" t="str">
        <f>IF(Teams[[#This Row],[relevant]], COUNTIFS(Fixtures[userTeam], Teams[[#This Row],[name]], Fixtures[result], "W", Fixtures[APP], TRUE), "")</f>
        <v/>
      </c>
      <c r="J662" s="1" t="str">
        <f>IF(Teams[[#This Row],[relevant]], COUNTIFS(Fixtures[userTeam], Teams[[#This Row],[name]], Fixtures[result], "D", Fixtures[APP], TRUE), "")</f>
        <v/>
      </c>
      <c r="K662" s="1" t="str">
        <f>IF(Teams[[#This Row],[relevant]], COUNTIFS(Fixtures[userTeam], Teams[[#This Row],[name]], Fixtures[result], "L", Fixtures[APP], TRUE), "")</f>
        <v/>
      </c>
      <c r="L662" s="1" t="str">
        <f>IF(Teams[[#This Row],[relevant]], SUMIFS(Fixtures[G], Fixtures[userTeam], Teams[[#This Row],[name]]), "")</f>
        <v/>
      </c>
      <c r="M662" s="1" t="str">
        <f>IF(Teams[[#This Row],[relevant]], SUMIFS(Fixtures[A], Fixtures[userTeam], Teams[[#This Row],[name]]), "")</f>
        <v/>
      </c>
      <c r="N662" s="1" t="str">
        <f>IF(Teams[[#This Row],[relevant]], SUMIFS(Fixtures[INV], Fixtures[userTeam], Teams[[#This Row],[name]]), "")</f>
        <v/>
      </c>
      <c r="O662" s="1" t="str">
        <f>IF(Teams[[#This Row],[relevant]], SUMIFS(Fixtures[YC], Fixtures[userTeam], Teams[[#This Row],[name]]), "")</f>
        <v/>
      </c>
      <c r="P662" s="1" t="str">
        <f>IF(Teams[[#This Row],[relevant]], SUMIFS(Fixtures[RC], Fixtures[userTeam], Teams[[#This Row],[name]]), "")</f>
        <v/>
      </c>
      <c r="Q662" s="13" t="str">
        <f>IF(Teams[[#This Row],[relevant]], IF(ISERROR(AVERAGEIFS(Fixtures[MR], Fixtures[userTeam], Teams[[#This Row],[name]])), 0, AVERAGEIFS(Fixtures[MR], Fixtures[userTeam], Teams[[#This Row],[name]])), "")</f>
        <v/>
      </c>
      <c r="R662" s="1" t="str">
        <f>IF(Teams[[#This Row],[relevant]], COUNTIFS(Fixtures[userTeam], Teams[[#This Row],[name]], Fixtures[MOTM], TRUE), "")</f>
        <v/>
      </c>
      <c r="S662" s="1" t="str" cm="1">
        <f t="array" ref="S662">IF(Teams[[#This Row],[relevant]], _xlfn.TEXTJOIN(", ", TRUE, _xlfn._xlws.FILTER(Stats[competition]&amp;" ("&amp;Stats[season]&amp;")",(Stats[team]=Teams[[#This Row],[name]])*(Stats[result]="Winner"),"")), "")</f>
        <v/>
      </c>
    </row>
    <row r="663" spans="1:19" ht="13" hidden="1">
      <c r="A663" s="1" t="s">
        <v>589</v>
      </c>
      <c r="B663" s="1" t="s">
        <v>589</v>
      </c>
      <c r="C663" s="1" t="s">
        <v>459</v>
      </c>
      <c r="D663" s="1" t="str">
        <f>UPPER(_xlfn.CONCAT(LEFT(Teams[[#This Row],[teamType]], 1), "-", LEFT(SUBSTITUTE(Teams[[#This Row],[nation]], "/", ""), 3), "-", SUBSTITUTE(SUBSTITUTE(SUBSTITUTE(Teams[[#This Row],[name]], ".", ""), " ", ""), "-", "")))</f>
        <v>N-UKR-UKRAINE</v>
      </c>
      <c r="E663" s="16"/>
      <c r="F663" s="16"/>
      <c r="G663" s="1" t="b">
        <f>COUNTBLANK(Teams[[#This Row],[startDate]:[endDate]]) &lt; 2</f>
        <v>0</v>
      </c>
      <c r="H663" s="1" t="str">
        <f>IF(Teams[[#This Row],[relevant]], COUNTIFS(Fixtures[userTeam], Teams[[#This Row],[name]], Fixtures[APP], TRUE), "")</f>
        <v/>
      </c>
      <c r="I663" s="1" t="str">
        <f>IF(Teams[[#This Row],[relevant]], COUNTIFS(Fixtures[userTeam], Teams[[#This Row],[name]], Fixtures[result], "W", Fixtures[APP], TRUE), "")</f>
        <v/>
      </c>
      <c r="J663" s="1" t="str">
        <f>IF(Teams[[#This Row],[relevant]], COUNTIFS(Fixtures[userTeam], Teams[[#This Row],[name]], Fixtures[result], "D", Fixtures[APP], TRUE), "")</f>
        <v/>
      </c>
      <c r="K663" s="1" t="str">
        <f>IF(Teams[[#This Row],[relevant]], COUNTIFS(Fixtures[userTeam], Teams[[#This Row],[name]], Fixtures[result], "L", Fixtures[APP], TRUE), "")</f>
        <v/>
      </c>
      <c r="L663" s="1" t="str">
        <f>IF(Teams[[#This Row],[relevant]], SUMIFS(Fixtures[G], Fixtures[userTeam], Teams[[#This Row],[name]]), "")</f>
        <v/>
      </c>
      <c r="M663" s="1" t="str">
        <f>IF(Teams[[#This Row],[relevant]], SUMIFS(Fixtures[A], Fixtures[userTeam], Teams[[#This Row],[name]]), "")</f>
        <v/>
      </c>
      <c r="N663" s="1" t="str">
        <f>IF(Teams[[#This Row],[relevant]], SUMIFS(Fixtures[INV], Fixtures[userTeam], Teams[[#This Row],[name]]), "")</f>
        <v/>
      </c>
      <c r="O663" s="1" t="str">
        <f>IF(Teams[[#This Row],[relevant]], SUMIFS(Fixtures[YC], Fixtures[userTeam], Teams[[#This Row],[name]]), "")</f>
        <v/>
      </c>
      <c r="P663" s="1" t="str">
        <f>IF(Teams[[#This Row],[relevant]], SUMIFS(Fixtures[RC], Fixtures[userTeam], Teams[[#This Row],[name]]), "")</f>
        <v/>
      </c>
      <c r="Q663" s="13" t="str">
        <f>IF(Teams[[#This Row],[relevant]], IF(ISERROR(AVERAGEIFS(Fixtures[MR], Fixtures[userTeam], Teams[[#This Row],[name]])), 0, AVERAGEIFS(Fixtures[MR], Fixtures[userTeam], Teams[[#This Row],[name]])), "")</f>
        <v/>
      </c>
      <c r="R663" s="1" t="str">
        <f>IF(Teams[[#This Row],[relevant]], COUNTIFS(Fixtures[userTeam], Teams[[#This Row],[name]], Fixtures[MOTM], TRUE), "")</f>
        <v/>
      </c>
      <c r="S663" s="1" t="str" cm="1">
        <f t="array" ref="S663">IF(Teams[[#This Row],[relevant]], _xlfn.TEXTJOIN(", ", TRUE, _xlfn._xlws.FILTER(Stats[competition]&amp;" ("&amp;Stats[season]&amp;")",(Stats[team]=Teams[[#This Row],[name]])*(Stats[result]="Winner"),"")), "")</f>
        <v/>
      </c>
    </row>
    <row r="664" spans="1:19" ht="13" hidden="1">
      <c r="A664" s="1" t="s">
        <v>976</v>
      </c>
      <c r="B664" s="1" t="s">
        <v>568</v>
      </c>
      <c r="C664" s="1" t="s">
        <v>391</v>
      </c>
      <c r="D664" s="1" t="str">
        <f>UPPER(_xlfn.CONCAT(LEFT(Teams[[#This Row],[teamType]], 1), "-", LEFT(SUBSTITUTE(Teams[[#This Row],[nation]], "/", ""), 3), "-", SUBSTITUTE(SUBSTITUTE(SUBSTITUTE(Teams[[#This Row],[name]], ".", ""), " ", ""), "-", "")))</f>
        <v>C-KOR-ULSANHYUNDAI</v>
      </c>
      <c r="E664" s="16"/>
      <c r="F664" s="16"/>
      <c r="G664" s="1" t="b">
        <f>COUNTBLANK(Teams[[#This Row],[startDate]:[endDate]]) &lt; 2</f>
        <v>0</v>
      </c>
      <c r="H664" s="1" t="str">
        <f>IF(Teams[[#This Row],[relevant]], COUNTIFS(Fixtures[userTeam], Teams[[#This Row],[name]], Fixtures[APP], TRUE), "")</f>
        <v/>
      </c>
      <c r="I664" s="1" t="str">
        <f>IF(Teams[[#This Row],[relevant]], COUNTIFS(Fixtures[userTeam], Teams[[#This Row],[name]], Fixtures[result], "W", Fixtures[APP], TRUE), "")</f>
        <v/>
      </c>
      <c r="J664" s="1" t="str">
        <f>IF(Teams[[#This Row],[relevant]], COUNTIFS(Fixtures[userTeam], Teams[[#This Row],[name]], Fixtures[result], "D", Fixtures[APP], TRUE), "")</f>
        <v/>
      </c>
      <c r="K664" s="1" t="str">
        <f>IF(Teams[[#This Row],[relevant]], COUNTIFS(Fixtures[userTeam], Teams[[#This Row],[name]], Fixtures[result], "L", Fixtures[APP], TRUE), "")</f>
        <v/>
      </c>
      <c r="L664" s="1" t="str">
        <f>IF(Teams[[#This Row],[relevant]], SUMIFS(Fixtures[G], Fixtures[userTeam], Teams[[#This Row],[name]]), "")</f>
        <v/>
      </c>
      <c r="M664" s="1" t="str">
        <f>IF(Teams[[#This Row],[relevant]], SUMIFS(Fixtures[A], Fixtures[userTeam], Teams[[#This Row],[name]]), "")</f>
        <v/>
      </c>
      <c r="N664" s="1" t="str">
        <f>IF(Teams[[#This Row],[relevant]], SUMIFS(Fixtures[INV], Fixtures[userTeam], Teams[[#This Row],[name]]), "")</f>
        <v/>
      </c>
      <c r="O664" s="1" t="str">
        <f>IF(Teams[[#This Row],[relevant]], SUMIFS(Fixtures[YC], Fixtures[userTeam], Teams[[#This Row],[name]]), "")</f>
        <v/>
      </c>
      <c r="P664" s="1" t="str">
        <f>IF(Teams[[#This Row],[relevant]], SUMIFS(Fixtures[RC], Fixtures[userTeam], Teams[[#This Row],[name]]), "")</f>
        <v/>
      </c>
      <c r="Q664" s="13" t="str">
        <f>IF(Teams[[#This Row],[relevant]], IF(ISERROR(AVERAGEIFS(Fixtures[MR], Fixtures[userTeam], Teams[[#This Row],[name]])), 0, AVERAGEIFS(Fixtures[MR], Fixtures[userTeam], Teams[[#This Row],[name]])), "")</f>
        <v/>
      </c>
      <c r="R664" s="1" t="str">
        <f>IF(Teams[[#This Row],[relevant]], COUNTIFS(Fixtures[userTeam], Teams[[#This Row],[name]], Fixtures[MOTM], TRUE), "")</f>
        <v/>
      </c>
      <c r="S664" s="1" t="str" cm="1">
        <f t="array" ref="S664">IF(Teams[[#This Row],[relevant]], _xlfn.TEXTJOIN(", ", TRUE, _xlfn._xlws.FILTER(Stats[competition]&amp;" ("&amp;Stats[season]&amp;")",(Stats[team]=Teams[[#This Row],[name]])*(Stats[result]="Winner"),"")), "")</f>
        <v/>
      </c>
    </row>
    <row r="665" spans="1:19" ht="13" hidden="1">
      <c r="A665" s="1" t="s">
        <v>977</v>
      </c>
      <c r="B665" s="1" t="s">
        <v>408</v>
      </c>
      <c r="C665" s="1" t="s">
        <v>391</v>
      </c>
      <c r="D665" s="1" t="str">
        <f>UPPER(_xlfn.CONCAT(LEFT(Teams[[#This Row],[teamType]], 1), "-", LEFT(SUBSTITUTE(Teams[[#This Row],[nation]], "/", ""), 3), "-", SUBSTITUTE(SUBSTITUTE(SUBSTITUTE(Teams[[#This Row],[name]], ".", ""), " ", ""), "-", "")))</f>
        <v>C-TUR-ÜMRANIYESPOR</v>
      </c>
      <c r="E665" s="16"/>
      <c r="F665" s="16"/>
      <c r="G665" s="1" t="b">
        <f>COUNTBLANK(Teams[[#This Row],[startDate]:[endDate]]) &lt; 2</f>
        <v>0</v>
      </c>
      <c r="H665" s="1" t="str">
        <f>IF(Teams[[#This Row],[relevant]], COUNTIFS(Fixtures[userTeam], Teams[[#This Row],[name]], Fixtures[APP], TRUE), "")</f>
        <v/>
      </c>
      <c r="I665" s="1" t="str">
        <f>IF(Teams[[#This Row],[relevant]], COUNTIFS(Fixtures[userTeam], Teams[[#This Row],[name]], Fixtures[result], "W", Fixtures[APP], TRUE), "")</f>
        <v/>
      </c>
      <c r="J665" s="1" t="str">
        <f>IF(Teams[[#This Row],[relevant]], COUNTIFS(Fixtures[userTeam], Teams[[#This Row],[name]], Fixtures[result], "D", Fixtures[APP], TRUE), "")</f>
        <v/>
      </c>
      <c r="K665" s="1" t="str">
        <f>IF(Teams[[#This Row],[relevant]], COUNTIFS(Fixtures[userTeam], Teams[[#This Row],[name]], Fixtures[result], "L", Fixtures[APP], TRUE), "")</f>
        <v/>
      </c>
      <c r="L665" s="1" t="str">
        <f>IF(Teams[[#This Row],[relevant]], SUMIFS(Fixtures[G], Fixtures[userTeam], Teams[[#This Row],[name]]), "")</f>
        <v/>
      </c>
      <c r="M665" s="1" t="str">
        <f>IF(Teams[[#This Row],[relevant]], SUMIFS(Fixtures[A], Fixtures[userTeam], Teams[[#This Row],[name]]), "")</f>
        <v/>
      </c>
      <c r="N665" s="1" t="str">
        <f>IF(Teams[[#This Row],[relevant]], SUMIFS(Fixtures[INV], Fixtures[userTeam], Teams[[#This Row],[name]]), "")</f>
        <v/>
      </c>
      <c r="O665" s="1" t="str">
        <f>IF(Teams[[#This Row],[relevant]], SUMIFS(Fixtures[YC], Fixtures[userTeam], Teams[[#This Row],[name]]), "")</f>
        <v/>
      </c>
      <c r="P665" s="1" t="str">
        <f>IF(Teams[[#This Row],[relevant]], SUMIFS(Fixtures[RC], Fixtures[userTeam], Teams[[#This Row],[name]]), "")</f>
        <v/>
      </c>
      <c r="Q665" s="13" t="str">
        <f>IF(Teams[[#This Row],[relevant]], IF(ISERROR(AVERAGEIFS(Fixtures[MR], Fixtures[userTeam], Teams[[#This Row],[name]])), 0, AVERAGEIFS(Fixtures[MR], Fixtures[userTeam], Teams[[#This Row],[name]])), "")</f>
        <v/>
      </c>
      <c r="R665" s="1" t="str">
        <f>IF(Teams[[#This Row],[relevant]], COUNTIFS(Fixtures[userTeam], Teams[[#This Row],[name]], Fixtures[MOTM], TRUE), "")</f>
        <v/>
      </c>
      <c r="S665" s="1" t="str" cm="1">
        <f t="array" ref="S665">IF(Teams[[#This Row],[relevant]], _xlfn.TEXTJOIN(", ", TRUE, _xlfn._xlws.FILTER(Stats[competition]&amp;" ("&amp;Stats[season]&amp;")",(Stats[team]=Teams[[#This Row],[name]])*(Stats[result]="Winner"),"")), "")</f>
        <v/>
      </c>
    </row>
    <row r="666" spans="1:19" ht="13" hidden="1">
      <c r="A666" s="1" t="s">
        <v>978</v>
      </c>
      <c r="B666" s="1" t="s">
        <v>396</v>
      </c>
      <c r="C666" s="1" t="s">
        <v>391</v>
      </c>
      <c r="D666" s="1" t="str">
        <f>UPPER(_xlfn.CONCAT(LEFT(Teams[[#This Row],[teamType]], 1), "-", LEFT(SUBSTITUTE(Teams[[#This Row],[nation]], "/", ""), 3), "-", SUBSTITUTE(SUBSTITUTE(SUBSTITUTE(Teams[[#This Row],[name]], ".", ""), " ", ""), "-", "")))</f>
        <v>C-ECU-UNICATÓLICA</v>
      </c>
      <c r="E666" s="16"/>
      <c r="F666" s="16"/>
      <c r="G666" s="1" t="b">
        <f>COUNTBLANK(Teams[[#This Row],[startDate]:[endDate]]) &lt; 2</f>
        <v>0</v>
      </c>
      <c r="H666" s="1" t="str">
        <f>IF(Teams[[#This Row],[relevant]], COUNTIFS(Fixtures[userTeam], Teams[[#This Row],[name]], Fixtures[APP], TRUE), "")</f>
        <v/>
      </c>
      <c r="I666" s="1" t="str">
        <f>IF(Teams[[#This Row],[relevant]], COUNTIFS(Fixtures[userTeam], Teams[[#This Row],[name]], Fixtures[result], "W", Fixtures[APP], TRUE), "")</f>
        <v/>
      </c>
      <c r="J666" s="1" t="str">
        <f>IF(Teams[[#This Row],[relevant]], COUNTIFS(Fixtures[userTeam], Teams[[#This Row],[name]], Fixtures[result], "D", Fixtures[APP], TRUE), "")</f>
        <v/>
      </c>
      <c r="K666" s="1" t="str">
        <f>IF(Teams[[#This Row],[relevant]], COUNTIFS(Fixtures[userTeam], Teams[[#This Row],[name]], Fixtures[result], "L", Fixtures[APP], TRUE), "")</f>
        <v/>
      </c>
      <c r="L666" s="1" t="str">
        <f>IF(Teams[[#This Row],[relevant]], SUMIFS(Fixtures[G], Fixtures[userTeam], Teams[[#This Row],[name]]), "")</f>
        <v/>
      </c>
      <c r="M666" s="1" t="str">
        <f>IF(Teams[[#This Row],[relevant]], SUMIFS(Fixtures[A], Fixtures[userTeam], Teams[[#This Row],[name]]), "")</f>
        <v/>
      </c>
      <c r="N666" s="1" t="str">
        <f>IF(Teams[[#This Row],[relevant]], SUMIFS(Fixtures[INV], Fixtures[userTeam], Teams[[#This Row],[name]]), "")</f>
        <v/>
      </c>
      <c r="O666" s="1" t="str">
        <f>IF(Teams[[#This Row],[relevant]], SUMIFS(Fixtures[YC], Fixtures[userTeam], Teams[[#This Row],[name]]), "")</f>
        <v/>
      </c>
      <c r="P666" s="1" t="str">
        <f>IF(Teams[[#This Row],[relevant]], SUMIFS(Fixtures[RC], Fixtures[userTeam], Teams[[#This Row],[name]]), "")</f>
        <v/>
      </c>
      <c r="Q666" s="13" t="str">
        <f>IF(Teams[[#This Row],[relevant]], IF(ISERROR(AVERAGEIFS(Fixtures[MR], Fixtures[userTeam], Teams[[#This Row],[name]])), 0, AVERAGEIFS(Fixtures[MR], Fixtures[userTeam], Teams[[#This Row],[name]])), "")</f>
        <v/>
      </c>
      <c r="R666" s="1" t="str">
        <f>IF(Teams[[#This Row],[relevant]], COUNTIFS(Fixtures[userTeam], Teams[[#This Row],[name]], Fixtures[MOTM], TRUE), "")</f>
        <v/>
      </c>
      <c r="S666" s="1" t="str" cm="1">
        <f t="array" ref="S666">IF(Teams[[#This Row],[relevant]], _xlfn.TEXTJOIN(", ", TRUE, _xlfn._xlws.FILTER(Stats[competition]&amp;" ("&amp;Stats[season]&amp;")",(Stats[team]=Teams[[#This Row],[name]])*(Stats[result]="Winner"),"")), "")</f>
        <v/>
      </c>
    </row>
    <row r="667" spans="1:19" ht="13" hidden="1">
      <c r="A667" s="1" t="s">
        <v>979</v>
      </c>
      <c r="B667" s="1" t="s">
        <v>131</v>
      </c>
      <c r="C667" s="1" t="s">
        <v>391</v>
      </c>
      <c r="D667" s="1" t="str">
        <f>UPPER(_xlfn.CONCAT(LEFT(Teams[[#This Row],[teamType]], 1), "-", LEFT(SUBSTITUTE(Teams[[#This Row],[nation]], "/", ""), 3), "-", SUBSTITUTE(SUBSTITUTE(SUBSTITUTE(Teams[[#This Row],[name]], ".", ""), " ", ""), "-", "")))</f>
        <v>C-ARG-UNIÓN</v>
      </c>
      <c r="E667" s="16"/>
      <c r="F667" s="16"/>
      <c r="G667" s="1" t="b">
        <f>COUNTBLANK(Teams[[#This Row],[startDate]:[endDate]]) &lt; 2</f>
        <v>0</v>
      </c>
      <c r="H667" s="1" t="str">
        <f>IF(Teams[[#This Row],[relevant]], COUNTIFS(Fixtures[userTeam], Teams[[#This Row],[name]], Fixtures[APP], TRUE), "")</f>
        <v/>
      </c>
      <c r="I667" s="1" t="str">
        <f>IF(Teams[[#This Row],[relevant]], COUNTIFS(Fixtures[userTeam], Teams[[#This Row],[name]], Fixtures[result], "W", Fixtures[APP], TRUE), "")</f>
        <v/>
      </c>
      <c r="J667" s="1" t="str">
        <f>IF(Teams[[#This Row],[relevant]], COUNTIFS(Fixtures[userTeam], Teams[[#This Row],[name]], Fixtures[result], "D", Fixtures[APP], TRUE), "")</f>
        <v/>
      </c>
      <c r="K667" s="1" t="str">
        <f>IF(Teams[[#This Row],[relevant]], COUNTIFS(Fixtures[userTeam], Teams[[#This Row],[name]], Fixtures[result], "L", Fixtures[APP], TRUE), "")</f>
        <v/>
      </c>
      <c r="L667" s="1" t="str">
        <f>IF(Teams[[#This Row],[relevant]], SUMIFS(Fixtures[G], Fixtures[userTeam], Teams[[#This Row],[name]]), "")</f>
        <v/>
      </c>
      <c r="M667" s="1" t="str">
        <f>IF(Teams[[#This Row],[relevant]], SUMIFS(Fixtures[A], Fixtures[userTeam], Teams[[#This Row],[name]]), "")</f>
        <v/>
      </c>
      <c r="N667" s="1" t="str">
        <f>IF(Teams[[#This Row],[relevant]], SUMIFS(Fixtures[INV], Fixtures[userTeam], Teams[[#This Row],[name]]), "")</f>
        <v/>
      </c>
      <c r="O667" s="1" t="str">
        <f>IF(Teams[[#This Row],[relevant]], SUMIFS(Fixtures[YC], Fixtures[userTeam], Teams[[#This Row],[name]]), "")</f>
        <v/>
      </c>
      <c r="P667" s="1" t="str">
        <f>IF(Teams[[#This Row],[relevant]], SUMIFS(Fixtures[RC], Fixtures[userTeam], Teams[[#This Row],[name]]), "")</f>
        <v/>
      </c>
      <c r="Q667" s="13" t="str">
        <f>IF(Teams[[#This Row],[relevant]], IF(ISERROR(AVERAGEIFS(Fixtures[MR], Fixtures[userTeam], Teams[[#This Row],[name]])), 0, AVERAGEIFS(Fixtures[MR], Fixtures[userTeam], Teams[[#This Row],[name]])), "")</f>
        <v/>
      </c>
      <c r="R667" s="1" t="str">
        <f>IF(Teams[[#This Row],[relevant]], COUNTIFS(Fixtures[userTeam], Teams[[#This Row],[name]], Fixtures[MOTM], TRUE), "")</f>
        <v/>
      </c>
      <c r="S667" s="1" t="str" cm="1">
        <f t="array" ref="S667">IF(Teams[[#This Row],[relevant]], _xlfn.TEXTJOIN(", ", TRUE, _xlfn._xlws.FILTER(Stats[competition]&amp;" ("&amp;Stats[season]&amp;")",(Stats[team]=Teams[[#This Row],[name]])*(Stats[result]="Winner"),"")), "")</f>
        <v/>
      </c>
    </row>
    <row r="668" spans="1:19" ht="13" hidden="1">
      <c r="A668" s="1" t="s">
        <v>311</v>
      </c>
      <c r="B668" s="1" t="s">
        <v>337</v>
      </c>
      <c r="C668" s="1" t="s">
        <v>391</v>
      </c>
      <c r="D668" s="1" t="str">
        <f>UPPER(_xlfn.CONCAT(LEFT(Teams[[#This Row],[teamType]], 1), "-", LEFT(SUBSTITUTE(Teams[[#This Row],[nation]], "/", ""), 3), "-", SUBSTITUTE(SUBSTITUTE(SUBSTITUTE(Teams[[#This Row],[name]], ".", ""), " ", ""), "-", "")))</f>
        <v>C-GER-UNIONBERLIN</v>
      </c>
      <c r="E668" s="16"/>
      <c r="F668" s="16"/>
      <c r="G668" s="1" t="b">
        <f>COUNTBLANK(Teams[[#This Row],[startDate]:[endDate]]) &lt; 2</f>
        <v>0</v>
      </c>
      <c r="H668" s="1" t="str">
        <f>IF(Teams[[#This Row],[relevant]], COUNTIFS(Fixtures[userTeam], Teams[[#This Row],[name]], Fixtures[APP], TRUE), "")</f>
        <v/>
      </c>
      <c r="I668" s="1" t="str">
        <f>IF(Teams[[#This Row],[relevant]], COUNTIFS(Fixtures[userTeam], Teams[[#This Row],[name]], Fixtures[result], "W", Fixtures[APP], TRUE), "")</f>
        <v/>
      </c>
      <c r="J668" s="1" t="str">
        <f>IF(Teams[[#This Row],[relevant]], COUNTIFS(Fixtures[userTeam], Teams[[#This Row],[name]], Fixtures[result], "D", Fixtures[APP], TRUE), "")</f>
        <v/>
      </c>
      <c r="K668" s="1" t="str">
        <f>IF(Teams[[#This Row],[relevant]], COUNTIFS(Fixtures[userTeam], Teams[[#This Row],[name]], Fixtures[result], "L", Fixtures[APP], TRUE), "")</f>
        <v/>
      </c>
      <c r="L668" s="1" t="str">
        <f>IF(Teams[[#This Row],[relevant]], SUMIFS(Fixtures[G], Fixtures[userTeam], Teams[[#This Row],[name]]), "")</f>
        <v/>
      </c>
      <c r="M668" s="1" t="str">
        <f>IF(Teams[[#This Row],[relevant]], SUMIFS(Fixtures[A], Fixtures[userTeam], Teams[[#This Row],[name]]), "")</f>
        <v/>
      </c>
      <c r="N668" s="1" t="str">
        <f>IF(Teams[[#This Row],[relevant]], SUMIFS(Fixtures[INV], Fixtures[userTeam], Teams[[#This Row],[name]]), "")</f>
        <v/>
      </c>
      <c r="O668" s="1" t="str">
        <f>IF(Teams[[#This Row],[relevant]], SUMIFS(Fixtures[YC], Fixtures[userTeam], Teams[[#This Row],[name]]), "")</f>
        <v/>
      </c>
      <c r="P668" s="1" t="str">
        <f>IF(Teams[[#This Row],[relevant]], SUMIFS(Fixtures[RC], Fixtures[userTeam], Teams[[#This Row],[name]]), "")</f>
        <v/>
      </c>
      <c r="Q668" s="13" t="str">
        <f>IF(Teams[[#This Row],[relevant]], IF(ISERROR(AVERAGEIFS(Fixtures[MR], Fixtures[userTeam], Teams[[#This Row],[name]])), 0, AVERAGEIFS(Fixtures[MR], Fixtures[userTeam], Teams[[#This Row],[name]])), "")</f>
        <v/>
      </c>
      <c r="R668" s="1" t="str">
        <f>IF(Teams[[#This Row],[relevant]], COUNTIFS(Fixtures[userTeam], Teams[[#This Row],[name]], Fixtures[MOTM], TRUE), "")</f>
        <v/>
      </c>
      <c r="S668" s="1" t="str" cm="1">
        <f t="array" ref="S668">IF(Teams[[#This Row],[relevant]], _xlfn.TEXTJOIN(", ", TRUE, _xlfn._xlws.FILTER(Stats[competition]&amp;" ("&amp;Stats[season]&amp;")",(Stats[team]=Teams[[#This Row],[name]])*(Stats[result]="Winner"),"")), "")</f>
        <v/>
      </c>
    </row>
    <row r="669" spans="1:19" ht="13" hidden="1">
      <c r="A669" s="1" t="s">
        <v>980</v>
      </c>
      <c r="B669" s="1" t="s">
        <v>456</v>
      </c>
      <c r="C669" s="1" t="s">
        <v>391</v>
      </c>
      <c r="D669" s="1" t="str">
        <f>UPPER(_xlfn.CONCAT(LEFT(Teams[[#This Row],[teamType]], 1), "-", LEFT(SUBSTITUTE(Teams[[#This Row],[nation]], "/", ""), 3), "-", SUBSTITUTE(SUBSTITUTE(SUBSTITUTE(Teams[[#This Row],[name]], ".", ""), " ", ""), "-", "")))</f>
        <v>C-CHI-UNIÓNESPAÑOLA</v>
      </c>
      <c r="E669" s="16"/>
      <c r="F669" s="16"/>
      <c r="G669" s="1" t="b">
        <f>COUNTBLANK(Teams[[#This Row],[startDate]:[endDate]]) &lt; 2</f>
        <v>0</v>
      </c>
      <c r="H669" s="1" t="str">
        <f>IF(Teams[[#This Row],[relevant]], COUNTIFS(Fixtures[userTeam], Teams[[#This Row],[name]], Fixtures[APP], TRUE), "")</f>
        <v/>
      </c>
      <c r="I669" s="1" t="str">
        <f>IF(Teams[[#This Row],[relevant]], COUNTIFS(Fixtures[userTeam], Teams[[#This Row],[name]], Fixtures[result], "W", Fixtures[APP], TRUE), "")</f>
        <v/>
      </c>
      <c r="J669" s="1" t="str">
        <f>IF(Teams[[#This Row],[relevant]], COUNTIFS(Fixtures[userTeam], Teams[[#This Row],[name]], Fixtures[result], "D", Fixtures[APP], TRUE), "")</f>
        <v/>
      </c>
      <c r="K669" s="1" t="str">
        <f>IF(Teams[[#This Row],[relevant]], COUNTIFS(Fixtures[userTeam], Teams[[#This Row],[name]], Fixtures[result], "L", Fixtures[APP], TRUE), "")</f>
        <v/>
      </c>
      <c r="L669" s="1" t="str">
        <f>IF(Teams[[#This Row],[relevant]], SUMIFS(Fixtures[G], Fixtures[userTeam], Teams[[#This Row],[name]]), "")</f>
        <v/>
      </c>
      <c r="M669" s="1" t="str">
        <f>IF(Teams[[#This Row],[relevant]], SUMIFS(Fixtures[A], Fixtures[userTeam], Teams[[#This Row],[name]]), "")</f>
        <v/>
      </c>
      <c r="N669" s="1" t="str">
        <f>IF(Teams[[#This Row],[relevant]], SUMIFS(Fixtures[INV], Fixtures[userTeam], Teams[[#This Row],[name]]), "")</f>
        <v/>
      </c>
      <c r="O669" s="1" t="str">
        <f>IF(Teams[[#This Row],[relevant]], SUMIFS(Fixtures[YC], Fixtures[userTeam], Teams[[#This Row],[name]]), "")</f>
        <v/>
      </c>
      <c r="P669" s="1" t="str">
        <f>IF(Teams[[#This Row],[relevant]], SUMIFS(Fixtures[RC], Fixtures[userTeam], Teams[[#This Row],[name]]), "")</f>
        <v/>
      </c>
      <c r="Q669" s="13" t="str">
        <f>IF(Teams[[#This Row],[relevant]], IF(ISERROR(AVERAGEIFS(Fixtures[MR], Fixtures[userTeam], Teams[[#This Row],[name]])), 0, AVERAGEIFS(Fixtures[MR], Fixtures[userTeam], Teams[[#This Row],[name]])), "")</f>
        <v/>
      </c>
      <c r="R669" s="1" t="str">
        <f>IF(Teams[[#This Row],[relevant]], COUNTIFS(Fixtures[userTeam], Teams[[#This Row],[name]], Fixtures[MOTM], TRUE), "")</f>
        <v/>
      </c>
      <c r="S669" s="1" t="str" cm="1">
        <f t="array" ref="S669">IF(Teams[[#This Row],[relevant]], _xlfn.TEXTJOIN(", ", TRUE, _xlfn._xlws.FILTER(Stats[competition]&amp;" ("&amp;Stats[season]&amp;")",(Stats[team]=Teams[[#This Row],[name]])*(Stats[result]="Winner"),"")), "")</f>
        <v/>
      </c>
    </row>
    <row r="670" spans="1:19" ht="13" hidden="1">
      <c r="A670" s="1" t="s">
        <v>981</v>
      </c>
      <c r="B670" s="1" t="s">
        <v>456</v>
      </c>
      <c r="C670" s="1" t="s">
        <v>391</v>
      </c>
      <c r="D670" s="1" t="str">
        <f>UPPER(_xlfn.CONCAT(LEFT(Teams[[#This Row],[teamType]], 1), "-", LEFT(SUBSTITUTE(Teams[[#This Row],[nation]], "/", ""), 3), "-", SUBSTITUTE(SUBSTITUTE(SUBSTITUTE(Teams[[#This Row],[name]], ".", ""), " ", ""), "-", "")))</f>
        <v>C-CHI-UNIÓNLACALERA</v>
      </c>
      <c r="E670" s="16"/>
      <c r="F670" s="16"/>
      <c r="G670" s="1" t="b">
        <f>COUNTBLANK(Teams[[#This Row],[startDate]:[endDate]]) &lt; 2</f>
        <v>0</v>
      </c>
      <c r="H670" s="1" t="str">
        <f>IF(Teams[[#This Row],[relevant]], COUNTIFS(Fixtures[userTeam], Teams[[#This Row],[name]], Fixtures[APP], TRUE), "")</f>
        <v/>
      </c>
      <c r="I670" s="1" t="str">
        <f>IF(Teams[[#This Row],[relevant]], COUNTIFS(Fixtures[userTeam], Teams[[#This Row],[name]], Fixtures[result], "W", Fixtures[APP], TRUE), "")</f>
        <v/>
      </c>
      <c r="J670" s="1" t="str">
        <f>IF(Teams[[#This Row],[relevant]], COUNTIFS(Fixtures[userTeam], Teams[[#This Row],[name]], Fixtures[result], "D", Fixtures[APP], TRUE), "")</f>
        <v/>
      </c>
      <c r="K670" s="1" t="str">
        <f>IF(Teams[[#This Row],[relevant]], COUNTIFS(Fixtures[userTeam], Teams[[#This Row],[name]], Fixtures[result], "L", Fixtures[APP], TRUE), "")</f>
        <v/>
      </c>
      <c r="L670" s="1" t="str">
        <f>IF(Teams[[#This Row],[relevant]], SUMIFS(Fixtures[G], Fixtures[userTeam], Teams[[#This Row],[name]]), "")</f>
        <v/>
      </c>
      <c r="M670" s="1" t="str">
        <f>IF(Teams[[#This Row],[relevant]], SUMIFS(Fixtures[A], Fixtures[userTeam], Teams[[#This Row],[name]]), "")</f>
        <v/>
      </c>
      <c r="N670" s="1" t="str">
        <f>IF(Teams[[#This Row],[relevant]], SUMIFS(Fixtures[INV], Fixtures[userTeam], Teams[[#This Row],[name]]), "")</f>
        <v/>
      </c>
      <c r="O670" s="1" t="str">
        <f>IF(Teams[[#This Row],[relevant]], SUMIFS(Fixtures[YC], Fixtures[userTeam], Teams[[#This Row],[name]]), "")</f>
        <v/>
      </c>
      <c r="P670" s="1" t="str">
        <f>IF(Teams[[#This Row],[relevant]], SUMIFS(Fixtures[RC], Fixtures[userTeam], Teams[[#This Row],[name]]), "")</f>
        <v/>
      </c>
      <c r="Q670" s="13" t="str">
        <f>IF(Teams[[#This Row],[relevant]], IF(ISERROR(AVERAGEIFS(Fixtures[MR], Fixtures[userTeam], Teams[[#This Row],[name]])), 0, AVERAGEIFS(Fixtures[MR], Fixtures[userTeam], Teams[[#This Row],[name]])), "")</f>
        <v/>
      </c>
      <c r="R670" s="1" t="str">
        <f>IF(Teams[[#This Row],[relevant]], COUNTIFS(Fixtures[userTeam], Teams[[#This Row],[name]], Fixtures[MOTM], TRUE), "")</f>
        <v/>
      </c>
      <c r="S670" s="1" t="str" cm="1">
        <f t="array" ref="S670">IF(Teams[[#This Row],[relevant]], _xlfn.TEXTJOIN(", ", TRUE, _xlfn._xlws.FILTER(Stats[competition]&amp;" ("&amp;Stats[season]&amp;")",(Stats[team]=Teams[[#This Row],[name]])*(Stats[result]="Winner"),"")), "")</f>
        <v/>
      </c>
    </row>
    <row r="671" spans="1:19" ht="13">
      <c r="A671" s="1" t="s">
        <v>16</v>
      </c>
      <c r="B671" s="1" t="s">
        <v>16</v>
      </c>
      <c r="C671" s="1" t="s">
        <v>459</v>
      </c>
      <c r="D671" s="1" t="str">
        <f>UPPER(_xlfn.CONCAT(LEFT(Teams[[#This Row],[teamType]], 1), "-", LEFT(SUBSTITUTE(Teams[[#This Row],[nation]], "/", ""), 3), "-", SUBSTITUTE(SUBSTITUTE(SUBSTITUTE(Teams[[#This Row],[name]], ".", ""), " ", ""), "-", "")))</f>
        <v>N-UNI-UNITEDSTATES</v>
      </c>
      <c r="E671" s="16">
        <v>45172</v>
      </c>
      <c r="F671" s="16"/>
      <c r="G671" s="1" t="b">
        <f>COUNTBLANK(Teams[[#This Row],[startDate]:[endDate]]) &lt; 2</f>
        <v>1</v>
      </c>
      <c r="H671" s="1">
        <f>IF(Teams[[#This Row],[relevant]], COUNTIFS(Fixtures[userTeam], Teams[[#This Row],[name]], Fixtures[APP], TRUE), "")</f>
        <v>26</v>
      </c>
      <c r="I671" s="1">
        <f>IF(Teams[[#This Row],[relevant]], COUNTIFS(Fixtures[userTeam], Teams[[#This Row],[name]], Fixtures[result], "W", Fixtures[APP], TRUE), "")</f>
        <v>11</v>
      </c>
      <c r="J671" s="1">
        <f>IF(Teams[[#This Row],[relevant]], COUNTIFS(Fixtures[userTeam], Teams[[#This Row],[name]], Fixtures[result], "D", Fixtures[APP], TRUE), "")</f>
        <v>9</v>
      </c>
      <c r="K671" s="1">
        <f>IF(Teams[[#This Row],[relevant]], COUNTIFS(Fixtures[userTeam], Teams[[#This Row],[name]], Fixtures[result], "L", Fixtures[APP], TRUE), "")</f>
        <v>6</v>
      </c>
      <c r="L671" s="1">
        <f>IF(Teams[[#This Row],[relevant]], SUMIFS(Fixtures[G], Fixtures[userTeam], Teams[[#This Row],[name]]), "")</f>
        <v>2</v>
      </c>
      <c r="M671" s="1">
        <f>IF(Teams[[#This Row],[relevant]], SUMIFS(Fixtures[A], Fixtures[userTeam], Teams[[#This Row],[name]]), "")</f>
        <v>13</v>
      </c>
      <c r="N671" s="1">
        <f>IF(Teams[[#This Row],[relevant]], SUMIFS(Fixtures[INV], Fixtures[userTeam], Teams[[#This Row],[name]]), "")</f>
        <v>15</v>
      </c>
      <c r="O671" s="1">
        <f>IF(Teams[[#This Row],[relevant]], SUMIFS(Fixtures[YC], Fixtures[userTeam], Teams[[#This Row],[name]]), "")</f>
        <v>0</v>
      </c>
      <c r="P671" s="1">
        <f>IF(Teams[[#This Row],[relevant]], SUMIFS(Fixtures[RC], Fixtures[userTeam], Teams[[#This Row],[name]]), "")</f>
        <v>0</v>
      </c>
      <c r="Q671" s="13">
        <f>IF(Teams[[#This Row],[relevant]], IF(ISERROR(AVERAGEIFS(Fixtures[MR], Fixtures[userTeam], Teams[[#This Row],[name]])), 0, AVERAGEIFS(Fixtures[MR], Fixtures[userTeam], Teams[[#This Row],[name]])), "")</f>
        <v>7.3538461538461535</v>
      </c>
      <c r="R671" s="1">
        <f>IF(Teams[[#This Row],[relevant]], COUNTIFS(Fixtures[userTeam], Teams[[#This Row],[name]], Fixtures[MOTM], TRUE), "")</f>
        <v>9</v>
      </c>
      <c r="S671" s="1" t="str" cm="1">
        <f t="array" aca="1" ref="S671" ca="1">IF(Teams[[#This Row],[relevant]], _xlfn.TEXTJOIN(", ", TRUE, _xlfn._xlws.FILTER(Stats[competition]&amp;" ("&amp;Stats[season]&amp;")",(Stats[team]=Teams[[#This Row],[name]])*(Stats[result]="Winner"),"")), "")</f>
        <v/>
      </c>
    </row>
    <row r="672" spans="1:19" ht="13" hidden="1">
      <c r="A672" s="1" t="s">
        <v>982</v>
      </c>
      <c r="B672" s="1" t="s">
        <v>419</v>
      </c>
      <c r="C672" s="1" t="s">
        <v>391</v>
      </c>
      <c r="D672" s="1" t="str">
        <f>UPPER(_xlfn.CONCAT(LEFT(Teams[[#This Row],[teamType]], 1), "-", LEFT(SUBSTITUTE(Teams[[#This Row],[nation]], "/", ""), 3), "-", SUBSTITUTE(SUBSTITUTE(SUBSTITUTE(Teams[[#This Row],[name]], ".", ""), " ", ""), "-", "")))</f>
        <v>C-ROM-UNIVCRAIOVA</v>
      </c>
      <c r="E672" s="16"/>
      <c r="F672" s="16"/>
      <c r="G672" s="1" t="b">
        <f>COUNTBLANK(Teams[[#This Row],[startDate]:[endDate]]) &lt; 2</f>
        <v>0</v>
      </c>
      <c r="H672" s="1" t="str">
        <f>IF(Teams[[#This Row],[relevant]], COUNTIFS(Fixtures[userTeam], Teams[[#This Row],[name]], Fixtures[APP], TRUE), "")</f>
        <v/>
      </c>
      <c r="I672" s="1" t="str">
        <f>IF(Teams[[#This Row],[relevant]], COUNTIFS(Fixtures[userTeam], Teams[[#This Row],[name]], Fixtures[result], "W", Fixtures[APP], TRUE), "")</f>
        <v/>
      </c>
      <c r="J672" s="1" t="str">
        <f>IF(Teams[[#This Row],[relevant]], COUNTIFS(Fixtures[userTeam], Teams[[#This Row],[name]], Fixtures[result], "D", Fixtures[APP], TRUE), "")</f>
        <v/>
      </c>
      <c r="K672" s="1" t="str">
        <f>IF(Teams[[#This Row],[relevant]], COUNTIFS(Fixtures[userTeam], Teams[[#This Row],[name]], Fixtures[result], "L", Fixtures[APP], TRUE), "")</f>
        <v/>
      </c>
      <c r="L672" s="1" t="str">
        <f>IF(Teams[[#This Row],[relevant]], SUMIFS(Fixtures[G], Fixtures[userTeam], Teams[[#This Row],[name]]), "")</f>
        <v/>
      </c>
      <c r="M672" s="1" t="str">
        <f>IF(Teams[[#This Row],[relevant]], SUMIFS(Fixtures[A], Fixtures[userTeam], Teams[[#This Row],[name]]), "")</f>
        <v/>
      </c>
      <c r="N672" s="1" t="str">
        <f>IF(Teams[[#This Row],[relevant]], SUMIFS(Fixtures[INV], Fixtures[userTeam], Teams[[#This Row],[name]]), "")</f>
        <v/>
      </c>
      <c r="O672" s="1" t="str">
        <f>IF(Teams[[#This Row],[relevant]], SUMIFS(Fixtures[YC], Fixtures[userTeam], Teams[[#This Row],[name]]), "")</f>
        <v/>
      </c>
      <c r="P672" s="1" t="str">
        <f>IF(Teams[[#This Row],[relevant]], SUMIFS(Fixtures[RC], Fixtures[userTeam], Teams[[#This Row],[name]]), "")</f>
        <v/>
      </c>
      <c r="Q672" s="13" t="str">
        <f>IF(Teams[[#This Row],[relevant]], IF(ISERROR(AVERAGEIFS(Fixtures[MR], Fixtures[userTeam], Teams[[#This Row],[name]])), 0, AVERAGEIFS(Fixtures[MR], Fixtures[userTeam], Teams[[#This Row],[name]])), "")</f>
        <v/>
      </c>
      <c r="R672" s="1" t="str">
        <f>IF(Teams[[#This Row],[relevant]], COUNTIFS(Fixtures[userTeam], Teams[[#This Row],[name]], Fixtures[MOTM], TRUE), "")</f>
        <v/>
      </c>
      <c r="S672" s="1" t="str" cm="1">
        <f t="array" ref="S672">IF(Teams[[#This Row],[relevant]], _xlfn.TEXTJOIN(", ", TRUE, _xlfn._xlws.FILTER(Stats[competition]&amp;" ("&amp;Stats[season]&amp;")",(Stats[team]=Teams[[#This Row],[name]])*(Stats[result]="Winner"),"")), "")</f>
        <v/>
      </c>
    </row>
    <row r="673" spans="1:19" ht="13" hidden="1">
      <c r="A673" s="1" t="s">
        <v>983</v>
      </c>
      <c r="B673" s="1" t="s">
        <v>419</v>
      </c>
      <c r="C673" s="1" t="s">
        <v>391</v>
      </c>
      <c r="D673" s="1" t="str">
        <f>UPPER(_xlfn.CONCAT(LEFT(Teams[[#This Row],[teamType]], 1), "-", LEFT(SUBSTITUTE(Teams[[#This Row],[nation]], "/", ""), 3), "-", SUBSTITUTE(SUBSTITUTE(SUBSTITUTE(Teams[[#This Row],[name]], ".", ""), " ", ""), "-", "")))</f>
        <v>C-ROM-UTAARAD</v>
      </c>
      <c r="E673" s="16"/>
      <c r="F673" s="16"/>
      <c r="G673" s="1" t="b">
        <f>COUNTBLANK(Teams[[#This Row],[startDate]:[endDate]]) &lt; 2</f>
        <v>0</v>
      </c>
      <c r="H673" s="1" t="str">
        <f>IF(Teams[[#This Row],[relevant]], COUNTIFS(Fixtures[userTeam], Teams[[#This Row],[name]], Fixtures[APP], TRUE), "")</f>
        <v/>
      </c>
      <c r="I673" s="1" t="str">
        <f>IF(Teams[[#This Row],[relevant]], COUNTIFS(Fixtures[userTeam], Teams[[#This Row],[name]], Fixtures[result], "W", Fixtures[APP], TRUE), "")</f>
        <v/>
      </c>
      <c r="J673" s="1" t="str">
        <f>IF(Teams[[#This Row],[relevant]], COUNTIFS(Fixtures[userTeam], Teams[[#This Row],[name]], Fixtures[result], "D", Fixtures[APP], TRUE), "")</f>
        <v/>
      </c>
      <c r="K673" s="1" t="str">
        <f>IF(Teams[[#This Row],[relevant]], COUNTIFS(Fixtures[userTeam], Teams[[#This Row],[name]], Fixtures[result], "L", Fixtures[APP], TRUE), "")</f>
        <v/>
      </c>
      <c r="L673" s="1" t="str">
        <f>IF(Teams[[#This Row],[relevant]], SUMIFS(Fixtures[G], Fixtures[userTeam], Teams[[#This Row],[name]]), "")</f>
        <v/>
      </c>
      <c r="M673" s="1" t="str">
        <f>IF(Teams[[#This Row],[relevant]], SUMIFS(Fixtures[A], Fixtures[userTeam], Teams[[#This Row],[name]]), "")</f>
        <v/>
      </c>
      <c r="N673" s="1" t="str">
        <f>IF(Teams[[#This Row],[relevant]], SUMIFS(Fixtures[INV], Fixtures[userTeam], Teams[[#This Row],[name]]), "")</f>
        <v/>
      </c>
      <c r="O673" s="1" t="str">
        <f>IF(Teams[[#This Row],[relevant]], SUMIFS(Fixtures[YC], Fixtures[userTeam], Teams[[#This Row],[name]]), "")</f>
        <v/>
      </c>
      <c r="P673" s="1" t="str">
        <f>IF(Teams[[#This Row],[relevant]], SUMIFS(Fixtures[RC], Fixtures[userTeam], Teams[[#This Row],[name]]), "")</f>
        <v/>
      </c>
      <c r="Q673" s="13" t="str">
        <f>IF(Teams[[#This Row],[relevant]], IF(ISERROR(AVERAGEIFS(Fixtures[MR], Fixtures[userTeam], Teams[[#This Row],[name]])), 0, AVERAGEIFS(Fixtures[MR], Fixtures[userTeam], Teams[[#This Row],[name]])), "")</f>
        <v/>
      </c>
      <c r="R673" s="1" t="str">
        <f>IF(Teams[[#This Row],[relevant]], COUNTIFS(Fixtures[userTeam], Teams[[#This Row],[name]], Fixtures[MOTM], TRUE), "")</f>
        <v/>
      </c>
      <c r="S673" s="1" t="str" cm="1">
        <f t="array" ref="S673">IF(Teams[[#This Row],[relevant]], _xlfn.TEXTJOIN(", ", TRUE, _xlfn._xlws.FILTER(Stats[competition]&amp;" ("&amp;Stats[season]&amp;")",(Stats[team]=Teams[[#This Row],[name]])*(Stats[result]="Winner"),"")), "")</f>
        <v/>
      </c>
    </row>
    <row r="674" spans="1:19" ht="13" hidden="1">
      <c r="A674" s="1" t="s">
        <v>984</v>
      </c>
      <c r="B674" s="1" t="s">
        <v>163</v>
      </c>
      <c r="C674" s="1" t="s">
        <v>391</v>
      </c>
      <c r="D674" s="1" t="str">
        <f>UPPER(_xlfn.CONCAT(LEFT(Teams[[#This Row],[teamType]], 1), "-", LEFT(SUBSTITUTE(Teams[[#This Row],[nation]], "/", ""), 3), "-", SUBSTITUTE(SUBSTITUTE(SUBSTITUTE(Teams[[#This Row],[name]], ".", ""), " ", ""), "-", "")))</f>
        <v>C-SPA-VALENCIACF</v>
      </c>
      <c r="E674" s="16"/>
      <c r="F674" s="16"/>
      <c r="G674" s="1" t="b">
        <f>COUNTBLANK(Teams[[#This Row],[startDate]:[endDate]]) &lt; 2</f>
        <v>0</v>
      </c>
      <c r="H674" s="1" t="str">
        <f>IF(Teams[[#This Row],[relevant]], COUNTIFS(Fixtures[userTeam], Teams[[#This Row],[name]], Fixtures[APP], TRUE), "")</f>
        <v/>
      </c>
      <c r="I674" s="1" t="str">
        <f>IF(Teams[[#This Row],[relevant]], COUNTIFS(Fixtures[userTeam], Teams[[#This Row],[name]], Fixtures[result], "W", Fixtures[APP], TRUE), "")</f>
        <v/>
      </c>
      <c r="J674" s="1" t="str">
        <f>IF(Teams[[#This Row],[relevant]], COUNTIFS(Fixtures[userTeam], Teams[[#This Row],[name]], Fixtures[result], "D", Fixtures[APP], TRUE), "")</f>
        <v/>
      </c>
      <c r="K674" s="1" t="str">
        <f>IF(Teams[[#This Row],[relevant]], COUNTIFS(Fixtures[userTeam], Teams[[#This Row],[name]], Fixtures[result], "L", Fixtures[APP], TRUE), "")</f>
        <v/>
      </c>
      <c r="L674" s="1" t="str">
        <f>IF(Teams[[#This Row],[relevant]], SUMIFS(Fixtures[G], Fixtures[userTeam], Teams[[#This Row],[name]]), "")</f>
        <v/>
      </c>
      <c r="M674" s="1" t="str">
        <f>IF(Teams[[#This Row],[relevant]], SUMIFS(Fixtures[A], Fixtures[userTeam], Teams[[#This Row],[name]]), "")</f>
        <v/>
      </c>
      <c r="N674" s="1" t="str">
        <f>IF(Teams[[#This Row],[relevant]], SUMIFS(Fixtures[INV], Fixtures[userTeam], Teams[[#This Row],[name]]), "")</f>
        <v/>
      </c>
      <c r="O674" s="1" t="str">
        <f>IF(Teams[[#This Row],[relevant]], SUMIFS(Fixtures[YC], Fixtures[userTeam], Teams[[#This Row],[name]]), "")</f>
        <v/>
      </c>
      <c r="P674" s="1" t="str">
        <f>IF(Teams[[#This Row],[relevant]], SUMIFS(Fixtures[RC], Fixtures[userTeam], Teams[[#This Row],[name]]), "")</f>
        <v/>
      </c>
      <c r="Q674" s="13" t="str">
        <f>IF(Teams[[#This Row],[relevant]], IF(ISERROR(AVERAGEIFS(Fixtures[MR], Fixtures[userTeam], Teams[[#This Row],[name]])), 0, AVERAGEIFS(Fixtures[MR], Fixtures[userTeam], Teams[[#This Row],[name]])), "")</f>
        <v/>
      </c>
      <c r="R674" s="1" t="str">
        <f>IF(Teams[[#This Row],[relevant]], COUNTIFS(Fixtures[userTeam], Teams[[#This Row],[name]], Fixtures[MOTM], TRUE), "")</f>
        <v/>
      </c>
      <c r="S674" s="1" t="str" cm="1">
        <f t="array" ref="S674">IF(Teams[[#This Row],[relevant]], _xlfn.TEXTJOIN(", ", TRUE, _xlfn._xlws.FILTER(Stats[competition]&amp;" ("&amp;Stats[season]&amp;")",(Stats[team]=Teams[[#This Row],[name]])*(Stats[result]="Winner"),"")), "")</f>
        <v/>
      </c>
    </row>
    <row r="675" spans="1:19" ht="13" hidden="1">
      <c r="A675" s="1" t="s">
        <v>985</v>
      </c>
      <c r="B675" s="1" t="s">
        <v>339</v>
      </c>
      <c r="C675" s="1" t="s">
        <v>391</v>
      </c>
      <c r="D675" s="1" t="str">
        <f>UPPER(_xlfn.CONCAT(LEFT(Teams[[#This Row],[teamType]], 1), "-", LEFT(SUBSTITUTE(Teams[[#This Row],[nation]], "/", ""), 3), "-", SUBSTITUTE(SUBSTITUTE(SUBSTITUTE(Teams[[#This Row],[name]], ".", ""), " ", ""), "-", "")))</f>
        <v>C-FRA-VALENCIENNESFC</v>
      </c>
      <c r="E675" s="16"/>
      <c r="F675" s="16"/>
      <c r="G675" s="1" t="b">
        <f>COUNTBLANK(Teams[[#This Row],[startDate]:[endDate]]) &lt; 2</f>
        <v>0</v>
      </c>
      <c r="H675" s="1" t="str">
        <f>IF(Teams[[#This Row],[relevant]], COUNTIFS(Fixtures[userTeam], Teams[[#This Row],[name]], Fixtures[APP], TRUE), "")</f>
        <v/>
      </c>
      <c r="I675" s="1" t="str">
        <f>IF(Teams[[#This Row],[relevant]], COUNTIFS(Fixtures[userTeam], Teams[[#This Row],[name]], Fixtures[result], "W", Fixtures[APP], TRUE), "")</f>
        <v/>
      </c>
      <c r="J675" s="1" t="str">
        <f>IF(Teams[[#This Row],[relevant]], COUNTIFS(Fixtures[userTeam], Teams[[#This Row],[name]], Fixtures[result], "D", Fixtures[APP], TRUE), "")</f>
        <v/>
      </c>
      <c r="K675" s="1" t="str">
        <f>IF(Teams[[#This Row],[relevant]], COUNTIFS(Fixtures[userTeam], Teams[[#This Row],[name]], Fixtures[result], "L", Fixtures[APP], TRUE), "")</f>
        <v/>
      </c>
      <c r="L675" s="1" t="str">
        <f>IF(Teams[[#This Row],[relevant]], SUMIFS(Fixtures[G], Fixtures[userTeam], Teams[[#This Row],[name]]), "")</f>
        <v/>
      </c>
      <c r="M675" s="1" t="str">
        <f>IF(Teams[[#This Row],[relevant]], SUMIFS(Fixtures[A], Fixtures[userTeam], Teams[[#This Row],[name]]), "")</f>
        <v/>
      </c>
      <c r="N675" s="1" t="str">
        <f>IF(Teams[[#This Row],[relevant]], SUMIFS(Fixtures[INV], Fixtures[userTeam], Teams[[#This Row],[name]]), "")</f>
        <v/>
      </c>
      <c r="O675" s="1" t="str">
        <f>IF(Teams[[#This Row],[relevant]], SUMIFS(Fixtures[YC], Fixtures[userTeam], Teams[[#This Row],[name]]), "")</f>
        <v/>
      </c>
      <c r="P675" s="1" t="str">
        <f>IF(Teams[[#This Row],[relevant]], SUMIFS(Fixtures[RC], Fixtures[userTeam], Teams[[#This Row],[name]]), "")</f>
        <v/>
      </c>
      <c r="Q675" s="13" t="str">
        <f>IF(Teams[[#This Row],[relevant]], IF(ISERROR(AVERAGEIFS(Fixtures[MR], Fixtures[userTeam], Teams[[#This Row],[name]])), 0, AVERAGEIFS(Fixtures[MR], Fixtures[userTeam], Teams[[#This Row],[name]])), "")</f>
        <v/>
      </c>
      <c r="R675" s="1" t="str">
        <f>IF(Teams[[#This Row],[relevant]], COUNTIFS(Fixtures[userTeam], Teams[[#This Row],[name]], Fixtures[MOTM], TRUE), "")</f>
        <v/>
      </c>
      <c r="S675" s="1" t="str" cm="1">
        <f t="array" ref="S675">IF(Teams[[#This Row],[relevant]], _xlfn.TEXTJOIN(", ", TRUE, _xlfn._xlws.FILTER(Stats[competition]&amp;" ("&amp;Stats[season]&amp;")",(Stats[team]=Teams[[#This Row],[name]])*(Stats[result]="Winner"),"")), "")</f>
        <v/>
      </c>
    </row>
    <row r="676" spans="1:19" ht="13" hidden="1">
      <c r="A676" s="1" t="s">
        <v>986</v>
      </c>
      <c r="B676" s="1" t="s">
        <v>286</v>
      </c>
      <c r="C676" s="1" t="s">
        <v>391</v>
      </c>
      <c r="D676" s="1" t="str">
        <f>UPPER(_xlfn.CONCAT(LEFT(Teams[[#This Row],[teamType]], 1), "-", LEFT(SUBSTITUTE(Teams[[#This Row],[nation]], "/", ""), 3), "-", SUBSTITUTE(SUBSTITUTE(SUBSTITUTE(Teams[[#This Row],[name]], ".", ""), " ", ""), "-", "")))</f>
        <v>C-NOR-VÅLERENGAFOTBALL</v>
      </c>
      <c r="E676" s="16"/>
      <c r="F676" s="16"/>
      <c r="G676" s="1" t="b">
        <f>COUNTBLANK(Teams[[#This Row],[startDate]:[endDate]]) &lt; 2</f>
        <v>0</v>
      </c>
      <c r="H676" s="1" t="str">
        <f>IF(Teams[[#This Row],[relevant]], COUNTIFS(Fixtures[userTeam], Teams[[#This Row],[name]], Fixtures[APP], TRUE), "")</f>
        <v/>
      </c>
      <c r="I676" s="1" t="str">
        <f>IF(Teams[[#This Row],[relevant]], COUNTIFS(Fixtures[userTeam], Teams[[#This Row],[name]], Fixtures[result], "W", Fixtures[APP], TRUE), "")</f>
        <v/>
      </c>
      <c r="J676" s="1" t="str">
        <f>IF(Teams[[#This Row],[relevant]], COUNTIFS(Fixtures[userTeam], Teams[[#This Row],[name]], Fixtures[result], "D", Fixtures[APP], TRUE), "")</f>
        <v/>
      </c>
      <c r="K676" s="1" t="str">
        <f>IF(Teams[[#This Row],[relevant]], COUNTIFS(Fixtures[userTeam], Teams[[#This Row],[name]], Fixtures[result], "L", Fixtures[APP], TRUE), "")</f>
        <v/>
      </c>
      <c r="L676" s="1" t="str">
        <f>IF(Teams[[#This Row],[relevant]], SUMIFS(Fixtures[G], Fixtures[userTeam], Teams[[#This Row],[name]]), "")</f>
        <v/>
      </c>
      <c r="M676" s="1" t="str">
        <f>IF(Teams[[#This Row],[relevant]], SUMIFS(Fixtures[A], Fixtures[userTeam], Teams[[#This Row],[name]]), "")</f>
        <v/>
      </c>
      <c r="N676" s="1" t="str">
        <f>IF(Teams[[#This Row],[relevant]], SUMIFS(Fixtures[INV], Fixtures[userTeam], Teams[[#This Row],[name]]), "")</f>
        <v/>
      </c>
      <c r="O676" s="1" t="str">
        <f>IF(Teams[[#This Row],[relevant]], SUMIFS(Fixtures[YC], Fixtures[userTeam], Teams[[#This Row],[name]]), "")</f>
        <v/>
      </c>
      <c r="P676" s="1" t="str">
        <f>IF(Teams[[#This Row],[relevant]], SUMIFS(Fixtures[RC], Fixtures[userTeam], Teams[[#This Row],[name]]), "")</f>
        <v/>
      </c>
      <c r="Q676" s="13" t="str">
        <f>IF(Teams[[#This Row],[relevant]], IF(ISERROR(AVERAGEIFS(Fixtures[MR], Fixtures[userTeam], Teams[[#This Row],[name]])), 0, AVERAGEIFS(Fixtures[MR], Fixtures[userTeam], Teams[[#This Row],[name]])), "")</f>
        <v/>
      </c>
      <c r="R676" s="1" t="str">
        <f>IF(Teams[[#This Row],[relevant]], COUNTIFS(Fixtures[userTeam], Teams[[#This Row],[name]], Fixtures[MOTM], TRUE), "")</f>
        <v/>
      </c>
      <c r="S676" s="1" t="str" cm="1">
        <f t="array" ref="S676">IF(Teams[[#This Row],[relevant]], _xlfn.TEXTJOIN(", ", TRUE, _xlfn._xlws.FILTER(Stats[competition]&amp;" ("&amp;Stats[season]&amp;")",(Stats[team]=Teams[[#This Row],[name]])*(Stats[result]="Winner"),"")), "")</f>
        <v/>
      </c>
    </row>
    <row r="677" spans="1:19" ht="13" hidden="1">
      <c r="A677" s="1" t="s">
        <v>987</v>
      </c>
      <c r="B677" s="1" t="s">
        <v>284</v>
      </c>
      <c r="C677" s="1" t="s">
        <v>391</v>
      </c>
      <c r="D677" s="1" t="str">
        <f>UPPER(_xlfn.CONCAT(LEFT(Teams[[#This Row],[teamType]], 1), "-", LEFT(SUBSTITUTE(Teams[[#This Row],[nation]], "/", ""), 3), "-", SUBSTITUTE(SUBSTITUTE(SUBSTITUTE(Teams[[#This Row],[name]], ".", ""), " ", ""), "-", "")))</f>
        <v>C-SWE-VARBERGSBOIS</v>
      </c>
      <c r="E677" s="16"/>
      <c r="F677" s="16"/>
      <c r="G677" s="1" t="b">
        <f>COUNTBLANK(Teams[[#This Row],[startDate]:[endDate]]) &lt; 2</f>
        <v>0</v>
      </c>
      <c r="H677" s="1" t="str">
        <f>IF(Teams[[#This Row],[relevant]], COUNTIFS(Fixtures[userTeam], Teams[[#This Row],[name]], Fixtures[APP], TRUE), "")</f>
        <v/>
      </c>
      <c r="I677" s="1" t="str">
        <f>IF(Teams[[#This Row],[relevant]], COUNTIFS(Fixtures[userTeam], Teams[[#This Row],[name]], Fixtures[result], "W", Fixtures[APP], TRUE), "")</f>
        <v/>
      </c>
      <c r="J677" s="1" t="str">
        <f>IF(Teams[[#This Row],[relevant]], COUNTIFS(Fixtures[userTeam], Teams[[#This Row],[name]], Fixtures[result], "D", Fixtures[APP], TRUE), "")</f>
        <v/>
      </c>
      <c r="K677" s="1" t="str">
        <f>IF(Teams[[#This Row],[relevant]], COUNTIFS(Fixtures[userTeam], Teams[[#This Row],[name]], Fixtures[result], "L", Fixtures[APP], TRUE), "")</f>
        <v/>
      </c>
      <c r="L677" s="1" t="str">
        <f>IF(Teams[[#This Row],[relevant]], SUMIFS(Fixtures[G], Fixtures[userTeam], Teams[[#This Row],[name]]), "")</f>
        <v/>
      </c>
      <c r="M677" s="1" t="str">
        <f>IF(Teams[[#This Row],[relevant]], SUMIFS(Fixtures[A], Fixtures[userTeam], Teams[[#This Row],[name]]), "")</f>
        <v/>
      </c>
      <c r="N677" s="1" t="str">
        <f>IF(Teams[[#This Row],[relevant]], SUMIFS(Fixtures[INV], Fixtures[userTeam], Teams[[#This Row],[name]]), "")</f>
        <v/>
      </c>
      <c r="O677" s="1" t="str">
        <f>IF(Teams[[#This Row],[relevant]], SUMIFS(Fixtures[YC], Fixtures[userTeam], Teams[[#This Row],[name]]), "")</f>
        <v/>
      </c>
      <c r="P677" s="1" t="str">
        <f>IF(Teams[[#This Row],[relevant]], SUMIFS(Fixtures[RC], Fixtures[userTeam], Teams[[#This Row],[name]]), "")</f>
        <v/>
      </c>
      <c r="Q677" s="13" t="str">
        <f>IF(Teams[[#This Row],[relevant]], IF(ISERROR(AVERAGEIFS(Fixtures[MR], Fixtures[userTeam], Teams[[#This Row],[name]])), 0, AVERAGEIFS(Fixtures[MR], Fixtures[userTeam], Teams[[#This Row],[name]])), "")</f>
        <v/>
      </c>
      <c r="R677" s="1" t="str">
        <f>IF(Teams[[#This Row],[relevant]], COUNTIFS(Fixtures[userTeam], Teams[[#This Row],[name]], Fixtures[MOTM], TRUE), "")</f>
        <v/>
      </c>
      <c r="S677" s="1" t="str" cm="1">
        <f t="array" ref="S677">IF(Teams[[#This Row],[relevant]], _xlfn.TEXTJOIN(", ", TRUE, _xlfn._xlws.FILTER(Stats[competition]&amp;" ("&amp;Stats[season]&amp;")",(Stats[team]=Teams[[#This Row],[name]])*(Stats[result]="Winner"),"")), "")</f>
        <v/>
      </c>
    </row>
    <row r="678" spans="1:19" ht="13" hidden="1">
      <c r="A678" s="1" t="s">
        <v>988</v>
      </c>
      <c r="B678" s="1" t="s">
        <v>131</v>
      </c>
      <c r="C678" s="1" t="s">
        <v>391</v>
      </c>
      <c r="D678" s="1" t="str">
        <f>UPPER(_xlfn.CONCAT(LEFT(Teams[[#This Row],[teamType]], 1), "-", LEFT(SUBSTITUTE(Teams[[#This Row],[nation]], "/", ""), 3), "-", SUBSTITUTE(SUBSTITUTE(SUBSTITUTE(Teams[[#This Row],[name]], ".", ""), " ", ""), "-", "")))</f>
        <v>C-ARG-VÉLEZSARSFIELD</v>
      </c>
      <c r="E678" s="16"/>
      <c r="F678" s="16"/>
      <c r="G678" s="1" t="b">
        <f>COUNTBLANK(Teams[[#This Row],[startDate]:[endDate]]) &lt; 2</f>
        <v>0</v>
      </c>
      <c r="H678" s="1" t="str">
        <f>IF(Teams[[#This Row],[relevant]], COUNTIFS(Fixtures[userTeam], Teams[[#This Row],[name]], Fixtures[APP], TRUE), "")</f>
        <v/>
      </c>
      <c r="I678" s="1" t="str">
        <f>IF(Teams[[#This Row],[relevant]], COUNTIFS(Fixtures[userTeam], Teams[[#This Row],[name]], Fixtures[result], "W", Fixtures[APP], TRUE), "")</f>
        <v/>
      </c>
      <c r="J678" s="1" t="str">
        <f>IF(Teams[[#This Row],[relevant]], COUNTIFS(Fixtures[userTeam], Teams[[#This Row],[name]], Fixtures[result], "D", Fixtures[APP], TRUE), "")</f>
        <v/>
      </c>
      <c r="K678" s="1" t="str">
        <f>IF(Teams[[#This Row],[relevant]], COUNTIFS(Fixtures[userTeam], Teams[[#This Row],[name]], Fixtures[result], "L", Fixtures[APP], TRUE), "")</f>
        <v/>
      </c>
      <c r="L678" s="1" t="str">
        <f>IF(Teams[[#This Row],[relevant]], SUMIFS(Fixtures[G], Fixtures[userTeam], Teams[[#This Row],[name]]), "")</f>
        <v/>
      </c>
      <c r="M678" s="1" t="str">
        <f>IF(Teams[[#This Row],[relevant]], SUMIFS(Fixtures[A], Fixtures[userTeam], Teams[[#This Row],[name]]), "")</f>
        <v/>
      </c>
      <c r="N678" s="1" t="str">
        <f>IF(Teams[[#This Row],[relevant]], SUMIFS(Fixtures[INV], Fixtures[userTeam], Teams[[#This Row],[name]]), "")</f>
        <v/>
      </c>
      <c r="O678" s="1" t="str">
        <f>IF(Teams[[#This Row],[relevant]], SUMIFS(Fixtures[YC], Fixtures[userTeam], Teams[[#This Row],[name]]), "")</f>
        <v/>
      </c>
      <c r="P678" s="1" t="str">
        <f>IF(Teams[[#This Row],[relevant]], SUMIFS(Fixtures[RC], Fixtures[userTeam], Teams[[#This Row],[name]]), "")</f>
        <v/>
      </c>
      <c r="Q678" s="13" t="str">
        <f>IF(Teams[[#This Row],[relevant]], IF(ISERROR(AVERAGEIFS(Fixtures[MR], Fixtures[userTeam], Teams[[#This Row],[name]])), 0, AVERAGEIFS(Fixtures[MR], Fixtures[userTeam], Teams[[#This Row],[name]])), "")</f>
        <v/>
      </c>
      <c r="R678" s="1" t="str">
        <f>IF(Teams[[#This Row],[relevant]], COUNTIFS(Fixtures[userTeam], Teams[[#This Row],[name]], Fixtures[MOTM], TRUE), "")</f>
        <v/>
      </c>
      <c r="S678" s="1" t="str" cm="1">
        <f t="array" ref="S678">IF(Teams[[#This Row],[relevant]], _xlfn.TEXTJOIN(", ", TRUE, _xlfn._xlws.FILTER(Stats[competition]&amp;" ("&amp;Stats[season]&amp;")",(Stats[team]=Teams[[#This Row],[name]])*(Stats[result]="Winner"),"")), "")</f>
        <v/>
      </c>
    </row>
    <row r="679" spans="1:19" ht="13" hidden="1">
      <c r="A679" s="1" t="s">
        <v>989</v>
      </c>
      <c r="B679" s="1" t="s">
        <v>254</v>
      </c>
      <c r="C679" s="1" t="s">
        <v>391</v>
      </c>
      <c r="D679" s="1" t="str">
        <f>UPPER(_xlfn.CONCAT(LEFT(Teams[[#This Row],[teamType]], 1), "-", LEFT(SUBSTITUTE(Teams[[#This Row],[nation]], "/", ""), 3), "-", SUBSTITUTE(SUBSTITUTE(SUBSTITUTE(Teams[[#This Row],[name]], ".", ""), " ", ""), "-", "")))</f>
        <v>C-ITA-VENEZIA</v>
      </c>
      <c r="E679" s="16"/>
      <c r="F679" s="16"/>
      <c r="G679" s="1" t="b">
        <f>COUNTBLANK(Teams[[#This Row],[startDate]:[endDate]]) &lt; 2</f>
        <v>0</v>
      </c>
      <c r="H679" s="1" t="str">
        <f>IF(Teams[[#This Row],[relevant]], COUNTIFS(Fixtures[userTeam], Teams[[#This Row],[name]], Fixtures[APP], TRUE), "")</f>
        <v/>
      </c>
      <c r="I679" s="1" t="str">
        <f>IF(Teams[[#This Row],[relevant]], COUNTIFS(Fixtures[userTeam], Teams[[#This Row],[name]], Fixtures[result], "W", Fixtures[APP], TRUE), "")</f>
        <v/>
      </c>
      <c r="J679" s="1" t="str">
        <f>IF(Teams[[#This Row],[relevant]], COUNTIFS(Fixtures[userTeam], Teams[[#This Row],[name]], Fixtures[result], "D", Fixtures[APP], TRUE), "")</f>
        <v/>
      </c>
      <c r="K679" s="1" t="str">
        <f>IF(Teams[[#This Row],[relevant]], COUNTIFS(Fixtures[userTeam], Teams[[#This Row],[name]], Fixtures[result], "L", Fixtures[APP], TRUE), "")</f>
        <v/>
      </c>
      <c r="L679" s="1" t="str">
        <f>IF(Teams[[#This Row],[relevant]], SUMIFS(Fixtures[G], Fixtures[userTeam], Teams[[#This Row],[name]]), "")</f>
        <v/>
      </c>
      <c r="M679" s="1" t="str">
        <f>IF(Teams[[#This Row],[relevant]], SUMIFS(Fixtures[A], Fixtures[userTeam], Teams[[#This Row],[name]]), "")</f>
        <v/>
      </c>
      <c r="N679" s="1" t="str">
        <f>IF(Teams[[#This Row],[relevant]], SUMIFS(Fixtures[INV], Fixtures[userTeam], Teams[[#This Row],[name]]), "")</f>
        <v/>
      </c>
      <c r="O679" s="1" t="str">
        <f>IF(Teams[[#This Row],[relevant]], SUMIFS(Fixtures[YC], Fixtures[userTeam], Teams[[#This Row],[name]]), "")</f>
        <v/>
      </c>
      <c r="P679" s="1" t="str">
        <f>IF(Teams[[#This Row],[relevant]], SUMIFS(Fixtures[RC], Fixtures[userTeam], Teams[[#This Row],[name]]), "")</f>
        <v/>
      </c>
      <c r="Q679" s="13" t="str">
        <f>IF(Teams[[#This Row],[relevant]], IF(ISERROR(AVERAGEIFS(Fixtures[MR], Fixtures[userTeam], Teams[[#This Row],[name]])), 0, AVERAGEIFS(Fixtures[MR], Fixtures[userTeam], Teams[[#This Row],[name]])), "")</f>
        <v/>
      </c>
      <c r="R679" s="1" t="str">
        <f>IF(Teams[[#This Row],[relevant]], COUNTIFS(Fixtures[userTeam], Teams[[#This Row],[name]], Fixtures[MOTM], TRUE), "")</f>
        <v/>
      </c>
      <c r="S679" s="1" t="str" cm="1">
        <f t="array" ref="S679">IF(Teams[[#This Row],[relevant]], _xlfn.TEXTJOIN(", ", TRUE, _xlfn._xlws.FILTER(Stats[competition]&amp;" ("&amp;Stats[season]&amp;")",(Stats[team]=Teams[[#This Row],[name]])*(Stats[result]="Winner"),"")), "")</f>
        <v/>
      </c>
    </row>
    <row r="680" spans="1:19" ht="13" hidden="1">
      <c r="A680" s="1" t="s">
        <v>990</v>
      </c>
      <c r="B680" s="1" t="s">
        <v>337</v>
      </c>
      <c r="C680" s="1" t="s">
        <v>391</v>
      </c>
      <c r="D680" s="1" t="str">
        <f>UPPER(_xlfn.CONCAT(LEFT(Teams[[#This Row],[teamType]], 1), "-", LEFT(SUBSTITUTE(Teams[[#This Row],[nation]], "/", ""), 3), "-", SUBSTITUTE(SUBSTITUTE(SUBSTITUTE(Teams[[#This Row],[name]], ".", ""), " ", ""), "-", "")))</f>
        <v>C-GER-VFBOLDENBURG</v>
      </c>
      <c r="E680" s="16"/>
      <c r="F680" s="16"/>
      <c r="G680" s="1" t="b">
        <f>COUNTBLANK(Teams[[#This Row],[startDate]:[endDate]]) &lt; 2</f>
        <v>0</v>
      </c>
      <c r="H680" s="1" t="str">
        <f>IF(Teams[[#This Row],[relevant]], COUNTIFS(Fixtures[userTeam], Teams[[#This Row],[name]], Fixtures[APP], TRUE), "")</f>
        <v/>
      </c>
      <c r="I680" s="1" t="str">
        <f>IF(Teams[[#This Row],[relevant]], COUNTIFS(Fixtures[userTeam], Teams[[#This Row],[name]], Fixtures[result], "W", Fixtures[APP], TRUE), "")</f>
        <v/>
      </c>
      <c r="J680" s="1" t="str">
        <f>IF(Teams[[#This Row],[relevant]], COUNTIFS(Fixtures[userTeam], Teams[[#This Row],[name]], Fixtures[result], "D", Fixtures[APP], TRUE), "")</f>
        <v/>
      </c>
      <c r="K680" s="1" t="str">
        <f>IF(Teams[[#This Row],[relevant]], COUNTIFS(Fixtures[userTeam], Teams[[#This Row],[name]], Fixtures[result], "L", Fixtures[APP], TRUE), "")</f>
        <v/>
      </c>
      <c r="L680" s="1" t="str">
        <f>IF(Teams[[#This Row],[relevant]], SUMIFS(Fixtures[G], Fixtures[userTeam], Teams[[#This Row],[name]]), "")</f>
        <v/>
      </c>
      <c r="M680" s="1" t="str">
        <f>IF(Teams[[#This Row],[relevant]], SUMIFS(Fixtures[A], Fixtures[userTeam], Teams[[#This Row],[name]]), "")</f>
        <v/>
      </c>
      <c r="N680" s="1" t="str">
        <f>IF(Teams[[#This Row],[relevant]], SUMIFS(Fixtures[INV], Fixtures[userTeam], Teams[[#This Row],[name]]), "")</f>
        <v/>
      </c>
      <c r="O680" s="1" t="str">
        <f>IF(Teams[[#This Row],[relevant]], SUMIFS(Fixtures[YC], Fixtures[userTeam], Teams[[#This Row],[name]]), "")</f>
        <v/>
      </c>
      <c r="P680" s="1" t="str">
        <f>IF(Teams[[#This Row],[relevant]], SUMIFS(Fixtures[RC], Fixtures[userTeam], Teams[[#This Row],[name]]), "")</f>
        <v/>
      </c>
      <c r="Q680" s="13" t="str">
        <f>IF(Teams[[#This Row],[relevant]], IF(ISERROR(AVERAGEIFS(Fixtures[MR], Fixtures[userTeam], Teams[[#This Row],[name]])), 0, AVERAGEIFS(Fixtures[MR], Fixtures[userTeam], Teams[[#This Row],[name]])), "")</f>
        <v/>
      </c>
      <c r="R680" s="1" t="str">
        <f>IF(Teams[[#This Row],[relevant]], COUNTIFS(Fixtures[userTeam], Teams[[#This Row],[name]], Fixtures[MOTM], TRUE), "")</f>
        <v/>
      </c>
      <c r="S680" s="1" t="str" cm="1">
        <f t="array" ref="S680">IF(Teams[[#This Row],[relevant]], _xlfn.TEXTJOIN(", ", TRUE, _xlfn._xlws.FILTER(Stats[competition]&amp;" ("&amp;Stats[season]&amp;")",(Stats[team]=Teams[[#This Row],[name]])*(Stats[result]="Winner"),"")), "")</f>
        <v/>
      </c>
    </row>
    <row r="681" spans="1:19" ht="13" hidden="1">
      <c r="A681" s="1" t="s">
        <v>295</v>
      </c>
      <c r="B681" s="1" t="s">
        <v>337</v>
      </c>
      <c r="C681" s="1" t="s">
        <v>391</v>
      </c>
      <c r="D681" s="1" t="str">
        <f>UPPER(_xlfn.CONCAT(LEFT(Teams[[#This Row],[teamType]], 1), "-", LEFT(SUBSTITUTE(Teams[[#This Row],[nation]], "/", ""), 3), "-", SUBSTITUTE(SUBSTITUTE(SUBSTITUTE(Teams[[#This Row],[name]], ".", ""), " ", ""), "-", "")))</f>
        <v>C-GER-VFBSTUTTGART</v>
      </c>
      <c r="E681" s="16"/>
      <c r="F681" s="16"/>
      <c r="G681" s="1" t="b">
        <f>COUNTBLANK(Teams[[#This Row],[startDate]:[endDate]]) &lt; 2</f>
        <v>0</v>
      </c>
      <c r="H681" s="1" t="str">
        <f>IF(Teams[[#This Row],[relevant]], COUNTIFS(Fixtures[userTeam], Teams[[#This Row],[name]], Fixtures[APP], TRUE), "")</f>
        <v/>
      </c>
      <c r="I681" s="1" t="str">
        <f>IF(Teams[[#This Row],[relevant]], COUNTIFS(Fixtures[userTeam], Teams[[#This Row],[name]], Fixtures[result], "W", Fixtures[APP], TRUE), "")</f>
        <v/>
      </c>
      <c r="J681" s="1" t="str">
        <f>IF(Teams[[#This Row],[relevant]], COUNTIFS(Fixtures[userTeam], Teams[[#This Row],[name]], Fixtures[result], "D", Fixtures[APP], TRUE), "")</f>
        <v/>
      </c>
      <c r="K681" s="1" t="str">
        <f>IF(Teams[[#This Row],[relevant]], COUNTIFS(Fixtures[userTeam], Teams[[#This Row],[name]], Fixtures[result], "L", Fixtures[APP], TRUE), "")</f>
        <v/>
      </c>
      <c r="L681" s="1" t="str">
        <f>IF(Teams[[#This Row],[relevant]], SUMIFS(Fixtures[G], Fixtures[userTeam], Teams[[#This Row],[name]]), "")</f>
        <v/>
      </c>
      <c r="M681" s="1" t="str">
        <f>IF(Teams[[#This Row],[relevant]], SUMIFS(Fixtures[A], Fixtures[userTeam], Teams[[#This Row],[name]]), "")</f>
        <v/>
      </c>
      <c r="N681" s="1" t="str">
        <f>IF(Teams[[#This Row],[relevant]], SUMIFS(Fixtures[INV], Fixtures[userTeam], Teams[[#This Row],[name]]), "")</f>
        <v/>
      </c>
      <c r="O681" s="1" t="str">
        <f>IF(Teams[[#This Row],[relevant]], SUMIFS(Fixtures[YC], Fixtures[userTeam], Teams[[#This Row],[name]]), "")</f>
        <v/>
      </c>
      <c r="P681" s="1" t="str">
        <f>IF(Teams[[#This Row],[relevant]], SUMIFS(Fixtures[RC], Fixtures[userTeam], Teams[[#This Row],[name]]), "")</f>
        <v/>
      </c>
      <c r="Q681" s="13" t="str">
        <f>IF(Teams[[#This Row],[relevant]], IF(ISERROR(AVERAGEIFS(Fixtures[MR], Fixtures[userTeam], Teams[[#This Row],[name]])), 0, AVERAGEIFS(Fixtures[MR], Fixtures[userTeam], Teams[[#This Row],[name]])), "")</f>
        <v/>
      </c>
      <c r="R681" s="1" t="str">
        <f>IF(Teams[[#This Row],[relevant]], COUNTIFS(Fixtures[userTeam], Teams[[#This Row],[name]], Fixtures[MOTM], TRUE), "")</f>
        <v/>
      </c>
      <c r="S681" s="1" t="str" cm="1">
        <f t="array" ref="S681">IF(Teams[[#This Row],[relevant]], _xlfn.TEXTJOIN(", ", TRUE, _xlfn._xlws.FILTER(Stats[competition]&amp;" ("&amp;Stats[season]&amp;")",(Stats[team]=Teams[[#This Row],[name]])*(Stats[result]="Winner"),"")), "")</f>
        <v/>
      </c>
    </row>
    <row r="682" spans="1:19" ht="13" hidden="1">
      <c r="A682" s="1" t="s">
        <v>283</v>
      </c>
      <c r="B682" s="1" t="s">
        <v>337</v>
      </c>
      <c r="C682" s="1" t="s">
        <v>391</v>
      </c>
      <c r="D682" s="1" t="str">
        <f>UPPER(_xlfn.CONCAT(LEFT(Teams[[#This Row],[teamType]], 1), "-", LEFT(SUBSTITUTE(Teams[[#This Row],[nation]], "/", ""), 3), "-", SUBSTITUTE(SUBSTITUTE(SUBSTITUTE(Teams[[#This Row],[name]], ".", ""), " ", ""), "-", "")))</f>
        <v>C-GER-VFLBOCHUM</v>
      </c>
      <c r="E682" s="16"/>
      <c r="F682" s="16"/>
      <c r="G682" s="1" t="b">
        <f>COUNTBLANK(Teams[[#This Row],[startDate]:[endDate]]) &lt; 2</f>
        <v>0</v>
      </c>
      <c r="H682" s="1" t="str">
        <f>IF(Teams[[#This Row],[relevant]], COUNTIFS(Fixtures[userTeam], Teams[[#This Row],[name]], Fixtures[APP], TRUE), "")</f>
        <v/>
      </c>
      <c r="I682" s="1" t="str">
        <f>IF(Teams[[#This Row],[relevant]], COUNTIFS(Fixtures[userTeam], Teams[[#This Row],[name]], Fixtures[result], "W", Fixtures[APP], TRUE), "")</f>
        <v/>
      </c>
      <c r="J682" s="1" t="str">
        <f>IF(Teams[[#This Row],[relevant]], COUNTIFS(Fixtures[userTeam], Teams[[#This Row],[name]], Fixtures[result], "D", Fixtures[APP], TRUE), "")</f>
        <v/>
      </c>
      <c r="K682" s="1" t="str">
        <f>IF(Teams[[#This Row],[relevant]], COUNTIFS(Fixtures[userTeam], Teams[[#This Row],[name]], Fixtures[result], "L", Fixtures[APP], TRUE), "")</f>
        <v/>
      </c>
      <c r="L682" s="1" t="str">
        <f>IF(Teams[[#This Row],[relevant]], SUMIFS(Fixtures[G], Fixtures[userTeam], Teams[[#This Row],[name]]), "")</f>
        <v/>
      </c>
      <c r="M682" s="1" t="str">
        <f>IF(Teams[[#This Row],[relevant]], SUMIFS(Fixtures[A], Fixtures[userTeam], Teams[[#This Row],[name]]), "")</f>
        <v/>
      </c>
      <c r="N682" s="1" t="str">
        <f>IF(Teams[[#This Row],[relevant]], SUMIFS(Fixtures[INV], Fixtures[userTeam], Teams[[#This Row],[name]]), "")</f>
        <v/>
      </c>
      <c r="O682" s="1" t="str">
        <f>IF(Teams[[#This Row],[relevant]], SUMIFS(Fixtures[YC], Fixtures[userTeam], Teams[[#This Row],[name]]), "")</f>
        <v/>
      </c>
      <c r="P682" s="1" t="str">
        <f>IF(Teams[[#This Row],[relevant]], SUMIFS(Fixtures[RC], Fixtures[userTeam], Teams[[#This Row],[name]]), "")</f>
        <v/>
      </c>
      <c r="Q682" s="13" t="str">
        <f>IF(Teams[[#This Row],[relevant]], IF(ISERROR(AVERAGEIFS(Fixtures[MR], Fixtures[userTeam], Teams[[#This Row],[name]])), 0, AVERAGEIFS(Fixtures[MR], Fixtures[userTeam], Teams[[#This Row],[name]])), "")</f>
        <v/>
      </c>
      <c r="R682" s="1" t="str">
        <f>IF(Teams[[#This Row],[relevant]], COUNTIFS(Fixtures[userTeam], Teams[[#This Row],[name]], Fixtures[MOTM], TRUE), "")</f>
        <v/>
      </c>
      <c r="S682" s="1" t="str" cm="1">
        <f t="array" ref="S682">IF(Teams[[#This Row],[relevant]], _xlfn.TEXTJOIN(", ", TRUE, _xlfn._xlws.FILTER(Stats[competition]&amp;" ("&amp;Stats[season]&amp;")",(Stats[team]=Teams[[#This Row],[name]])*(Stats[result]="Winner"),"")), "")</f>
        <v/>
      </c>
    </row>
    <row r="683" spans="1:19" ht="13" hidden="1">
      <c r="A683" s="1" t="s">
        <v>991</v>
      </c>
      <c r="B683" s="1" t="s">
        <v>337</v>
      </c>
      <c r="C683" s="1" t="s">
        <v>391</v>
      </c>
      <c r="D683" s="1" t="str">
        <f>UPPER(_xlfn.CONCAT(LEFT(Teams[[#This Row],[teamType]], 1), "-", LEFT(SUBSTITUTE(Teams[[#This Row],[nation]], "/", ""), 3), "-", SUBSTITUTE(SUBSTITUTE(SUBSTITUTE(Teams[[#This Row],[name]], ".", ""), " ", ""), "-", "")))</f>
        <v>C-GER-VFLOSNABRÜCK</v>
      </c>
      <c r="E683" s="16"/>
      <c r="F683" s="16"/>
      <c r="G683" s="1" t="b">
        <f>COUNTBLANK(Teams[[#This Row],[startDate]:[endDate]]) &lt; 2</f>
        <v>0</v>
      </c>
      <c r="H683" s="1" t="str">
        <f>IF(Teams[[#This Row],[relevant]], COUNTIFS(Fixtures[userTeam], Teams[[#This Row],[name]], Fixtures[APP], TRUE), "")</f>
        <v/>
      </c>
      <c r="I683" s="1" t="str">
        <f>IF(Teams[[#This Row],[relevant]], COUNTIFS(Fixtures[userTeam], Teams[[#This Row],[name]], Fixtures[result], "W", Fixtures[APP], TRUE), "")</f>
        <v/>
      </c>
      <c r="J683" s="1" t="str">
        <f>IF(Teams[[#This Row],[relevant]], COUNTIFS(Fixtures[userTeam], Teams[[#This Row],[name]], Fixtures[result], "D", Fixtures[APP], TRUE), "")</f>
        <v/>
      </c>
      <c r="K683" s="1" t="str">
        <f>IF(Teams[[#This Row],[relevant]], COUNTIFS(Fixtures[userTeam], Teams[[#This Row],[name]], Fixtures[result], "L", Fixtures[APP], TRUE), "")</f>
        <v/>
      </c>
      <c r="L683" s="1" t="str">
        <f>IF(Teams[[#This Row],[relevant]], SUMIFS(Fixtures[G], Fixtures[userTeam], Teams[[#This Row],[name]]), "")</f>
        <v/>
      </c>
      <c r="M683" s="1" t="str">
        <f>IF(Teams[[#This Row],[relevant]], SUMIFS(Fixtures[A], Fixtures[userTeam], Teams[[#This Row],[name]]), "")</f>
        <v/>
      </c>
      <c r="N683" s="1" t="str">
        <f>IF(Teams[[#This Row],[relevant]], SUMIFS(Fixtures[INV], Fixtures[userTeam], Teams[[#This Row],[name]]), "")</f>
        <v/>
      </c>
      <c r="O683" s="1" t="str">
        <f>IF(Teams[[#This Row],[relevant]], SUMIFS(Fixtures[YC], Fixtures[userTeam], Teams[[#This Row],[name]]), "")</f>
        <v/>
      </c>
      <c r="P683" s="1" t="str">
        <f>IF(Teams[[#This Row],[relevant]], SUMIFS(Fixtures[RC], Fixtures[userTeam], Teams[[#This Row],[name]]), "")</f>
        <v/>
      </c>
      <c r="Q683" s="13" t="str">
        <f>IF(Teams[[#This Row],[relevant]], IF(ISERROR(AVERAGEIFS(Fixtures[MR], Fixtures[userTeam], Teams[[#This Row],[name]])), 0, AVERAGEIFS(Fixtures[MR], Fixtures[userTeam], Teams[[#This Row],[name]])), "")</f>
        <v/>
      </c>
      <c r="R683" s="1" t="str">
        <f>IF(Teams[[#This Row],[relevant]], COUNTIFS(Fixtures[userTeam], Teams[[#This Row],[name]], Fixtures[MOTM], TRUE), "")</f>
        <v/>
      </c>
      <c r="S683" s="1" t="str" cm="1">
        <f t="array" ref="S683">IF(Teams[[#This Row],[relevant]], _xlfn.TEXTJOIN(", ", TRUE, _xlfn._xlws.FILTER(Stats[competition]&amp;" ("&amp;Stats[season]&amp;")",(Stats[team]=Teams[[#This Row],[name]])*(Stats[result]="Winner"),"")), "")</f>
        <v/>
      </c>
    </row>
    <row r="684" spans="1:19" ht="13" hidden="1">
      <c r="A684" s="1" t="s">
        <v>272</v>
      </c>
      <c r="B684" s="1" t="s">
        <v>337</v>
      </c>
      <c r="C684" s="1" t="s">
        <v>391</v>
      </c>
      <c r="D684" s="1" t="str">
        <f>UPPER(_xlfn.CONCAT(LEFT(Teams[[#This Row],[teamType]], 1), "-", LEFT(SUBSTITUTE(Teams[[#This Row],[nation]], "/", ""), 3), "-", SUBSTITUTE(SUBSTITUTE(SUBSTITUTE(Teams[[#This Row],[name]], ".", ""), " ", ""), "-", "")))</f>
        <v>C-GER-VFLWOLFSBURG</v>
      </c>
      <c r="E684" s="16"/>
      <c r="F684" s="16"/>
      <c r="G684" s="16" t="b">
        <f>COUNTBLANK(Teams[[#This Row],[startDate]:[endDate]]) &lt; 2</f>
        <v>0</v>
      </c>
      <c r="H684" s="1" t="str">
        <f>IF(Teams[[#This Row],[relevant]], COUNTIFS(Fixtures[userTeam], Teams[[#This Row],[name]], Fixtures[APP], TRUE), "")</f>
        <v/>
      </c>
      <c r="I684" s="1" t="str">
        <f>IF(Teams[[#This Row],[relevant]], COUNTIFS(Fixtures[userTeam], Teams[[#This Row],[name]], Fixtures[result], "W", Fixtures[APP], TRUE), "")</f>
        <v/>
      </c>
      <c r="J684" s="1" t="str">
        <f>IF(Teams[[#This Row],[relevant]], COUNTIFS(Fixtures[userTeam], Teams[[#This Row],[name]], Fixtures[result], "D", Fixtures[APP], TRUE), "")</f>
        <v/>
      </c>
      <c r="K684" s="1" t="str">
        <f>IF(Teams[[#This Row],[relevant]], COUNTIFS(Fixtures[userTeam], Teams[[#This Row],[name]], Fixtures[result], "L", Fixtures[APP], TRUE), "")</f>
        <v/>
      </c>
      <c r="L684" s="1" t="str">
        <f>IF(Teams[[#This Row],[relevant]], SUMIFS(Fixtures[G], Fixtures[userTeam], Teams[[#This Row],[name]]), "")</f>
        <v/>
      </c>
      <c r="M684" s="1" t="str">
        <f>IF(Teams[[#This Row],[relevant]], SUMIFS(Fixtures[A], Fixtures[userTeam], Teams[[#This Row],[name]]), "")</f>
        <v/>
      </c>
      <c r="N684" s="1" t="str">
        <f>IF(Teams[[#This Row],[relevant]], SUMIFS(Fixtures[INV], Fixtures[userTeam], Teams[[#This Row],[name]]), "")</f>
        <v/>
      </c>
      <c r="O684" s="1" t="str">
        <f>IF(Teams[[#This Row],[relevant]], SUMIFS(Fixtures[YC], Fixtures[userTeam], Teams[[#This Row],[name]]), "")</f>
        <v/>
      </c>
      <c r="P684" s="1" t="str">
        <f>IF(Teams[[#This Row],[relevant]], SUMIFS(Fixtures[RC], Fixtures[userTeam], Teams[[#This Row],[name]]), "")</f>
        <v/>
      </c>
      <c r="Q684" s="13" t="str">
        <f>IF(Teams[[#This Row],[relevant]], IF(ISERROR(AVERAGEIFS(Fixtures[MR], Fixtures[userTeam], Teams[[#This Row],[name]])), 0, AVERAGEIFS(Fixtures[MR], Fixtures[userTeam], Teams[[#This Row],[name]])), "")</f>
        <v/>
      </c>
      <c r="R684" s="1" t="str">
        <f>IF(Teams[[#This Row],[relevant]], COUNTIFS(Fixtures[userTeam], Teams[[#This Row],[name]], Fixtures[MOTM], TRUE), "")</f>
        <v/>
      </c>
      <c r="S684" s="1" t="str" cm="1">
        <f t="array" ref="S684">IF(Teams[[#This Row],[relevant]], _xlfn.TEXTJOIN(", ", TRUE, _xlfn._xlws.FILTER(Stats[competition]&amp;" ("&amp;Stats[season]&amp;")",(Stats[team]=Teams[[#This Row],[name]])*(Stats[result]="Winner"),"")), "")</f>
        <v/>
      </c>
    </row>
    <row r="685" spans="1:19" ht="13" hidden="1">
      <c r="A685" s="1" t="s">
        <v>992</v>
      </c>
      <c r="B685" s="1" t="s">
        <v>398</v>
      </c>
      <c r="C685" s="1" t="s">
        <v>391</v>
      </c>
      <c r="D685" s="1" t="str">
        <f>UPPER(_xlfn.CONCAT(LEFT(Teams[[#This Row],[teamType]], 1), "-", LEFT(SUBSTITUTE(Teams[[#This Row],[nation]], "/", ""), 3), "-", SUBSTITUTE(SUBSTITUTE(SUBSTITUTE(Teams[[#This Row],[name]], ".", ""), " ", ""), "-", "")))</f>
        <v>C-DEN-VIBORGFF</v>
      </c>
      <c r="E685" s="16"/>
      <c r="F685" s="16"/>
      <c r="G685" s="1" t="b">
        <f>COUNTBLANK(Teams[[#This Row],[startDate]:[endDate]]) &lt; 2</f>
        <v>0</v>
      </c>
      <c r="H685" s="1" t="str">
        <f>IF(Teams[[#This Row],[relevant]], COUNTIFS(Fixtures[userTeam], Teams[[#This Row],[name]], Fixtures[APP], TRUE), "")</f>
        <v/>
      </c>
      <c r="I685" s="1" t="str">
        <f>IF(Teams[[#This Row],[relevant]], COUNTIFS(Fixtures[userTeam], Teams[[#This Row],[name]], Fixtures[result], "W", Fixtures[APP], TRUE), "")</f>
        <v/>
      </c>
      <c r="J685" s="1" t="str">
        <f>IF(Teams[[#This Row],[relevant]], COUNTIFS(Fixtures[userTeam], Teams[[#This Row],[name]], Fixtures[result], "D", Fixtures[APP], TRUE), "")</f>
        <v/>
      </c>
      <c r="K685" s="1" t="str">
        <f>IF(Teams[[#This Row],[relevant]], COUNTIFS(Fixtures[userTeam], Teams[[#This Row],[name]], Fixtures[result], "L", Fixtures[APP], TRUE), "")</f>
        <v/>
      </c>
      <c r="L685" s="1" t="str">
        <f>IF(Teams[[#This Row],[relevant]], SUMIFS(Fixtures[G], Fixtures[userTeam], Teams[[#This Row],[name]]), "")</f>
        <v/>
      </c>
      <c r="M685" s="1" t="str">
        <f>IF(Teams[[#This Row],[relevant]], SUMIFS(Fixtures[A], Fixtures[userTeam], Teams[[#This Row],[name]]), "")</f>
        <v/>
      </c>
      <c r="N685" s="1" t="str">
        <f>IF(Teams[[#This Row],[relevant]], SUMIFS(Fixtures[INV], Fixtures[userTeam], Teams[[#This Row],[name]]), "")</f>
        <v/>
      </c>
      <c r="O685" s="1" t="str">
        <f>IF(Teams[[#This Row],[relevant]], SUMIFS(Fixtures[YC], Fixtures[userTeam], Teams[[#This Row],[name]]), "")</f>
        <v/>
      </c>
      <c r="P685" s="1" t="str">
        <f>IF(Teams[[#This Row],[relevant]], SUMIFS(Fixtures[RC], Fixtures[userTeam], Teams[[#This Row],[name]]), "")</f>
        <v/>
      </c>
      <c r="Q685" s="13" t="str">
        <f>IF(Teams[[#This Row],[relevant]], IF(ISERROR(AVERAGEIFS(Fixtures[MR], Fixtures[userTeam], Teams[[#This Row],[name]])), 0, AVERAGEIFS(Fixtures[MR], Fixtures[userTeam], Teams[[#This Row],[name]])), "")</f>
        <v/>
      </c>
      <c r="R685" s="1" t="str">
        <f>IF(Teams[[#This Row],[relevant]], COUNTIFS(Fixtures[userTeam], Teams[[#This Row],[name]], Fixtures[MOTM], TRUE), "")</f>
        <v/>
      </c>
      <c r="S685" s="1" t="str" cm="1">
        <f t="array" ref="S685">IF(Teams[[#This Row],[relevant]], _xlfn.TEXTJOIN(", ", TRUE, _xlfn._xlws.FILTER(Stats[competition]&amp;" ("&amp;Stats[season]&amp;")",(Stats[team]=Teams[[#This Row],[name]])*(Stats[result]="Winner"),"")), "")</f>
        <v/>
      </c>
    </row>
    <row r="686" spans="1:19" ht="13" hidden="1">
      <c r="A686" s="1" t="s">
        <v>993</v>
      </c>
      <c r="B686" s="1" t="s">
        <v>286</v>
      </c>
      <c r="C686" s="1" t="s">
        <v>391</v>
      </c>
      <c r="D686" s="1" t="str">
        <f>UPPER(_xlfn.CONCAT(LEFT(Teams[[#This Row],[teamType]], 1), "-", LEFT(SUBSTITUTE(Teams[[#This Row],[nation]], "/", ""), 3), "-", SUBSTITUTE(SUBSTITUTE(SUBSTITUTE(Teams[[#This Row],[name]], ".", ""), " ", ""), "-", "")))</f>
        <v>C-NOR-VIKINGFK</v>
      </c>
      <c r="E686" s="16"/>
      <c r="F686" s="16"/>
      <c r="G686" s="1" t="b">
        <f>COUNTBLANK(Teams[[#This Row],[startDate]:[endDate]]) &lt; 2</f>
        <v>0</v>
      </c>
      <c r="H686" s="1" t="str">
        <f>IF(Teams[[#This Row],[relevant]], COUNTIFS(Fixtures[userTeam], Teams[[#This Row],[name]], Fixtures[APP], TRUE), "")</f>
        <v/>
      </c>
      <c r="I686" s="1" t="str">
        <f>IF(Teams[[#This Row],[relevant]], COUNTIFS(Fixtures[userTeam], Teams[[#This Row],[name]], Fixtures[result], "W", Fixtures[APP], TRUE), "")</f>
        <v/>
      </c>
      <c r="J686" s="1" t="str">
        <f>IF(Teams[[#This Row],[relevant]], COUNTIFS(Fixtures[userTeam], Teams[[#This Row],[name]], Fixtures[result], "D", Fixtures[APP], TRUE), "")</f>
        <v/>
      </c>
      <c r="K686" s="1" t="str">
        <f>IF(Teams[[#This Row],[relevant]], COUNTIFS(Fixtures[userTeam], Teams[[#This Row],[name]], Fixtures[result], "L", Fixtures[APP], TRUE), "")</f>
        <v/>
      </c>
      <c r="L686" s="1" t="str">
        <f>IF(Teams[[#This Row],[relevant]], SUMIFS(Fixtures[G], Fixtures[userTeam], Teams[[#This Row],[name]]), "")</f>
        <v/>
      </c>
      <c r="M686" s="1" t="str">
        <f>IF(Teams[[#This Row],[relevant]], SUMIFS(Fixtures[A], Fixtures[userTeam], Teams[[#This Row],[name]]), "")</f>
        <v/>
      </c>
      <c r="N686" s="1" t="str">
        <f>IF(Teams[[#This Row],[relevant]], SUMIFS(Fixtures[INV], Fixtures[userTeam], Teams[[#This Row],[name]]), "")</f>
        <v/>
      </c>
      <c r="O686" s="1" t="str">
        <f>IF(Teams[[#This Row],[relevant]], SUMIFS(Fixtures[YC], Fixtures[userTeam], Teams[[#This Row],[name]]), "")</f>
        <v/>
      </c>
      <c r="P686" s="1" t="str">
        <f>IF(Teams[[#This Row],[relevant]], SUMIFS(Fixtures[RC], Fixtures[userTeam], Teams[[#This Row],[name]]), "")</f>
        <v/>
      </c>
      <c r="Q686" s="13" t="str">
        <f>IF(Teams[[#This Row],[relevant]], IF(ISERROR(AVERAGEIFS(Fixtures[MR], Fixtures[userTeam], Teams[[#This Row],[name]])), 0, AVERAGEIFS(Fixtures[MR], Fixtures[userTeam], Teams[[#This Row],[name]])), "")</f>
        <v/>
      </c>
      <c r="R686" s="1" t="str">
        <f>IF(Teams[[#This Row],[relevant]], COUNTIFS(Fixtures[userTeam], Teams[[#This Row],[name]], Fixtures[MOTM], TRUE), "")</f>
        <v/>
      </c>
      <c r="S686" s="1" t="str" cm="1">
        <f t="array" ref="S686">IF(Teams[[#This Row],[relevant]], _xlfn.TEXTJOIN(", ", TRUE, _xlfn._xlws.FILTER(Stats[competition]&amp;" ("&amp;Stats[season]&amp;")",(Stats[team]=Teams[[#This Row],[name]])*(Stats[result]="Winner"),"")), "")</f>
        <v/>
      </c>
    </row>
    <row r="687" spans="1:19" ht="13" hidden="1">
      <c r="A687" s="1" t="s">
        <v>994</v>
      </c>
      <c r="B687" s="1" t="s">
        <v>337</v>
      </c>
      <c r="C687" s="1" t="s">
        <v>391</v>
      </c>
      <c r="D687" s="1" t="str">
        <f>UPPER(_xlfn.CONCAT(LEFT(Teams[[#This Row],[teamType]], 1), "-", LEFT(SUBSTITUTE(Teams[[#This Row],[nation]], "/", ""), 3), "-", SUBSTITUTE(SUBSTITUTE(SUBSTITUTE(Teams[[#This Row],[name]], ".", ""), " ", ""), "-", "")))</f>
        <v>C-GER-VIKTORIAKÖLN</v>
      </c>
      <c r="E687" s="16"/>
      <c r="F687" s="16"/>
      <c r="G687" s="1" t="b">
        <f>COUNTBLANK(Teams[[#This Row],[startDate]:[endDate]]) &lt; 2</f>
        <v>0</v>
      </c>
      <c r="H687" s="1" t="str">
        <f>IF(Teams[[#This Row],[relevant]], COUNTIFS(Fixtures[userTeam], Teams[[#This Row],[name]], Fixtures[APP], TRUE), "")</f>
        <v/>
      </c>
      <c r="I687" s="1" t="str">
        <f>IF(Teams[[#This Row],[relevant]], COUNTIFS(Fixtures[userTeam], Teams[[#This Row],[name]], Fixtures[result], "W", Fixtures[APP], TRUE), "")</f>
        <v/>
      </c>
      <c r="J687" s="1" t="str">
        <f>IF(Teams[[#This Row],[relevant]], COUNTIFS(Fixtures[userTeam], Teams[[#This Row],[name]], Fixtures[result], "D", Fixtures[APP], TRUE), "")</f>
        <v/>
      </c>
      <c r="K687" s="1" t="str">
        <f>IF(Teams[[#This Row],[relevant]], COUNTIFS(Fixtures[userTeam], Teams[[#This Row],[name]], Fixtures[result], "L", Fixtures[APP], TRUE), "")</f>
        <v/>
      </c>
      <c r="L687" s="1" t="str">
        <f>IF(Teams[[#This Row],[relevant]], SUMIFS(Fixtures[G], Fixtures[userTeam], Teams[[#This Row],[name]]), "")</f>
        <v/>
      </c>
      <c r="M687" s="1" t="str">
        <f>IF(Teams[[#This Row],[relevant]], SUMIFS(Fixtures[A], Fixtures[userTeam], Teams[[#This Row],[name]]), "")</f>
        <v/>
      </c>
      <c r="N687" s="1" t="str">
        <f>IF(Teams[[#This Row],[relevant]], SUMIFS(Fixtures[INV], Fixtures[userTeam], Teams[[#This Row],[name]]), "")</f>
        <v/>
      </c>
      <c r="O687" s="1" t="str">
        <f>IF(Teams[[#This Row],[relevant]], SUMIFS(Fixtures[YC], Fixtures[userTeam], Teams[[#This Row],[name]]), "")</f>
        <v/>
      </c>
      <c r="P687" s="1" t="str">
        <f>IF(Teams[[#This Row],[relevant]], SUMIFS(Fixtures[RC], Fixtures[userTeam], Teams[[#This Row],[name]]), "")</f>
        <v/>
      </c>
      <c r="Q687" s="13" t="str">
        <f>IF(Teams[[#This Row],[relevant]], IF(ISERROR(AVERAGEIFS(Fixtures[MR], Fixtures[userTeam], Teams[[#This Row],[name]])), 0, AVERAGEIFS(Fixtures[MR], Fixtures[userTeam], Teams[[#This Row],[name]])), "")</f>
        <v/>
      </c>
      <c r="R687" s="1" t="str">
        <f>IF(Teams[[#This Row],[relevant]], COUNTIFS(Fixtures[userTeam], Teams[[#This Row],[name]], Fixtures[MOTM], TRUE), "")</f>
        <v/>
      </c>
      <c r="S687" s="1" t="str" cm="1">
        <f t="array" ref="S687">IF(Teams[[#This Row],[relevant]], _xlfn.TEXTJOIN(", ", TRUE, _xlfn._xlws.FILTER(Stats[competition]&amp;" ("&amp;Stats[season]&amp;")",(Stats[team]=Teams[[#This Row],[name]])*(Stats[result]="Winner"),"")), "")</f>
        <v/>
      </c>
    </row>
    <row r="688" spans="1:19" ht="13" hidden="1">
      <c r="A688" s="1" t="s">
        <v>995</v>
      </c>
      <c r="B688" s="1" t="s">
        <v>164</v>
      </c>
      <c r="C688" s="1" t="s">
        <v>391</v>
      </c>
      <c r="D688" s="1" t="str">
        <f>UPPER(_xlfn.CONCAT(LEFT(Teams[[#This Row],[teamType]], 1), "-", LEFT(SUBSTITUTE(Teams[[#This Row],[nation]], "/", ""), 3), "-", SUBSTITUTE(SUBSTITUTE(SUBSTITUTE(Teams[[#This Row],[name]], ".", ""), " ", ""), "-", "")))</f>
        <v>C-CZE-VIKTORIAPLZEŇ</v>
      </c>
      <c r="E688" s="16"/>
      <c r="F688" s="16"/>
      <c r="G688" s="1" t="b">
        <f>COUNTBLANK(Teams[[#This Row],[startDate]:[endDate]]) &lt; 2</f>
        <v>0</v>
      </c>
      <c r="H688" s="1" t="str">
        <f>IF(Teams[[#This Row],[relevant]], COUNTIFS(Fixtures[userTeam], Teams[[#This Row],[name]], Fixtures[APP], TRUE), "")</f>
        <v/>
      </c>
      <c r="I688" s="1" t="str">
        <f>IF(Teams[[#This Row],[relevant]], COUNTIFS(Fixtures[userTeam], Teams[[#This Row],[name]], Fixtures[result], "W", Fixtures[APP], TRUE), "")</f>
        <v/>
      </c>
      <c r="J688" s="1" t="str">
        <f>IF(Teams[[#This Row],[relevant]], COUNTIFS(Fixtures[userTeam], Teams[[#This Row],[name]], Fixtures[result], "D", Fixtures[APP], TRUE), "")</f>
        <v/>
      </c>
      <c r="K688" s="1" t="str">
        <f>IF(Teams[[#This Row],[relevant]], COUNTIFS(Fixtures[userTeam], Teams[[#This Row],[name]], Fixtures[result], "L", Fixtures[APP], TRUE), "")</f>
        <v/>
      </c>
      <c r="L688" s="1" t="str">
        <f>IF(Teams[[#This Row],[relevant]], SUMIFS(Fixtures[G], Fixtures[userTeam], Teams[[#This Row],[name]]), "")</f>
        <v/>
      </c>
      <c r="M688" s="1" t="str">
        <f>IF(Teams[[#This Row],[relevant]], SUMIFS(Fixtures[A], Fixtures[userTeam], Teams[[#This Row],[name]]), "")</f>
        <v/>
      </c>
      <c r="N688" s="1" t="str">
        <f>IF(Teams[[#This Row],[relevant]], SUMIFS(Fixtures[INV], Fixtures[userTeam], Teams[[#This Row],[name]]), "")</f>
        <v/>
      </c>
      <c r="O688" s="1" t="str">
        <f>IF(Teams[[#This Row],[relevant]], SUMIFS(Fixtures[YC], Fixtures[userTeam], Teams[[#This Row],[name]]), "")</f>
        <v/>
      </c>
      <c r="P688" s="1" t="str">
        <f>IF(Teams[[#This Row],[relevant]], SUMIFS(Fixtures[RC], Fixtures[userTeam], Teams[[#This Row],[name]]), "")</f>
        <v/>
      </c>
      <c r="Q688" s="13" t="str">
        <f>IF(Teams[[#This Row],[relevant]], IF(ISERROR(AVERAGEIFS(Fixtures[MR], Fixtures[userTeam], Teams[[#This Row],[name]])), 0, AVERAGEIFS(Fixtures[MR], Fixtures[userTeam], Teams[[#This Row],[name]])), "")</f>
        <v/>
      </c>
      <c r="R688" s="1" t="str">
        <f>IF(Teams[[#This Row],[relevant]], COUNTIFS(Fixtures[userTeam], Teams[[#This Row],[name]], Fixtures[MOTM], TRUE), "")</f>
        <v/>
      </c>
      <c r="S688" s="1" t="str" cm="1">
        <f t="array" ref="S688">IF(Teams[[#This Row],[relevant]], _xlfn.TEXTJOIN(", ", TRUE, _xlfn._xlws.FILTER(Stats[competition]&amp;" ("&amp;Stats[season]&amp;")",(Stats[team]=Teams[[#This Row],[name]])*(Stats[result]="Winner"),"")), "")</f>
        <v/>
      </c>
    </row>
    <row r="689" spans="1:19" ht="13" hidden="1">
      <c r="A689" s="1" t="s">
        <v>996</v>
      </c>
      <c r="B689" s="1" t="s">
        <v>163</v>
      </c>
      <c r="C689" s="1" t="s">
        <v>391</v>
      </c>
      <c r="D689" s="1" t="str">
        <f>UPPER(_xlfn.CONCAT(LEFT(Teams[[#This Row],[teamType]], 1), "-", LEFT(SUBSTITUTE(Teams[[#This Row],[nation]], "/", ""), 3), "-", SUBSTITUTE(SUBSTITUTE(SUBSTITUTE(Teams[[#This Row],[name]], ".", ""), " ", ""), "-", "")))</f>
        <v>C-SPA-VILLARREALCF</v>
      </c>
      <c r="E689" s="16"/>
      <c r="F689" s="16"/>
      <c r="G689" s="1" t="b">
        <f>COUNTBLANK(Teams[[#This Row],[startDate]:[endDate]]) &lt; 2</f>
        <v>0</v>
      </c>
      <c r="H689" s="1" t="str">
        <f>IF(Teams[[#This Row],[relevant]], COUNTIFS(Fixtures[userTeam], Teams[[#This Row],[name]], Fixtures[APP], TRUE), "")</f>
        <v/>
      </c>
      <c r="I689" s="1" t="str">
        <f>IF(Teams[[#This Row],[relevant]], COUNTIFS(Fixtures[userTeam], Teams[[#This Row],[name]], Fixtures[result], "W", Fixtures[APP], TRUE), "")</f>
        <v/>
      </c>
      <c r="J689" s="1" t="str">
        <f>IF(Teams[[#This Row],[relevant]], COUNTIFS(Fixtures[userTeam], Teams[[#This Row],[name]], Fixtures[result], "D", Fixtures[APP], TRUE), "")</f>
        <v/>
      </c>
      <c r="K689" s="1" t="str">
        <f>IF(Teams[[#This Row],[relevant]], COUNTIFS(Fixtures[userTeam], Teams[[#This Row],[name]], Fixtures[result], "L", Fixtures[APP], TRUE), "")</f>
        <v/>
      </c>
      <c r="L689" s="1" t="str">
        <f>IF(Teams[[#This Row],[relevant]], SUMIFS(Fixtures[G], Fixtures[userTeam], Teams[[#This Row],[name]]), "")</f>
        <v/>
      </c>
      <c r="M689" s="1" t="str">
        <f>IF(Teams[[#This Row],[relevant]], SUMIFS(Fixtures[A], Fixtures[userTeam], Teams[[#This Row],[name]]), "")</f>
        <v/>
      </c>
      <c r="N689" s="1" t="str">
        <f>IF(Teams[[#This Row],[relevant]], SUMIFS(Fixtures[INV], Fixtures[userTeam], Teams[[#This Row],[name]]), "")</f>
        <v/>
      </c>
      <c r="O689" s="1" t="str">
        <f>IF(Teams[[#This Row],[relevant]], SUMIFS(Fixtures[YC], Fixtures[userTeam], Teams[[#This Row],[name]]), "")</f>
        <v/>
      </c>
      <c r="P689" s="1" t="str">
        <f>IF(Teams[[#This Row],[relevant]], SUMIFS(Fixtures[RC], Fixtures[userTeam], Teams[[#This Row],[name]]), "")</f>
        <v/>
      </c>
      <c r="Q689" s="13" t="str">
        <f>IF(Teams[[#This Row],[relevant]], IF(ISERROR(AVERAGEIFS(Fixtures[MR], Fixtures[userTeam], Teams[[#This Row],[name]])), 0, AVERAGEIFS(Fixtures[MR], Fixtures[userTeam], Teams[[#This Row],[name]])), "")</f>
        <v/>
      </c>
      <c r="R689" s="1" t="str">
        <f>IF(Teams[[#This Row],[relevant]], COUNTIFS(Fixtures[userTeam], Teams[[#This Row],[name]], Fixtures[MOTM], TRUE), "")</f>
        <v/>
      </c>
      <c r="S689" s="1" t="str" cm="1">
        <f t="array" ref="S689">IF(Teams[[#This Row],[relevant]], _xlfn.TEXTJOIN(", ", TRUE, _xlfn._xlws.FILTER(Stats[competition]&amp;" ("&amp;Stats[season]&amp;")",(Stats[team]=Teams[[#This Row],[name]])*(Stats[result]="Winner"),"")), "")</f>
        <v/>
      </c>
    </row>
    <row r="690" spans="1:19" ht="13" hidden="1">
      <c r="A690" s="1" t="s">
        <v>997</v>
      </c>
      <c r="B690" s="1" t="s">
        <v>163</v>
      </c>
      <c r="C690" s="1" t="s">
        <v>391</v>
      </c>
      <c r="D690" s="1" t="str">
        <f>UPPER(_xlfn.CONCAT(LEFT(Teams[[#This Row],[teamType]], 1), "-", LEFT(SUBSTITUTE(Teams[[#This Row],[nation]], "/", ""), 3), "-", SUBSTITUTE(SUBSTITUTE(SUBSTITUTE(Teams[[#This Row],[name]], ".", ""), " ", ""), "-", "")))</f>
        <v>C-SPA-VILLARREALCFB</v>
      </c>
      <c r="E690" s="16"/>
      <c r="F690" s="16"/>
      <c r="G690" s="1" t="b">
        <f>COUNTBLANK(Teams[[#This Row],[startDate]:[endDate]]) &lt; 2</f>
        <v>0</v>
      </c>
      <c r="H690" s="1" t="str">
        <f>IF(Teams[[#This Row],[relevant]], COUNTIFS(Fixtures[userTeam], Teams[[#This Row],[name]], Fixtures[APP], TRUE), "")</f>
        <v/>
      </c>
      <c r="I690" s="1" t="str">
        <f>IF(Teams[[#This Row],[relevant]], COUNTIFS(Fixtures[userTeam], Teams[[#This Row],[name]], Fixtures[result], "W", Fixtures[APP], TRUE), "")</f>
        <v/>
      </c>
      <c r="J690" s="1" t="str">
        <f>IF(Teams[[#This Row],[relevant]], COUNTIFS(Fixtures[userTeam], Teams[[#This Row],[name]], Fixtures[result], "D", Fixtures[APP], TRUE), "")</f>
        <v/>
      </c>
      <c r="K690" s="1" t="str">
        <f>IF(Teams[[#This Row],[relevant]], COUNTIFS(Fixtures[userTeam], Teams[[#This Row],[name]], Fixtures[result], "L", Fixtures[APP], TRUE), "")</f>
        <v/>
      </c>
      <c r="L690" s="1" t="str">
        <f>IF(Teams[[#This Row],[relevant]], SUMIFS(Fixtures[G], Fixtures[userTeam], Teams[[#This Row],[name]]), "")</f>
        <v/>
      </c>
      <c r="M690" s="1" t="str">
        <f>IF(Teams[[#This Row],[relevant]], SUMIFS(Fixtures[A], Fixtures[userTeam], Teams[[#This Row],[name]]), "")</f>
        <v/>
      </c>
      <c r="N690" s="1" t="str">
        <f>IF(Teams[[#This Row],[relevant]], SUMIFS(Fixtures[INV], Fixtures[userTeam], Teams[[#This Row],[name]]), "")</f>
        <v/>
      </c>
      <c r="O690" s="1" t="str">
        <f>IF(Teams[[#This Row],[relevant]], SUMIFS(Fixtures[YC], Fixtures[userTeam], Teams[[#This Row],[name]]), "")</f>
        <v/>
      </c>
      <c r="P690" s="1" t="str">
        <f>IF(Teams[[#This Row],[relevant]], SUMIFS(Fixtures[RC], Fixtures[userTeam], Teams[[#This Row],[name]]), "")</f>
        <v/>
      </c>
      <c r="Q690" s="13" t="str">
        <f>IF(Teams[[#This Row],[relevant]], IF(ISERROR(AVERAGEIFS(Fixtures[MR], Fixtures[userTeam], Teams[[#This Row],[name]])), 0, AVERAGEIFS(Fixtures[MR], Fixtures[userTeam], Teams[[#This Row],[name]])), "")</f>
        <v/>
      </c>
      <c r="R690" s="1" t="str">
        <f>IF(Teams[[#This Row],[relevant]], COUNTIFS(Fixtures[userTeam], Teams[[#This Row],[name]], Fixtures[MOTM], TRUE), "")</f>
        <v/>
      </c>
      <c r="S690" s="1" t="str" cm="1">
        <f t="array" ref="S690">IF(Teams[[#This Row],[relevant]], _xlfn.TEXTJOIN(", ", TRUE, _xlfn._xlws.FILTER(Stats[competition]&amp;" ("&amp;Stats[season]&amp;")",(Stats[team]=Teams[[#This Row],[name]])*(Stats[result]="Winner"),"")), "")</f>
        <v/>
      </c>
    </row>
    <row r="691" spans="1:19" ht="13" hidden="1">
      <c r="A691" s="1" t="s">
        <v>998</v>
      </c>
      <c r="B691" s="1" t="s">
        <v>425</v>
      </c>
      <c r="C691" s="1" t="s">
        <v>391</v>
      </c>
      <c r="D691" s="1" t="str">
        <f>UPPER(_xlfn.CONCAT(LEFT(Teams[[#This Row],[teamType]], 1), "-", LEFT(SUBSTITUTE(Teams[[#This Row],[nation]], "/", ""), 3), "-", SUBSTITUTE(SUBSTITUTE(SUBSTITUTE(Teams[[#This Row],[name]], ".", ""), " ", ""), "-", "")))</f>
        <v>C-NET-VITESSE</v>
      </c>
      <c r="E691" s="16"/>
      <c r="F691" s="16"/>
      <c r="G691" s="1" t="b">
        <f>COUNTBLANK(Teams[[#This Row],[startDate]:[endDate]]) &lt; 2</f>
        <v>0</v>
      </c>
      <c r="H691" s="1" t="str">
        <f>IF(Teams[[#This Row],[relevant]], COUNTIFS(Fixtures[userTeam], Teams[[#This Row],[name]], Fixtures[APP], TRUE), "")</f>
        <v/>
      </c>
      <c r="I691" s="1" t="str">
        <f>IF(Teams[[#This Row],[relevant]], COUNTIFS(Fixtures[userTeam], Teams[[#This Row],[name]], Fixtures[result], "W", Fixtures[APP], TRUE), "")</f>
        <v/>
      </c>
      <c r="J691" s="1" t="str">
        <f>IF(Teams[[#This Row],[relevant]], COUNTIFS(Fixtures[userTeam], Teams[[#This Row],[name]], Fixtures[result], "D", Fixtures[APP], TRUE), "")</f>
        <v/>
      </c>
      <c r="K691" s="1" t="str">
        <f>IF(Teams[[#This Row],[relevant]], COUNTIFS(Fixtures[userTeam], Teams[[#This Row],[name]], Fixtures[result], "L", Fixtures[APP], TRUE), "")</f>
        <v/>
      </c>
      <c r="L691" s="1" t="str">
        <f>IF(Teams[[#This Row],[relevant]], SUMIFS(Fixtures[G], Fixtures[userTeam], Teams[[#This Row],[name]]), "")</f>
        <v/>
      </c>
      <c r="M691" s="1" t="str">
        <f>IF(Teams[[#This Row],[relevant]], SUMIFS(Fixtures[A], Fixtures[userTeam], Teams[[#This Row],[name]]), "")</f>
        <v/>
      </c>
      <c r="N691" s="1" t="str">
        <f>IF(Teams[[#This Row],[relevant]], SUMIFS(Fixtures[INV], Fixtures[userTeam], Teams[[#This Row],[name]]), "")</f>
        <v/>
      </c>
      <c r="O691" s="1" t="str">
        <f>IF(Teams[[#This Row],[relevant]], SUMIFS(Fixtures[YC], Fixtures[userTeam], Teams[[#This Row],[name]]), "")</f>
        <v/>
      </c>
      <c r="P691" s="1" t="str">
        <f>IF(Teams[[#This Row],[relevant]], SUMIFS(Fixtures[RC], Fixtures[userTeam], Teams[[#This Row],[name]]), "")</f>
        <v/>
      </c>
      <c r="Q691" s="13" t="str">
        <f>IF(Teams[[#This Row],[relevant]], IF(ISERROR(AVERAGEIFS(Fixtures[MR], Fixtures[userTeam], Teams[[#This Row],[name]])), 0, AVERAGEIFS(Fixtures[MR], Fixtures[userTeam], Teams[[#This Row],[name]])), "")</f>
        <v/>
      </c>
      <c r="R691" s="1" t="str">
        <f>IF(Teams[[#This Row],[relevant]], COUNTIFS(Fixtures[userTeam], Teams[[#This Row],[name]], Fixtures[MOTM], TRUE), "")</f>
        <v/>
      </c>
      <c r="S691" s="1" t="str" cm="1">
        <f t="array" ref="S691">IF(Teams[[#This Row],[relevant]], _xlfn.TEXTJOIN(", ", TRUE, _xlfn._xlws.FILTER(Stats[competition]&amp;" ("&amp;Stats[season]&amp;")",(Stats[team]=Teams[[#This Row],[name]])*(Stats[result]="Winner"),"")), "")</f>
        <v/>
      </c>
    </row>
    <row r="692" spans="1:19" ht="13" hidden="1">
      <c r="A692" s="1" t="s">
        <v>999</v>
      </c>
      <c r="B692" s="1" t="s">
        <v>463</v>
      </c>
      <c r="C692" s="1" t="s">
        <v>391</v>
      </c>
      <c r="D692" s="1" t="str">
        <f>UPPER(_xlfn.CONCAT(LEFT(Teams[[#This Row],[teamType]], 1), "-", LEFT(SUBSTITUTE(Teams[[#This Row],[nation]], "/", ""), 3), "-", SUBSTITUTE(SUBSTITUTE(SUBSTITUTE(Teams[[#This Row],[name]], ".", ""), " ", ""), "-", "")))</f>
        <v>C-POR-VITÓRIASC</v>
      </c>
      <c r="E692" s="16"/>
      <c r="F692" s="16"/>
      <c r="G692" s="1" t="b">
        <f>COUNTBLANK(Teams[[#This Row],[startDate]:[endDate]]) &lt; 2</f>
        <v>0</v>
      </c>
      <c r="H692" s="1" t="str">
        <f>IF(Teams[[#This Row],[relevant]], COUNTIFS(Fixtures[userTeam], Teams[[#This Row],[name]], Fixtures[APP], TRUE), "")</f>
        <v/>
      </c>
      <c r="I692" s="1" t="str">
        <f>IF(Teams[[#This Row],[relevant]], COUNTIFS(Fixtures[userTeam], Teams[[#This Row],[name]], Fixtures[result], "W", Fixtures[APP], TRUE), "")</f>
        <v/>
      </c>
      <c r="J692" s="1" t="str">
        <f>IF(Teams[[#This Row],[relevant]], COUNTIFS(Fixtures[userTeam], Teams[[#This Row],[name]], Fixtures[result], "D", Fixtures[APP], TRUE), "")</f>
        <v/>
      </c>
      <c r="K692" s="1" t="str">
        <f>IF(Teams[[#This Row],[relevant]], COUNTIFS(Fixtures[userTeam], Teams[[#This Row],[name]], Fixtures[result], "L", Fixtures[APP], TRUE), "")</f>
        <v/>
      </c>
      <c r="L692" s="1" t="str">
        <f>IF(Teams[[#This Row],[relevant]], SUMIFS(Fixtures[G], Fixtures[userTeam], Teams[[#This Row],[name]]), "")</f>
        <v/>
      </c>
      <c r="M692" s="1" t="str">
        <f>IF(Teams[[#This Row],[relevant]], SUMIFS(Fixtures[A], Fixtures[userTeam], Teams[[#This Row],[name]]), "")</f>
        <v/>
      </c>
      <c r="N692" s="1" t="str">
        <f>IF(Teams[[#This Row],[relevant]], SUMIFS(Fixtures[INV], Fixtures[userTeam], Teams[[#This Row],[name]]), "")</f>
        <v/>
      </c>
      <c r="O692" s="1" t="str">
        <f>IF(Teams[[#This Row],[relevant]], SUMIFS(Fixtures[YC], Fixtures[userTeam], Teams[[#This Row],[name]]), "")</f>
        <v/>
      </c>
      <c r="P692" s="1" t="str">
        <f>IF(Teams[[#This Row],[relevant]], SUMIFS(Fixtures[RC], Fixtures[userTeam], Teams[[#This Row],[name]]), "")</f>
        <v/>
      </c>
      <c r="Q692" s="13" t="str">
        <f>IF(Teams[[#This Row],[relevant]], IF(ISERROR(AVERAGEIFS(Fixtures[MR], Fixtures[userTeam], Teams[[#This Row],[name]])), 0, AVERAGEIFS(Fixtures[MR], Fixtures[userTeam], Teams[[#This Row],[name]])), "")</f>
        <v/>
      </c>
      <c r="R692" s="1" t="str">
        <f>IF(Teams[[#This Row],[relevant]], COUNTIFS(Fixtures[userTeam], Teams[[#This Row],[name]], Fixtures[MOTM], TRUE), "")</f>
        <v/>
      </c>
      <c r="S692" s="1" t="str" cm="1">
        <f t="array" ref="S692">IF(Teams[[#This Row],[relevant]], _xlfn.TEXTJOIN(", ", TRUE, _xlfn._xlws.FILTER(Stats[competition]&amp;" ("&amp;Stats[season]&amp;")",(Stats[team]=Teams[[#This Row],[name]])*(Stats[result]="Winner"),"")), "")</f>
        <v/>
      </c>
    </row>
    <row r="693" spans="1:19" ht="13" hidden="1">
      <c r="A693" s="1" t="s">
        <v>301</v>
      </c>
      <c r="B693" s="1" t="s">
        <v>301</v>
      </c>
      <c r="C693" s="1" t="s">
        <v>459</v>
      </c>
      <c r="D693" s="1" t="str">
        <f>UPPER(_xlfn.CONCAT(LEFT(Teams[[#This Row],[teamType]], 1), "-", LEFT(SUBSTITUTE(Teams[[#This Row],[nation]], "/", ""), 3), "-", SUBSTITUTE(SUBSTITUTE(SUBSTITUTE(Teams[[#This Row],[name]], ".", ""), " ", ""), "-", "")))</f>
        <v>N-WAL-WALES</v>
      </c>
      <c r="E693" s="16"/>
      <c r="F693" s="16"/>
      <c r="G693" s="1" t="b">
        <f>COUNTBLANK(Teams[[#This Row],[startDate]:[endDate]]) &lt; 2</f>
        <v>0</v>
      </c>
      <c r="H693" s="1" t="str">
        <f>IF(Teams[[#This Row],[relevant]], COUNTIFS(Fixtures[userTeam], Teams[[#This Row],[name]], Fixtures[APP], TRUE), "")</f>
        <v/>
      </c>
      <c r="I693" s="1" t="str">
        <f>IF(Teams[[#This Row],[relevant]], COUNTIFS(Fixtures[userTeam], Teams[[#This Row],[name]], Fixtures[result], "W", Fixtures[APP], TRUE), "")</f>
        <v/>
      </c>
      <c r="J693" s="1" t="str">
        <f>IF(Teams[[#This Row],[relevant]], COUNTIFS(Fixtures[userTeam], Teams[[#This Row],[name]], Fixtures[result], "D", Fixtures[APP], TRUE), "")</f>
        <v/>
      </c>
      <c r="K693" s="1" t="str">
        <f>IF(Teams[[#This Row],[relevant]], COUNTIFS(Fixtures[userTeam], Teams[[#This Row],[name]], Fixtures[result], "L", Fixtures[APP], TRUE), "")</f>
        <v/>
      </c>
      <c r="L693" s="1" t="str">
        <f>IF(Teams[[#This Row],[relevant]], SUMIFS(Fixtures[G], Fixtures[userTeam], Teams[[#This Row],[name]]), "")</f>
        <v/>
      </c>
      <c r="M693" s="1" t="str">
        <f>IF(Teams[[#This Row],[relevant]], SUMIFS(Fixtures[A], Fixtures[userTeam], Teams[[#This Row],[name]]), "")</f>
        <v/>
      </c>
      <c r="N693" s="1" t="str">
        <f>IF(Teams[[#This Row],[relevant]], SUMIFS(Fixtures[INV], Fixtures[userTeam], Teams[[#This Row],[name]]), "")</f>
        <v/>
      </c>
      <c r="O693" s="1" t="str">
        <f>IF(Teams[[#This Row],[relevant]], SUMIFS(Fixtures[YC], Fixtures[userTeam], Teams[[#This Row],[name]]), "")</f>
        <v/>
      </c>
      <c r="P693" s="1" t="str">
        <f>IF(Teams[[#This Row],[relevant]], SUMIFS(Fixtures[RC], Fixtures[userTeam], Teams[[#This Row],[name]]), "")</f>
        <v/>
      </c>
      <c r="Q693" s="13" t="str">
        <f>IF(Teams[[#This Row],[relevant]], IF(ISERROR(AVERAGEIFS(Fixtures[MR], Fixtures[userTeam], Teams[[#This Row],[name]])), 0, AVERAGEIFS(Fixtures[MR], Fixtures[userTeam], Teams[[#This Row],[name]])), "")</f>
        <v/>
      </c>
      <c r="R693" s="1" t="str">
        <f>IF(Teams[[#This Row],[relevant]], COUNTIFS(Fixtures[userTeam], Teams[[#This Row],[name]], Fixtures[MOTM], TRUE), "")</f>
        <v/>
      </c>
      <c r="S693" s="1" t="str" cm="1">
        <f t="array" ref="S693">IF(Teams[[#This Row],[relevant]], _xlfn.TEXTJOIN(", ", TRUE, _xlfn._xlws.FILTER(Stats[competition]&amp;" ("&amp;Stats[season]&amp;")",(Stats[team]=Teams[[#This Row],[name]])*(Stats[result]="Winner"),"")), "")</f>
        <v/>
      </c>
    </row>
    <row r="694" spans="1:19" ht="13" hidden="1">
      <c r="A694" s="1" t="s">
        <v>1000</v>
      </c>
      <c r="B694" s="1" t="s">
        <v>152</v>
      </c>
      <c r="C694" s="1" t="s">
        <v>391</v>
      </c>
      <c r="D694" s="1" t="str">
        <f>UPPER(_xlfn.CONCAT(LEFT(Teams[[#This Row],[teamType]], 1), "-", LEFT(SUBSTITUTE(Teams[[#This Row],[nation]], "/", ""), 3), "-", SUBSTITUTE(SUBSTITUTE(SUBSTITUTE(Teams[[#This Row],[name]], ".", ""), " ", ""), "-", "")))</f>
        <v>C-ENG-WALSALL</v>
      </c>
      <c r="E694" s="16"/>
      <c r="F694" s="16"/>
      <c r="G694" s="1" t="b">
        <f>COUNTBLANK(Teams[[#This Row],[startDate]:[endDate]]) &lt; 2</f>
        <v>0</v>
      </c>
      <c r="H694" s="1" t="str">
        <f>IF(Teams[[#This Row],[relevant]], COUNTIFS(Fixtures[userTeam], Teams[[#This Row],[name]], Fixtures[APP], TRUE), "")</f>
        <v/>
      </c>
      <c r="I694" s="1" t="str">
        <f>IF(Teams[[#This Row],[relevant]], COUNTIFS(Fixtures[userTeam], Teams[[#This Row],[name]], Fixtures[result], "W", Fixtures[APP], TRUE), "")</f>
        <v/>
      </c>
      <c r="J694" s="1" t="str">
        <f>IF(Teams[[#This Row],[relevant]], COUNTIFS(Fixtures[userTeam], Teams[[#This Row],[name]], Fixtures[result], "D", Fixtures[APP], TRUE), "")</f>
        <v/>
      </c>
      <c r="K694" s="1" t="str">
        <f>IF(Teams[[#This Row],[relevant]], COUNTIFS(Fixtures[userTeam], Teams[[#This Row],[name]], Fixtures[result], "L", Fixtures[APP], TRUE), "")</f>
        <v/>
      </c>
      <c r="L694" s="1" t="str">
        <f>IF(Teams[[#This Row],[relevant]], SUMIFS(Fixtures[G], Fixtures[userTeam], Teams[[#This Row],[name]]), "")</f>
        <v/>
      </c>
      <c r="M694" s="1" t="str">
        <f>IF(Teams[[#This Row],[relevant]], SUMIFS(Fixtures[A], Fixtures[userTeam], Teams[[#This Row],[name]]), "")</f>
        <v/>
      </c>
      <c r="N694" s="1" t="str">
        <f>IF(Teams[[#This Row],[relevant]], SUMIFS(Fixtures[INV], Fixtures[userTeam], Teams[[#This Row],[name]]), "")</f>
        <v/>
      </c>
      <c r="O694" s="1" t="str">
        <f>IF(Teams[[#This Row],[relevant]], SUMIFS(Fixtures[YC], Fixtures[userTeam], Teams[[#This Row],[name]]), "")</f>
        <v/>
      </c>
      <c r="P694" s="1" t="str">
        <f>IF(Teams[[#This Row],[relevant]], SUMIFS(Fixtures[RC], Fixtures[userTeam], Teams[[#This Row],[name]]), "")</f>
        <v/>
      </c>
      <c r="Q694" s="13" t="str">
        <f>IF(Teams[[#This Row],[relevant]], IF(ISERROR(AVERAGEIFS(Fixtures[MR], Fixtures[userTeam], Teams[[#This Row],[name]])), 0, AVERAGEIFS(Fixtures[MR], Fixtures[userTeam], Teams[[#This Row],[name]])), "")</f>
        <v/>
      </c>
      <c r="R694" s="1" t="str">
        <f>IF(Teams[[#This Row],[relevant]], COUNTIFS(Fixtures[userTeam], Teams[[#This Row],[name]], Fixtures[MOTM], TRUE), "")</f>
        <v/>
      </c>
      <c r="S694" s="1" t="str" cm="1">
        <f t="array" ref="S694">IF(Teams[[#This Row],[relevant]], _xlfn.TEXTJOIN(", ", TRUE, _xlfn._xlws.FILTER(Stats[competition]&amp;" ("&amp;Stats[season]&amp;")",(Stats[team]=Teams[[#This Row],[name]])*(Stats[result]="Winner"),"")), "")</f>
        <v/>
      </c>
    </row>
    <row r="695" spans="1:19" ht="13" hidden="1">
      <c r="A695" s="1" t="s">
        <v>1001</v>
      </c>
      <c r="B695" s="1" t="s">
        <v>534</v>
      </c>
      <c r="C695" s="1" t="s">
        <v>391</v>
      </c>
      <c r="D695" s="1" t="str">
        <f>UPPER(_xlfn.CONCAT(LEFT(Teams[[#This Row],[teamType]], 1), "-", LEFT(SUBSTITUTE(Teams[[#This Row],[nation]], "/", ""), 3), "-", SUBSTITUTE(SUBSTITUTE(SUBSTITUTE(Teams[[#This Row],[name]], ".", ""), " ", ""), "-", "")))</f>
        <v>C-URU-WANDERERS</v>
      </c>
      <c r="E695" s="16"/>
      <c r="F695" s="16"/>
      <c r="G695" s="1" t="b">
        <f>COUNTBLANK(Teams[[#This Row],[startDate]:[endDate]]) &lt; 2</f>
        <v>0</v>
      </c>
      <c r="H695" s="1" t="str">
        <f>IF(Teams[[#This Row],[relevant]], COUNTIFS(Fixtures[userTeam], Teams[[#This Row],[name]], Fixtures[APP], TRUE), "")</f>
        <v/>
      </c>
      <c r="I695" s="1" t="str">
        <f>IF(Teams[[#This Row],[relevant]], COUNTIFS(Fixtures[userTeam], Teams[[#This Row],[name]], Fixtures[result], "W", Fixtures[APP], TRUE), "")</f>
        <v/>
      </c>
      <c r="J695" s="1" t="str">
        <f>IF(Teams[[#This Row],[relevant]], COUNTIFS(Fixtures[userTeam], Teams[[#This Row],[name]], Fixtures[result], "D", Fixtures[APP], TRUE), "")</f>
        <v/>
      </c>
      <c r="K695" s="1" t="str">
        <f>IF(Teams[[#This Row],[relevant]], COUNTIFS(Fixtures[userTeam], Teams[[#This Row],[name]], Fixtures[result], "L", Fixtures[APP], TRUE), "")</f>
        <v/>
      </c>
      <c r="L695" s="1" t="str">
        <f>IF(Teams[[#This Row],[relevant]], SUMIFS(Fixtures[G], Fixtures[userTeam], Teams[[#This Row],[name]]), "")</f>
        <v/>
      </c>
      <c r="M695" s="1" t="str">
        <f>IF(Teams[[#This Row],[relevant]], SUMIFS(Fixtures[A], Fixtures[userTeam], Teams[[#This Row],[name]]), "")</f>
        <v/>
      </c>
      <c r="N695" s="1" t="str">
        <f>IF(Teams[[#This Row],[relevant]], SUMIFS(Fixtures[INV], Fixtures[userTeam], Teams[[#This Row],[name]]), "")</f>
        <v/>
      </c>
      <c r="O695" s="1" t="str">
        <f>IF(Teams[[#This Row],[relevant]], SUMIFS(Fixtures[YC], Fixtures[userTeam], Teams[[#This Row],[name]]), "")</f>
        <v/>
      </c>
      <c r="P695" s="1" t="str">
        <f>IF(Teams[[#This Row],[relevant]], SUMIFS(Fixtures[RC], Fixtures[userTeam], Teams[[#This Row],[name]]), "")</f>
        <v/>
      </c>
      <c r="Q695" s="13" t="str">
        <f>IF(Teams[[#This Row],[relevant]], IF(ISERROR(AVERAGEIFS(Fixtures[MR], Fixtures[userTeam], Teams[[#This Row],[name]])), 0, AVERAGEIFS(Fixtures[MR], Fixtures[userTeam], Teams[[#This Row],[name]])), "")</f>
        <v/>
      </c>
      <c r="R695" s="1" t="str">
        <f>IF(Teams[[#This Row],[relevant]], COUNTIFS(Fixtures[userTeam], Teams[[#This Row],[name]], Fixtures[MOTM], TRUE), "")</f>
        <v/>
      </c>
      <c r="S695" s="1" t="str" cm="1">
        <f t="array" ref="S695">IF(Teams[[#This Row],[relevant]], _xlfn.TEXTJOIN(", ", TRUE, _xlfn._xlws.FILTER(Stats[competition]&amp;" ("&amp;Stats[season]&amp;")",(Stats[team]=Teams[[#This Row],[name]])*(Stats[result]="Winner"),"")), "")</f>
        <v/>
      </c>
    </row>
    <row r="696" spans="1:19" ht="13" hidden="1">
      <c r="A696" s="1" t="s">
        <v>1002</v>
      </c>
      <c r="B696" s="1" t="s">
        <v>213</v>
      </c>
      <c r="C696" s="1" t="s">
        <v>391</v>
      </c>
      <c r="D696" s="1" t="str">
        <f>UPPER(_xlfn.CONCAT(LEFT(Teams[[#This Row],[teamType]], 1), "-", LEFT(SUBSTITUTE(Teams[[#This Row],[nation]], "/", ""), 3), "-", SUBSTITUTE(SUBSTITUTE(SUBSTITUTE(Teams[[#This Row],[name]], ".", ""), " ", ""), "-", "")))</f>
        <v>C-POL-WARTAPOZNAŃ</v>
      </c>
      <c r="E696" s="16"/>
      <c r="F696" s="16"/>
      <c r="G696" s="1" t="b">
        <f>COUNTBLANK(Teams[[#This Row],[startDate]:[endDate]]) &lt; 2</f>
        <v>0</v>
      </c>
      <c r="H696" s="1" t="str">
        <f>IF(Teams[[#This Row],[relevant]], COUNTIFS(Fixtures[userTeam], Teams[[#This Row],[name]], Fixtures[APP], TRUE), "")</f>
        <v/>
      </c>
      <c r="I696" s="1" t="str">
        <f>IF(Teams[[#This Row],[relevant]], COUNTIFS(Fixtures[userTeam], Teams[[#This Row],[name]], Fixtures[result], "W", Fixtures[APP], TRUE), "")</f>
        <v/>
      </c>
      <c r="J696" s="1" t="str">
        <f>IF(Teams[[#This Row],[relevant]], COUNTIFS(Fixtures[userTeam], Teams[[#This Row],[name]], Fixtures[result], "D", Fixtures[APP], TRUE), "")</f>
        <v/>
      </c>
      <c r="K696" s="1" t="str">
        <f>IF(Teams[[#This Row],[relevant]], COUNTIFS(Fixtures[userTeam], Teams[[#This Row],[name]], Fixtures[result], "L", Fixtures[APP], TRUE), "")</f>
        <v/>
      </c>
      <c r="L696" s="1" t="str">
        <f>IF(Teams[[#This Row],[relevant]], SUMIFS(Fixtures[G], Fixtures[userTeam], Teams[[#This Row],[name]]), "")</f>
        <v/>
      </c>
      <c r="M696" s="1" t="str">
        <f>IF(Teams[[#This Row],[relevant]], SUMIFS(Fixtures[A], Fixtures[userTeam], Teams[[#This Row],[name]]), "")</f>
        <v/>
      </c>
      <c r="N696" s="1" t="str">
        <f>IF(Teams[[#This Row],[relevant]], SUMIFS(Fixtures[INV], Fixtures[userTeam], Teams[[#This Row],[name]]), "")</f>
        <v/>
      </c>
      <c r="O696" s="1" t="str">
        <f>IF(Teams[[#This Row],[relevant]], SUMIFS(Fixtures[YC], Fixtures[userTeam], Teams[[#This Row],[name]]), "")</f>
        <v/>
      </c>
      <c r="P696" s="1" t="str">
        <f>IF(Teams[[#This Row],[relevant]], SUMIFS(Fixtures[RC], Fixtures[userTeam], Teams[[#This Row],[name]]), "")</f>
        <v/>
      </c>
      <c r="Q696" s="13" t="str">
        <f>IF(Teams[[#This Row],[relevant]], IF(ISERROR(AVERAGEIFS(Fixtures[MR], Fixtures[userTeam], Teams[[#This Row],[name]])), 0, AVERAGEIFS(Fixtures[MR], Fixtures[userTeam], Teams[[#This Row],[name]])), "")</f>
        <v/>
      </c>
      <c r="R696" s="1" t="str">
        <f>IF(Teams[[#This Row],[relevant]], COUNTIFS(Fixtures[userTeam], Teams[[#This Row],[name]], Fixtures[MOTM], TRUE), "")</f>
        <v/>
      </c>
      <c r="S696" s="1" t="str" cm="1">
        <f t="array" ref="S696">IF(Teams[[#This Row],[relevant]], _xlfn.TEXTJOIN(", ", TRUE, _xlfn._xlws.FILTER(Stats[competition]&amp;" ("&amp;Stats[season]&amp;")",(Stats[team]=Teams[[#This Row],[name]])*(Stats[result]="Winner"),"")), "")</f>
        <v/>
      </c>
    </row>
    <row r="697" spans="1:19" ht="13" hidden="1">
      <c r="A697" s="1" t="s">
        <v>216</v>
      </c>
      <c r="B697" s="1" t="s">
        <v>152</v>
      </c>
      <c r="C697" s="1" t="s">
        <v>391</v>
      </c>
      <c r="D697" s="1" t="str">
        <f>UPPER(_xlfn.CONCAT(LEFT(Teams[[#This Row],[teamType]], 1), "-", LEFT(SUBSTITUTE(Teams[[#This Row],[nation]], "/", ""), 3), "-", SUBSTITUTE(SUBSTITUTE(SUBSTITUTE(Teams[[#This Row],[name]], ".", ""), " ", ""), "-", "")))</f>
        <v>C-ENG-WATFORD</v>
      </c>
      <c r="E697" s="16"/>
      <c r="F697" s="16"/>
      <c r="G697" s="1" t="b">
        <f>COUNTBLANK(Teams[[#This Row],[startDate]:[endDate]]) &lt; 2</f>
        <v>0</v>
      </c>
      <c r="H697" s="1" t="str">
        <f>IF(Teams[[#This Row],[relevant]], COUNTIFS(Fixtures[userTeam], Teams[[#This Row],[name]], Fixtures[APP], TRUE), "")</f>
        <v/>
      </c>
      <c r="I697" s="1" t="str">
        <f>IF(Teams[[#This Row],[relevant]], COUNTIFS(Fixtures[userTeam], Teams[[#This Row],[name]], Fixtures[result], "W", Fixtures[APP], TRUE), "")</f>
        <v/>
      </c>
      <c r="J697" s="1" t="str">
        <f>IF(Teams[[#This Row],[relevant]], COUNTIFS(Fixtures[userTeam], Teams[[#This Row],[name]], Fixtures[result], "D", Fixtures[APP], TRUE), "")</f>
        <v/>
      </c>
      <c r="K697" s="1" t="str">
        <f>IF(Teams[[#This Row],[relevant]], COUNTIFS(Fixtures[userTeam], Teams[[#This Row],[name]], Fixtures[result], "L", Fixtures[APP], TRUE), "")</f>
        <v/>
      </c>
      <c r="L697" s="1" t="str">
        <f>IF(Teams[[#This Row],[relevant]], SUMIFS(Fixtures[G], Fixtures[userTeam], Teams[[#This Row],[name]]), "")</f>
        <v/>
      </c>
      <c r="M697" s="1" t="str">
        <f>IF(Teams[[#This Row],[relevant]], SUMIFS(Fixtures[A], Fixtures[userTeam], Teams[[#This Row],[name]]), "")</f>
        <v/>
      </c>
      <c r="N697" s="1" t="str">
        <f>IF(Teams[[#This Row],[relevant]], SUMIFS(Fixtures[INV], Fixtures[userTeam], Teams[[#This Row],[name]]), "")</f>
        <v/>
      </c>
      <c r="O697" s="1" t="str">
        <f>IF(Teams[[#This Row],[relevant]], SUMIFS(Fixtures[YC], Fixtures[userTeam], Teams[[#This Row],[name]]), "")</f>
        <v/>
      </c>
      <c r="P697" s="1" t="str">
        <f>IF(Teams[[#This Row],[relevant]], SUMIFS(Fixtures[RC], Fixtures[userTeam], Teams[[#This Row],[name]]), "")</f>
        <v/>
      </c>
      <c r="Q697" s="13" t="str">
        <f>IF(Teams[[#This Row],[relevant]], IF(ISERROR(AVERAGEIFS(Fixtures[MR], Fixtures[userTeam], Teams[[#This Row],[name]])), 0, AVERAGEIFS(Fixtures[MR], Fixtures[userTeam], Teams[[#This Row],[name]])), "")</f>
        <v/>
      </c>
      <c r="R697" s="1" t="str">
        <f>IF(Teams[[#This Row],[relevant]], COUNTIFS(Fixtures[userTeam], Teams[[#This Row],[name]], Fixtures[MOTM], TRUE), "")</f>
        <v/>
      </c>
      <c r="S697" s="1" t="str" cm="1">
        <f t="array" ref="S697">IF(Teams[[#This Row],[relevant]], _xlfn.TEXTJOIN(", ", TRUE, _xlfn._xlws.FILTER(Stats[competition]&amp;" ("&amp;Stats[season]&amp;")",(Stats[team]=Teams[[#This Row],[name]])*(Stats[result]="Winner"),"")), "")</f>
        <v/>
      </c>
    </row>
    <row r="698" spans="1:19" ht="13" hidden="1">
      <c r="A698" s="1" t="s">
        <v>1003</v>
      </c>
      <c r="B698" s="1" t="s">
        <v>337</v>
      </c>
      <c r="C698" s="1" t="s">
        <v>391</v>
      </c>
      <c r="D698" s="1" t="str">
        <f>UPPER(_xlfn.CONCAT(LEFT(Teams[[#This Row],[teamType]], 1), "-", LEFT(SUBSTITUTE(Teams[[#This Row],[nation]], "/", ""), 3), "-", SUBSTITUTE(SUBSTITUTE(SUBSTITUTE(Teams[[#This Row],[name]], ".", ""), " ", ""), "-", "")))</f>
        <v>C-GER-WEHENWIESBADEN</v>
      </c>
      <c r="E698" s="16"/>
      <c r="F698" s="16"/>
      <c r="G698" s="1" t="b">
        <f>COUNTBLANK(Teams[[#This Row],[startDate]:[endDate]]) &lt; 2</f>
        <v>0</v>
      </c>
      <c r="H698" s="1" t="str">
        <f>IF(Teams[[#This Row],[relevant]], COUNTIFS(Fixtures[userTeam], Teams[[#This Row],[name]], Fixtures[APP], TRUE), "")</f>
        <v/>
      </c>
      <c r="I698" s="1" t="str">
        <f>IF(Teams[[#This Row],[relevant]], COUNTIFS(Fixtures[userTeam], Teams[[#This Row],[name]], Fixtures[result], "W", Fixtures[APP], TRUE), "")</f>
        <v/>
      </c>
      <c r="J698" s="1" t="str">
        <f>IF(Teams[[#This Row],[relevant]], COUNTIFS(Fixtures[userTeam], Teams[[#This Row],[name]], Fixtures[result], "D", Fixtures[APP], TRUE), "")</f>
        <v/>
      </c>
      <c r="K698" s="1" t="str">
        <f>IF(Teams[[#This Row],[relevant]], COUNTIFS(Fixtures[userTeam], Teams[[#This Row],[name]], Fixtures[result], "L", Fixtures[APP], TRUE), "")</f>
        <v/>
      </c>
      <c r="L698" s="1" t="str">
        <f>IF(Teams[[#This Row],[relevant]], SUMIFS(Fixtures[G], Fixtures[userTeam], Teams[[#This Row],[name]]), "")</f>
        <v/>
      </c>
      <c r="M698" s="1" t="str">
        <f>IF(Teams[[#This Row],[relevant]], SUMIFS(Fixtures[A], Fixtures[userTeam], Teams[[#This Row],[name]]), "")</f>
        <v/>
      </c>
      <c r="N698" s="1" t="str">
        <f>IF(Teams[[#This Row],[relevant]], SUMIFS(Fixtures[INV], Fixtures[userTeam], Teams[[#This Row],[name]]), "")</f>
        <v/>
      </c>
      <c r="O698" s="1" t="str">
        <f>IF(Teams[[#This Row],[relevant]], SUMIFS(Fixtures[YC], Fixtures[userTeam], Teams[[#This Row],[name]]), "")</f>
        <v/>
      </c>
      <c r="P698" s="1" t="str">
        <f>IF(Teams[[#This Row],[relevant]], SUMIFS(Fixtures[RC], Fixtures[userTeam], Teams[[#This Row],[name]]), "")</f>
        <v/>
      </c>
      <c r="Q698" s="13" t="str">
        <f>IF(Teams[[#This Row],[relevant]], IF(ISERROR(AVERAGEIFS(Fixtures[MR], Fixtures[userTeam], Teams[[#This Row],[name]])), 0, AVERAGEIFS(Fixtures[MR], Fixtures[userTeam], Teams[[#This Row],[name]])), "")</f>
        <v/>
      </c>
      <c r="R698" s="1" t="str">
        <f>IF(Teams[[#This Row],[relevant]], COUNTIFS(Fixtures[userTeam], Teams[[#This Row],[name]], Fixtures[MOTM], TRUE), "")</f>
        <v/>
      </c>
      <c r="S698" s="1" t="str" cm="1">
        <f t="array" ref="S698">IF(Teams[[#This Row],[relevant]], _xlfn.TEXTJOIN(", ", TRUE, _xlfn._xlws.FILTER(Stats[competition]&amp;" ("&amp;Stats[season]&amp;")",(Stats[team]=Teams[[#This Row],[name]])*(Stats[result]="Winner"),"")), "")</f>
        <v/>
      </c>
    </row>
    <row r="699" spans="1:19" ht="13" hidden="1">
      <c r="A699" s="1" t="s">
        <v>1004</v>
      </c>
      <c r="B699" s="1" t="s">
        <v>410</v>
      </c>
      <c r="C699" s="1" t="s">
        <v>391</v>
      </c>
      <c r="D699" s="1" t="str">
        <f>UPPER(_xlfn.CONCAT(LEFT(Teams[[#This Row],[teamType]], 1), "-", LEFT(SUBSTITUTE(Teams[[#This Row],[nation]], "/", ""), 3), "-", SUBSTITUTE(SUBSTITUTE(SUBSTITUTE(Teams[[#This Row],[name]], ".", ""), " ", ""), "-", "")))</f>
        <v>C-AUS-WELLPHOENIX</v>
      </c>
      <c r="E699" s="16"/>
      <c r="F699" s="16"/>
      <c r="G699" s="1" t="b">
        <f>COUNTBLANK(Teams[[#This Row],[startDate]:[endDate]]) &lt; 2</f>
        <v>0</v>
      </c>
      <c r="H699" s="1" t="str">
        <f>IF(Teams[[#This Row],[relevant]], COUNTIFS(Fixtures[userTeam], Teams[[#This Row],[name]], Fixtures[APP], TRUE), "")</f>
        <v/>
      </c>
      <c r="I699" s="1" t="str">
        <f>IF(Teams[[#This Row],[relevant]], COUNTIFS(Fixtures[userTeam], Teams[[#This Row],[name]], Fixtures[result], "W", Fixtures[APP], TRUE), "")</f>
        <v/>
      </c>
      <c r="J699" s="1" t="str">
        <f>IF(Teams[[#This Row],[relevant]], COUNTIFS(Fixtures[userTeam], Teams[[#This Row],[name]], Fixtures[result], "D", Fixtures[APP], TRUE), "")</f>
        <v/>
      </c>
      <c r="K699" s="1" t="str">
        <f>IF(Teams[[#This Row],[relevant]], COUNTIFS(Fixtures[userTeam], Teams[[#This Row],[name]], Fixtures[result], "L", Fixtures[APP], TRUE), "")</f>
        <v/>
      </c>
      <c r="L699" s="1" t="str">
        <f>IF(Teams[[#This Row],[relevant]], SUMIFS(Fixtures[G], Fixtures[userTeam], Teams[[#This Row],[name]]), "")</f>
        <v/>
      </c>
      <c r="M699" s="1" t="str">
        <f>IF(Teams[[#This Row],[relevant]], SUMIFS(Fixtures[A], Fixtures[userTeam], Teams[[#This Row],[name]]), "")</f>
        <v/>
      </c>
      <c r="N699" s="1" t="str">
        <f>IF(Teams[[#This Row],[relevant]], SUMIFS(Fixtures[INV], Fixtures[userTeam], Teams[[#This Row],[name]]), "")</f>
        <v/>
      </c>
      <c r="O699" s="1" t="str">
        <f>IF(Teams[[#This Row],[relevant]], SUMIFS(Fixtures[YC], Fixtures[userTeam], Teams[[#This Row],[name]]), "")</f>
        <v/>
      </c>
      <c r="P699" s="1" t="str">
        <f>IF(Teams[[#This Row],[relevant]], SUMIFS(Fixtures[RC], Fixtures[userTeam], Teams[[#This Row],[name]]), "")</f>
        <v/>
      </c>
      <c r="Q699" s="13" t="str">
        <f>IF(Teams[[#This Row],[relevant]], IF(ISERROR(AVERAGEIFS(Fixtures[MR], Fixtures[userTeam], Teams[[#This Row],[name]])), 0, AVERAGEIFS(Fixtures[MR], Fixtures[userTeam], Teams[[#This Row],[name]])), "")</f>
        <v/>
      </c>
      <c r="R699" s="1" t="str">
        <f>IF(Teams[[#This Row],[relevant]], COUNTIFS(Fixtures[userTeam], Teams[[#This Row],[name]], Fixtures[MOTM], TRUE), "")</f>
        <v/>
      </c>
      <c r="S699" s="1" t="str" cm="1">
        <f t="array" ref="S699">IF(Teams[[#This Row],[relevant]], _xlfn.TEXTJOIN(", ", TRUE, _xlfn._xlws.FILTER(Stats[competition]&amp;" ("&amp;Stats[season]&amp;")",(Stats[team]=Teams[[#This Row],[name]])*(Stats[result]="Winner"),"")), "")</f>
        <v/>
      </c>
    </row>
    <row r="700" spans="1:19" ht="13" hidden="1">
      <c r="A700" s="1" t="s">
        <v>187</v>
      </c>
      <c r="B700" s="1" t="s">
        <v>152</v>
      </c>
      <c r="C700" s="1" t="s">
        <v>391</v>
      </c>
      <c r="D700" s="1" t="str">
        <f>UPPER(_xlfn.CONCAT(LEFT(Teams[[#This Row],[teamType]], 1), "-", LEFT(SUBSTITUTE(Teams[[#This Row],[nation]], "/", ""), 3), "-", SUBSTITUTE(SUBSTITUTE(SUBSTITUTE(Teams[[#This Row],[name]], ".", ""), " ", ""), "-", "")))</f>
        <v>C-ENG-WESTBROM</v>
      </c>
      <c r="E700" s="16"/>
      <c r="F700" s="16"/>
      <c r="G700" s="1" t="b">
        <f>COUNTBLANK(Teams[[#This Row],[startDate]:[endDate]]) &lt; 2</f>
        <v>0</v>
      </c>
      <c r="H700" s="1" t="str">
        <f>IF(Teams[[#This Row],[relevant]], COUNTIFS(Fixtures[userTeam], Teams[[#This Row],[name]], Fixtures[APP], TRUE), "")</f>
        <v/>
      </c>
      <c r="I700" s="1" t="str">
        <f>IF(Teams[[#This Row],[relevant]], COUNTIFS(Fixtures[userTeam], Teams[[#This Row],[name]], Fixtures[result], "W", Fixtures[APP], TRUE), "")</f>
        <v/>
      </c>
      <c r="J700" s="1" t="str">
        <f>IF(Teams[[#This Row],[relevant]], COUNTIFS(Fixtures[userTeam], Teams[[#This Row],[name]], Fixtures[result], "D", Fixtures[APP], TRUE), "")</f>
        <v/>
      </c>
      <c r="K700" s="1" t="str">
        <f>IF(Teams[[#This Row],[relevant]], COUNTIFS(Fixtures[userTeam], Teams[[#This Row],[name]], Fixtures[result], "L", Fixtures[APP], TRUE), "")</f>
        <v/>
      </c>
      <c r="L700" s="1" t="str">
        <f>IF(Teams[[#This Row],[relevant]], SUMIFS(Fixtures[G], Fixtures[userTeam], Teams[[#This Row],[name]]), "")</f>
        <v/>
      </c>
      <c r="M700" s="1" t="str">
        <f>IF(Teams[[#This Row],[relevant]], SUMIFS(Fixtures[A], Fixtures[userTeam], Teams[[#This Row],[name]]), "")</f>
        <v/>
      </c>
      <c r="N700" s="1" t="str">
        <f>IF(Teams[[#This Row],[relevant]], SUMIFS(Fixtures[INV], Fixtures[userTeam], Teams[[#This Row],[name]]), "")</f>
        <v/>
      </c>
      <c r="O700" s="1" t="str">
        <f>IF(Teams[[#This Row],[relevant]], SUMIFS(Fixtures[YC], Fixtures[userTeam], Teams[[#This Row],[name]]), "")</f>
        <v/>
      </c>
      <c r="P700" s="1" t="str">
        <f>IF(Teams[[#This Row],[relevant]], SUMIFS(Fixtures[RC], Fixtures[userTeam], Teams[[#This Row],[name]]), "")</f>
        <v/>
      </c>
      <c r="Q700" s="13" t="str">
        <f>IF(Teams[[#This Row],[relevant]], IF(ISERROR(AVERAGEIFS(Fixtures[MR], Fixtures[userTeam], Teams[[#This Row],[name]])), 0, AVERAGEIFS(Fixtures[MR], Fixtures[userTeam], Teams[[#This Row],[name]])), "")</f>
        <v/>
      </c>
      <c r="R700" s="1" t="str">
        <f>IF(Teams[[#This Row],[relevant]], COUNTIFS(Fixtures[userTeam], Teams[[#This Row],[name]], Fixtures[MOTM], TRUE), "")</f>
        <v/>
      </c>
      <c r="S700" s="1" t="str" cm="1">
        <f t="array" ref="S700">IF(Teams[[#This Row],[relevant]], _xlfn.TEXTJOIN(", ", TRUE, _xlfn._xlws.FILTER(Stats[competition]&amp;" ("&amp;Stats[season]&amp;")",(Stats[team]=Teams[[#This Row],[name]])*(Stats[result]="Winner"),"")), "")</f>
        <v/>
      </c>
    </row>
    <row r="701" spans="1:19" ht="13" hidden="1">
      <c r="A701" s="1" t="s">
        <v>345</v>
      </c>
      <c r="B701" s="1" t="s">
        <v>152</v>
      </c>
      <c r="C701" s="1" t="s">
        <v>391</v>
      </c>
      <c r="D701" s="1" t="str">
        <f>UPPER(_xlfn.CONCAT(LEFT(Teams[[#This Row],[teamType]], 1), "-", LEFT(SUBSTITUTE(Teams[[#This Row],[nation]], "/", ""), 3), "-", SUBSTITUTE(SUBSTITUTE(SUBSTITUTE(Teams[[#This Row],[name]], ".", ""), " ", ""), "-", "")))</f>
        <v>C-ENG-WESTHAM</v>
      </c>
      <c r="E701" s="16"/>
      <c r="F701" s="16"/>
      <c r="G701" s="1" t="b">
        <f>COUNTBLANK(Teams[[#This Row],[startDate]:[endDate]]) &lt; 2</f>
        <v>0</v>
      </c>
      <c r="H701" s="1" t="str">
        <f>IF(Teams[[#This Row],[relevant]], COUNTIFS(Fixtures[userTeam], Teams[[#This Row],[name]], Fixtures[APP], TRUE), "")</f>
        <v/>
      </c>
      <c r="I701" s="1" t="str">
        <f>IF(Teams[[#This Row],[relevant]], COUNTIFS(Fixtures[userTeam], Teams[[#This Row],[name]], Fixtures[result], "W", Fixtures[APP], TRUE), "")</f>
        <v/>
      </c>
      <c r="J701" s="1" t="str">
        <f>IF(Teams[[#This Row],[relevant]], COUNTIFS(Fixtures[userTeam], Teams[[#This Row],[name]], Fixtures[result], "D", Fixtures[APP], TRUE), "")</f>
        <v/>
      </c>
      <c r="K701" s="1" t="str">
        <f>IF(Teams[[#This Row],[relevant]], COUNTIFS(Fixtures[userTeam], Teams[[#This Row],[name]], Fixtures[result], "L", Fixtures[APP], TRUE), "")</f>
        <v/>
      </c>
      <c r="L701" s="1" t="str">
        <f>IF(Teams[[#This Row],[relevant]], SUMIFS(Fixtures[G], Fixtures[userTeam], Teams[[#This Row],[name]]), "")</f>
        <v/>
      </c>
      <c r="M701" s="1" t="str">
        <f>IF(Teams[[#This Row],[relevant]], SUMIFS(Fixtures[A], Fixtures[userTeam], Teams[[#This Row],[name]]), "")</f>
        <v/>
      </c>
      <c r="N701" s="1" t="str">
        <f>IF(Teams[[#This Row],[relevant]], SUMIFS(Fixtures[INV], Fixtures[userTeam], Teams[[#This Row],[name]]), "")</f>
        <v/>
      </c>
      <c r="O701" s="1" t="str">
        <f>IF(Teams[[#This Row],[relevant]], SUMIFS(Fixtures[YC], Fixtures[userTeam], Teams[[#This Row],[name]]), "")</f>
        <v/>
      </c>
      <c r="P701" s="1" t="str">
        <f>IF(Teams[[#This Row],[relevant]], SUMIFS(Fixtures[RC], Fixtures[userTeam], Teams[[#This Row],[name]]), "")</f>
        <v/>
      </c>
      <c r="Q701" s="13" t="str">
        <f>IF(Teams[[#This Row],[relevant]], IF(ISERROR(AVERAGEIFS(Fixtures[MR], Fixtures[userTeam], Teams[[#This Row],[name]])), 0, AVERAGEIFS(Fixtures[MR], Fixtures[userTeam], Teams[[#This Row],[name]])), "")</f>
        <v/>
      </c>
      <c r="R701" s="1" t="str">
        <f>IF(Teams[[#This Row],[relevant]], COUNTIFS(Fixtures[userTeam], Teams[[#This Row],[name]], Fixtures[MOTM], TRUE), "")</f>
        <v/>
      </c>
      <c r="S701" s="1" t="str" cm="1">
        <f t="array" ref="S701">IF(Teams[[#This Row],[relevant]], _xlfn.TEXTJOIN(", ", TRUE, _xlfn._xlws.FILTER(Stats[competition]&amp;" ("&amp;Stats[season]&amp;")",(Stats[team]=Teams[[#This Row],[name]])*(Stats[result]="Winner"),"")), "")</f>
        <v/>
      </c>
    </row>
    <row r="702" spans="1:19" ht="13" hidden="1">
      <c r="A702" s="1" t="s">
        <v>1005</v>
      </c>
      <c r="B702" s="1" t="s">
        <v>410</v>
      </c>
      <c r="C702" s="1" t="s">
        <v>391</v>
      </c>
      <c r="D702" s="1" t="str">
        <f>UPPER(_xlfn.CONCAT(LEFT(Teams[[#This Row],[teamType]], 1), "-", LEFT(SUBSTITUTE(Teams[[#This Row],[nation]], "/", ""), 3), "-", SUBSTITUTE(SUBSTITUTE(SUBSTITUTE(Teams[[#This Row],[name]], ".", ""), " ", ""), "-", "")))</f>
        <v>C-AUS-WESTERNUNITED</v>
      </c>
      <c r="E702" s="16"/>
      <c r="F702" s="16"/>
      <c r="G702" s="1" t="b">
        <f>COUNTBLANK(Teams[[#This Row],[startDate]:[endDate]]) &lt; 2</f>
        <v>0</v>
      </c>
      <c r="H702" s="1" t="str">
        <f>IF(Teams[[#This Row],[relevant]], COUNTIFS(Fixtures[userTeam], Teams[[#This Row],[name]], Fixtures[APP], TRUE), "")</f>
        <v/>
      </c>
      <c r="I702" s="1" t="str">
        <f>IF(Teams[[#This Row],[relevant]], COUNTIFS(Fixtures[userTeam], Teams[[#This Row],[name]], Fixtures[result], "W", Fixtures[APP], TRUE), "")</f>
        <v/>
      </c>
      <c r="J702" s="1" t="str">
        <f>IF(Teams[[#This Row],[relevant]], COUNTIFS(Fixtures[userTeam], Teams[[#This Row],[name]], Fixtures[result], "D", Fixtures[APP], TRUE), "")</f>
        <v/>
      </c>
      <c r="K702" s="1" t="str">
        <f>IF(Teams[[#This Row],[relevant]], COUNTIFS(Fixtures[userTeam], Teams[[#This Row],[name]], Fixtures[result], "L", Fixtures[APP], TRUE), "")</f>
        <v/>
      </c>
      <c r="L702" s="1" t="str">
        <f>IF(Teams[[#This Row],[relevant]], SUMIFS(Fixtures[G], Fixtures[userTeam], Teams[[#This Row],[name]]), "")</f>
        <v/>
      </c>
      <c r="M702" s="1" t="str">
        <f>IF(Teams[[#This Row],[relevant]], SUMIFS(Fixtures[A], Fixtures[userTeam], Teams[[#This Row],[name]]), "")</f>
        <v/>
      </c>
      <c r="N702" s="1" t="str">
        <f>IF(Teams[[#This Row],[relevant]], SUMIFS(Fixtures[INV], Fixtures[userTeam], Teams[[#This Row],[name]]), "")</f>
        <v/>
      </c>
      <c r="O702" s="1" t="str">
        <f>IF(Teams[[#This Row],[relevant]], SUMIFS(Fixtures[YC], Fixtures[userTeam], Teams[[#This Row],[name]]), "")</f>
        <v/>
      </c>
      <c r="P702" s="1" t="str">
        <f>IF(Teams[[#This Row],[relevant]], SUMIFS(Fixtures[RC], Fixtures[userTeam], Teams[[#This Row],[name]]), "")</f>
        <v/>
      </c>
      <c r="Q702" s="13" t="str">
        <f>IF(Teams[[#This Row],[relevant]], IF(ISERROR(AVERAGEIFS(Fixtures[MR], Fixtures[userTeam], Teams[[#This Row],[name]])), 0, AVERAGEIFS(Fixtures[MR], Fixtures[userTeam], Teams[[#This Row],[name]])), "")</f>
        <v/>
      </c>
      <c r="R702" s="1" t="str">
        <f>IF(Teams[[#This Row],[relevant]], COUNTIFS(Fixtures[userTeam], Teams[[#This Row],[name]], Fixtures[MOTM], TRUE), "")</f>
        <v/>
      </c>
      <c r="S702" s="1" t="str" cm="1">
        <f t="array" ref="S702">IF(Teams[[#This Row],[relevant]], _xlfn.TEXTJOIN(", ", TRUE, _xlfn._xlws.FILTER(Stats[competition]&amp;" ("&amp;Stats[season]&amp;")",(Stats[team]=Teams[[#This Row],[name]])*(Stats[result]="Winner"),"")), "")</f>
        <v/>
      </c>
    </row>
    <row r="703" spans="1:19" ht="13" hidden="1">
      <c r="A703" s="1" t="s">
        <v>1006</v>
      </c>
      <c r="B703" s="1" t="s">
        <v>519</v>
      </c>
      <c r="C703" s="1" t="s">
        <v>391</v>
      </c>
      <c r="D703" s="1" t="str">
        <f>UPPER(_xlfn.CONCAT(LEFT(Teams[[#This Row],[teamType]], 1), "-", LEFT(SUBSTITUTE(Teams[[#This Row],[nation]], "/", ""), 3), "-", SUBSTITUTE(SUBSTITUTE(SUBSTITUTE(Teams[[#This Row],[name]], ".", ""), " ", ""), "-", "")))</f>
        <v>C-CAN-WHITECAPSFC</v>
      </c>
      <c r="E703" s="16"/>
      <c r="F703" s="16"/>
      <c r="G703" s="1" t="b">
        <f>COUNTBLANK(Teams[[#This Row],[startDate]:[endDate]]) &lt; 2</f>
        <v>0</v>
      </c>
      <c r="H703" s="1" t="str">
        <f>IF(Teams[[#This Row],[relevant]], COUNTIFS(Fixtures[userTeam], Teams[[#This Row],[name]], Fixtures[APP], TRUE), "")</f>
        <v/>
      </c>
      <c r="I703" s="1" t="str">
        <f>IF(Teams[[#This Row],[relevant]], COUNTIFS(Fixtures[userTeam], Teams[[#This Row],[name]], Fixtures[result], "W", Fixtures[APP], TRUE), "")</f>
        <v/>
      </c>
      <c r="J703" s="1" t="str">
        <f>IF(Teams[[#This Row],[relevant]], COUNTIFS(Fixtures[userTeam], Teams[[#This Row],[name]], Fixtures[result], "D", Fixtures[APP], TRUE), "")</f>
        <v/>
      </c>
      <c r="K703" s="1" t="str">
        <f>IF(Teams[[#This Row],[relevant]], COUNTIFS(Fixtures[userTeam], Teams[[#This Row],[name]], Fixtures[result], "L", Fixtures[APP], TRUE), "")</f>
        <v/>
      </c>
      <c r="L703" s="1" t="str">
        <f>IF(Teams[[#This Row],[relevant]], SUMIFS(Fixtures[G], Fixtures[userTeam], Teams[[#This Row],[name]]), "")</f>
        <v/>
      </c>
      <c r="M703" s="1" t="str">
        <f>IF(Teams[[#This Row],[relevant]], SUMIFS(Fixtures[A], Fixtures[userTeam], Teams[[#This Row],[name]]), "")</f>
        <v/>
      </c>
      <c r="N703" s="1" t="str">
        <f>IF(Teams[[#This Row],[relevant]], SUMIFS(Fixtures[INV], Fixtures[userTeam], Teams[[#This Row],[name]]), "")</f>
        <v/>
      </c>
      <c r="O703" s="1" t="str">
        <f>IF(Teams[[#This Row],[relevant]], SUMIFS(Fixtures[YC], Fixtures[userTeam], Teams[[#This Row],[name]]), "")</f>
        <v/>
      </c>
      <c r="P703" s="1" t="str">
        <f>IF(Teams[[#This Row],[relevant]], SUMIFS(Fixtures[RC], Fixtures[userTeam], Teams[[#This Row],[name]]), "")</f>
        <v/>
      </c>
      <c r="Q703" s="13" t="str">
        <f>IF(Teams[[#This Row],[relevant]], IF(ISERROR(AVERAGEIFS(Fixtures[MR], Fixtures[userTeam], Teams[[#This Row],[name]])), 0, AVERAGEIFS(Fixtures[MR], Fixtures[userTeam], Teams[[#This Row],[name]])), "")</f>
        <v/>
      </c>
      <c r="R703" s="1" t="str">
        <f>IF(Teams[[#This Row],[relevant]], COUNTIFS(Fixtures[userTeam], Teams[[#This Row],[name]], Fixtures[MOTM], TRUE), "")</f>
        <v/>
      </c>
      <c r="S703" s="1" t="str" cm="1">
        <f t="array" ref="S703">IF(Teams[[#This Row],[relevant]], _xlfn.TEXTJOIN(", ", TRUE, _xlfn._xlws.FILTER(Stats[competition]&amp;" ("&amp;Stats[season]&amp;")",(Stats[team]=Teams[[#This Row],[name]])*(Stats[result]="Winner"),"")), "")</f>
        <v/>
      </c>
    </row>
    <row r="704" spans="1:19" ht="13" hidden="1">
      <c r="A704" s="1" t="s">
        <v>1007</v>
      </c>
      <c r="B704" s="1" t="s">
        <v>213</v>
      </c>
      <c r="C704" s="1" t="s">
        <v>391</v>
      </c>
      <c r="D704" s="1" t="str">
        <f>UPPER(_xlfn.CONCAT(LEFT(Teams[[#This Row],[teamType]], 1), "-", LEFT(SUBSTITUTE(Teams[[#This Row],[nation]], "/", ""), 3), "-", SUBSTITUTE(SUBSTITUTE(SUBSTITUTE(Teams[[#This Row],[name]], ".", ""), " ", ""), "-", "")))</f>
        <v>C-POL-WIDZEWŁÓDŹ</v>
      </c>
      <c r="E704" s="16"/>
      <c r="F704" s="16"/>
      <c r="G704" s="1" t="b">
        <f>COUNTBLANK(Teams[[#This Row],[startDate]:[endDate]]) &lt; 2</f>
        <v>0</v>
      </c>
      <c r="H704" s="1" t="str">
        <f>IF(Teams[[#This Row],[relevant]], COUNTIFS(Fixtures[userTeam], Teams[[#This Row],[name]], Fixtures[APP], TRUE), "")</f>
        <v/>
      </c>
      <c r="I704" s="1" t="str">
        <f>IF(Teams[[#This Row],[relevant]], COUNTIFS(Fixtures[userTeam], Teams[[#This Row],[name]], Fixtures[result], "W", Fixtures[APP], TRUE), "")</f>
        <v/>
      </c>
      <c r="J704" s="1" t="str">
        <f>IF(Teams[[#This Row],[relevant]], COUNTIFS(Fixtures[userTeam], Teams[[#This Row],[name]], Fixtures[result], "D", Fixtures[APP], TRUE), "")</f>
        <v/>
      </c>
      <c r="K704" s="1" t="str">
        <f>IF(Teams[[#This Row],[relevant]], COUNTIFS(Fixtures[userTeam], Teams[[#This Row],[name]], Fixtures[result], "L", Fixtures[APP], TRUE), "")</f>
        <v/>
      </c>
      <c r="L704" s="1" t="str">
        <f>IF(Teams[[#This Row],[relevant]], SUMIFS(Fixtures[G], Fixtures[userTeam], Teams[[#This Row],[name]]), "")</f>
        <v/>
      </c>
      <c r="M704" s="1" t="str">
        <f>IF(Teams[[#This Row],[relevant]], SUMIFS(Fixtures[A], Fixtures[userTeam], Teams[[#This Row],[name]]), "")</f>
        <v/>
      </c>
      <c r="N704" s="1" t="str">
        <f>IF(Teams[[#This Row],[relevant]], SUMIFS(Fixtures[INV], Fixtures[userTeam], Teams[[#This Row],[name]]), "")</f>
        <v/>
      </c>
      <c r="O704" s="1" t="str">
        <f>IF(Teams[[#This Row],[relevant]], SUMIFS(Fixtures[YC], Fixtures[userTeam], Teams[[#This Row],[name]]), "")</f>
        <v/>
      </c>
      <c r="P704" s="1" t="str">
        <f>IF(Teams[[#This Row],[relevant]], SUMIFS(Fixtures[RC], Fixtures[userTeam], Teams[[#This Row],[name]]), "")</f>
        <v/>
      </c>
      <c r="Q704" s="13" t="str">
        <f>IF(Teams[[#This Row],[relevant]], IF(ISERROR(AVERAGEIFS(Fixtures[MR], Fixtures[userTeam], Teams[[#This Row],[name]])), 0, AVERAGEIFS(Fixtures[MR], Fixtures[userTeam], Teams[[#This Row],[name]])), "")</f>
        <v/>
      </c>
      <c r="R704" s="1" t="str">
        <f>IF(Teams[[#This Row],[relevant]], COUNTIFS(Fixtures[userTeam], Teams[[#This Row],[name]], Fixtures[MOTM], TRUE), "")</f>
        <v/>
      </c>
      <c r="S704" s="1" t="str" cm="1">
        <f t="array" ref="S704">IF(Teams[[#This Row],[relevant]], _xlfn.TEXTJOIN(", ", TRUE, _xlfn._xlws.FILTER(Stats[competition]&amp;" ("&amp;Stats[season]&amp;")",(Stats[team]=Teams[[#This Row],[name]])*(Stats[result]="Winner"),"")), "")</f>
        <v/>
      </c>
    </row>
    <row r="705" spans="1:19" ht="13" hidden="1">
      <c r="A705" s="1" t="s">
        <v>1008</v>
      </c>
      <c r="B705" s="1" t="s">
        <v>152</v>
      </c>
      <c r="C705" s="1" t="s">
        <v>391</v>
      </c>
      <c r="D705" s="1" t="str">
        <f>UPPER(_xlfn.CONCAT(LEFT(Teams[[#This Row],[teamType]], 1), "-", LEFT(SUBSTITUTE(Teams[[#This Row],[nation]], "/", ""), 3), "-", SUBSTITUTE(SUBSTITUTE(SUBSTITUTE(Teams[[#This Row],[name]], ".", ""), " ", ""), "-", "")))</f>
        <v>C-ENG-WIGANATHLETIC</v>
      </c>
      <c r="E705" s="16"/>
      <c r="F705" s="16"/>
      <c r="G705" s="1" t="b">
        <f>COUNTBLANK(Teams[[#This Row],[startDate]:[endDate]]) &lt; 2</f>
        <v>0</v>
      </c>
      <c r="H705" s="1" t="str">
        <f>IF(Teams[[#This Row],[relevant]], COUNTIFS(Fixtures[userTeam], Teams[[#This Row],[name]], Fixtures[APP], TRUE), "")</f>
        <v/>
      </c>
      <c r="I705" s="1" t="str">
        <f>IF(Teams[[#This Row],[relevant]], COUNTIFS(Fixtures[userTeam], Teams[[#This Row],[name]], Fixtures[result], "W", Fixtures[APP], TRUE), "")</f>
        <v/>
      </c>
      <c r="J705" s="1" t="str">
        <f>IF(Teams[[#This Row],[relevant]], COUNTIFS(Fixtures[userTeam], Teams[[#This Row],[name]], Fixtures[result], "D", Fixtures[APP], TRUE), "")</f>
        <v/>
      </c>
      <c r="K705" s="1" t="str">
        <f>IF(Teams[[#This Row],[relevant]], COUNTIFS(Fixtures[userTeam], Teams[[#This Row],[name]], Fixtures[result], "L", Fixtures[APP], TRUE), "")</f>
        <v/>
      </c>
      <c r="L705" s="1" t="str">
        <f>IF(Teams[[#This Row],[relevant]], SUMIFS(Fixtures[G], Fixtures[userTeam], Teams[[#This Row],[name]]), "")</f>
        <v/>
      </c>
      <c r="M705" s="1" t="str">
        <f>IF(Teams[[#This Row],[relevant]], SUMIFS(Fixtures[A], Fixtures[userTeam], Teams[[#This Row],[name]]), "")</f>
        <v/>
      </c>
      <c r="N705" s="1" t="str">
        <f>IF(Teams[[#This Row],[relevant]], SUMIFS(Fixtures[INV], Fixtures[userTeam], Teams[[#This Row],[name]]), "")</f>
        <v/>
      </c>
      <c r="O705" s="1" t="str">
        <f>IF(Teams[[#This Row],[relevant]], SUMIFS(Fixtures[YC], Fixtures[userTeam], Teams[[#This Row],[name]]), "")</f>
        <v/>
      </c>
      <c r="P705" s="1" t="str">
        <f>IF(Teams[[#This Row],[relevant]], SUMIFS(Fixtures[RC], Fixtures[userTeam], Teams[[#This Row],[name]]), "")</f>
        <v/>
      </c>
      <c r="Q705" s="13" t="str">
        <f>IF(Teams[[#This Row],[relevant]], IF(ISERROR(AVERAGEIFS(Fixtures[MR], Fixtures[userTeam], Teams[[#This Row],[name]])), 0, AVERAGEIFS(Fixtures[MR], Fixtures[userTeam], Teams[[#This Row],[name]])), "")</f>
        <v/>
      </c>
      <c r="R705" s="1" t="str">
        <f>IF(Teams[[#This Row],[relevant]], COUNTIFS(Fixtures[userTeam], Teams[[#This Row],[name]], Fixtures[MOTM], TRUE), "")</f>
        <v/>
      </c>
      <c r="S705" s="1" t="str" cm="1">
        <f t="array" ref="S705">IF(Teams[[#This Row],[relevant]], _xlfn.TEXTJOIN(", ", TRUE, _xlfn._xlws.FILTER(Stats[competition]&amp;" ("&amp;Stats[season]&amp;")",(Stats[team]=Teams[[#This Row],[name]])*(Stats[result]="Winner"),"")), "")</f>
        <v/>
      </c>
    </row>
    <row r="706" spans="1:19" ht="13" hidden="1">
      <c r="A706" s="1" t="s">
        <v>1009</v>
      </c>
      <c r="B706" s="1" t="s">
        <v>447</v>
      </c>
      <c r="C706" s="1" t="s">
        <v>391</v>
      </c>
      <c r="D706" s="1" t="str">
        <f>UPPER(_xlfn.CONCAT(LEFT(Teams[[#This Row],[teamType]], 1), "-", LEFT(SUBSTITUTE(Teams[[#This Row],[nation]], "/", ""), 3), "-", SUBSTITUTE(SUBSTITUTE(SUBSTITUTE(Teams[[#This Row],[name]], ".", ""), " ", ""), "-", "")))</f>
        <v>C-BOL-WILSTERMANN</v>
      </c>
      <c r="E706" s="16"/>
      <c r="F706" s="16"/>
      <c r="G706" s="1" t="b">
        <f>COUNTBLANK(Teams[[#This Row],[startDate]:[endDate]]) &lt; 2</f>
        <v>0</v>
      </c>
      <c r="H706" s="1" t="str">
        <f>IF(Teams[[#This Row],[relevant]], COUNTIFS(Fixtures[userTeam], Teams[[#This Row],[name]], Fixtures[APP], TRUE), "")</f>
        <v/>
      </c>
      <c r="I706" s="1" t="str">
        <f>IF(Teams[[#This Row],[relevant]], COUNTIFS(Fixtures[userTeam], Teams[[#This Row],[name]], Fixtures[result], "W", Fixtures[APP], TRUE), "")</f>
        <v/>
      </c>
      <c r="J706" s="1" t="str">
        <f>IF(Teams[[#This Row],[relevant]], COUNTIFS(Fixtures[userTeam], Teams[[#This Row],[name]], Fixtures[result], "D", Fixtures[APP], TRUE), "")</f>
        <v/>
      </c>
      <c r="K706" s="1" t="str">
        <f>IF(Teams[[#This Row],[relevant]], COUNTIFS(Fixtures[userTeam], Teams[[#This Row],[name]], Fixtures[result], "L", Fixtures[APP], TRUE), "")</f>
        <v/>
      </c>
      <c r="L706" s="1" t="str">
        <f>IF(Teams[[#This Row],[relevant]], SUMIFS(Fixtures[G], Fixtures[userTeam], Teams[[#This Row],[name]]), "")</f>
        <v/>
      </c>
      <c r="M706" s="1" t="str">
        <f>IF(Teams[[#This Row],[relevant]], SUMIFS(Fixtures[A], Fixtures[userTeam], Teams[[#This Row],[name]]), "")</f>
        <v/>
      </c>
      <c r="N706" s="1" t="str">
        <f>IF(Teams[[#This Row],[relevant]], SUMIFS(Fixtures[INV], Fixtures[userTeam], Teams[[#This Row],[name]]), "")</f>
        <v/>
      </c>
      <c r="O706" s="1" t="str">
        <f>IF(Teams[[#This Row],[relevant]], SUMIFS(Fixtures[YC], Fixtures[userTeam], Teams[[#This Row],[name]]), "")</f>
        <v/>
      </c>
      <c r="P706" s="1" t="str">
        <f>IF(Teams[[#This Row],[relevant]], SUMIFS(Fixtures[RC], Fixtures[userTeam], Teams[[#This Row],[name]]), "")</f>
        <v/>
      </c>
      <c r="Q706" s="13" t="str">
        <f>IF(Teams[[#This Row],[relevant]], IF(ISERROR(AVERAGEIFS(Fixtures[MR], Fixtures[userTeam], Teams[[#This Row],[name]])), 0, AVERAGEIFS(Fixtures[MR], Fixtures[userTeam], Teams[[#This Row],[name]])), "")</f>
        <v/>
      </c>
      <c r="R706" s="1" t="str">
        <f>IF(Teams[[#This Row],[relevant]], COUNTIFS(Fixtures[userTeam], Teams[[#This Row],[name]], Fixtures[MOTM], TRUE), "")</f>
        <v/>
      </c>
      <c r="S706" s="1" t="str" cm="1">
        <f t="array" ref="S706">IF(Teams[[#This Row],[relevant]], _xlfn.TEXTJOIN(", ", TRUE, _xlfn._xlws.FILTER(Stats[competition]&amp;" ("&amp;Stats[season]&amp;")",(Stats[team]=Teams[[#This Row],[name]])*(Stats[result]="Winner"),"")), "")</f>
        <v/>
      </c>
    </row>
    <row r="707" spans="1:19" ht="13" hidden="1">
      <c r="A707" s="1" t="s">
        <v>1010</v>
      </c>
      <c r="B707" s="1" t="s">
        <v>213</v>
      </c>
      <c r="C707" s="1" t="s">
        <v>391</v>
      </c>
      <c r="D707" s="1" t="str">
        <f>UPPER(_xlfn.CONCAT(LEFT(Teams[[#This Row],[teamType]], 1), "-", LEFT(SUBSTITUTE(Teams[[#This Row],[nation]], "/", ""), 3), "-", SUBSTITUTE(SUBSTITUTE(SUBSTITUTE(Teams[[#This Row],[name]], ".", ""), " ", ""), "-", "")))</f>
        <v>C-POL-WISŁAPŁOCK</v>
      </c>
      <c r="E707" s="16"/>
      <c r="F707" s="16"/>
      <c r="G707" s="1" t="b">
        <f>COUNTBLANK(Teams[[#This Row],[startDate]:[endDate]]) &lt; 2</f>
        <v>0</v>
      </c>
      <c r="H707" s="1" t="str">
        <f>IF(Teams[[#This Row],[relevant]], COUNTIFS(Fixtures[userTeam], Teams[[#This Row],[name]], Fixtures[APP], TRUE), "")</f>
        <v/>
      </c>
      <c r="I707" s="1" t="str">
        <f>IF(Teams[[#This Row],[relevant]], COUNTIFS(Fixtures[userTeam], Teams[[#This Row],[name]], Fixtures[result], "W", Fixtures[APP], TRUE), "")</f>
        <v/>
      </c>
      <c r="J707" s="1" t="str">
        <f>IF(Teams[[#This Row],[relevant]], COUNTIFS(Fixtures[userTeam], Teams[[#This Row],[name]], Fixtures[result], "D", Fixtures[APP], TRUE), "")</f>
        <v/>
      </c>
      <c r="K707" s="1" t="str">
        <f>IF(Teams[[#This Row],[relevant]], COUNTIFS(Fixtures[userTeam], Teams[[#This Row],[name]], Fixtures[result], "L", Fixtures[APP], TRUE), "")</f>
        <v/>
      </c>
      <c r="L707" s="1" t="str">
        <f>IF(Teams[[#This Row],[relevant]], SUMIFS(Fixtures[G], Fixtures[userTeam], Teams[[#This Row],[name]]), "")</f>
        <v/>
      </c>
      <c r="M707" s="1" t="str">
        <f>IF(Teams[[#This Row],[relevant]], SUMIFS(Fixtures[A], Fixtures[userTeam], Teams[[#This Row],[name]]), "")</f>
        <v/>
      </c>
      <c r="N707" s="1" t="str">
        <f>IF(Teams[[#This Row],[relevant]], SUMIFS(Fixtures[INV], Fixtures[userTeam], Teams[[#This Row],[name]]), "")</f>
        <v/>
      </c>
      <c r="O707" s="1" t="str">
        <f>IF(Teams[[#This Row],[relevant]], SUMIFS(Fixtures[YC], Fixtures[userTeam], Teams[[#This Row],[name]]), "")</f>
        <v/>
      </c>
      <c r="P707" s="1" t="str">
        <f>IF(Teams[[#This Row],[relevant]], SUMIFS(Fixtures[RC], Fixtures[userTeam], Teams[[#This Row],[name]]), "")</f>
        <v/>
      </c>
      <c r="Q707" s="13" t="str">
        <f>IF(Teams[[#This Row],[relevant]], IF(ISERROR(AVERAGEIFS(Fixtures[MR], Fixtures[userTeam], Teams[[#This Row],[name]])), 0, AVERAGEIFS(Fixtures[MR], Fixtures[userTeam], Teams[[#This Row],[name]])), "")</f>
        <v/>
      </c>
      <c r="R707" s="1" t="str">
        <f>IF(Teams[[#This Row],[relevant]], COUNTIFS(Fixtures[userTeam], Teams[[#This Row],[name]], Fixtures[MOTM], TRUE), "")</f>
        <v/>
      </c>
      <c r="S707" s="1" t="str" cm="1">
        <f t="array" ref="S707">IF(Teams[[#This Row],[relevant]], _xlfn.TEXTJOIN(", ", TRUE, _xlfn._xlws.FILTER(Stats[competition]&amp;" ("&amp;Stats[season]&amp;")",(Stats[team]=Teams[[#This Row],[name]])*(Stats[result]="Winner"),"")), "")</f>
        <v/>
      </c>
    </row>
    <row r="708" spans="1:19" ht="13" hidden="1">
      <c r="A708" s="1" t="s">
        <v>1011</v>
      </c>
      <c r="B708" s="1" t="s">
        <v>414</v>
      </c>
      <c r="C708" s="1" t="s">
        <v>391</v>
      </c>
      <c r="D708" s="1" t="str">
        <f>UPPER(_xlfn.CONCAT(LEFT(Teams[[#This Row],[teamType]], 1), "-", LEFT(SUBSTITUTE(Teams[[#This Row],[nation]], "/", ""), 3), "-", SUBSTITUTE(SUBSTITUTE(SUBSTITUTE(Teams[[#This Row],[name]], ".", ""), " ", ""), "-", "")))</f>
        <v>C-AUS-WOLFSBERGERAC</v>
      </c>
      <c r="E708" s="16"/>
      <c r="F708" s="16"/>
      <c r="G708" s="1" t="b">
        <f>COUNTBLANK(Teams[[#This Row],[startDate]:[endDate]]) &lt; 2</f>
        <v>0</v>
      </c>
      <c r="H708" s="1" t="str">
        <f>IF(Teams[[#This Row],[relevant]], COUNTIFS(Fixtures[userTeam], Teams[[#This Row],[name]], Fixtures[APP], TRUE), "")</f>
        <v/>
      </c>
      <c r="I708" s="1" t="str">
        <f>IF(Teams[[#This Row],[relevant]], COUNTIFS(Fixtures[userTeam], Teams[[#This Row],[name]], Fixtures[result], "W", Fixtures[APP], TRUE), "")</f>
        <v/>
      </c>
      <c r="J708" s="1" t="str">
        <f>IF(Teams[[#This Row],[relevant]], COUNTIFS(Fixtures[userTeam], Teams[[#This Row],[name]], Fixtures[result], "D", Fixtures[APP], TRUE), "")</f>
        <v/>
      </c>
      <c r="K708" s="1" t="str">
        <f>IF(Teams[[#This Row],[relevant]], COUNTIFS(Fixtures[userTeam], Teams[[#This Row],[name]], Fixtures[result], "L", Fixtures[APP], TRUE), "")</f>
        <v/>
      </c>
      <c r="L708" s="1" t="str">
        <f>IF(Teams[[#This Row],[relevant]], SUMIFS(Fixtures[G], Fixtures[userTeam], Teams[[#This Row],[name]]), "")</f>
        <v/>
      </c>
      <c r="M708" s="1" t="str">
        <f>IF(Teams[[#This Row],[relevant]], SUMIFS(Fixtures[A], Fixtures[userTeam], Teams[[#This Row],[name]]), "")</f>
        <v/>
      </c>
      <c r="N708" s="1" t="str">
        <f>IF(Teams[[#This Row],[relevant]], SUMIFS(Fixtures[INV], Fixtures[userTeam], Teams[[#This Row],[name]]), "")</f>
        <v/>
      </c>
      <c r="O708" s="1" t="str">
        <f>IF(Teams[[#This Row],[relevant]], SUMIFS(Fixtures[YC], Fixtures[userTeam], Teams[[#This Row],[name]]), "")</f>
        <v/>
      </c>
      <c r="P708" s="1" t="str">
        <f>IF(Teams[[#This Row],[relevant]], SUMIFS(Fixtures[RC], Fixtures[userTeam], Teams[[#This Row],[name]]), "")</f>
        <v/>
      </c>
      <c r="Q708" s="13" t="str">
        <f>IF(Teams[[#This Row],[relevant]], IF(ISERROR(AVERAGEIFS(Fixtures[MR], Fixtures[userTeam], Teams[[#This Row],[name]])), 0, AVERAGEIFS(Fixtures[MR], Fixtures[userTeam], Teams[[#This Row],[name]])), "")</f>
        <v/>
      </c>
      <c r="R708" s="1" t="str">
        <f>IF(Teams[[#This Row],[relevant]], COUNTIFS(Fixtures[userTeam], Teams[[#This Row],[name]], Fixtures[MOTM], TRUE), "")</f>
        <v/>
      </c>
      <c r="S708" s="1" t="str" cm="1">
        <f t="array" ref="S708">IF(Teams[[#This Row],[relevant]], _xlfn.TEXTJOIN(", ", TRUE, _xlfn._xlws.FILTER(Stats[competition]&amp;" ("&amp;Stats[season]&amp;")",(Stats[team]=Teams[[#This Row],[name]])*(Stats[result]="Winner"),"")), "")</f>
        <v/>
      </c>
    </row>
    <row r="709" spans="1:19" ht="13" hidden="1">
      <c r="A709" s="1" t="s">
        <v>1012</v>
      </c>
      <c r="B709" s="1" t="s">
        <v>152</v>
      </c>
      <c r="C709" s="1" t="s">
        <v>391</v>
      </c>
      <c r="D709" s="1" t="str">
        <f>UPPER(_xlfn.CONCAT(LEFT(Teams[[#This Row],[teamType]], 1), "-", LEFT(SUBSTITUTE(Teams[[#This Row],[nation]], "/", ""), 3), "-", SUBSTITUTE(SUBSTITUTE(SUBSTITUTE(Teams[[#This Row],[name]], ".", ""), " ", ""), "-", "")))</f>
        <v>C-ENG-WOLVES</v>
      </c>
      <c r="E709" s="16"/>
      <c r="F709" s="16"/>
      <c r="G709" s="1" t="b">
        <f>COUNTBLANK(Teams[[#This Row],[startDate]:[endDate]]) &lt; 2</f>
        <v>0</v>
      </c>
      <c r="H709" s="1" t="str">
        <f>IF(Teams[[#This Row],[relevant]], COUNTIFS(Fixtures[userTeam], Teams[[#This Row],[name]], Fixtures[APP], TRUE), "")</f>
        <v/>
      </c>
      <c r="I709" s="1" t="str">
        <f>IF(Teams[[#This Row],[relevant]], COUNTIFS(Fixtures[userTeam], Teams[[#This Row],[name]], Fixtures[result], "W", Fixtures[APP], TRUE), "")</f>
        <v/>
      </c>
      <c r="J709" s="1" t="str">
        <f>IF(Teams[[#This Row],[relevant]], COUNTIFS(Fixtures[userTeam], Teams[[#This Row],[name]], Fixtures[result], "D", Fixtures[APP], TRUE), "")</f>
        <v/>
      </c>
      <c r="K709" s="1" t="str">
        <f>IF(Teams[[#This Row],[relevant]], COUNTIFS(Fixtures[userTeam], Teams[[#This Row],[name]], Fixtures[result], "L", Fixtures[APP], TRUE), "")</f>
        <v/>
      </c>
      <c r="L709" s="1" t="str">
        <f>IF(Teams[[#This Row],[relevant]], SUMIFS(Fixtures[G], Fixtures[userTeam], Teams[[#This Row],[name]]), "")</f>
        <v/>
      </c>
      <c r="M709" s="1" t="str">
        <f>IF(Teams[[#This Row],[relevant]], SUMIFS(Fixtures[A], Fixtures[userTeam], Teams[[#This Row],[name]]), "")</f>
        <v/>
      </c>
      <c r="N709" s="1" t="str">
        <f>IF(Teams[[#This Row],[relevant]], SUMIFS(Fixtures[INV], Fixtures[userTeam], Teams[[#This Row],[name]]), "")</f>
        <v/>
      </c>
      <c r="O709" s="1" t="str">
        <f>IF(Teams[[#This Row],[relevant]], SUMIFS(Fixtures[YC], Fixtures[userTeam], Teams[[#This Row],[name]]), "")</f>
        <v/>
      </c>
      <c r="P709" s="1" t="str">
        <f>IF(Teams[[#This Row],[relevant]], SUMIFS(Fixtures[RC], Fixtures[userTeam], Teams[[#This Row],[name]]), "")</f>
        <v/>
      </c>
      <c r="Q709" s="13" t="str">
        <f>IF(Teams[[#This Row],[relevant]], IF(ISERROR(AVERAGEIFS(Fixtures[MR], Fixtures[userTeam], Teams[[#This Row],[name]])), 0, AVERAGEIFS(Fixtures[MR], Fixtures[userTeam], Teams[[#This Row],[name]])), "")</f>
        <v/>
      </c>
      <c r="R709" s="1" t="str">
        <f>IF(Teams[[#This Row],[relevant]], COUNTIFS(Fixtures[userTeam], Teams[[#This Row],[name]], Fixtures[MOTM], TRUE), "")</f>
        <v/>
      </c>
      <c r="S709" s="1" t="str" cm="1">
        <f t="array" ref="S709">IF(Teams[[#This Row],[relevant]], _xlfn.TEXTJOIN(", ", TRUE, _xlfn._xlws.FILTER(Stats[competition]&amp;" ("&amp;Stats[season]&amp;")",(Stats[team]=Teams[[#This Row],[name]])*(Stats[result]="Winner"),"")), "")</f>
        <v/>
      </c>
    </row>
    <row r="710" spans="1:19" ht="13" hidden="1">
      <c r="A710" s="1" t="s">
        <v>1013</v>
      </c>
      <c r="B710" s="1" t="s">
        <v>301</v>
      </c>
      <c r="C710" s="1" t="s">
        <v>391</v>
      </c>
      <c r="D710" s="1" t="str">
        <f>UPPER(_xlfn.CONCAT(LEFT(Teams[[#This Row],[teamType]], 1), "-", LEFT(SUBSTITUTE(Teams[[#This Row],[nation]], "/", ""), 3), "-", SUBSTITUTE(SUBSTITUTE(SUBSTITUTE(Teams[[#This Row],[name]], ".", ""), " ", ""), "-", "")))</f>
        <v>C-WAL-WREXHAMAFC</v>
      </c>
      <c r="E710" s="16"/>
      <c r="F710" s="16"/>
      <c r="G710" s="1" t="b">
        <f>COUNTBLANK(Teams[[#This Row],[startDate]:[endDate]]) &lt; 2</f>
        <v>0</v>
      </c>
      <c r="H710" s="1" t="str">
        <f>IF(Teams[[#This Row],[relevant]], COUNTIFS(Fixtures[userTeam], Teams[[#This Row],[name]], Fixtures[APP], TRUE), "")</f>
        <v/>
      </c>
      <c r="I710" s="1" t="str">
        <f>IF(Teams[[#This Row],[relevant]], COUNTIFS(Fixtures[userTeam], Teams[[#This Row],[name]], Fixtures[result], "W", Fixtures[APP], TRUE), "")</f>
        <v/>
      </c>
      <c r="J710" s="1" t="str">
        <f>IF(Teams[[#This Row],[relevant]], COUNTIFS(Fixtures[userTeam], Teams[[#This Row],[name]], Fixtures[result], "D", Fixtures[APP], TRUE), "")</f>
        <v/>
      </c>
      <c r="K710" s="1" t="str">
        <f>IF(Teams[[#This Row],[relevant]], COUNTIFS(Fixtures[userTeam], Teams[[#This Row],[name]], Fixtures[result], "L", Fixtures[APP], TRUE), "")</f>
        <v/>
      </c>
      <c r="L710" s="1" t="str">
        <f>IF(Teams[[#This Row],[relevant]], SUMIFS(Fixtures[G], Fixtures[userTeam], Teams[[#This Row],[name]]), "")</f>
        <v/>
      </c>
      <c r="M710" s="1" t="str">
        <f>IF(Teams[[#This Row],[relevant]], SUMIFS(Fixtures[A], Fixtures[userTeam], Teams[[#This Row],[name]]), "")</f>
        <v/>
      </c>
      <c r="N710" s="1" t="str">
        <f>IF(Teams[[#This Row],[relevant]], SUMIFS(Fixtures[INV], Fixtures[userTeam], Teams[[#This Row],[name]]), "")</f>
        <v/>
      </c>
      <c r="O710" s="1" t="str">
        <f>IF(Teams[[#This Row],[relevant]], SUMIFS(Fixtures[YC], Fixtures[userTeam], Teams[[#This Row],[name]]), "")</f>
        <v/>
      </c>
      <c r="P710" s="1" t="str">
        <f>IF(Teams[[#This Row],[relevant]], SUMIFS(Fixtures[RC], Fixtures[userTeam], Teams[[#This Row],[name]]), "")</f>
        <v/>
      </c>
      <c r="Q710" s="13" t="str">
        <f>IF(Teams[[#This Row],[relevant]], IF(ISERROR(AVERAGEIFS(Fixtures[MR], Fixtures[userTeam], Teams[[#This Row],[name]])), 0, AVERAGEIFS(Fixtures[MR], Fixtures[userTeam], Teams[[#This Row],[name]])), "")</f>
        <v/>
      </c>
      <c r="R710" s="1" t="str">
        <f>IF(Teams[[#This Row],[relevant]], COUNTIFS(Fixtures[userTeam], Teams[[#This Row],[name]], Fixtures[MOTM], TRUE), "")</f>
        <v/>
      </c>
      <c r="S710" s="1" t="str" cm="1">
        <f t="array" ref="S710">IF(Teams[[#This Row],[relevant]], _xlfn.TEXTJOIN(", ", TRUE, _xlfn._xlws.FILTER(Stats[competition]&amp;" ("&amp;Stats[season]&amp;")",(Stats[team]=Teams[[#This Row],[name]])*(Stats[result]="Winner"),"")), "")</f>
        <v/>
      </c>
    </row>
    <row r="711" spans="1:19" ht="13" hidden="1">
      <c r="A711" s="1" t="s">
        <v>1014</v>
      </c>
      <c r="B711" s="1" t="s">
        <v>410</v>
      </c>
      <c r="C711" s="1" t="s">
        <v>391</v>
      </c>
      <c r="D711" s="1" t="str">
        <f>UPPER(_xlfn.CONCAT(LEFT(Teams[[#This Row],[teamType]], 1), "-", LEFT(SUBSTITUTE(Teams[[#This Row],[nation]], "/", ""), 3), "-", SUBSTITUTE(SUBSTITUTE(SUBSTITUTE(Teams[[#This Row],[name]], ".", ""), " ", ""), "-", "")))</f>
        <v>C-AUS-WSWANDERERS</v>
      </c>
      <c r="E711" s="16"/>
      <c r="F711" s="16"/>
      <c r="G711" s="1" t="b">
        <f>COUNTBLANK(Teams[[#This Row],[startDate]:[endDate]]) &lt; 2</f>
        <v>0</v>
      </c>
      <c r="H711" s="1" t="str">
        <f>IF(Teams[[#This Row],[relevant]], COUNTIFS(Fixtures[userTeam], Teams[[#This Row],[name]], Fixtures[APP], TRUE), "")</f>
        <v/>
      </c>
      <c r="I711" s="1" t="str">
        <f>IF(Teams[[#This Row],[relevant]], COUNTIFS(Fixtures[userTeam], Teams[[#This Row],[name]], Fixtures[result], "W", Fixtures[APP], TRUE), "")</f>
        <v/>
      </c>
      <c r="J711" s="1" t="str">
        <f>IF(Teams[[#This Row],[relevant]], COUNTIFS(Fixtures[userTeam], Teams[[#This Row],[name]], Fixtures[result], "D", Fixtures[APP], TRUE), "")</f>
        <v/>
      </c>
      <c r="K711" s="1" t="str">
        <f>IF(Teams[[#This Row],[relevant]], COUNTIFS(Fixtures[userTeam], Teams[[#This Row],[name]], Fixtures[result], "L", Fixtures[APP], TRUE), "")</f>
        <v/>
      </c>
      <c r="L711" s="1" t="str">
        <f>IF(Teams[[#This Row],[relevant]], SUMIFS(Fixtures[G], Fixtures[userTeam], Teams[[#This Row],[name]]), "")</f>
        <v/>
      </c>
      <c r="M711" s="1" t="str">
        <f>IF(Teams[[#This Row],[relevant]], SUMIFS(Fixtures[A], Fixtures[userTeam], Teams[[#This Row],[name]]), "")</f>
        <v/>
      </c>
      <c r="N711" s="1" t="str">
        <f>IF(Teams[[#This Row],[relevant]], SUMIFS(Fixtures[INV], Fixtures[userTeam], Teams[[#This Row],[name]]), "")</f>
        <v/>
      </c>
      <c r="O711" s="1" t="str">
        <f>IF(Teams[[#This Row],[relevant]], SUMIFS(Fixtures[YC], Fixtures[userTeam], Teams[[#This Row],[name]]), "")</f>
        <v/>
      </c>
      <c r="P711" s="1" t="str">
        <f>IF(Teams[[#This Row],[relevant]], SUMIFS(Fixtures[RC], Fixtures[userTeam], Teams[[#This Row],[name]]), "")</f>
        <v/>
      </c>
      <c r="Q711" s="13" t="str">
        <f>IF(Teams[[#This Row],[relevant]], IF(ISERROR(AVERAGEIFS(Fixtures[MR], Fixtures[userTeam], Teams[[#This Row],[name]])), 0, AVERAGEIFS(Fixtures[MR], Fixtures[userTeam], Teams[[#This Row],[name]])), "")</f>
        <v/>
      </c>
      <c r="R711" s="1" t="str">
        <f>IF(Teams[[#This Row],[relevant]], COUNTIFS(Fixtures[userTeam], Teams[[#This Row],[name]], Fixtures[MOTM], TRUE), "")</f>
        <v/>
      </c>
      <c r="S711" s="1" t="str" cm="1">
        <f t="array" ref="S711">IF(Teams[[#This Row],[relevant]], _xlfn.TEXTJOIN(", ", TRUE, _xlfn._xlws.FILTER(Stats[competition]&amp;" ("&amp;Stats[season]&amp;")",(Stats[team]=Teams[[#This Row],[name]])*(Stats[result]="Winner"),"")), "")</f>
        <v/>
      </c>
    </row>
    <row r="712" spans="1:19" ht="13" hidden="1">
      <c r="A712" s="1" t="s">
        <v>1015</v>
      </c>
      <c r="B712" s="1" t="s">
        <v>414</v>
      </c>
      <c r="C712" s="1" t="s">
        <v>391</v>
      </c>
      <c r="D712" s="1" t="str">
        <f>UPPER(_xlfn.CONCAT(LEFT(Teams[[#This Row],[teamType]], 1), "-", LEFT(SUBSTITUTE(Teams[[#This Row],[nation]], "/", ""), 3), "-", SUBSTITUTE(SUBSTITUTE(SUBSTITUTE(Teams[[#This Row],[name]], ".", ""), " ", ""), "-", "")))</f>
        <v>C-AUS-WSGTIROL</v>
      </c>
      <c r="E712" s="16"/>
      <c r="F712" s="16"/>
      <c r="G712" s="1" t="b">
        <f>COUNTBLANK(Teams[[#This Row],[startDate]:[endDate]]) &lt; 2</f>
        <v>0</v>
      </c>
      <c r="H712" s="1" t="str">
        <f>IF(Teams[[#This Row],[relevant]], COUNTIFS(Fixtures[userTeam], Teams[[#This Row],[name]], Fixtures[APP], TRUE), "")</f>
        <v/>
      </c>
      <c r="I712" s="1" t="str">
        <f>IF(Teams[[#This Row],[relevant]], COUNTIFS(Fixtures[userTeam], Teams[[#This Row],[name]], Fixtures[result], "W", Fixtures[APP], TRUE), "")</f>
        <v/>
      </c>
      <c r="J712" s="1" t="str">
        <f>IF(Teams[[#This Row],[relevant]], COUNTIFS(Fixtures[userTeam], Teams[[#This Row],[name]], Fixtures[result], "D", Fixtures[APP], TRUE), "")</f>
        <v/>
      </c>
      <c r="K712" s="1" t="str">
        <f>IF(Teams[[#This Row],[relevant]], COUNTIFS(Fixtures[userTeam], Teams[[#This Row],[name]], Fixtures[result], "L", Fixtures[APP], TRUE), "")</f>
        <v/>
      </c>
      <c r="L712" s="1" t="str">
        <f>IF(Teams[[#This Row],[relevant]], SUMIFS(Fixtures[G], Fixtures[userTeam], Teams[[#This Row],[name]]), "")</f>
        <v/>
      </c>
      <c r="M712" s="1" t="str">
        <f>IF(Teams[[#This Row],[relevant]], SUMIFS(Fixtures[A], Fixtures[userTeam], Teams[[#This Row],[name]]), "")</f>
        <v/>
      </c>
      <c r="N712" s="1" t="str">
        <f>IF(Teams[[#This Row],[relevant]], SUMIFS(Fixtures[INV], Fixtures[userTeam], Teams[[#This Row],[name]]), "")</f>
        <v/>
      </c>
      <c r="O712" s="1" t="str">
        <f>IF(Teams[[#This Row],[relevant]], SUMIFS(Fixtures[YC], Fixtures[userTeam], Teams[[#This Row],[name]]), "")</f>
        <v/>
      </c>
      <c r="P712" s="1" t="str">
        <f>IF(Teams[[#This Row],[relevant]], SUMIFS(Fixtures[RC], Fixtures[userTeam], Teams[[#This Row],[name]]), "")</f>
        <v/>
      </c>
      <c r="Q712" s="13" t="str">
        <f>IF(Teams[[#This Row],[relevant]], IF(ISERROR(AVERAGEIFS(Fixtures[MR], Fixtures[userTeam], Teams[[#This Row],[name]])), 0, AVERAGEIFS(Fixtures[MR], Fixtures[userTeam], Teams[[#This Row],[name]])), "")</f>
        <v/>
      </c>
      <c r="R712" s="1" t="str">
        <f>IF(Teams[[#This Row],[relevant]], COUNTIFS(Fixtures[userTeam], Teams[[#This Row],[name]], Fixtures[MOTM], TRUE), "")</f>
        <v/>
      </c>
      <c r="S712" s="1" t="str" cm="1">
        <f t="array" ref="S712">IF(Teams[[#This Row],[relevant]], _xlfn.TEXTJOIN(", ", TRUE, _xlfn._xlws.FILTER(Stats[competition]&amp;" ("&amp;Stats[season]&amp;")",(Stats[team]=Teams[[#This Row],[name]])*(Stats[result]="Winner"),"")), "")</f>
        <v/>
      </c>
    </row>
    <row r="713" spans="1:19" ht="13" hidden="1">
      <c r="A713" s="1" t="s">
        <v>1016</v>
      </c>
      <c r="B713" s="1" t="s">
        <v>493</v>
      </c>
      <c r="C713" s="1" t="s">
        <v>391</v>
      </c>
      <c r="D713" s="1" t="str">
        <f>UPPER(_xlfn.CONCAT(LEFT(Teams[[#This Row],[teamType]], 1), "-", LEFT(SUBSTITUTE(Teams[[#This Row],[nation]], "/", ""), 3), "-", SUBSTITUTE(SUBSTITUTE(SUBSTITUTE(Teams[[#This Row],[name]], ".", ""), " ", ""), "-", "")))</f>
        <v>C-CHI-WUHAN3TOWNS</v>
      </c>
      <c r="E713" s="16"/>
      <c r="F713" s="16"/>
      <c r="G713" s="1" t="b">
        <f>COUNTBLANK(Teams[[#This Row],[startDate]:[endDate]]) &lt; 2</f>
        <v>0</v>
      </c>
      <c r="H713" s="1" t="str">
        <f>IF(Teams[[#This Row],[relevant]], COUNTIFS(Fixtures[userTeam], Teams[[#This Row],[name]], Fixtures[APP], TRUE), "")</f>
        <v/>
      </c>
      <c r="I713" s="1" t="str">
        <f>IF(Teams[[#This Row],[relevant]], COUNTIFS(Fixtures[userTeam], Teams[[#This Row],[name]], Fixtures[result], "W", Fixtures[APP], TRUE), "")</f>
        <v/>
      </c>
      <c r="J713" s="1" t="str">
        <f>IF(Teams[[#This Row],[relevant]], COUNTIFS(Fixtures[userTeam], Teams[[#This Row],[name]], Fixtures[result], "D", Fixtures[APP], TRUE), "")</f>
        <v/>
      </c>
      <c r="K713" s="1" t="str">
        <f>IF(Teams[[#This Row],[relevant]], COUNTIFS(Fixtures[userTeam], Teams[[#This Row],[name]], Fixtures[result], "L", Fixtures[APP], TRUE), "")</f>
        <v/>
      </c>
      <c r="L713" s="1" t="str">
        <f>IF(Teams[[#This Row],[relevant]], SUMIFS(Fixtures[G], Fixtures[userTeam], Teams[[#This Row],[name]]), "")</f>
        <v/>
      </c>
      <c r="M713" s="1" t="str">
        <f>IF(Teams[[#This Row],[relevant]], SUMIFS(Fixtures[A], Fixtures[userTeam], Teams[[#This Row],[name]]), "")</f>
        <v/>
      </c>
      <c r="N713" s="1" t="str">
        <f>IF(Teams[[#This Row],[relevant]], SUMIFS(Fixtures[INV], Fixtures[userTeam], Teams[[#This Row],[name]]), "")</f>
        <v/>
      </c>
      <c r="O713" s="1" t="str">
        <f>IF(Teams[[#This Row],[relevant]], SUMIFS(Fixtures[YC], Fixtures[userTeam], Teams[[#This Row],[name]]), "")</f>
        <v/>
      </c>
      <c r="P713" s="1" t="str">
        <f>IF(Teams[[#This Row],[relevant]], SUMIFS(Fixtures[RC], Fixtures[userTeam], Teams[[#This Row],[name]]), "")</f>
        <v/>
      </c>
      <c r="Q713" s="13" t="str">
        <f>IF(Teams[[#This Row],[relevant]], IF(ISERROR(AVERAGEIFS(Fixtures[MR], Fixtures[userTeam], Teams[[#This Row],[name]])), 0, AVERAGEIFS(Fixtures[MR], Fixtures[userTeam], Teams[[#This Row],[name]])), "")</f>
        <v/>
      </c>
      <c r="R713" s="1" t="str">
        <f>IF(Teams[[#This Row],[relevant]], COUNTIFS(Fixtures[userTeam], Teams[[#This Row],[name]], Fixtures[MOTM], TRUE), "")</f>
        <v/>
      </c>
      <c r="S713" s="1" t="str" cm="1">
        <f t="array" ref="S713">IF(Teams[[#This Row],[relevant]], _xlfn.TEXTJOIN(", ", TRUE, _xlfn._xlws.FILTER(Stats[competition]&amp;" ("&amp;Stats[season]&amp;")",(Stats[team]=Teams[[#This Row],[name]])*(Stats[result]="Winner"),"")), "")</f>
        <v/>
      </c>
    </row>
    <row r="714" spans="1:19" ht="13" hidden="1">
      <c r="A714" s="1" t="s">
        <v>1017</v>
      </c>
      <c r="B714" s="1" t="s">
        <v>493</v>
      </c>
      <c r="C714" s="1" t="s">
        <v>391</v>
      </c>
      <c r="D714" s="1" t="str">
        <f>UPPER(_xlfn.CONCAT(LEFT(Teams[[#This Row],[teamType]], 1), "-", LEFT(SUBSTITUTE(Teams[[#This Row],[nation]], "/", ""), 3), "-", SUBSTITUTE(SUBSTITUTE(SUBSTITUTE(Teams[[#This Row],[name]], ".", ""), " ", ""), "-", "")))</f>
        <v>C-CHI-WUHANFC</v>
      </c>
      <c r="E714" s="16"/>
      <c r="F714" s="16"/>
      <c r="G714" s="1" t="b">
        <f>COUNTBLANK(Teams[[#This Row],[startDate]:[endDate]]) &lt; 2</f>
        <v>0</v>
      </c>
      <c r="H714" s="1" t="str">
        <f>IF(Teams[[#This Row],[relevant]], COUNTIFS(Fixtures[userTeam], Teams[[#This Row],[name]], Fixtures[APP], TRUE), "")</f>
        <v/>
      </c>
      <c r="I714" s="1" t="str">
        <f>IF(Teams[[#This Row],[relevant]], COUNTIFS(Fixtures[userTeam], Teams[[#This Row],[name]], Fixtures[result], "W", Fixtures[APP], TRUE), "")</f>
        <v/>
      </c>
      <c r="J714" s="1" t="str">
        <f>IF(Teams[[#This Row],[relevant]], COUNTIFS(Fixtures[userTeam], Teams[[#This Row],[name]], Fixtures[result], "D", Fixtures[APP], TRUE), "")</f>
        <v/>
      </c>
      <c r="K714" s="1" t="str">
        <f>IF(Teams[[#This Row],[relevant]], COUNTIFS(Fixtures[userTeam], Teams[[#This Row],[name]], Fixtures[result], "L", Fixtures[APP], TRUE), "")</f>
        <v/>
      </c>
      <c r="L714" s="1" t="str">
        <f>IF(Teams[[#This Row],[relevant]], SUMIFS(Fixtures[G], Fixtures[userTeam], Teams[[#This Row],[name]]), "")</f>
        <v/>
      </c>
      <c r="M714" s="1" t="str">
        <f>IF(Teams[[#This Row],[relevant]], SUMIFS(Fixtures[A], Fixtures[userTeam], Teams[[#This Row],[name]]), "")</f>
        <v/>
      </c>
      <c r="N714" s="1" t="str">
        <f>IF(Teams[[#This Row],[relevant]], SUMIFS(Fixtures[INV], Fixtures[userTeam], Teams[[#This Row],[name]]), "")</f>
        <v/>
      </c>
      <c r="O714" s="1" t="str">
        <f>IF(Teams[[#This Row],[relevant]], SUMIFS(Fixtures[YC], Fixtures[userTeam], Teams[[#This Row],[name]]), "")</f>
        <v/>
      </c>
      <c r="P714" s="1" t="str">
        <f>IF(Teams[[#This Row],[relevant]], SUMIFS(Fixtures[RC], Fixtures[userTeam], Teams[[#This Row],[name]]), "")</f>
        <v/>
      </c>
      <c r="Q714" s="13" t="str">
        <f>IF(Teams[[#This Row],[relevant]], IF(ISERROR(AVERAGEIFS(Fixtures[MR], Fixtures[userTeam], Teams[[#This Row],[name]])), 0, AVERAGEIFS(Fixtures[MR], Fixtures[userTeam], Teams[[#This Row],[name]])), "")</f>
        <v/>
      </c>
      <c r="R714" s="1" t="str">
        <f>IF(Teams[[#This Row],[relevant]], COUNTIFS(Fixtures[userTeam], Teams[[#This Row],[name]], Fixtures[MOTM], TRUE), "")</f>
        <v/>
      </c>
      <c r="S714" s="1" t="str" cm="1">
        <f t="array" ref="S714">IF(Teams[[#This Row],[relevant]], _xlfn.TEXTJOIN(", ", TRUE, _xlfn._xlws.FILTER(Stats[competition]&amp;" ("&amp;Stats[season]&amp;")",(Stats[team]=Teams[[#This Row],[name]])*(Stats[result]="Winner"),"")), "")</f>
        <v/>
      </c>
    </row>
    <row r="715" spans="1:19" ht="13" hidden="1">
      <c r="A715" s="1" t="s">
        <v>1018</v>
      </c>
      <c r="B715" s="1" t="s">
        <v>152</v>
      </c>
      <c r="C715" s="1" t="s">
        <v>391</v>
      </c>
      <c r="D715" s="1" t="str">
        <f>UPPER(_xlfn.CONCAT(LEFT(Teams[[#This Row],[teamType]], 1), "-", LEFT(SUBSTITUTE(Teams[[#This Row],[nation]], "/", ""), 3), "-", SUBSTITUTE(SUBSTITUTE(SUBSTITUTE(Teams[[#This Row],[name]], ".", ""), " ", ""), "-", "")))</f>
        <v>C-ENG-WYCOMBE</v>
      </c>
      <c r="E715" s="16"/>
      <c r="F715" s="16"/>
      <c r="G715" s="1" t="b">
        <f>COUNTBLANK(Teams[[#This Row],[startDate]:[endDate]]) &lt; 2</f>
        <v>0</v>
      </c>
      <c r="H715" s="1" t="str">
        <f>IF(Teams[[#This Row],[relevant]], COUNTIFS(Fixtures[userTeam], Teams[[#This Row],[name]], Fixtures[APP], TRUE), "")</f>
        <v/>
      </c>
      <c r="I715" s="1" t="str">
        <f>IF(Teams[[#This Row],[relevant]], COUNTIFS(Fixtures[userTeam], Teams[[#This Row],[name]], Fixtures[result], "W", Fixtures[APP], TRUE), "")</f>
        <v/>
      </c>
      <c r="J715" s="1" t="str">
        <f>IF(Teams[[#This Row],[relevant]], COUNTIFS(Fixtures[userTeam], Teams[[#This Row],[name]], Fixtures[result], "D", Fixtures[APP], TRUE), "")</f>
        <v/>
      </c>
      <c r="K715" s="1" t="str">
        <f>IF(Teams[[#This Row],[relevant]], COUNTIFS(Fixtures[userTeam], Teams[[#This Row],[name]], Fixtures[result], "L", Fixtures[APP], TRUE), "")</f>
        <v/>
      </c>
      <c r="L715" s="1" t="str">
        <f>IF(Teams[[#This Row],[relevant]], SUMIFS(Fixtures[G], Fixtures[userTeam], Teams[[#This Row],[name]]), "")</f>
        <v/>
      </c>
      <c r="M715" s="1" t="str">
        <f>IF(Teams[[#This Row],[relevant]], SUMIFS(Fixtures[A], Fixtures[userTeam], Teams[[#This Row],[name]]), "")</f>
        <v/>
      </c>
      <c r="N715" s="1" t="str">
        <f>IF(Teams[[#This Row],[relevant]], SUMIFS(Fixtures[INV], Fixtures[userTeam], Teams[[#This Row],[name]]), "")</f>
        <v/>
      </c>
      <c r="O715" s="1" t="str">
        <f>IF(Teams[[#This Row],[relevant]], SUMIFS(Fixtures[YC], Fixtures[userTeam], Teams[[#This Row],[name]]), "")</f>
        <v/>
      </c>
      <c r="P715" s="1" t="str">
        <f>IF(Teams[[#This Row],[relevant]], SUMIFS(Fixtures[RC], Fixtures[userTeam], Teams[[#This Row],[name]]), "")</f>
        <v/>
      </c>
      <c r="Q715" s="13" t="str">
        <f>IF(Teams[[#This Row],[relevant]], IF(ISERROR(AVERAGEIFS(Fixtures[MR], Fixtures[userTeam], Teams[[#This Row],[name]])), 0, AVERAGEIFS(Fixtures[MR], Fixtures[userTeam], Teams[[#This Row],[name]])), "")</f>
        <v/>
      </c>
      <c r="R715" s="1" t="str">
        <f>IF(Teams[[#This Row],[relevant]], COUNTIFS(Fixtures[userTeam], Teams[[#This Row],[name]], Fixtures[MOTM], TRUE), "")</f>
        <v/>
      </c>
      <c r="S715" s="1" t="str" cm="1">
        <f t="array" ref="S715">IF(Teams[[#This Row],[relevant]], _xlfn.TEXTJOIN(", ", TRUE, _xlfn._xlws.FILTER(Stats[competition]&amp;" ("&amp;Stats[season]&amp;")",(Stats[team]=Teams[[#This Row],[name]])*(Stats[result]="Winner"),"")), "")</f>
        <v/>
      </c>
    </row>
    <row r="716" spans="1:19" ht="13" hidden="1">
      <c r="A716" s="1" t="s">
        <v>1019</v>
      </c>
      <c r="B716" s="1" t="s">
        <v>213</v>
      </c>
      <c r="C716" s="1" t="s">
        <v>391</v>
      </c>
      <c r="D716" s="1" t="str">
        <f>UPPER(_xlfn.CONCAT(LEFT(Teams[[#This Row],[teamType]], 1), "-", LEFT(SUBSTITUTE(Teams[[#This Row],[nation]], "/", ""), 3), "-", SUBSTITUTE(SUBSTITUTE(SUBSTITUTE(Teams[[#This Row],[name]], ".", ""), " ", ""), "-", "")))</f>
        <v>C-POL-ZAGŁĘBIELUBIN</v>
      </c>
      <c r="E716" s="16"/>
      <c r="F716" s="16"/>
      <c r="G716" s="1" t="b">
        <f>COUNTBLANK(Teams[[#This Row],[startDate]:[endDate]]) &lt; 2</f>
        <v>0</v>
      </c>
      <c r="H716" s="1" t="str">
        <f>IF(Teams[[#This Row],[relevant]], COUNTIFS(Fixtures[userTeam], Teams[[#This Row],[name]], Fixtures[APP], TRUE), "")</f>
        <v/>
      </c>
      <c r="I716" s="1" t="str">
        <f>IF(Teams[[#This Row],[relevant]], COUNTIFS(Fixtures[userTeam], Teams[[#This Row],[name]], Fixtures[result], "W", Fixtures[APP], TRUE), "")</f>
        <v/>
      </c>
      <c r="J716" s="1" t="str">
        <f>IF(Teams[[#This Row],[relevant]], COUNTIFS(Fixtures[userTeam], Teams[[#This Row],[name]], Fixtures[result], "D", Fixtures[APP], TRUE), "")</f>
        <v/>
      </c>
      <c r="K716" s="1" t="str">
        <f>IF(Teams[[#This Row],[relevant]], COUNTIFS(Fixtures[userTeam], Teams[[#This Row],[name]], Fixtures[result], "L", Fixtures[APP], TRUE), "")</f>
        <v/>
      </c>
      <c r="L716" s="1" t="str">
        <f>IF(Teams[[#This Row],[relevant]], SUMIFS(Fixtures[G], Fixtures[userTeam], Teams[[#This Row],[name]]), "")</f>
        <v/>
      </c>
      <c r="M716" s="1" t="str">
        <f>IF(Teams[[#This Row],[relevant]], SUMIFS(Fixtures[A], Fixtures[userTeam], Teams[[#This Row],[name]]), "")</f>
        <v/>
      </c>
      <c r="N716" s="1" t="str">
        <f>IF(Teams[[#This Row],[relevant]], SUMIFS(Fixtures[INV], Fixtures[userTeam], Teams[[#This Row],[name]]), "")</f>
        <v/>
      </c>
      <c r="O716" s="1" t="str">
        <f>IF(Teams[[#This Row],[relevant]], SUMIFS(Fixtures[YC], Fixtures[userTeam], Teams[[#This Row],[name]]), "")</f>
        <v/>
      </c>
      <c r="P716" s="1" t="str">
        <f>IF(Teams[[#This Row],[relevant]], SUMIFS(Fixtures[RC], Fixtures[userTeam], Teams[[#This Row],[name]]), "")</f>
        <v/>
      </c>
      <c r="Q716" s="13" t="str">
        <f>IF(Teams[[#This Row],[relevant]], IF(ISERROR(AVERAGEIFS(Fixtures[MR], Fixtures[userTeam], Teams[[#This Row],[name]])), 0, AVERAGEIFS(Fixtures[MR], Fixtures[userTeam], Teams[[#This Row],[name]])), "")</f>
        <v/>
      </c>
      <c r="R716" s="1" t="str">
        <f>IF(Teams[[#This Row],[relevant]], COUNTIFS(Fixtures[userTeam], Teams[[#This Row],[name]], Fixtures[MOTM], TRUE), "")</f>
        <v/>
      </c>
      <c r="S716" s="1" t="str" cm="1">
        <f t="array" ref="S716">IF(Teams[[#This Row],[relevant]], _xlfn.TEXTJOIN(", ", TRUE, _xlfn._xlws.FILTER(Stats[competition]&amp;" ("&amp;Stats[season]&amp;")",(Stats[team]=Teams[[#This Row],[name]])*(Stats[result]="Winner"),"")), "")</f>
        <v/>
      </c>
    </row>
    <row r="717" spans="1:19" ht="13" hidden="1">
      <c r="A717" s="1" t="s">
        <v>1020</v>
      </c>
      <c r="B717" s="1" t="s">
        <v>493</v>
      </c>
      <c r="C717" s="1" t="s">
        <v>391</v>
      </c>
      <c r="D717" s="1" t="str">
        <f>UPPER(_xlfn.CONCAT(LEFT(Teams[[#This Row],[teamType]], 1), "-", LEFT(SUBSTITUTE(Teams[[#This Row],[nation]], "/", ""), 3), "-", SUBSTITUTE(SUBSTITUTE(SUBSTITUTE(Teams[[#This Row],[name]], ".", ""), " ", ""), "-", "")))</f>
        <v>C-CHI-ZHEJIANGPRO</v>
      </c>
      <c r="E717" s="16"/>
      <c r="F717" s="16"/>
      <c r="G717" s="1" t="b">
        <f>COUNTBLANK(Teams[[#This Row],[startDate]:[endDate]]) &lt; 2</f>
        <v>0</v>
      </c>
      <c r="H717" s="1" t="str">
        <f>IF(Teams[[#This Row],[relevant]], COUNTIFS(Fixtures[userTeam], Teams[[#This Row],[name]], Fixtures[APP], TRUE), "")</f>
        <v/>
      </c>
      <c r="I717" s="1" t="str">
        <f>IF(Teams[[#This Row],[relevant]], COUNTIFS(Fixtures[userTeam], Teams[[#This Row],[name]], Fixtures[result], "W", Fixtures[APP], TRUE), "")</f>
        <v/>
      </c>
      <c r="J717" s="1" t="str">
        <f>IF(Teams[[#This Row],[relevant]], COUNTIFS(Fixtures[userTeam], Teams[[#This Row],[name]], Fixtures[result], "D", Fixtures[APP], TRUE), "")</f>
        <v/>
      </c>
      <c r="K717" s="1" t="str">
        <f>IF(Teams[[#This Row],[relevant]], COUNTIFS(Fixtures[userTeam], Teams[[#This Row],[name]], Fixtures[result], "L", Fixtures[APP], TRUE), "")</f>
        <v/>
      </c>
      <c r="L717" s="1" t="str">
        <f>IF(Teams[[#This Row],[relevant]], SUMIFS(Fixtures[G], Fixtures[userTeam], Teams[[#This Row],[name]]), "")</f>
        <v/>
      </c>
      <c r="M717" s="1" t="str">
        <f>IF(Teams[[#This Row],[relevant]], SUMIFS(Fixtures[A], Fixtures[userTeam], Teams[[#This Row],[name]]), "")</f>
        <v/>
      </c>
      <c r="N717" s="1" t="str">
        <f>IF(Teams[[#This Row],[relevant]], SUMIFS(Fixtures[INV], Fixtures[userTeam], Teams[[#This Row],[name]]), "")</f>
        <v/>
      </c>
      <c r="O717" s="1" t="str">
        <f>IF(Teams[[#This Row],[relevant]], SUMIFS(Fixtures[YC], Fixtures[userTeam], Teams[[#This Row],[name]]), "")</f>
        <v/>
      </c>
      <c r="P717" s="1" t="str">
        <f>IF(Teams[[#This Row],[relevant]], SUMIFS(Fixtures[RC], Fixtures[userTeam], Teams[[#This Row],[name]]), "")</f>
        <v/>
      </c>
      <c r="Q717" s="13" t="str">
        <f>IF(Teams[[#This Row],[relevant]], IF(ISERROR(AVERAGEIFS(Fixtures[MR], Fixtures[userTeam], Teams[[#This Row],[name]])), 0, AVERAGEIFS(Fixtures[MR], Fixtures[userTeam], Teams[[#This Row],[name]])), "")</f>
        <v/>
      </c>
      <c r="R717" s="1" t="str">
        <f>IF(Teams[[#This Row],[relevant]], COUNTIFS(Fixtures[userTeam], Teams[[#This Row],[name]], Fixtures[MOTM], TRUE), "")</f>
        <v/>
      </c>
      <c r="S717" s="1" t="str" cm="1">
        <f t="array" ref="S717">IF(Teams[[#This Row],[relevant]], _xlfn.TEXTJOIN(", ", TRUE, _xlfn._xlws.FILTER(Stats[competition]&amp;" ("&amp;Stats[season]&amp;")",(Stats[team]=Teams[[#This Row],[name]])*(Stats[result]="Winner"),"")), "")</f>
        <v/>
      </c>
    </row>
    <row r="718" spans="1:19" ht="13" hidden="1">
      <c r="A718" s="1" t="s">
        <v>1021</v>
      </c>
      <c r="B718" s="1" t="s">
        <v>144</v>
      </c>
      <c r="C718" s="1" t="s">
        <v>391</v>
      </c>
      <c r="D718" s="1" t="str">
        <f>UPPER(_xlfn.CONCAT(LEFT(Teams[[#This Row],[teamType]], 1), "-", LEFT(SUBSTITUTE(Teams[[#This Row],[nation]], "/", ""), 3), "-", SUBSTITUTE(SUBSTITUTE(SUBSTITUTE(Teams[[#This Row],[name]], ".", ""), " ", ""), "-", "")))</f>
        <v>C-BEL-ZULTEWAREGEM</v>
      </c>
      <c r="E718" s="16"/>
      <c r="F718" s="16"/>
      <c r="G718" s="1" t="b">
        <f>COUNTBLANK(Teams[[#This Row],[startDate]:[endDate]]) &lt; 2</f>
        <v>0</v>
      </c>
      <c r="H718" s="1" t="str">
        <f>IF(Teams[[#This Row],[relevant]], COUNTIFS(Fixtures[userTeam], Teams[[#This Row],[name]], Fixtures[APP], TRUE), "")</f>
        <v/>
      </c>
      <c r="I718" s="1" t="str">
        <f>IF(Teams[[#This Row],[relevant]], COUNTIFS(Fixtures[userTeam], Teams[[#This Row],[name]], Fixtures[result], "W", Fixtures[APP], TRUE), "")</f>
        <v/>
      </c>
      <c r="J718" s="1" t="str">
        <f>IF(Teams[[#This Row],[relevant]], COUNTIFS(Fixtures[userTeam], Teams[[#This Row],[name]], Fixtures[result], "D", Fixtures[APP], TRUE), "")</f>
        <v/>
      </c>
      <c r="K718" s="1" t="str">
        <f>IF(Teams[[#This Row],[relevant]], COUNTIFS(Fixtures[userTeam], Teams[[#This Row],[name]], Fixtures[result], "L", Fixtures[APP], TRUE), "")</f>
        <v/>
      </c>
      <c r="L718" s="1" t="str">
        <f>IF(Teams[[#This Row],[relevant]], SUMIFS(Fixtures[G], Fixtures[userTeam], Teams[[#This Row],[name]]), "")</f>
        <v/>
      </c>
      <c r="M718" s="1" t="str">
        <f>IF(Teams[[#This Row],[relevant]], SUMIFS(Fixtures[A], Fixtures[userTeam], Teams[[#This Row],[name]]), "")</f>
        <v/>
      </c>
      <c r="N718" s="1" t="str">
        <f>IF(Teams[[#This Row],[relevant]], SUMIFS(Fixtures[INV], Fixtures[userTeam], Teams[[#This Row],[name]]), "")</f>
        <v/>
      </c>
      <c r="O718" s="1" t="str">
        <f>IF(Teams[[#This Row],[relevant]], SUMIFS(Fixtures[YC], Fixtures[userTeam], Teams[[#This Row],[name]]), "")</f>
        <v/>
      </c>
      <c r="P718" s="1" t="str">
        <f>IF(Teams[[#This Row],[relevant]], SUMIFS(Fixtures[RC], Fixtures[userTeam], Teams[[#This Row],[name]]), "")</f>
        <v/>
      </c>
      <c r="Q718" s="13" t="str">
        <f>IF(Teams[[#This Row],[relevant]], IF(ISERROR(AVERAGEIFS(Fixtures[MR], Fixtures[userTeam], Teams[[#This Row],[name]])), 0, AVERAGEIFS(Fixtures[MR], Fixtures[userTeam], Teams[[#This Row],[name]])), "")</f>
        <v/>
      </c>
      <c r="R718" s="1" t="str">
        <f>IF(Teams[[#This Row],[relevant]], COUNTIFS(Fixtures[userTeam], Teams[[#This Row],[name]], Fixtures[MOTM], TRUE), "")</f>
        <v/>
      </c>
      <c r="S718" s="1" t="str" cm="1">
        <f t="array" ref="S718">IF(Teams[[#This Row],[relevant]], _xlfn.TEXTJOIN(", ", TRUE, _xlfn._xlws.FILTER(Stats[competition]&amp;" ("&amp;Stats[season]&amp;")",(Stats[team]=Teams[[#This Row],[name]])*(Stats[result]="Winner"),"")), "")</f>
        <v/>
      </c>
    </row>
  </sheetData>
  <phoneticPr fontId="6" type="noConversion"/>
  <conditionalFormatting sqref="H2:S718">
    <cfRule type="expression" dxfId="103" priority="1">
      <formula>NOT(INDIRECT("Teams[@relevant]"))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AE2CF-9061-4B74-9FAF-C6F5FA01EC06}">
  <sheetPr codeName="Sheet3"/>
  <dimension ref="A1:V158"/>
  <sheetViews>
    <sheetView workbookViewId="0">
      <pane ySplit="1" topLeftCell="A2" activePane="bottomLeft" state="frozen"/>
      <selection activeCell="I46" sqref="I46"/>
      <selection pane="bottomLeft" activeCell="E86" sqref="E86"/>
    </sheetView>
  </sheetViews>
  <sheetFormatPr baseColWidth="10" defaultColWidth="8.85546875" defaultRowHeight="16"/>
  <cols>
    <col min="1" max="1" width="22.7109375" style="14" bestFit="1" customWidth="1"/>
    <col min="2" max="2" width="17.7109375" bestFit="1" customWidth="1"/>
    <col min="3" max="3" width="9.7109375" style="14" bestFit="1" customWidth="1"/>
    <col min="4" max="4" width="32.140625" style="14" bestFit="1" customWidth="1"/>
    <col min="5" max="5" width="8.28515625" style="14" bestFit="1" customWidth="1"/>
    <col min="6" max="6" width="5.85546875" style="14" bestFit="1" customWidth="1"/>
    <col min="7" max="7" width="9.85546875" style="14" bestFit="1" customWidth="1"/>
    <col min="8" max="8" width="9.28515625" style="14" bestFit="1" customWidth="1"/>
    <col min="9" max="9" width="9.85546875" style="14" bestFit="1" customWidth="1"/>
    <col min="10" max="21" width="9.28515625" style="14" bestFit="1" customWidth="1"/>
    <col min="22" max="16384" width="8.85546875" style="14"/>
  </cols>
  <sheetData>
    <row r="1" spans="1:22" ht="13">
      <c r="A1" s="7" t="s">
        <v>384</v>
      </c>
      <c r="B1" s="7" t="s">
        <v>89</v>
      </c>
      <c r="C1" s="7" t="s">
        <v>90</v>
      </c>
      <c r="D1" s="7" t="s">
        <v>91</v>
      </c>
      <c r="E1" s="7" t="s">
        <v>390</v>
      </c>
      <c r="F1" s="7" t="s">
        <v>39</v>
      </c>
      <c r="G1" s="7" t="s">
        <v>55</v>
      </c>
      <c r="H1" s="7" t="s">
        <v>58</v>
      </c>
      <c r="I1" s="7" t="s">
        <v>59</v>
      </c>
      <c r="J1" s="7" t="s">
        <v>61</v>
      </c>
      <c r="K1" s="7" t="s">
        <v>62</v>
      </c>
      <c r="L1" s="7" t="s">
        <v>63</v>
      </c>
      <c r="M1" s="7" t="s">
        <v>64</v>
      </c>
      <c r="N1" s="7" t="s">
        <v>65</v>
      </c>
      <c r="O1" s="7" t="s">
        <v>66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72</v>
      </c>
      <c r="V1" s="40"/>
    </row>
    <row r="2" spans="1:22" ht="13">
      <c r="A2" s="1" t="s">
        <v>116</v>
      </c>
      <c r="B2" s="1" t="s">
        <v>362</v>
      </c>
      <c r="C2" s="1" t="b">
        <v>0</v>
      </c>
      <c r="D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DL-OF-1APROLEAGUE</v>
      </c>
      <c r="E2" s="17" t="b">
        <f>COUNTIFS(Fixtures[compID], Competitions[[#This Row],[compID]], Fixtures[APP], TRUE) &gt; 0</f>
        <v>1</v>
      </c>
      <c r="F2" s="17">
        <f>COUNTIF(Competitions[[#This Row],[2023/2024]:[2036/2037]], "Winner")</f>
        <v>0</v>
      </c>
      <c r="G2" s="1" t="s">
        <v>1022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40"/>
    </row>
    <row r="3" spans="1:22" ht="13" hidden="1">
      <c r="A3" s="1" t="s">
        <v>1023</v>
      </c>
      <c r="B3" s="1" t="s">
        <v>362</v>
      </c>
      <c r="C3" s="1" t="b">
        <v>0</v>
      </c>
      <c r="D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DL-OF-3LIGA</v>
      </c>
      <c r="E3" s="17" t="b">
        <f>COUNTIFS(Fixtures[compID], Competitions[[#This Row],[compID]], Fixtures[APP], TRUE) &gt; 0</f>
        <v>0</v>
      </c>
      <c r="F3" s="17">
        <f>COUNTIF(Competitions[[#This Row],[2023/2024]:[2036/2037]], "Winner")</f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40"/>
    </row>
    <row r="4" spans="1:22" ht="13" hidden="1">
      <c r="A4" s="1" t="s">
        <v>1024</v>
      </c>
      <c r="B4" s="1" t="s">
        <v>362</v>
      </c>
      <c r="C4" s="1" t="b">
        <v>0</v>
      </c>
      <c r="D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DL-OF-3FSUPERLIGA</v>
      </c>
      <c r="E4" s="17" t="b">
        <f>COUNTIFS(Fixtures[compID], Competitions[[#This Row],[compID]], Fixtures[APP], TRUE) &gt; 0</f>
        <v>0</v>
      </c>
      <c r="F4" s="17">
        <f>COUNTIF(Competitions[[#This Row],[2023/2024]:[2036/2037]], "Winner")</f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40"/>
    </row>
    <row r="5" spans="1:22" ht="13" hidden="1">
      <c r="A5" s="1" t="s">
        <v>1025</v>
      </c>
      <c r="B5" s="1" t="s">
        <v>366</v>
      </c>
      <c r="C5" s="1" t="b">
        <v>0</v>
      </c>
      <c r="D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CC-OF-AFCCHAMPIONSLEAGUE</v>
      </c>
      <c r="E5" s="17" t="b">
        <f>COUNTIFS(Fixtures[compID], Competitions[[#This Row],[compID]], Fixtures[APP], TRUE) &gt; 0</f>
        <v>0</v>
      </c>
      <c r="F5" s="17">
        <f>COUNTIF(Competitions[[#This Row],[2023/2024]:[2036/2037]], "Winner")</f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40"/>
    </row>
    <row r="6" spans="1:22" ht="13" hidden="1">
      <c r="A6" s="1" t="s">
        <v>1026</v>
      </c>
      <c r="B6" s="1" t="s">
        <v>362</v>
      </c>
      <c r="C6" s="1" t="b">
        <v>0</v>
      </c>
      <c r="D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DL-OF-ALEAGUE</v>
      </c>
      <c r="E6" s="17" t="b">
        <f>COUNTIFS(Fixtures[compID], Competitions[[#This Row],[compID]], Fixtures[APP], TRUE) &gt; 0</f>
        <v>0</v>
      </c>
      <c r="F6" s="17">
        <f>COUNTIF(Competitions[[#This Row],[2023/2024]:[2036/2037]], "Winner")</f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40"/>
    </row>
    <row r="7" spans="1:22" ht="13" hidden="1">
      <c r="A7" s="1" t="s">
        <v>1027</v>
      </c>
      <c r="B7" s="1" t="s">
        <v>362</v>
      </c>
      <c r="C7" s="1" t="b">
        <v>0</v>
      </c>
      <c r="D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DL-OF-ALLSVENSKAN</v>
      </c>
      <c r="E7" s="17" t="b">
        <f>COUNTIFS(Fixtures[compID], Competitions[[#This Row],[compID]], Fixtures[APP], TRUE) &gt; 0</f>
        <v>0</v>
      </c>
      <c r="F7" s="17">
        <f>COUNTIF(Competitions[[#This Row],[2023/2024]:[2036/2037]], "Winner")</f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40"/>
    </row>
    <row r="8" spans="1:22" ht="13" hidden="1">
      <c r="A8" s="1" t="s">
        <v>1028</v>
      </c>
      <c r="B8" s="1" t="s">
        <v>364</v>
      </c>
      <c r="C8" s="1" t="b">
        <v>1</v>
      </c>
      <c r="D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PF-EX-AMERICANCHALLENGECUP</v>
      </c>
      <c r="E8" s="17" t="b">
        <f>COUNTIFS(Fixtures[compID], Competitions[[#This Row],[compID]], Fixtures[APP], TRUE) &gt; 0</f>
        <v>0</v>
      </c>
      <c r="F8" s="17">
        <f>COUNTIF(Competitions[[#This Row],[2023/2024]:[2036/2037]], "Winner")</f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40"/>
    </row>
    <row r="9" spans="1:22" ht="13" hidden="1">
      <c r="A9" s="1" t="s">
        <v>1029</v>
      </c>
      <c r="B9" s="1" t="s">
        <v>364</v>
      </c>
      <c r="C9" s="1" t="b">
        <v>1</v>
      </c>
      <c r="D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PF-EX-ASIANELITECUP</v>
      </c>
      <c r="E9" s="17" t="b">
        <f>COUNTIFS(Fixtures[compID], Competitions[[#This Row],[compID]], Fixtures[APP], TRUE) &gt; 0</f>
        <v>0</v>
      </c>
      <c r="F9" s="17">
        <f>COUNTIF(Competitions[[#This Row],[2023/2024]:[2036/2037]], "Winner")</f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40"/>
    </row>
    <row r="10" spans="1:22" ht="13">
      <c r="A10" s="1" t="s">
        <v>261</v>
      </c>
      <c r="B10" s="1" t="s">
        <v>362</v>
      </c>
      <c r="C10" s="1" t="b">
        <v>0</v>
      </c>
      <c r="D1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DL-OF-BUNDESLIGA</v>
      </c>
      <c r="E10" s="17" t="b">
        <f>COUNTIFS(Fixtures[compID], Competitions[[#This Row],[compID]], Fixtures[APP], TRUE) &gt; 0</f>
        <v>1</v>
      </c>
      <c r="F10" s="17">
        <f>COUNTIF(Competitions[[#This Row],[2023/2024]:[2036/2037]], "Winner")</f>
        <v>1</v>
      </c>
      <c r="G10" s="1"/>
      <c r="H10" s="1"/>
      <c r="I10" s="1" t="s">
        <v>1030</v>
      </c>
      <c r="J10" s="1" t="s">
        <v>1033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40"/>
    </row>
    <row r="11" spans="1:22" ht="13" hidden="1">
      <c r="A11" s="1" t="s">
        <v>1031</v>
      </c>
      <c r="B11" s="1" t="s">
        <v>362</v>
      </c>
      <c r="C11" s="1" t="b">
        <v>0</v>
      </c>
      <c r="D1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DL-OF-BUNDESLIGA2</v>
      </c>
      <c r="E11" s="17" t="b">
        <f>COUNTIFS(Fixtures[compID], Competitions[[#This Row],[compID]], Fixtures[APP], TRUE) &gt; 0</f>
        <v>0</v>
      </c>
      <c r="F11" s="17">
        <f>COUNTIF(Competitions[[#This Row],[2023/2024]:[2036/2037]], "Winner")</f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40"/>
    </row>
    <row r="12" spans="1:22" ht="13">
      <c r="A12" s="1" t="s">
        <v>180</v>
      </c>
      <c r="B12" s="1" t="s">
        <v>363</v>
      </c>
      <c r="C12" s="1" t="b">
        <v>0</v>
      </c>
      <c r="D1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DC-OF-CARABAOCUP</v>
      </c>
      <c r="E12" s="17" t="b">
        <f>COUNTIFS(Fixtures[compID], Competitions[[#This Row],[compID]], Fixtures[APP], TRUE) &gt; 0</f>
        <v>1</v>
      </c>
      <c r="F12" s="17">
        <f>COUNTIF(Competitions[[#This Row],[2023/2024]:[2036/2037]], "Winner")</f>
        <v>0</v>
      </c>
      <c r="G12" s="1"/>
      <c r="H12" s="1" t="s">
        <v>1032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40"/>
    </row>
    <row r="13" spans="1:22" ht="13">
      <c r="A13" s="1" t="s">
        <v>168</v>
      </c>
      <c r="B13" s="1" t="s">
        <v>364</v>
      </c>
      <c r="C13" s="1" t="b">
        <v>1</v>
      </c>
      <c r="D1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PF-EX-CHAMPIONSTROPHY</v>
      </c>
      <c r="E13" s="17" t="b">
        <f>COUNTIFS(Fixtures[compID], Competitions[[#This Row],[compID]], Fixtures[APP], TRUE) &gt; 0</f>
        <v>1</v>
      </c>
      <c r="F13" s="17">
        <f>COUNTIF(Competitions[[#This Row],[2023/2024]:[2036/2037]], "Winner")</f>
        <v>1</v>
      </c>
      <c r="G13" s="1"/>
      <c r="H13" s="1" t="s">
        <v>1033</v>
      </c>
      <c r="I13" s="1"/>
      <c r="J13" s="1" t="s">
        <v>1022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40"/>
    </row>
    <row r="14" spans="1:22" ht="13" hidden="1">
      <c r="A14" s="1" t="s">
        <v>1034</v>
      </c>
      <c r="B14" s="1" t="s">
        <v>365</v>
      </c>
      <c r="C14" s="1" t="b">
        <v>0</v>
      </c>
      <c r="D1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DLP-OF-CHAMPIONSHIPPLAYOFFS</v>
      </c>
      <c r="E14" s="17" t="b">
        <f>COUNTIFS(Fixtures[compID], Competitions[[#This Row],[compID]], Fixtures[APP], TRUE) &gt; 0</f>
        <v>0</v>
      </c>
      <c r="F14" s="17">
        <f>COUNTIF(Competitions[[#This Row],[2023/2024]:[2036/2037]], "Winner")</f>
        <v>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40"/>
    </row>
    <row r="15" spans="1:22" ht="13" hidden="1">
      <c r="A15" s="1" t="s">
        <v>1035</v>
      </c>
      <c r="B15" s="1" t="s">
        <v>362</v>
      </c>
      <c r="C15" s="1" t="b">
        <v>0</v>
      </c>
      <c r="D1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DL-OF-CINCHPREM</v>
      </c>
      <c r="E15" s="17" t="b">
        <f>COUNTIFS(Fixtures[compID], Competitions[[#This Row],[compID]], Fixtures[APP], TRUE) &gt; 0</f>
        <v>0</v>
      </c>
      <c r="F15" s="17">
        <f>COUNTIF(Competitions[[#This Row],[2023/2024]:[2036/2037]], "Winner")</f>
        <v>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40"/>
    </row>
    <row r="16" spans="1:22" ht="13" hidden="1">
      <c r="A16" s="1" t="s">
        <v>1036</v>
      </c>
      <c r="B16" s="1" t="s">
        <v>366</v>
      </c>
      <c r="C16" s="1" t="b">
        <v>0</v>
      </c>
      <c r="D1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CC-OF-CONMEBOLLIBERTADORES</v>
      </c>
      <c r="E16" s="17" t="b">
        <f>COUNTIFS(Fixtures[compID], Competitions[[#This Row],[compID]], Fixtures[APP], TRUE) &gt; 0</f>
        <v>0</v>
      </c>
      <c r="F16" s="17">
        <f>COUNTIF(Competitions[[#This Row],[2023/2024]:[2036/2037]], "Winner")</f>
        <v>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40"/>
    </row>
    <row r="17" spans="1:22" ht="13" hidden="1">
      <c r="A17" s="1" t="s">
        <v>1037</v>
      </c>
      <c r="B17" s="1" t="s">
        <v>366</v>
      </c>
      <c r="C17" s="1" t="b">
        <v>0</v>
      </c>
      <c r="D1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CC-OF-CONMEBOLSUDAMERICANA</v>
      </c>
      <c r="E17" s="17" t="b">
        <f>COUNTIFS(Fixtures[compID], Competitions[[#This Row],[compID]], Fixtures[APP], TRUE) &gt; 0</f>
        <v>0</v>
      </c>
      <c r="F17" s="17">
        <f>COUNTIF(Competitions[[#This Row],[2023/2024]:[2036/2037]], "Winner")</f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40"/>
    </row>
    <row r="18" spans="1:22" ht="13" hidden="1">
      <c r="A18" s="1" t="s">
        <v>1038</v>
      </c>
      <c r="B18" s="1" t="s">
        <v>363</v>
      </c>
      <c r="C18" s="1" t="b">
        <v>0</v>
      </c>
      <c r="D1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DC-OF-COPADEESPAÑA</v>
      </c>
      <c r="E18" s="17" t="b">
        <f>COUNTIFS(Fixtures[compID], Competitions[[#This Row],[compID]], Fixtures[APP], TRUE) &gt; 0</f>
        <v>0</v>
      </c>
      <c r="F18" s="17">
        <f>COUNTIF(Competitions[[#This Row],[2023/2024]:[2036/2037]], "Winner")</f>
        <v>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40"/>
    </row>
    <row r="19" spans="1:22" ht="13" hidden="1">
      <c r="A19" s="1" t="s">
        <v>1039</v>
      </c>
      <c r="B19" s="1" t="s">
        <v>363</v>
      </c>
      <c r="C19" s="1" t="b">
        <v>0</v>
      </c>
      <c r="D1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DC-OF-COPPAITALIA</v>
      </c>
      <c r="E19" s="17" t="b">
        <f>COUNTIFS(Fixtures[compID], Competitions[[#This Row],[compID]], Fixtures[APP], TRUE) &gt; 0</f>
        <v>0</v>
      </c>
      <c r="F19" s="17">
        <f>COUNTIF(Competitions[[#This Row],[2023/2024]:[2036/2037]], "Winner")</f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40"/>
    </row>
    <row r="20" spans="1:22" ht="13" hidden="1">
      <c r="A20" s="1" t="s">
        <v>1040</v>
      </c>
      <c r="B20" s="1" t="s">
        <v>363</v>
      </c>
      <c r="C20" s="1" t="b">
        <v>0</v>
      </c>
      <c r="D2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DC-OF-COUPENATIONALE</v>
      </c>
      <c r="E20" s="17" t="b">
        <f>COUNTIFS(Fixtures[compID], Competitions[[#This Row],[compID]], Fixtures[APP], TRUE) &gt; 0</f>
        <v>0</v>
      </c>
      <c r="F20" s="17">
        <f>COUNTIF(Competitions[[#This Row],[2023/2024]:[2036/2037]], "Winner")</f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40"/>
    </row>
    <row r="21" spans="1:22" ht="13">
      <c r="A21" s="1" t="s">
        <v>155</v>
      </c>
      <c r="B21" s="1" t="s">
        <v>363</v>
      </c>
      <c r="C21" s="1" t="b">
        <v>0</v>
      </c>
      <c r="D2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DC-OF-CROKYCUP</v>
      </c>
      <c r="E21" s="17" t="b">
        <f>COUNTIFS(Fixtures[compID], Competitions[[#This Row],[compID]], Fixtures[APP], TRUE) &gt; 0</f>
        <v>1</v>
      </c>
      <c r="F21" s="17">
        <f>COUNTIF(Competitions[[#This Row],[2023/2024]:[2036/2037]], "Winner")</f>
        <v>1</v>
      </c>
      <c r="G21" s="1" t="s">
        <v>1033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40"/>
    </row>
    <row r="22" spans="1:22" ht="13" hidden="1">
      <c r="A22" s="1" t="s">
        <v>1041</v>
      </c>
      <c r="B22" s="1" t="s">
        <v>362</v>
      </c>
      <c r="C22" s="1" t="b">
        <v>0</v>
      </c>
      <c r="D2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DL-OF-CSL</v>
      </c>
      <c r="E22" s="17" t="b">
        <f>COUNTIFS(Fixtures[compID], Competitions[[#This Row],[compID]], Fixtures[APP], TRUE) &gt; 0</f>
        <v>0</v>
      </c>
      <c r="F22" s="17">
        <f>COUNTIF(Competitions[[#This Row],[2023/2024]:[2036/2037]], "Winner")</f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40"/>
    </row>
    <row r="23" spans="1:22" ht="13" hidden="1">
      <c r="A23" s="1" t="s">
        <v>1042</v>
      </c>
      <c r="B23" s="1" t="s">
        <v>362</v>
      </c>
      <c r="C23" s="1" t="b">
        <v>0</v>
      </c>
      <c r="D2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DL-OF-CSSL</v>
      </c>
      <c r="E23" s="17" t="b">
        <f>COUNTIFS(Fixtures[compID], Competitions[[#This Row],[compID]], Fixtures[APP], TRUE) &gt; 0</f>
        <v>0</v>
      </c>
      <c r="F23" s="17">
        <f>COUNTIF(Competitions[[#This Row],[2023/2024]:[2036/2037]], "Winner")</f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40"/>
    </row>
    <row r="24" spans="1:22" ht="13" hidden="1">
      <c r="A24" s="1" t="s">
        <v>1043</v>
      </c>
      <c r="B24" s="1" t="s">
        <v>363</v>
      </c>
      <c r="C24" s="1" t="b">
        <v>0</v>
      </c>
      <c r="D2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DC-OF-CUPANAŢIONALĂ</v>
      </c>
      <c r="E24" s="17" t="b">
        <f>COUNTIFS(Fixtures[compID], Competitions[[#This Row],[compID]], Fixtures[APP], TRUE) &gt; 0</f>
        <v>0</v>
      </c>
      <c r="F24" s="17">
        <f>COUNTIF(Competitions[[#This Row],[2023/2024]:[2036/2037]], "Winner")</f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40"/>
    </row>
    <row r="25" spans="1:22" ht="13">
      <c r="A25" s="1" t="s">
        <v>277</v>
      </c>
      <c r="B25" s="1" t="s">
        <v>363</v>
      </c>
      <c r="C25" s="1" t="b">
        <v>0</v>
      </c>
      <c r="D2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DC-OF-DFBPOKAL</v>
      </c>
      <c r="E25" s="17" t="b">
        <f>COUNTIFS(Fixtures[compID], Competitions[[#This Row],[compID]], Fixtures[APP], TRUE) &gt; 0</f>
        <v>1</v>
      </c>
      <c r="F25" s="17">
        <f>COUNTIF(Competitions[[#This Row],[2023/2024]:[2036/2037]], "Winner")</f>
        <v>1</v>
      </c>
      <c r="G25" s="1"/>
      <c r="H25" s="1"/>
      <c r="I25" s="1" t="s">
        <v>1044</v>
      </c>
      <c r="J25" s="1" t="s">
        <v>1033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40"/>
    </row>
    <row r="26" spans="1:22" ht="13" hidden="1">
      <c r="A26" s="1" t="s">
        <v>1045</v>
      </c>
      <c r="B26" s="1" t="s">
        <v>1046</v>
      </c>
      <c r="C26" s="1" t="b">
        <v>0</v>
      </c>
      <c r="D2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DSC-OF-DFLSUPERCUP</v>
      </c>
      <c r="E26" s="17" t="b">
        <f>COUNTIFS(Fixtures[compID], Competitions[[#This Row],[compID]], Fixtures[APP], TRUE) &gt; 0</f>
        <v>0</v>
      </c>
      <c r="F26" s="17">
        <f>COUNTIF(Competitions[[#This Row],[2023/2024]:[2036/2037]], "Winner")</f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40"/>
    </row>
    <row r="27" spans="1:22" ht="13" hidden="1">
      <c r="A27" s="1" t="s">
        <v>1047</v>
      </c>
      <c r="B27" s="1" t="s">
        <v>363</v>
      </c>
      <c r="C27" s="1" t="b">
        <v>0</v>
      </c>
      <c r="D2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DC-OF-EASPORTSCUP</v>
      </c>
      <c r="E27" s="17" t="b">
        <f>COUNTIFS(Fixtures[compID], Competitions[[#This Row],[compID]], Fixtures[APP], TRUE) &gt; 0</f>
        <v>0</v>
      </c>
      <c r="F27" s="17">
        <f>COUNTIF(Competitions[[#This Row],[2023/2024]:[2036/2037]], "Winner")</f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40"/>
    </row>
    <row r="28" spans="1:22" ht="13">
      <c r="A28" s="1" t="s">
        <v>176</v>
      </c>
      <c r="B28" s="1" t="s">
        <v>362</v>
      </c>
      <c r="C28" s="1" t="b">
        <v>0</v>
      </c>
      <c r="D2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DL-OF-EFLCHAMPIONSHIP</v>
      </c>
      <c r="E28" s="17" t="b">
        <f>COUNTIFS(Fixtures[compID], Competitions[[#This Row],[compID]], Fixtures[APP], TRUE) &gt; 0</f>
        <v>1</v>
      </c>
      <c r="F28" s="17">
        <f>COUNTIF(Competitions[[#This Row],[2023/2024]:[2036/2037]], "Winner")</f>
        <v>1</v>
      </c>
      <c r="G28" s="1"/>
      <c r="H28" s="1" t="s">
        <v>1033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40"/>
    </row>
    <row r="29" spans="1:22" ht="13" hidden="1">
      <c r="A29" s="1" t="s">
        <v>1048</v>
      </c>
      <c r="B29" s="1" t="s">
        <v>362</v>
      </c>
      <c r="C29" s="1" t="b">
        <v>0</v>
      </c>
      <c r="D2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DL-OF-EFLLEAGUEONE</v>
      </c>
      <c r="E29" s="17" t="b">
        <f>COUNTIFS(Fixtures[compID], Competitions[[#This Row],[compID]], Fixtures[APP], TRUE) &gt; 0</f>
        <v>0</v>
      </c>
      <c r="F29" s="17">
        <f>COUNTIF(Competitions[[#This Row],[2023/2024]:[2036/2037]], "Winner")</f>
        <v>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40"/>
    </row>
    <row r="30" spans="1:22" ht="13" hidden="1">
      <c r="A30" s="1" t="s">
        <v>1049</v>
      </c>
      <c r="B30" s="1" t="s">
        <v>362</v>
      </c>
      <c r="C30" s="1" t="b">
        <v>0</v>
      </c>
      <c r="D3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DL-OF-EFLLEAGUETWO</v>
      </c>
      <c r="E30" s="17" t="b">
        <f>COUNTIFS(Fixtures[compID], Competitions[[#This Row],[compID]], Fixtures[APP], TRUE) &gt; 0</f>
        <v>0</v>
      </c>
      <c r="F30" s="17">
        <f>COUNTIF(Competitions[[#This Row],[2023/2024]:[2036/2037]], "Winner")</f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40"/>
    </row>
    <row r="31" spans="1:22" ht="13" hidden="1">
      <c r="A31" s="1" t="s">
        <v>1050</v>
      </c>
      <c r="B31" s="1" t="s">
        <v>362</v>
      </c>
      <c r="C31" s="1" t="b">
        <v>0</v>
      </c>
      <c r="D3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DL-OF-ELITESERIEN</v>
      </c>
      <c r="E31" s="17" t="b">
        <f>COUNTIFS(Fixtures[compID], Competitions[[#This Row],[compID]], Fixtures[APP], TRUE) &gt; 0</f>
        <v>0</v>
      </c>
      <c r="F31" s="17">
        <f>COUNTIF(Competitions[[#This Row],[2023/2024]:[2036/2037]], "Winner")</f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40"/>
    </row>
    <row r="32" spans="1:22" ht="13">
      <c r="A32" s="1" t="s">
        <v>243</v>
      </c>
      <c r="B32" s="1" t="s">
        <v>363</v>
      </c>
      <c r="C32" s="1" t="b">
        <v>0</v>
      </c>
      <c r="D3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DC-OF-EMIRATESFACUP</v>
      </c>
      <c r="E32" s="17" t="b">
        <f>COUNTIFS(Fixtures[compID], Competitions[[#This Row],[compID]], Fixtures[APP], TRUE) &gt; 0</f>
        <v>1</v>
      </c>
      <c r="F32" s="17">
        <f>COUNTIF(Competitions[[#This Row],[2023/2024]:[2036/2037]], "Winner")</f>
        <v>0</v>
      </c>
      <c r="G32" s="1"/>
      <c r="H32" s="1" t="s">
        <v>1051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40"/>
    </row>
    <row r="33" spans="1:22" ht="13" hidden="1">
      <c r="A33" s="1" t="s">
        <v>1052</v>
      </c>
      <c r="B33" s="1" t="s">
        <v>362</v>
      </c>
      <c r="C33" s="1" t="b">
        <v>0</v>
      </c>
      <c r="D3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DL-OF-EREDIVISIE</v>
      </c>
      <c r="E33" s="17" t="b">
        <f>COUNTIFS(Fixtures[compID], Competitions[[#This Row],[compID]], Fixtures[APP], TRUE) &gt; 0</f>
        <v>0</v>
      </c>
      <c r="F33" s="17">
        <f>COUNTIF(Competitions[[#This Row],[2023/2024]:[2036/2037]], "Winner")</f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40"/>
    </row>
    <row r="34" spans="1:22" ht="13" hidden="1">
      <c r="A34" s="1" t="s">
        <v>1053</v>
      </c>
      <c r="B34" s="1" t="s">
        <v>1054</v>
      </c>
      <c r="C34" s="1" t="b">
        <v>0</v>
      </c>
      <c r="D3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IC-OF-EUROPEANCHAMPIONSHIP</v>
      </c>
      <c r="E34" s="17" t="b">
        <f>COUNTIFS(Fixtures[compID], Competitions[[#This Row],[compID]], Fixtures[APP], TRUE) &gt; 0</f>
        <v>0</v>
      </c>
      <c r="F34" s="17">
        <f>COUNTIF(Competitions[[#This Row],[2023/2024]:[2036/2037]], "Winner")</f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40"/>
    </row>
    <row r="35" spans="1:22" ht="13" hidden="1">
      <c r="A35" s="1" t="s">
        <v>1055</v>
      </c>
      <c r="B35" s="1" t="s">
        <v>364</v>
      </c>
      <c r="C35" s="1" t="b">
        <v>1</v>
      </c>
      <c r="D3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PF-EX-EUROPEANCONTINENTALSHIELD</v>
      </c>
      <c r="E35" s="17" t="b">
        <f>COUNTIFS(Fixtures[compID], Competitions[[#This Row],[compID]], Fixtures[APP], TRUE) &gt; 0</f>
        <v>0</v>
      </c>
      <c r="F35" s="17">
        <f>COUNTIF(Competitions[[#This Row],[2023/2024]:[2036/2037]], "Winner")</f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40"/>
    </row>
    <row r="36" spans="1:22" ht="13">
      <c r="A36" s="1" t="s">
        <v>109</v>
      </c>
      <c r="B36" s="1" t="s">
        <v>364</v>
      </c>
      <c r="C36" s="1" t="b">
        <v>1</v>
      </c>
      <c r="D3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PF-EX-EUROPEANINTERNATIONALCUP</v>
      </c>
      <c r="E36" s="17" t="b">
        <f>COUNTIFS(Fixtures[compID], Competitions[[#This Row],[compID]], Fixtures[APP], TRUE) &gt; 0</f>
        <v>1</v>
      </c>
      <c r="F36" s="17">
        <f>COUNTIF(Competitions[[#This Row],[2023/2024]:[2036/2037]], "Winner")</f>
        <v>0</v>
      </c>
      <c r="G36" s="1" t="s">
        <v>1056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40"/>
    </row>
    <row r="37" spans="1:22" ht="13" hidden="1">
      <c r="A37" s="1" t="s">
        <v>1057</v>
      </c>
      <c r="B37" s="1" t="s">
        <v>1046</v>
      </c>
      <c r="C37" s="1" t="b">
        <v>0</v>
      </c>
      <c r="D3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DSC-OF-FACOMMUNITYSHIELD</v>
      </c>
      <c r="E37" s="17" t="b">
        <f>COUNTIFS(Fixtures[compID], Competitions[[#This Row],[compID]], Fixtures[APP], TRUE) &gt; 0</f>
        <v>0</v>
      </c>
      <c r="F37" s="17">
        <f>COUNTIF(Competitions[[#This Row],[2023/2024]:[2036/2037]], "Winner")</f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40"/>
    </row>
    <row r="38" spans="1:22" ht="13" hidden="1">
      <c r="A38" s="1" t="s">
        <v>1058</v>
      </c>
      <c r="B38" s="1" t="s">
        <v>362</v>
      </c>
      <c r="C38" s="1" t="b">
        <v>0</v>
      </c>
      <c r="D3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DL-OF-HEROISL</v>
      </c>
      <c r="E38" s="17" t="b">
        <f>COUNTIFS(Fixtures[compID], Competitions[[#This Row],[compID]], Fixtures[APP], TRUE) &gt; 0</f>
        <v>0</v>
      </c>
      <c r="F38" s="17">
        <f>COUNTIF(Competitions[[#This Row],[2023/2024]:[2036/2037]], "Winner")</f>
        <v>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40"/>
    </row>
    <row r="39" spans="1:22" ht="13">
      <c r="A39" s="1" t="s">
        <v>128</v>
      </c>
      <c r="B39" s="1" t="s">
        <v>128</v>
      </c>
      <c r="C39" s="1" t="b">
        <v>1</v>
      </c>
      <c r="D3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IF-EX-INTERNATIONALFRIENDLY</v>
      </c>
      <c r="E39" s="17" t="b">
        <f>COUNTIFS(Fixtures[compID], Competitions[[#This Row],[compID]], Fixtures[APP], TRUE) &gt; 0</f>
        <v>1</v>
      </c>
      <c r="F39" s="17">
        <f>COUNTIF(Competitions[[#This Row],[2023/2024]:[2036/2037]], "Winner")</f>
        <v>0</v>
      </c>
      <c r="G39" s="1" t="s">
        <v>108</v>
      </c>
      <c r="H39" s="1" t="s">
        <v>108</v>
      </c>
      <c r="I39" s="1" t="s">
        <v>108</v>
      </c>
      <c r="J39" s="1" t="s">
        <v>108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40"/>
    </row>
    <row r="40" spans="1:22" ht="13" hidden="1">
      <c r="A40" s="1" t="s">
        <v>1059</v>
      </c>
      <c r="B40" s="1" t="s">
        <v>364</v>
      </c>
      <c r="C40" s="1" t="b">
        <v>1</v>
      </c>
      <c r="D4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PF-EX-INVITATIONALCUP</v>
      </c>
      <c r="E40" s="17" t="b">
        <f>COUNTIFS(Fixtures[compID], Competitions[[#This Row],[compID]], Fixtures[APP], TRUE) &gt; 0</f>
        <v>0</v>
      </c>
      <c r="F40" s="17">
        <f>COUNTIF(Competitions[[#This Row],[2023/2024]:[2036/2037]], "Winner")</f>
        <v>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40"/>
    </row>
    <row r="41" spans="1:22" ht="13" hidden="1">
      <c r="A41" s="1" t="s">
        <v>1060</v>
      </c>
      <c r="B41" s="1" t="s">
        <v>362</v>
      </c>
      <c r="C41" s="1" t="b">
        <v>0</v>
      </c>
      <c r="D4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DL-OF-KLEAGUE1</v>
      </c>
      <c r="E41" s="17" t="b">
        <f>COUNTIFS(Fixtures[compID], Competitions[[#This Row],[compID]], Fixtures[APP], TRUE) &gt; 0</f>
        <v>0</v>
      </c>
      <c r="F41" s="17">
        <f>COUNTIF(Competitions[[#This Row],[2023/2024]:[2036/2037]], "Winner")</f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40"/>
    </row>
    <row r="42" spans="1:22" ht="13" hidden="1">
      <c r="A42" s="1" t="s">
        <v>1061</v>
      </c>
      <c r="B42" s="1" t="s">
        <v>362</v>
      </c>
      <c r="C42" s="1" t="b">
        <v>0</v>
      </c>
      <c r="D4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DL-OF-LALIGASANTANDER</v>
      </c>
      <c r="E42" s="17" t="b">
        <f>COUNTIFS(Fixtures[compID], Competitions[[#This Row],[compID]], Fixtures[APP], TRUE) &gt; 0</f>
        <v>0</v>
      </c>
      <c r="F42" s="17">
        <f>COUNTIF(Competitions[[#This Row],[2023/2024]:[2036/2037]], "Winner")</f>
        <v>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40"/>
    </row>
    <row r="43" spans="1:22" ht="13" hidden="1">
      <c r="A43" s="1" t="s">
        <v>1062</v>
      </c>
      <c r="B43" s="1" t="s">
        <v>362</v>
      </c>
      <c r="C43" s="1" t="b">
        <v>0</v>
      </c>
      <c r="D4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DL-OF-LALIGASMARTBANK</v>
      </c>
      <c r="E43" s="17" t="b">
        <f>COUNTIFS(Fixtures[compID], Competitions[[#This Row],[compID]], Fixtures[APP], TRUE) &gt; 0</f>
        <v>0</v>
      </c>
      <c r="F43" s="17">
        <f>COUNTIF(Competitions[[#This Row],[2023/2024]:[2036/2037]], "Winner")</f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40"/>
    </row>
    <row r="44" spans="1:22" ht="13" hidden="1">
      <c r="A44" s="1" t="s">
        <v>1063</v>
      </c>
      <c r="B44" s="1" t="s">
        <v>362</v>
      </c>
      <c r="C44" s="1" t="b">
        <v>0</v>
      </c>
      <c r="D4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DL-OF-LIGAPORTUGAL</v>
      </c>
      <c r="E44" s="17" t="b">
        <f>COUNTIFS(Fixtures[compID], Competitions[[#This Row],[compID]], Fixtures[APP], TRUE) &gt; 0</f>
        <v>0</v>
      </c>
      <c r="F44" s="17">
        <f>COUNTIF(Competitions[[#This Row],[2023/2024]:[2036/2037]], "Winner")</f>
        <v>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40"/>
    </row>
    <row r="45" spans="1:22" ht="13" hidden="1">
      <c r="A45" s="1" t="s">
        <v>1064</v>
      </c>
      <c r="B45" s="1" t="s">
        <v>362</v>
      </c>
      <c r="C45" s="1" t="b">
        <v>0</v>
      </c>
      <c r="D4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DL-OF-LIGUE1UBEREATS</v>
      </c>
      <c r="E45" s="17" t="b">
        <f>COUNTIFS(Fixtures[compID], Competitions[[#This Row],[compID]], Fixtures[APP], TRUE) &gt; 0</f>
        <v>0</v>
      </c>
      <c r="F45" s="17">
        <f>COUNTIF(Competitions[[#This Row],[2023/2024]:[2036/2037]], "Winner")</f>
        <v>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40"/>
    </row>
    <row r="46" spans="1:22" ht="13" hidden="1">
      <c r="A46" s="1" t="s">
        <v>1065</v>
      </c>
      <c r="B46" s="1" t="s">
        <v>362</v>
      </c>
      <c r="C46" s="1" t="b">
        <v>0</v>
      </c>
      <c r="D4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DL-OF-LIGUE2BKT</v>
      </c>
      <c r="E46" s="17" t="b">
        <f>COUNTIFS(Fixtures[compID], Competitions[[#This Row],[compID]], Fixtures[APP], TRUE) &gt; 0</f>
        <v>0</v>
      </c>
      <c r="F46" s="17">
        <f>COUNTIF(Competitions[[#This Row],[2023/2024]:[2036/2037]], "Winner")</f>
        <v>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40"/>
    </row>
    <row r="47" spans="1:22" ht="13" hidden="1">
      <c r="A47" s="1" t="s">
        <v>1066</v>
      </c>
      <c r="B47" s="1" t="s">
        <v>362</v>
      </c>
      <c r="C47" s="1" t="b">
        <v>0</v>
      </c>
      <c r="D4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DL-OF-LPF</v>
      </c>
      <c r="E47" s="17" t="b">
        <f>COUNTIFS(Fixtures[compID], Competitions[[#This Row],[compID]], Fixtures[APP], TRUE) &gt; 0</f>
        <v>0</v>
      </c>
      <c r="F47" s="17">
        <f>COUNTIF(Competitions[[#This Row],[2023/2024]:[2036/2037]], "Winner")</f>
        <v>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40"/>
    </row>
    <row r="48" spans="1:22" ht="13">
      <c r="A48" s="1" t="s">
        <v>334</v>
      </c>
      <c r="B48" s="1" t="s">
        <v>367</v>
      </c>
      <c r="C48" s="1" t="b">
        <v>0</v>
      </c>
      <c r="D4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IC-OF-MENSINTERNATIONALCUP</v>
      </c>
      <c r="E48" s="17" t="b">
        <f>COUNTIFS(Fixtures[compID], Competitions[[#This Row],[compID]], Fixtures[APP], TRUE) &gt; 0</f>
        <v>1</v>
      </c>
      <c r="F48" s="17">
        <f>COUNTIF(Competitions[[#This Row],[2023/2024]:[2036/2037]], "Winner")</f>
        <v>0</v>
      </c>
      <c r="G48" s="1"/>
      <c r="H48" s="1"/>
      <c r="I48" s="1" t="s">
        <v>1067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40"/>
    </row>
    <row r="49" spans="1:22" ht="13" hidden="1">
      <c r="A49" s="1" t="s">
        <v>1068</v>
      </c>
      <c r="B49" s="1" t="s">
        <v>362</v>
      </c>
      <c r="C49" s="1" t="b">
        <v>0</v>
      </c>
      <c r="D4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DL-OF-MLS</v>
      </c>
      <c r="E49" s="17" t="b">
        <f>COUNTIFS(Fixtures[compID], Competitions[[#This Row],[compID]], Fixtures[APP], TRUE) &gt; 0</f>
        <v>0</v>
      </c>
      <c r="F49" s="17">
        <f>COUNTIF(Competitions[[#This Row],[2023/2024]:[2036/2037]], "Winner")</f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40"/>
    </row>
    <row r="50" spans="1:22" ht="13" hidden="1">
      <c r="A50" s="1" t="s">
        <v>1069</v>
      </c>
      <c r="B50" s="1" t="s">
        <v>363</v>
      </c>
      <c r="C50" s="1" t="b">
        <v>0</v>
      </c>
      <c r="D5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DC-OF-NM</v>
      </c>
      <c r="E50" s="17" t="b">
        <f>COUNTIFS(Fixtures[compID], Competitions[[#This Row],[compID]], Fixtures[APP], TRUE) &gt; 0</f>
        <v>0</v>
      </c>
      <c r="F50" s="17">
        <f>COUNTIF(Competitions[[#This Row],[2023/2024]:[2036/2037]], "Winner")</f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40"/>
    </row>
    <row r="51" spans="1:22" ht="13" hidden="1">
      <c r="A51" s="1" t="s">
        <v>1070</v>
      </c>
      <c r="B51" s="1" t="s">
        <v>364</v>
      </c>
      <c r="C51" s="1" t="b">
        <v>1</v>
      </c>
      <c r="D5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PF-EX-NORTHAMERICANALLSTARSTROPHY</v>
      </c>
      <c r="E51" s="17" t="b">
        <f>COUNTIFS(Fixtures[compID], Competitions[[#This Row],[compID]], Fixtures[APP], TRUE) &gt; 0</f>
        <v>0</v>
      </c>
      <c r="F51" s="17">
        <f>COUNTIF(Competitions[[#This Row],[2023/2024]:[2036/2037]], "Winner")</f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40"/>
    </row>
    <row r="52" spans="1:22" ht="13" hidden="1">
      <c r="A52" s="1" t="s">
        <v>1071</v>
      </c>
      <c r="B52" s="1" t="s">
        <v>362</v>
      </c>
      <c r="C52" s="1" t="b">
        <v>0</v>
      </c>
      <c r="D5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DL-OF-ÖBUNDESLIGA</v>
      </c>
      <c r="E52" s="17" t="b">
        <f>COUNTIFS(Fixtures[compID], Competitions[[#This Row],[compID]], Fixtures[APP], TRUE) &gt; 0</f>
        <v>0</v>
      </c>
      <c r="F52" s="17">
        <f>COUNTIF(Competitions[[#This Row],[2023/2024]:[2036/2037]], "Winner")</f>
        <v>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40"/>
    </row>
    <row r="53" spans="1:22" ht="13" hidden="1">
      <c r="A53" s="1" t="s">
        <v>1072</v>
      </c>
      <c r="B53" s="1" t="s">
        <v>363</v>
      </c>
      <c r="C53" s="1" t="b">
        <v>0</v>
      </c>
      <c r="D5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DC-OF-ORANJEBEKER</v>
      </c>
      <c r="E53" s="17" t="b">
        <f>COUNTIFS(Fixtures[compID], Competitions[[#This Row],[compID]], Fixtures[APP], TRUE) &gt; 0</f>
        <v>0</v>
      </c>
      <c r="F53" s="17">
        <f>COUNTIF(Competitions[[#This Row],[2023/2024]:[2036/2037]], "Winner")</f>
        <v>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40"/>
    </row>
    <row r="54" spans="1:22" ht="13" hidden="1">
      <c r="A54" s="1" t="s">
        <v>1073</v>
      </c>
      <c r="B54" s="1" t="s">
        <v>363</v>
      </c>
      <c r="C54" s="1" t="b">
        <v>0</v>
      </c>
      <c r="D5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DC-OF-ÖSTERREICHPOKAL</v>
      </c>
      <c r="E54" s="17" t="b">
        <f>COUNTIFS(Fixtures[compID], Competitions[[#This Row],[compID]], Fixtures[APP], TRUE) &gt; 0</f>
        <v>0</v>
      </c>
      <c r="F54" s="17">
        <f>COUNTIF(Competitions[[#This Row],[2023/2024]:[2036/2037]], "Winner")</f>
        <v>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40"/>
    </row>
    <row r="55" spans="1:22" ht="13" hidden="1">
      <c r="A55" s="1" t="s">
        <v>1074</v>
      </c>
      <c r="B55" s="1" t="s">
        <v>363</v>
      </c>
      <c r="C55" s="1" t="b">
        <v>0</v>
      </c>
      <c r="D5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DC-OF-PAPAJOHNSTROPHY</v>
      </c>
      <c r="E55" s="17" t="b">
        <f>COUNTIFS(Fixtures[compID], Competitions[[#This Row],[compID]], Fixtures[APP], TRUE) &gt; 0</f>
        <v>0</v>
      </c>
      <c r="F55" s="17">
        <f>COUNTIF(Competitions[[#This Row],[2023/2024]:[2036/2037]], "Winner")</f>
        <v>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40"/>
    </row>
    <row r="56" spans="1:22" ht="13" hidden="1">
      <c r="A56" s="1" t="s">
        <v>1075</v>
      </c>
      <c r="B56" s="1" t="s">
        <v>362</v>
      </c>
      <c r="C56" s="1" t="b">
        <v>0</v>
      </c>
      <c r="D5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DL-OF-PKOEKSTRAKLASA</v>
      </c>
      <c r="E56" s="17" t="b">
        <f>COUNTIFS(Fixtures[compID], Competitions[[#This Row],[compID]], Fixtures[APP], TRUE) &gt; 0</f>
        <v>0</v>
      </c>
      <c r="F56" s="17">
        <f>COUNTIF(Competitions[[#This Row],[2023/2024]:[2036/2037]], "Winner")</f>
        <v>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40"/>
    </row>
    <row r="57" spans="1:22" ht="13" hidden="1">
      <c r="A57" s="1" t="s">
        <v>1076</v>
      </c>
      <c r="B57" s="1" t="s">
        <v>362</v>
      </c>
      <c r="C57" s="1" t="b">
        <v>0</v>
      </c>
      <c r="D5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DL-OF-PREMIERLEAGUE</v>
      </c>
      <c r="E57" s="17" t="b">
        <f>COUNTIFS(Fixtures[compID], Competitions[[#This Row],[compID]], Fixtures[APP], TRUE) &gt; 0</f>
        <v>0</v>
      </c>
      <c r="F57" s="17">
        <f>COUNTIF(Competitions[[#This Row],[2023/2024]:[2036/2037]], "Winner")</f>
        <v>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40"/>
    </row>
    <row r="58" spans="1:22" ht="13">
      <c r="A58" s="1" t="s">
        <v>166</v>
      </c>
      <c r="B58" s="1" t="s">
        <v>365</v>
      </c>
      <c r="C58" s="1" t="b">
        <v>0</v>
      </c>
      <c r="D5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DLP-OF-PROLEAGUEPLAYOFF</v>
      </c>
      <c r="E58" s="17" t="b">
        <f>COUNTIFS(Fixtures[compID], Competitions[[#This Row],[compID]], Fixtures[APP], TRUE) &gt; 0</f>
        <v>1</v>
      </c>
      <c r="F58" s="17">
        <f>COUNTIF(Competitions[[#This Row],[2023/2024]:[2036/2037]], "Winner")</f>
        <v>0</v>
      </c>
      <c r="G58" s="1" t="s">
        <v>1077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40"/>
    </row>
    <row r="59" spans="1:22" ht="13" hidden="1">
      <c r="A59" s="1" t="s">
        <v>1078</v>
      </c>
      <c r="B59" s="1" t="s">
        <v>363</v>
      </c>
      <c r="C59" s="1" t="b">
        <v>0</v>
      </c>
      <c r="D5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DC-OF-PUCHARKRAJU</v>
      </c>
      <c r="E59" s="17" t="b">
        <f>COUNTIFS(Fixtures[compID], Competitions[[#This Row],[compID]], Fixtures[APP], TRUE) &gt; 0</f>
        <v>0</v>
      </c>
      <c r="F59" s="17">
        <f>COUNTIF(Competitions[[#This Row],[2023/2024]:[2036/2037]], "Winner")</f>
        <v>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40"/>
    </row>
    <row r="60" spans="1:22" ht="13" hidden="1">
      <c r="A60" s="1" t="s">
        <v>1079</v>
      </c>
      <c r="B60" s="1" t="s">
        <v>365</v>
      </c>
      <c r="C60" s="1" t="b">
        <v>0</v>
      </c>
      <c r="D6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DLP-OF-RELEGATIONPLAYOFFS</v>
      </c>
      <c r="E60" s="17" t="b">
        <f>COUNTIFS(Fixtures[compID], Competitions[[#This Row],[compID]], Fixtures[APP], TRUE) &gt; 0</f>
        <v>0</v>
      </c>
      <c r="F60" s="17">
        <f>COUNTIF(Competitions[[#This Row],[2023/2024]:[2036/2037]], "Winner")</f>
        <v>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40"/>
    </row>
    <row r="61" spans="1:22" ht="13" hidden="1">
      <c r="A61" s="1" t="s">
        <v>1080</v>
      </c>
      <c r="B61" s="1" t="s">
        <v>362</v>
      </c>
      <c r="C61" s="1" t="b">
        <v>0</v>
      </c>
      <c r="D6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DL-OF-ROSHNSAUDILEAGUE</v>
      </c>
      <c r="E61" s="17" t="b">
        <f>COUNTIFS(Fixtures[compID], Competitions[[#This Row],[compID]], Fixtures[APP], TRUE) &gt; 0</f>
        <v>0</v>
      </c>
      <c r="F61" s="17">
        <f>COUNTIF(Competitions[[#This Row],[2023/2024]:[2036/2037]], "Winner")</f>
        <v>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40"/>
    </row>
    <row r="62" spans="1:22" ht="13" hidden="1">
      <c r="A62" s="1" t="s">
        <v>1081</v>
      </c>
      <c r="B62" s="1" t="s">
        <v>363</v>
      </c>
      <c r="C62" s="1" t="b">
        <v>0</v>
      </c>
      <c r="D6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DC-OF-SCHWEIZERPOKAL</v>
      </c>
      <c r="E62" s="17" t="b">
        <f>COUNTIFS(Fixtures[compID], Competitions[[#This Row],[compID]], Fixtures[APP], TRUE) &gt; 0</f>
        <v>0</v>
      </c>
      <c r="F62" s="17">
        <f>COUNTIF(Competitions[[#This Row],[2023/2024]:[2036/2037]], "Winner")</f>
        <v>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40"/>
    </row>
    <row r="63" spans="1:22" ht="13" hidden="1">
      <c r="A63" s="1" t="s">
        <v>1082</v>
      </c>
      <c r="B63" s="1" t="s">
        <v>363</v>
      </c>
      <c r="C63" s="1" t="b">
        <v>0</v>
      </c>
      <c r="D6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DC-OF-SCOTTISHCUP</v>
      </c>
      <c r="E63" s="17" t="b">
        <f>COUNTIFS(Fixtures[compID], Competitions[[#This Row],[compID]], Fixtures[APP], TRUE) &gt; 0</f>
        <v>0</v>
      </c>
      <c r="F63" s="17">
        <f>COUNTIF(Competitions[[#This Row],[2023/2024]:[2036/2037]], "Winner")</f>
        <v>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40"/>
    </row>
    <row r="64" spans="1:22" ht="13" hidden="1">
      <c r="A64" s="1" t="s">
        <v>1083</v>
      </c>
      <c r="B64" s="1" t="s">
        <v>362</v>
      </c>
      <c r="C64" s="1" t="b">
        <v>0</v>
      </c>
      <c r="D6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DL-OF-SERIEATIM</v>
      </c>
      <c r="E64" s="17" t="b">
        <f>COUNTIFS(Fixtures[compID], Competitions[[#This Row],[compID]], Fixtures[APP], TRUE) &gt; 0</f>
        <v>0</v>
      </c>
      <c r="F64" s="17">
        <f>COUNTIF(Competitions[[#This Row],[2023/2024]:[2036/2037]], "Winner")</f>
        <v>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40"/>
    </row>
    <row r="65" spans="1:22" ht="13" hidden="1">
      <c r="A65" s="1" t="s">
        <v>1084</v>
      </c>
      <c r="B65" s="1" t="s">
        <v>362</v>
      </c>
      <c r="C65" s="1" t="b">
        <v>0</v>
      </c>
      <c r="D6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DL-OF-SERIEBKT</v>
      </c>
      <c r="E65" s="17" t="b">
        <f>COUNTIFS(Fixtures[compID], Competitions[[#This Row],[compID]], Fixtures[APP], TRUE) &gt; 0</f>
        <v>0</v>
      </c>
      <c r="F65" s="17">
        <f>COUNTIF(Competitions[[#This Row],[2023/2024]:[2036/2037]], "Winner")</f>
        <v>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40"/>
    </row>
    <row r="66" spans="1:22" ht="13" hidden="1">
      <c r="A66" s="1" t="s">
        <v>1085</v>
      </c>
      <c r="B66" s="1" t="s">
        <v>364</v>
      </c>
      <c r="C66" s="1" t="b">
        <v>1</v>
      </c>
      <c r="D6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PF-EX-SOUTHAMERICACONTINENTALSHIELD</v>
      </c>
      <c r="E66" s="17" t="b">
        <f>COUNTIFS(Fixtures[compID], Competitions[[#This Row],[compID]], Fixtures[APP], TRUE) &gt; 0</f>
        <v>0</v>
      </c>
      <c r="F66" s="17">
        <f>COUNTIF(Competitions[[#This Row],[2023/2024]:[2036/2037]], "Winner")</f>
        <v>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40"/>
    </row>
    <row r="67" spans="1:22" ht="13" hidden="1">
      <c r="A67" s="1" t="s">
        <v>1086</v>
      </c>
      <c r="B67" s="1" t="s">
        <v>362</v>
      </c>
      <c r="C67" s="1" t="b">
        <v>0</v>
      </c>
      <c r="D6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DL-OF-SSEAIRTRICITYPD</v>
      </c>
      <c r="E67" s="17" t="b">
        <f>COUNTIFS(Fixtures[compID], Competitions[[#This Row],[compID]], Fixtures[APP], TRUE) &gt; 0</f>
        <v>0</v>
      </c>
      <c r="F67" s="17">
        <f>COUNTIF(Competitions[[#This Row],[2023/2024]:[2036/2037]], "Winner")</f>
        <v>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40"/>
    </row>
    <row r="68" spans="1:22" ht="13" hidden="1">
      <c r="A68" s="1" t="s">
        <v>1087</v>
      </c>
      <c r="B68" s="1" t="s">
        <v>362</v>
      </c>
      <c r="C68" s="1" t="b">
        <v>0</v>
      </c>
      <c r="D6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DL-OF-SÜPERLIG</v>
      </c>
      <c r="E68" s="17" t="b">
        <f>COUNTIFS(Fixtures[compID], Competitions[[#This Row],[compID]], Fixtures[APP], TRUE) &gt; 0</f>
        <v>0</v>
      </c>
      <c r="F68" s="17">
        <f>COUNTIF(Competitions[[#This Row],[2023/2024]:[2036/2037]], "Winner")</f>
        <v>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40"/>
    </row>
    <row r="69" spans="1:22" ht="13" hidden="1">
      <c r="A69" s="1" t="s">
        <v>1088</v>
      </c>
      <c r="B69" s="1" t="s">
        <v>1046</v>
      </c>
      <c r="C69" s="1" t="b">
        <v>0</v>
      </c>
      <c r="D6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DSC-OF-SUPERCOPA</v>
      </c>
      <c r="E69" s="17" t="b">
        <f>COUNTIFS(Fixtures[compID], Competitions[[#This Row],[compID]], Fixtures[APP], TRUE) &gt; 0</f>
        <v>0</v>
      </c>
      <c r="F69" s="17">
        <f>COUNTIF(Competitions[[#This Row],[2023/2024]:[2036/2037]], "Winner")</f>
        <v>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40"/>
    </row>
    <row r="70" spans="1:22" ht="13" hidden="1">
      <c r="A70" s="1" t="s">
        <v>1089</v>
      </c>
      <c r="B70" s="1" t="s">
        <v>362</v>
      </c>
      <c r="C70" s="1" t="b">
        <v>0</v>
      </c>
      <c r="D70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DL-OF-SUPERLIGA</v>
      </c>
      <c r="E70" s="17" t="b">
        <f>COUNTIFS(Fixtures[compID], Competitions[[#This Row],[compID]], Fixtures[APP], TRUE) &gt; 0</f>
        <v>0</v>
      </c>
      <c r="F70" s="17">
        <f>COUNTIF(Competitions[[#This Row],[2023/2024]:[2036/2037]], "Winner")</f>
        <v>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40"/>
    </row>
    <row r="71" spans="1:22" ht="13" hidden="1">
      <c r="A71" s="1" t="s">
        <v>1090</v>
      </c>
      <c r="B71" s="1" t="s">
        <v>363</v>
      </c>
      <c r="C71" s="1" t="b">
        <v>0</v>
      </c>
      <c r="D71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DC-OF-SVERIGESCUP</v>
      </c>
      <c r="E71" s="17" t="b">
        <f>COUNTIFS(Fixtures[compID], Competitions[[#This Row],[compID]], Fixtures[APP], TRUE) &gt; 0</f>
        <v>0</v>
      </c>
      <c r="F71" s="17">
        <f>COUNTIF(Competitions[[#This Row],[2023/2024]:[2036/2037]], "Winner")</f>
        <v>0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40"/>
    </row>
    <row r="72" spans="1:22" ht="13" hidden="1">
      <c r="A72" s="1" t="s">
        <v>1091</v>
      </c>
      <c r="B72" s="1" t="s">
        <v>363</v>
      </c>
      <c r="C72" s="1" t="b">
        <v>0</v>
      </c>
      <c r="D72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DC-OF-SYDBANKPOKALEN</v>
      </c>
      <c r="E72" s="17" t="b">
        <f>COUNTIFS(Fixtures[compID], Competitions[[#This Row],[compID]], Fixtures[APP], TRUE) &gt; 0</f>
        <v>0</v>
      </c>
      <c r="F72" s="17">
        <f>COUNTIF(Competitions[[#This Row],[2023/2024]:[2036/2037]], "Winner")</f>
        <v>0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40"/>
    </row>
    <row r="73" spans="1:22" ht="13" hidden="1">
      <c r="A73" s="1" t="s">
        <v>1092</v>
      </c>
      <c r="B73" s="1" t="s">
        <v>363</v>
      </c>
      <c r="C73" s="1" t="b">
        <v>0</v>
      </c>
      <c r="D73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DC-OF-TAÇAPORTUGUESA</v>
      </c>
      <c r="E73" s="17" t="b">
        <f>COUNTIFS(Fixtures[compID], Competitions[[#This Row],[compID]], Fixtures[APP], TRUE) &gt; 0</f>
        <v>0</v>
      </c>
      <c r="F73" s="17">
        <f>COUNTIF(Competitions[[#This Row],[2023/2024]:[2036/2037]], "Winner")</f>
        <v>0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40"/>
    </row>
    <row r="74" spans="1:22" ht="13" hidden="1">
      <c r="A74" s="1" t="s">
        <v>1093</v>
      </c>
      <c r="B74" s="1" t="s">
        <v>363</v>
      </c>
      <c r="C74" s="1" t="b">
        <v>0</v>
      </c>
      <c r="D74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DC-OF-TÜRKKUPASI</v>
      </c>
      <c r="E74" s="17" t="b">
        <f>COUNTIFS(Fixtures[compID], Competitions[[#This Row],[compID]], Fixtures[APP], TRUE) &gt; 0</f>
        <v>0</v>
      </c>
      <c r="F74" s="17">
        <f>COUNTIF(Competitions[[#This Row],[2023/2024]:[2036/2037]], "Winner")</f>
        <v>0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40"/>
    </row>
    <row r="75" spans="1:22" ht="13" hidden="1">
      <c r="A75" s="1" t="s">
        <v>1094</v>
      </c>
      <c r="B75" s="1" t="s">
        <v>363</v>
      </c>
      <c r="C75" s="1" t="b">
        <v>0</v>
      </c>
      <c r="D75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DC-OF-USOPENCUP</v>
      </c>
      <c r="E75" s="17" t="b">
        <f>COUNTIFS(Fixtures[compID], Competitions[[#This Row],[compID]], Fixtures[APP], TRUE) &gt; 0</f>
        <v>0</v>
      </c>
      <c r="F75" s="17">
        <f>COUNTIF(Competitions[[#This Row],[2023/2024]:[2036/2037]], "Winner")</f>
        <v>0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40"/>
    </row>
    <row r="76" spans="1:22" ht="13">
      <c r="A76" s="1" t="s">
        <v>274</v>
      </c>
      <c r="B76" s="1" t="s">
        <v>366</v>
      </c>
      <c r="C76" s="1" t="b">
        <v>0</v>
      </c>
      <c r="D76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CC-OF-UEFACHAMPIONSLEAGUE</v>
      </c>
      <c r="E76" s="17" t="b">
        <f>COUNTIFS(Fixtures[compID], Competitions[[#This Row],[compID]], Fixtures[APP], TRUE) &gt; 0</f>
        <v>1</v>
      </c>
      <c r="F76" s="17">
        <f>COUNTIF(Competitions[[#This Row],[2023/2024]:[2036/2037]], "Winner")</f>
        <v>0</v>
      </c>
      <c r="G76" s="1"/>
      <c r="H76" s="1"/>
      <c r="I76" s="1" t="s">
        <v>1095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40"/>
    </row>
    <row r="77" spans="1:22" ht="13">
      <c r="A77" s="1" t="s">
        <v>134</v>
      </c>
      <c r="B77" s="1" t="s">
        <v>366</v>
      </c>
      <c r="C77" s="1" t="b">
        <v>0</v>
      </c>
      <c r="D77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CC-OF-UEFAEUROPACONFERENCELEAGUE</v>
      </c>
      <c r="E77" s="17" t="b">
        <f>COUNTIFS(Fixtures[compID], Competitions[[#This Row],[compID]], Fixtures[APP], TRUE) &gt; 0</f>
        <v>1</v>
      </c>
      <c r="F77" s="17">
        <f>COUNTIF(Competitions[[#This Row],[2023/2024]:[2036/2037]], "Winner")</f>
        <v>0</v>
      </c>
      <c r="G77" s="1" t="s">
        <v>1067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40"/>
    </row>
    <row r="78" spans="1:22" ht="13" hidden="1">
      <c r="A78" s="1" t="s">
        <v>1096</v>
      </c>
      <c r="B78" s="1" t="s">
        <v>366</v>
      </c>
      <c r="C78" s="1" t="b">
        <v>0</v>
      </c>
      <c r="D78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CC-OF-UEFAEUROPALEAGUE</v>
      </c>
      <c r="E78" s="17" t="b">
        <f>COUNTIFS(Fixtures[compID], Competitions[[#This Row],[compID]], Fixtures[APP], TRUE) &gt; 0</f>
        <v>0</v>
      </c>
      <c r="F78" s="17">
        <f>COUNTIF(Competitions[[#This Row],[2023/2024]:[2036/2037]], "Winner")</f>
        <v>0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40"/>
    </row>
    <row r="79" spans="1:22" ht="13" hidden="1">
      <c r="A79" s="1" t="s">
        <v>1097</v>
      </c>
      <c r="B79" s="1" t="s">
        <v>1098</v>
      </c>
      <c r="C79" s="1" t="b">
        <v>0</v>
      </c>
      <c r="D79" s="17" t="str">
        <f>_xlfn.CONCAT(LEFT(Competitions[[#This Row],[compType]],1)&amp;IFERROR(MID(Competitions[[#This Row],[compType]],SEARCH(" ",Competitions[[#This Row],[compType]])+1,1),"")&amp;IFERROR(MID(Competitions[[#This Row],[compType]],SEARCH(" ",Competitions[[#This Row],[compType]],SEARCH(" ",Competitions[[#This Row],[compType]])+1)+1,1),""), "-", IF(Competitions[[#This Row],[exhibition]], "EX", "OF"), "-", UPPER(SUBSTITUTE(SUBSTITUTE(SUBSTITUTE(SUBSTITUTE(Competitions[[#This Row],[name]], ".", ""), " ", ""), "-", ""), "'", "")))</f>
        <v>CSC-OF-UEFASUPERCUP</v>
      </c>
      <c r="E79" s="17" t="b">
        <f>COUNTIFS(Fixtures[compID], Competitions[[#This Row],[compID]], Fixtures[APP], TRUE) &gt; 0</f>
        <v>0</v>
      </c>
      <c r="F79" s="17">
        <f>COUNTIF(Competitions[[#This Row],[2023/2024]:[2036/2037]], "Winner")</f>
        <v>0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40"/>
    </row>
    <row r="80" spans="1:22">
      <c r="A80" s="44"/>
      <c r="C80" s="44"/>
      <c r="D80" s="40"/>
      <c r="E80" s="40"/>
      <c r="F80" s="44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</row>
    <row r="81" spans="1:22">
      <c r="A81" s="44"/>
      <c r="C81" s="44"/>
      <c r="D81" s="40"/>
      <c r="E81" s="40"/>
      <c r="F81" s="44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</row>
    <row r="82" spans="1:22">
      <c r="A82" s="44"/>
      <c r="C82" s="44"/>
      <c r="D82" s="40"/>
      <c r="E82" s="40"/>
      <c r="F82" s="44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</row>
    <row r="83" spans="1:22">
      <c r="A83" s="44"/>
      <c r="C83" s="44"/>
      <c r="D83" s="40"/>
      <c r="E83" s="40"/>
      <c r="F83" s="44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</row>
    <row r="84" spans="1:22">
      <c r="A84" s="44"/>
      <c r="C84" s="44"/>
      <c r="D84" s="40"/>
      <c r="E84" s="40"/>
      <c r="F84" s="44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</row>
    <row r="85" spans="1:22">
      <c r="A85" s="44"/>
      <c r="C85" s="44"/>
      <c r="D85" s="40"/>
      <c r="E85" s="40"/>
      <c r="F85" s="44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</row>
    <row r="86" spans="1:22">
      <c r="A86" s="44"/>
      <c r="C86" s="44"/>
      <c r="D86" s="40"/>
      <c r="E86" s="40"/>
      <c r="F86" s="44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</row>
    <row r="87" spans="1:22">
      <c r="A87" s="44"/>
      <c r="C87" s="44"/>
      <c r="D87" s="40"/>
      <c r="E87" s="40"/>
      <c r="F87" s="44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</row>
    <row r="88" spans="1:22">
      <c r="A88" s="44"/>
      <c r="C88" s="44"/>
      <c r="D88" s="40"/>
      <c r="E88" s="40"/>
      <c r="F88" s="44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</row>
    <row r="89" spans="1:22">
      <c r="A89" s="44"/>
      <c r="C89" s="44"/>
      <c r="D89" s="40"/>
      <c r="E89" s="40"/>
      <c r="F89" s="44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</row>
    <row r="90" spans="1:22">
      <c r="A90" s="44"/>
      <c r="C90" s="44"/>
      <c r="D90" s="40"/>
      <c r="E90" s="40"/>
      <c r="F90" s="44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</row>
    <row r="91" spans="1:22">
      <c r="A91" s="44"/>
      <c r="C91" s="44"/>
      <c r="D91" s="40"/>
      <c r="E91" s="40"/>
      <c r="F91" s="44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</row>
    <row r="92" spans="1:22">
      <c r="A92" s="44"/>
      <c r="C92" s="44"/>
      <c r="D92" s="40"/>
      <c r="E92" s="40"/>
      <c r="F92" s="44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</row>
    <row r="93" spans="1:22">
      <c r="A93" s="44"/>
      <c r="C93" s="44"/>
      <c r="D93" s="40"/>
      <c r="E93" s="40"/>
      <c r="F93" s="44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</row>
    <row r="94" spans="1:22">
      <c r="A94" s="44"/>
      <c r="C94" s="44"/>
      <c r="D94" s="40"/>
      <c r="E94" s="40"/>
      <c r="F94" s="44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</row>
    <row r="95" spans="1:22">
      <c r="A95" s="44"/>
      <c r="C95" s="44"/>
      <c r="D95" s="40"/>
      <c r="E95" s="40"/>
      <c r="F95" s="44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</row>
    <row r="96" spans="1:22">
      <c r="A96" s="44"/>
      <c r="C96" s="44"/>
      <c r="D96" s="40"/>
      <c r="E96" s="40"/>
      <c r="F96" s="44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</row>
    <row r="97" spans="1:22">
      <c r="A97" s="44"/>
      <c r="C97" s="44"/>
      <c r="D97" s="40"/>
      <c r="E97" s="40"/>
      <c r="F97" s="44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</row>
    <row r="98" spans="1:22">
      <c r="A98" s="44"/>
      <c r="C98" s="44"/>
      <c r="D98" s="40"/>
      <c r="E98" s="40"/>
      <c r="F98" s="44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</row>
    <row r="99" spans="1:22">
      <c r="A99" s="44"/>
      <c r="C99" s="44"/>
      <c r="D99" s="40"/>
      <c r="E99" s="40"/>
      <c r="F99" s="44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</row>
    <row r="100" spans="1:22">
      <c r="A100" s="44"/>
      <c r="C100" s="44"/>
      <c r="D100" s="40"/>
      <c r="E100" s="40"/>
      <c r="F100" s="44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</row>
    <row r="101" spans="1:22">
      <c r="A101" s="44"/>
      <c r="C101" s="44"/>
      <c r="D101" s="40"/>
      <c r="E101" s="40"/>
      <c r="F101" s="44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</row>
    <row r="102" spans="1:22">
      <c r="A102" s="44"/>
      <c r="C102" s="44"/>
      <c r="D102" s="40"/>
      <c r="E102" s="40"/>
      <c r="F102" s="44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</row>
    <row r="103" spans="1:22">
      <c r="A103" s="44"/>
      <c r="C103" s="44"/>
      <c r="D103" s="40"/>
      <c r="E103" s="40"/>
      <c r="F103" s="44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</row>
    <row r="104" spans="1:22">
      <c r="A104" s="44"/>
      <c r="C104" s="44"/>
      <c r="D104" s="40"/>
      <c r="E104" s="40"/>
      <c r="F104" s="44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</row>
    <row r="105" spans="1:22">
      <c r="A105" s="44"/>
      <c r="C105" s="44"/>
      <c r="D105" s="40"/>
      <c r="E105" s="40"/>
      <c r="F105" s="44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</row>
    <row r="106" spans="1:22">
      <c r="A106" s="44"/>
      <c r="C106" s="44"/>
      <c r="D106" s="40"/>
      <c r="E106" s="40"/>
      <c r="F106" s="44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</row>
    <row r="107" spans="1:22">
      <c r="A107" s="44"/>
      <c r="C107" s="44"/>
      <c r="D107" s="40"/>
      <c r="E107" s="40"/>
      <c r="F107" s="44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</row>
    <row r="108" spans="1:22">
      <c r="A108" s="44"/>
      <c r="C108" s="44"/>
      <c r="D108" s="40"/>
      <c r="E108" s="40"/>
      <c r="F108" s="44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</row>
    <row r="109" spans="1:22">
      <c r="A109" s="44"/>
      <c r="C109" s="44"/>
      <c r="D109" s="40"/>
      <c r="E109" s="40"/>
      <c r="F109" s="44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</row>
    <row r="110" spans="1:22">
      <c r="A110" s="44"/>
      <c r="C110" s="44"/>
      <c r="D110" s="40"/>
      <c r="E110" s="40"/>
      <c r="F110" s="44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</row>
    <row r="111" spans="1:22">
      <c r="A111" s="44"/>
      <c r="C111" s="44"/>
      <c r="D111" s="40"/>
      <c r="E111" s="40"/>
      <c r="F111" s="44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</row>
    <row r="112" spans="1:22">
      <c r="A112" s="44"/>
      <c r="C112" s="44"/>
      <c r="D112" s="40"/>
      <c r="E112" s="40"/>
      <c r="F112" s="44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</row>
    <row r="113" spans="1:22">
      <c r="A113" s="44"/>
      <c r="C113" s="44"/>
      <c r="D113" s="40"/>
      <c r="E113" s="40"/>
      <c r="F113" s="44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</row>
    <row r="114" spans="1:22">
      <c r="A114" s="44"/>
      <c r="C114" s="44"/>
      <c r="D114" s="40"/>
      <c r="E114" s="40"/>
      <c r="F114" s="44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</row>
    <row r="115" spans="1:22">
      <c r="A115" s="44"/>
      <c r="C115" s="44"/>
      <c r="D115" s="40"/>
      <c r="E115" s="40"/>
      <c r="F115" s="44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</row>
    <row r="116" spans="1:22">
      <c r="A116" s="44"/>
      <c r="C116" s="44"/>
      <c r="D116" s="40"/>
      <c r="E116" s="40"/>
      <c r="F116" s="44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</row>
    <row r="117" spans="1:22">
      <c r="A117" s="44"/>
      <c r="C117" s="44"/>
      <c r="D117" s="40"/>
      <c r="E117" s="40"/>
      <c r="F117" s="44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</row>
    <row r="118" spans="1:22">
      <c r="A118" s="44"/>
      <c r="C118" s="44"/>
      <c r="D118" s="40"/>
      <c r="E118" s="40"/>
      <c r="F118" s="44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</row>
    <row r="119" spans="1:22">
      <c r="A119" s="44"/>
      <c r="C119" s="44"/>
      <c r="D119" s="40"/>
      <c r="E119" s="40"/>
      <c r="F119" s="44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</row>
    <row r="120" spans="1:22">
      <c r="A120" s="44"/>
      <c r="C120" s="44"/>
      <c r="D120" s="40"/>
      <c r="E120" s="40"/>
      <c r="F120" s="44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</row>
    <row r="121" spans="1:22">
      <c r="A121" s="44"/>
      <c r="C121" s="44"/>
      <c r="D121" s="40"/>
      <c r="E121" s="40"/>
      <c r="F121" s="44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</row>
    <row r="122" spans="1:22">
      <c r="A122" s="44"/>
      <c r="C122" s="44"/>
      <c r="D122" s="40"/>
      <c r="E122" s="40"/>
      <c r="F122" s="44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</row>
    <row r="123" spans="1:22">
      <c r="A123" s="44"/>
      <c r="C123" s="44"/>
      <c r="D123" s="40"/>
      <c r="E123" s="40"/>
      <c r="F123" s="44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</row>
    <row r="124" spans="1:22">
      <c r="A124" s="44"/>
      <c r="C124" s="44"/>
      <c r="D124" s="40"/>
      <c r="E124" s="40"/>
      <c r="F124" s="44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</row>
    <row r="125" spans="1:22">
      <c r="A125" s="44"/>
      <c r="C125" s="44"/>
      <c r="D125" s="40"/>
      <c r="E125" s="40"/>
      <c r="F125" s="44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</row>
    <row r="126" spans="1:22">
      <c r="A126" s="44"/>
      <c r="C126" s="44"/>
      <c r="D126" s="40"/>
      <c r="E126" s="40"/>
      <c r="F126" s="44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</row>
    <row r="127" spans="1:22">
      <c r="A127" s="44"/>
      <c r="C127" s="44"/>
      <c r="D127" s="40"/>
      <c r="E127" s="40"/>
      <c r="F127" s="44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</row>
    <row r="128" spans="1:22">
      <c r="A128" s="44"/>
      <c r="C128" s="44"/>
      <c r="D128" s="40"/>
      <c r="E128" s="40"/>
      <c r="F128" s="44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</row>
    <row r="129" spans="1:22">
      <c r="A129" s="44"/>
      <c r="C129" s="44"/>
      <c r="D129" s="40"/>
      <c r="E129" s="40"/>
      <c r="F129" s="44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</row>
    <row r="130" spans="1:22">
      <c r="A130" s="44"/>
      <c r="C130" s="44"/>
      <c r="D130" s="40"/>
      <c r="E130" s="40"/>
      <c r="F130" s="44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</row>
    <row r="131" spans="1:22">
      <c r="A131" s="44"/>
      <c r="C131" s="44"/>
      <c r="D131" s="40"/>
      <c r="E131" s="40"/>
      <c r="F131" s="44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</row>
    <row r="132" spans="1:22">
      <c r="A132" s="44"/>
      <c r="C132" s="44"/>
      <c r="D132" s="40"/>
      <c r="E132" s="40"/>
      <c r="F132" s="44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</row>
    <row r="133" spans="1:22">
      <c r="A133" s="44"/>
      <c r="C133" s="44"/>
      <c r="D133" s="40"/>
      <c r="E133" s="40"/>
      <c r="F133" s="44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</row>
    <row r="134" spans="1:22">
      <c r="A134" s="44"/>
      <c r="C134" s="44"/>
      <c r="D134" s="40"/>
      <c r="E134" s="40"/>
      <c r="F134" s="44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</row>
    <row r="135" spans="1:22">
      <c r="A135" s="44"/>
      <c r="C135" s="44"/>
      <c r="D135" s="40"/>
      <c r="E135" s="40"/>
      <c r="F135" s="44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</row>
    <row r="136" spans="1:22">
      <c r="A136" s="44"/>
      <c r="C136" s="44"/>
      <c r="D136" s="40"/>
      <c r="E136" s="40"/>
      <c r="F136" s="44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</row>
    <row r="137" spans="1:22">
      <c r="A137" s="44"/>
      <c r="C137" s="44"/>
      <c r="D137" s="40"/>
      <c r="E137" s="40"/>
      <c r="F137" s="44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</row>
    <row r="138" spans="1:22">
      <c r="A138" s="44"/>
      <c r="C138" s="44"/>
      <c r="D138" s="40"/>
      <c r="E138" s="40"/>
      <c r="F138" s="44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</row>
    <row r="139" spans="1:22">
      <c r="A139" s="44"/>
      <c r="C139" s="44"/>
      <c r="D139" s="40"/>
      <c r="E139" s="40"/>
      <c r="F139" s="44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</row>
    <row r="140" spans="1:22">
      <c r="A140" s="44"/>
      <c r="C140" s="44"/>
      <c r="D140" s="40"/>
      <c r="E140" s="40"/>
      <c r="F140" s="44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</row>
    <row r="141" spans="1:22">
      <c r="A141" s="44"/>
      <c r="C141" s="44"/>
      <c r="D141" s="40"/>
      <c r="E141" s="40"/>
      <c r="F141" s="44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</row>
    <row r="142" spans="1:22">
      <c r="A142" s="44"/>
      <c r="C142" s="44"/>
      <c r="D142" s="40"/>
      <c r="E142" s="40"/>
      <c r="F142" s="44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</row>
    <row r="143" spans="1:22">
      <c r="A143" s="44"/>
      <c r="C143" s="44"/>
      <c r="D143" s="40"/>
      <c r="E143" s="40"/>
      <c r="F143" s="44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</row>
    <row r="144" spans="1:22">
      <c r="A144" s="44"/>
      <c r="C144" s="44"/>
      <c r="D144" s="40"/>
      <c r="E144" s="40"/>
      <c r="F144" s="44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</row>
    <row r="145" spans="1:22">
      <c r="A145" s="44"/>
      <c r="C145" s="44"/>
      <c r="D145" s="40"/>
      <c r="E145" s="40"/>
      <c r="F145" s="44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</row>
    <row r="146" spans="1:22">
      <c r="A146" s="44"/>
      <c r="C146" s="44"/>
      <c r="D146" s="40"/>
      <c r="E146" s="40"/>
      <c r="F146" s="44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</row>
    <row r="147" spans="1:22">
      <c r="A147" s="44"/>
      <c r="C147" s="44"/>
      <c r="D147" s="40"/>
      <c r="E147" s="40"/>
      <c r="F147" s="44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</row>
    <row r="148" spans="1:22">
      <c r="A148" s="44"/>
      <c r="C148" s="44"/>
      <c r="D148" s="40"/>
      <c r="E148" s="40"/>
      <c r="F148" s="44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</row>
    <row r="149" spans="1:22">
      <c r="A149" s="44"/>
      <c r="C149" s="44"/>
      <c r="D149" s="40"/>
      <c r="E149" s="40"/>
      <c r="F149" s="44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</row>
    <row r="150" spans="1:22">
      <c r="A150" s="44"/>
      <c r="C150" s="44"/>
      <c r="D150" s="40"/>
      <c r="E150" s="40"/>
      <c r="F150" s="44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</row>
    <row r="151" spans="1:22">
      <c r="A151" s="44"/>
      <c r="C151" s="44"/>
      <c r="D151" s="40"/>
      <c r="E151" s="40"/>
      <c r="F151" s="44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</row>
    <row r="152" spans="1:22">
      <c r="A152" s="44"/>
      <c r="C152" s="44"/>
      <c r="D152" s="40"/>
      <c r="E152" s="40"/>
      <c r="F152" s="44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</row>
    <row r="153" spans="1:22">
      <c r="A153" s="44"/>
      <c r="C153" s="44"/>
      <c r="D153" s="40"/>
      <c r="E153" s="40"/>
      <c r="F153" s="44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</row>
    <row r="154" spans="1:22">
      <c r="A154" s="44"/>
      <c r="C154" s="44"/>
      <c r="D154" s="40"/>
      <c r="E154" s="40"/>
      <c r="F154" s="44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</row>
    <row r="155" spans="1:22">
      <c r="A155" s="44"/>
      <c r="C155" s="44"/>
      <c r="D155" s="40"/>
      <c r="E155" s="40"/>
      <c r="F155" s="44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</row>
    <row r="156" spans="1:22">
      <c r="A156" s="44"/>
      <c r="C156" s="44"/>
      <c r="D156" s="40"/>
      <c r="E156" s="40"/>
      <c r="F156" s="44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</row>
    <row r="157" spans="1:22">
      <c r="A157" s="44"/>
      <c r="C157" s="44"/>
      <c r="D157" s="40"/>
      <c r="E157" s="40"/>
      <c r="F157" s="44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</row>
    <row r="158" spans="1:22">
      <c r="A158" s="44"/>
      <c r="C158" s="44"/>
      <c r="D158" s="40"/>
      <c r="E158" s="40"/>
      <c r="F158" s="44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</row>
  </sheetData>
  <phoneticPr fontId="6" type="noConversion"/>
  <conditionalFormatting sqref="G2:U79">
    <cfRule type="containsText" dxfId="34" priority="1" operator="containsText" text="Winner">
      <formula>NOT(ISERROR(SEARCH("Winner",G2)))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E543-B342-4FAF-ADBA-378954D8F0DF}">
  <dimension ref="A1:G604"/>
  <sheetViews>
    <sheetView topLeftCell="A11" workbookViewId="0">
      <selection activeCell="B605" sqref="B605"/>
    </sheetView>
  </sheetViews>
  <sheetFormatPr baseColWidth="10" defaultColWidth="8.85546875" defaultRowHeight="12.75" customHeight="1"/>
  <cols>
    <col min="1" max="1" width="17.42578125" style="27" bestFit="1" customWidth="1"/>
    <col min="2" max="2" width="15.42578125" style="27" bestFit="1" customWidth="1"/>
    <col min="3" max="3" width="12.7109375" bestFit="1" customWidth="1"/>
    <col min="4" max="4" width="12.42578125" style="27" bestFit="1" customWidth="1"/>
    <col min="5" max="5" width="5.42578125" style="27" bestFit="1" customWidth="1"/>
    <col min="6" max="6" width="8.28515625" style="27" bestFit="1" customWidth="1"/>
    <col min="7" max="8" width="7.7109375" style="27" bestFit="1" customWidth="1"/>
    <col min="9" max="16384" width="8.85546875" style="27"/>
  </cols>
  <sheetData>
    <row r="1" spans="1:7" ht="13">
      <c r="A1" s="27" t="s">
        <v>384</v>
      </c>
      <c r="B1" s="27" t="s">
        <v>15</v>
      </c>
      <c r="C1" s="27" t="s">
        <v>1099</v>
      </c>
      <c r="D1" s="27" t="s">
        <v>1100</v>
      </c>
      <c r="E1" s="27" t="s">
        <v>1101</v>
      </c>
      <c r="F1" s="27" t="s">
        <v>390</v>
      </c>
      <c r="G1" s="27" t="s">
        <v>1102</v>
      </c>
    </row>
    <row r="2" spans="1:7" ht="13">
      <c r="A2" s="27" t="s">
        <v>1103</v>
      </c>
      <c r="B2" s="27" t="s">
        <v>152</v>
      </c>
      <c r="C2" s="27" t="s">
        <v>1104</v>
      </c>
      <c r="D2" s="27" t="s">
        <v>1105</v>
      </c>
      <c r="E2" s="27" t="b">
        <v>1</v>
      </c>
      <c r="F2" s="27" t="b">
        <f>COUNTIFS(Fixtures[referee], Referees[[#This Row],[name]], Fixtures[APP], TRUE) &gt; 0</f>
        <v>0</v>
      </c>
      <c r="G2" s="27" t="s">
        <v>1106</v>
      </c>
    </row>
    <row r="3" spans="1:7" ht="13">
      <c r="A3" s="27" t="s">
        <v>1107</v>
      </c>
      <c r="B3" s="27" t="s">
        <v>403</v>
      </c>
      <c r="C3" s="27" t="s">
        <v>1104</v>
      </c>
      <c r="D3" s="27" t="s">
        <v>1105</v>
      </c>
      <c r="E3" s="27" t="b">
        <v>0</v>
      </c>
      <c r="F3" s="27" t="b">
        <f>COUNTIFS(Fixtures[referee], Referees[[#This Row],[name]], Fixtures[APP], TRUE) &gt; 0</f>
        <v>0</v>
      </c>
      <c r="G3" s="27" t="s">
        <v>1106</v>
      </c>
    </row>
    <row r="4" spans="1:7" ht="13">
      <c r="A4" s="27" t="s">
        <v>1108</v>
      </c>
      <c r="B4" s="27" t="s">
        <v>335</v>
      </c>
      <c r="C4" s="27" t="s">
        <v>1104</v>
      </c>
      <c r="D4" s="27" t="s">
        <v>1105</v>
      </c>
      <c r="E4" s="27" t="b">
        <v>0</v>
      </c>
      <c r="F4" s="27" t="b">
        <f>COUNTIFS(Fixtures[referee], Referees[[#This Row],[name]], Fixtures[APP], TRUE) &gt; 0</f>
        <v>0</v>
      </c>
      <c r="G4" s="27" t="s">
        <v>1106</v>
      </c>
    </row>
    <row r="5" spans="1:7" ht="13">
      <c r="A5" s="27" t="s">
        <v>1109</v>
      </c>
      <c r="B5" s="27" t="s">
        <v>152</v>
      </c>
      <c r="C5" s="27" t="s">
        <v>1104</v>
      </c>
      <c r="D5" s="27" t="s">
        <v>1105</v>
      </c>
      <c r="E5" s="27" t="b">
        <v>1</v>
      </c>
      <c r="F5" s="27" t="b">
        <f>COUNTIFS(Fixtures[referee], Referees[[#This Row],[name]], Fixtures[APP], TRUE) &gt; 0</f>
        <v>0</v>
      </c>
      <c r="G5" s="27" t="s">
        <v>1106</v>
      </c>
    </row>
    <row r="6" spans="1:7" ht="13">
      <c r="A6" s="27" t="s">
        <v>1110</v>
      </c>
      <c r="B6" s="27" t="s">
        <v>152</v>
      </c>
      <c r="C6" s="27" t="s">
        <v>1104</v>
      </c>
      <c r="D6" s="27" t="s">
        <v>1105</v>
      </c>
      <c r="E6" s="27" t="b">
        <v>1</v>
      </c>
      <c r="F6" s="27" t="b">
        <f>COUNTIFS(Fixtures[referee], Referees[[#This Row],[name]], Fixtures[APP], TRUE) &gt; 0</f>
        <v>0</v>
      </c>
      <c r="G6" s="27" t="s">
        <v>1106</v>
      </c>
    </row>
    <row r="7" spans="1:7" ht="13">
      <c r="A7" s="27" t="s">
        <v>1111</v>
      </c>
      <c r="B7" s="27" t="s">
        <v>152</v>
      </c>
      <c r="C7" s="27" t="s">
        <v>1104</v>
      </c>
      <c r="D7" s="27" t="s">
        <v>1105</v>
      </c>
      <c r="E7" s="27" t="b">
        <v>1</v>
      </c>
      <c r="F7" s="27" t="b">
        <f>COUNTIFS(Fixtures[referee], Referees[[#This Row],[name]], Fixtures[APP], TRUE) &gt; 0</f>
        <v>0</v>
      </c>
      <c r="G7" s="27" t="s">
        <v>1106</v>
      </c>
    </row>
    <row r="8" spans="1:7" ht="13">
      <c r="A8" s="27" t="s">
        <v>1112</v>
      </c>
      <c r="B8" s="27" t="s">
        <v>286</v>
      </c>
      <c r="C8" s="27" t="s">
        <v>1113</v>
      </c>
      <c r="D8" s="27" t="s">
        <v>1105</v>
      </c>
      <c r="E8" s="27" t="b">
        <v>0</v>
      </c>
      <c r="F8" s="27" t="b">
        <f>COUNTIFS(Fixtures[referee], Referees[[#This Row],[name]], Fixtures[APP], TRUE) &gt; 0</f>
        <v>0</v>
      </c>
      <c r="G8" s="27" t="s">
        <v>1106</v>
      </c>
    </row>
    <row r="9" spans="1:7" ht="13">
      <c r="A9" s="27" t="s">
        <v>1114</v>
      </c>
      <c r="B9" s="27" t="s">
        <v>463</v>
      </c>
      <c r="C9" s="27" t="s">
        <v>1113</v>
      </c>
      <c r="D9" s="27" t="s">
        <v>1105</v>
      </c>
      <c r="E9" s="27" t="b">
        <v>0</v>
      </c>
      <c r="F9" s="27" t="b">
        <f>COUNTIFS(Fixtures[referee], Referees[[#This Row],[name]], Fixtures[APP], TRUE) &gt; 0</f>
        <v>0</v>
      </c>
      <c r="G9" s="27" t="s">
        <v>1106</v>
      </c>
    </row>
    <row r="10" spans="1:7" ht="13">
      <c r="A10" s="27" t="s">
        <v>1115</v>
      </c>
      <c r="B10" s="27" t="s">
        <v>463</v>
      </c>
      <c r="C10" s="27" t="s">
        <v>1105</v>
      </c>
      <c r="D10" s="27" t="s">
        <v>1116</v>
      </c>
      <c r="E10" s="27" t="b">
        <v>0</v>
      </c>
      <c r="F10" s="27" t="b">
        <f>COUNTIFS(Fixtures[referee], Referees[[#This Row],[name]], Fixtures[APP], TRUE) &gt; 0</f>
        <v>0</v>
      </c>
      <c r="G10" s="27" t="s">
        <v>1117</v>
      </c>
    </row>
    <row r="11" spans="1:7" ht="13">
      <c r="A11" s="27" t="s">
        <v>1118</v>
      </c>
      <c r="B11" s="27" t="s">
        <v>339</v>
      </c>
      <c r="C11" s="27" t="s">
        <v>1104</v>
      </c>
      <c r="D11" s="27" t="s">
        <v>1105</v>
      </c>
      <c r="E11" s="27" t="b">
        <v>0</v>
      </c>
      <c r="F11" s="27" t="b">
        <f>COUNTIFS(Fixtures[referee], Referees[[#This Row],[name]], Fixtures[APP], TRUE) &gt; 0</f>
        <v>0</v>
      </c>
      <c r="G11" s="27" t="s">
        <v>1106</v>
      </c>
    </row>
    <row r="12" spans="1:7" ht="13">
      <c r="A12" s="27" t="s">
        <v>1119</v>
      </c>
      <c r="B12" s="27" t="s">
        <v>163</v>
      </c>
      <c r="C12" s="27" t="s">
        <v>1104</v>
      </c>
      <c r="D12" s="27" t="s">
        <v>1105</v>
      </c>
      <c r="E12" s="27" t="b">
        <v>0</v>
      </c>
      <c r="F12" s="27" t="b">
        <f>COUNTIFS(Fixtures[referee], Referees[[#This Row],[name]], Fixtures[APP], TRUE) &gt; 0</f>
        <v>0</v>
      </c>
      <c r="G12" s="27" t="s">
        <v>1106</v>
      </c>
    </row>
    <row r="13" spans="1:7" ht="13">
      <c r="A13" s="27" t="s">
        <v>1120</v>
      </c>
      <c r="B13" s="27" t="s">
        <v>152</v>
      </c>
      <c r="C13" s="27" t="s">
        <v>1104</v>
      </c>
      <c r="D13" s="27" t="s">
        <v>1121</v>
      </c>
      <c r="E13" s="27" t="b">
        <v>1</v>
      </c>
      <c r="F13" s="27" t="b">
        <f>COUNTIFS(Fixtures[referee], Referees[[#This Row],[name]], Fixtures[APP], TRUE) &gt; 0</f>
        <v>0</v>
      </c>
      <c r="G13" s="27" t="s">
        <v>1106</v>
      </c>
    </row>
    <row r="14" spans="1:7" ht="13">
      <c r="A14" s="27" t="s">
        <v>1122</v>
      </c>
      <c r="B14" s="27" t="s">
        <v>401</v>
      </c>
      <c r="C14" s="27" t="s">
        <v>1104</v>
      </c>
      <c r="D14" s="27" t="s">
        <v>1105</v>
      </c>
      <c r="E14" s="27" t="b">
        <v>0</v>
      </c>
      <c r="F14" s="27" t="b">
        <f>COUNTIFS(Fixtures[referee], Referees[[#This Row],[name]], Fixtures[APP], TRUE) &gt; 0</f>
        <v>0</v>
      </c>
      <c r="G14" s="27" t="s">
        <v>1106</v>
      </c>
    </row>
    <row r="15" spans="1:7" ht="13">
      <c r="A15" s="27" t="s">
        <v>1123</v>
      </c>
      <c r="B15" s="27" t="s">
        <v>213</v>
      </c>
      <c r="C15" s="27" t="s">
        <v>1104</v>
      </c>
      <c r="D15" s="27" t="s">
        <v>1116</v>
      </c>
      <c r="E15" s="27" t="b">
        <v>0</v>
      </c>
      <c r="F15" s="27" t="b">
        <f>COUNTIFS(Fixtures[referee], Referees[[#This Row],[name]], Fixtures[APP], TRUE) &gt; 0</f>
        <v>0</v>
      </c>
      <c r="G15" s="27" t="s">
        <v>1106</v>
      </c>
    </row>
    <row r="16" spans="1:7" ht="13">
      <c r="A16" s="27" t="s">
        <v>1124</v>
      </c>
      <c r="B16" s="27" t="s">
        <v>337</v>
      </c>
      <c r="C16" s="27" t="s">
        <v>1105</v>
      </c>
      <c r="D16" s="27" t="s">
        <v>1105</v>
      </c>
      <c r="E16" s="27" t="b">
        <v>0</v>
      </c>
      <c r="F16" s="27" t="b">
        <f>COUNTIFS(Fixtures[referee], Referees[[#This Row],[name]], Fixtures[APP], TRUE) &gt; 0</f>
        <v>0</v>
      </c>
      <c r="G16" s="27" t="s">
        <v>1117</v>
      </c>
    </row>
    <row r="17" spans="1:7" ht="13">
      <c r="A17" s="27" t="s">
        <v>1125</v>
      </c>
      <c r="B17" s="27" t="s">
        <v>1126</v>
      </c>
      <c r="C17" s="27" t="s">
        <v>1121</v>
      </c>
      <c r="D17" s="27" t="s">
        <v>1105</v>
      </c>
      <c r="E17" s="27" t="b">
        <v>0</v>
      </c>
      <c r="F17" s="27" t="b">
        <f>COUNTIFS(Fixtures[referee], Referees[[#This Row],[name]], Fixtures[APP], TRUE) &gt; 0</f>
        <v>0</v>
      </c>
      <c r="G17" s="27" t="s">
        <v>1117</v>
      </c>
    </row>
    <row r="18" spans="1:7" ht="13">
      <c r="A18" s="27" t="s">
        <v>1127</v>
      </c>
      <c r="B18" s="27" t="s">
        <v>1126</v>
      </c>
      <c r="C18" s="27" t="s">
        <v>1105</v>
      </c>
      <c r="D18" s="27" t="s">
        <v>1121</v>
      </c>
      <c r="E18" s="27" t="b">
        <v>0</v>
      </c>
      <c r="F18" s="27" t="b">
        <f>COUNTIFS(Fixtures[referee], Referees[[#This Row],[name]], Fixtures[APP], TRUE) &gt; 0</f>
        <v>0</v>
      </c>
      <c r="G18" s="27" t="s">
        <v>1117</v>
      </c>
    </row>
    <row r="19" spans="1:7" ht="13">
      <c r="A19" s="27" t="s">
        <v>1128</v>
      </c>
      <c r="B19" s="27" t="s">
        <v>339</v>
      </c>
      <c r="C19" s="27" t="s">
        <v>1104</v>
      </c>
      <c r="D19" s="27" t="s">
        <v>1105</v>
      </c>
      <c r="E19" s="27" t="b">
        <v>0</v>
      </c>
      <c r="F19" s="27" t="b">
        <f>COUNTIFS(Fixtures[referee], Referees[[#This Row],[name]], Fixtures[APP], TRUE) &gt; 0</f>
        <v>0</v>
      </c>
      <c r="G19" s="27" t="s">
        <v>1106</v>
      </c>
    </row>
    <row r="20" spans="1:7" ht="13">
      <c r="A20" s="27" t="s">
        <v>1129</v>
      </c>
      <c r="B20" s="27" t="s">
        <v>16</v>
      </c>
      <c r="C20" s="27" t="s">
        <v>1104</v>
      </c>
      <c r="D20" s="27" t="s">
        <v>1105</v>
      </c>
      <c r="E20" s="27" t="b">
        <v>0</v>
      </c>
      <c r="F20" s="27" t="b">
        <f>COUNTIFS(Fixtures[referee], Referees[[#This Row],[name]], Fixtures[APP], TRUE) &gt; 0</f>
        <v>0</v>
      </c>
      <c r="G20" s="27" t="s">
        <v>1106</v>
      </c>
    </row>
    <row r="21" spans="1:7" ht="13">
      <c r="A21" s="27" t="s">
        <v>1130</v>
      </c>
      <c r="B21" s="27" t="s">
        <v>163</v>
      </c>
      <c r="C21" s="27" t="s">
        <v>1104</v>
      </c>
      <c r="D21" s="27" t="s">
        <v>1105</v>
      </c>
      <c r="E21" s="27" t="b">
        <v>0</v>
      </c>
      <c r="F21" s="27" t="b">
        <f>COUNTIFS(Fixtures[referee], Referees[[#This Row],[name]], Fixtures[APP], TRUE) &gt; 0</f>
        <v>0</v>
      </c>
      <c r="G21" s="27" t="s">
        <v>1106</v>
      </c>
    </row>
    <row r="22" spans="1:7" ht="13">
      <c r="A22" s="27" t="s">
        <v>1131</v>
      </c>
      <c r="B22" s="27" t="s">
        <v>131</v>
      </c>
      <c r="C22" s="27" t="s">
        <v>1132</v>
      </c>
      <c r="D22" s="27" t="s">
        <v>1121</v>
      </c>
      <c r="E22" s="27" t="b">
        <v>0</v>
      </c>
      <c r="F22" s="27" t="b">
        <f>COUNTIFS(Fixtures[referee], Referees[[#This Row],[name]], Fixtures[APP], TRUE) &gt; 0</f>
        <v>0</v>
      </c>
      <c r="G22" s="27" t="s">
        <v>1106</v>
      </c>
    </row>
    <row r="23" spans="1:7" ht="13">
      <c r="A23" s="27" t="s">
        <v>1133</v>
      </c>
      <c r="B23" s="27" t="s">
        <v>398</v>
      </c>
      <c r="C23" s="27" t="s">
        <v>1105</v>
      </c>
      <c r="D23" s="27" t="s">
        <v>1121</v>
      </c>
      <c r="E23" s="27" t="b">
        <v>0</v>
      </c>
      <c r="F23" s="27" t="b">
        <f>COUNTIFS(Fixtures[referee], Referees[[#This Row],[name]], Fixtures[APP], TRUE) &gt; 0</f>
        <v>0</v>
      </c>
      <c r="G23" s="27" t="s">
        <v>1117</v>
      </c>
    </row>
    <row r="24" spans="1:7" ht="13">
      <c r="A24" s="27" t="s">
        <v>1134</v>
      </c>
      <c r="B24" s="27" t="s">
        <v>398</v>
      </c>
      <c r="C24" s="27" t="s">
        <v>1104</v>
      </c>
      <c r="D24" s="27" t="s">
        <v>1105</v>
      </c>
      <c r="E24" s="27" t="b">
        <v>0</v>
      </c>
      <c r="F24" s="27" t="b">
        <f>COUNTIFS(Fixtures[referee], Referees[[#This Row],[name]], Fixtures[APP], TRUE) &gt; 0</f>
        <v>0</v>
      </c>
      <c r="G24" s="27" t="s">
        <v>1106</v>
      </c>
    </row>
    <row r="25" spans="1:7" ht="13">
      <c r="A25" s="27" t="s">
        <v>1135</v>
      </c>
      <c r="B25" s="27" t="s">
        <v>152</v>
      </c>
      <c r="C25" s="27" t="s">
        <v>1104</v>
      </c>
      <c r="D25" s="27" t="s">
        <v>1105</v>
      </c>
      <c r="E25" s="27" t="b">
        <v>1</v>
      </c>
      <c r="F25" s="27" t="b">
        <f>COUNTIFS(Fixtures[referee], Referees[[#This Row],[name]], Fixtures[APP], TRUE) &gt; 0</f>
        <v>0</v>
      </c>
      <c r="G25" s="27" t="s">
        <v>1106</v>
      </c>
    </row>
    <row r="26" spans="1:7" ht="13">
      <c r="A26" s="27" t="s">
        <v>1136</v>
      </c>
      <c r="B26" s="27" t="s">
        <v>152</v>
      </c>
      <c r="C26" s="27" t="s">
        <v>1116</v>
      </c>
      <c r="D26" s="27" t="s">
        <v>1121</v>
      </c>
      <c r="E26" s="27" t="b">
        <v>1</v>
      </c>
      <c r="F26" s="27" t="b">
        <f>COUNTIFS(Fixtures[referee], Referees[[#This Row],[name]], Fixtures[APP], TRUE) &gt; 0</f>
        <v>0</v>
      </c>
      <c r="G26" s="27" t="s">
        <v>1117</v>
      </c>
    </row>
    <row r="27" spans="1:7" ht="13">
      <c r="A27" s="27" t="s">
        <v>208</v>
      </c>
      <c r="B27" s="27" t="s">
        <v>152</v>
      </c>
      <c r="C27" s="27" t="s">
        <v>1104</v>
      </c>
      <c r="D27" s="27" t="s">
        <v>1105</v>
      </c>
      <c r="E27" s="27" t="b">
        <v>1</v>
      </c>
      <c r="F27" s="27" t="b">
        <f>COUNTIFS(Fixtures[referee], Referees[[#This Row],[name]], Fixtures[APP], TRUE) &gt; 0</f>
        <v>1</v>
      </c>
      <c r="G27" s="27" t="s">
        <v>1106</v>
      </c>
    </row>
    <row r="28" spans="1:7" ht="13">
      <c r="A28" s="27" t="s">
        <v>1137</v>
      </c>
      <c r="B28" s="27" t="s">
        <v>1126</v>
      </c>
      <c r="C28" s="27" t="s">
        <v>1105</v>
      </c>
      <c r="D28" s="27" t="s">
        <v>1116</v>
      </c>
      <c r="E28" s="27" t="b">
        <v>0</v>
      </c>
      <c r="F28" s="27" t="b">
        <f>COUNTIFS(Fixtures[referee], Referees[[#This Row],[name]], Fixtures[APP], TRUE) &gt; 0</f>
        <v>0</v>
      </c>
      <c r="G28" s="27" t="s">
        <v>1117</v>
      </c>
    </row>
    <row r="29" spans="1:7" ht="13">
      <c r="A29" s="27" t="s">
        <v>186</v>
      </c>
      <c r="B29" s="27" t="s">
        <v>152</v>
      </c>
      <c r="C29" s="27" t="s">
        <v>1132</v>
      </c>
      <c r="D29" s="27" t="s">
        <v>1116</v>
      </c>
      <c r="E29" s="27" t="b">
        <v>1</v>
      </c>
      <c r="F29" s="27" t="b">
        <f>COUNTIFS(Fixtures[referee], Referees[[#This Row],[name]], Fixtures[APP], TRUE) &gt; 0</f>
        <v>1</v>
      </c>
      <c r="G29" s="27" t="s">
        <v>1106</v>
      </c>
    </row>
    <row r="30" spans="1:7" ht="13">
      <c r="A30" s="27" t="s">
        <v>1138</v>
      </c>
      <c r="B30" s="27" t="s">
        <v>152</v>
      </c>
      <c r="C30" s="27" t="s">
        <v>1104</v>
      </c>
      <c r="D30" s="27" t="s">
        <v>1105</v>
      </c>
      <c r="E30" s="27" t="b">
        <v>1</v>
      </c>
      <c r="F30" s="27" t="b">
        <f>COUNTIFS(Fixtures[referee], Referees[[#This Row],[name]], Fixtures[APP], TRUE) &gt; 0</f>
        <v>0</v>
      </c>
      <c r="G30" s="27" t="s">
        <v>1106</v>
      </c>
    </row>
    <row r="31" spans="1:7" ht="13">
      <c r="A31" s="27" t="s">
        <v>1139</v>
      </c>
      <c r="B31" s="27" t="s">
        <v>152</v>
      </c>
      <c r="C31" s="27" t="s">
        <v>1104</v>
      </c>
      <c r="D31" s="27" t="s">
        <v>1121</v>
      </c>
      <c r="E31" s="27" t="b">
        <v>1</v>
      </c>
      <c r="F31" s="27" t="b">
        <f>COUNTIFS(Fixtures[referee], Referees[[#This Row],[name]], Fixtures[APP], TRUE) &gt; 0</f>
        <v>0</v>
      </c>
      <c r="G31" s="27" t="s">
        <v>1106</v>
      </c>
    </row>
    <row r="32" spans="1:7" ht="13">
      <c r="A32" s="27" t="s">
        <v>1140</v>
      </c>
      <c r="B32" s="27" t="s">
        <v>152</v>
      </c>
      <c r="C32" s="27" t="s">
        <v>1105</v>
      </c>
      <c r="D32" s="27" t="s">
        <v>1121</v>
      </c>
      <c r="E32" s="27" t="b">
        <v>1</v>
      </c>
      <c r="F32" s="27" t="b">
        <f>COUNTIFS(Fixtures[referee], Referees[[#This Row],[name]], Fixtures[APP], TRUE) &gt; 0</f>
        <v>0</v>
      </c>
      <c r="G32" s="27" t="s">
        <v>1117</v>
      </c>
    </row>
    <row r="33" spans="1:7" ht="13">
      <c r="A33" s="27" t="s">
        <v>1141</v>
      </c>
      <c r="B33" s="27" t="s">
        <v>1142</v>
      </c>
      <c r="C33" s="27" t="s">
        <v>1113</v>
      </c>
      <c r="D33" s="27" t="s">
        <v>1105</v>
      </c>
      <c r="E33" s="27" t="b">
        <v>0</v>
      </c>
      <c r="F33" s="27" t="b">
        <f>COUNTIFS(Fixtures[referee], Referees[[#This Row],[name]], Fixtures[APP], TRUE) &gt; 0</f>
        <v>0</v>
      </c>
      <c r="G33" s="27" t="s">
        <v>1106</v>
      </c>
    </row>
    <row r="34" spans="1:7" ht="13">
      <c r="A34" s="27" t="s">
        <v>1143</v>
      </c>
      <c r="B34" s="27" t="s">
        <v>1126</v>
      </c>
      <c r="C34" s="27" t="s">
        <v>1104</v>
      </c>
      <c r="D34" s="27" t="s">
        <v>1105</v>
      </c>
      <c r="E34" s="27" t="b">
        <v>0</v>
      </c>
      <c r="F34" s="27" t="b">
        <f>COUNTIFS(Fixtures[referee], Referees[[#This Row],[name]], Fixtures[APP], TRUE) &gt; 0</f>
        <v>0</v>
      </c>
      <c r="G34" s="27" t="s">
        <v>1106</v>
      </c>
    </row>
    <row r="35" spans="1:7" ht="13">
      <c r="A35" s="27" t="s">
        <v>1144</v>
      </c>
      <c r="B35" s="27" t="s">
        <v>144</v>
      </c>
      <c r="C35" s="27" t="s">
        <v>1104</v>
      </c>
      <c r="D35" s="27" t="s">
        <v>1105</v>
      </c>
      <c r="E35" s="27" t="b">
        <v>0</v>
      </c>
      <c r="F35" s="27" t="b">
        <f>COUNTIFS(Fixtures[referee], Referees[[#This Row],[name]], Fixtures[APP], TRUE) &gt; 0</f>
        <v>0</v>
      </c>
      <c r="G35" s="27" t="s">
        <v>1106</v>
      </c>
    </row>
    <row r="36" spans="1:7" ht="13">
      <c r="A36" s="27" t="s">
        <v>350</v>
      </c>
      <c r="B36" s="27" t="s">
        <v>337</v>
      </c>
      <c r="C36" s="27" t="s">
        <v>1104</v>
      </c>
      <c r="D36" s="27" t="s">
        <v>1121</v>
      </c>
      <c r="E36" s="27" t="b">
        <v>0</v>
      </c>
      <c r="F36" s="27" t="b">
        <f>COUNTIFS(Fixtures[referee], Referees[[#This Row],[name]], Fixtures[APP], TRUE) &gt; 0</f>
        <v>0</v>
      </c>
      <c r="G36" s="27" t="s">
        <v>1106</v>
      </c>
    </row>
    <row r="37" spans="1:7" ht="13">
      <c r="A37" s="27" t="s">
        <v>198</v>
      </c>
      <c r="B37" s="27" t="s">
        <v>152</v>
      </c>
      <c r="C37" s="27" t="s">
        <v>1104</v>
      </c>
      <c r="D37" s="27" t="s">
        <v>1105</v>
      </c>
      <c r="E37" s="27" t="b">
        <v>1</v>
      </c>
      <c r="F37" s="27" t="b">
        <f>COUNTIFS(Fixtures[referee], Referees[[#This Row],[name]], Fixtures[APP], TRUE) &gt; 0</f>
        <v>1</v>
      </c>
      <c r="G37" s="27" t="s">
        <v>1106</v>
      </c>
    </row>
    <row r="38" spans="1:7" ht="13">
      <c r="A38" s="27" t="s">
        <v>1145</v>
      </c>
      <c r="B38" s="27" t="s">
        <v>152</v>
      </c>
      <c r="C38" s="27" t="s">
        <v>1104</v>
      </c>
      <c r="D38" s="27" t="s">
        <v>1116</v>
      </c>
      <c r="E38" s="27" t="b">
        <v>1</v>
      </c>
      <c r="F38" s="27" t="b">
        <f>COUNTIFS(Fixtures[referee], Referees[[#This Row],[name]], Fixtures[APP], TRUE) &gt; 0</f>
        <v>0</v>
      </c>
      <c r="G38" s="27" t="s">
        <v>1106</v>
      </c>
    </row>
    <row r="39" spans="1:7" ht="13">
      <c r="A39" s="27" t="s">
        <v>1146</v>
      </c>
      <c r="B39" s="27" t="s">
        <v>152</v>
      </c>
      <c r="C39" s="27" t="s">
        <v>1116</v>
      </c>
      <c r="D39" s="27" t="s">
        <v>1105</v>
      </c>
      <c r="E39" s="27" t="b">
        <v>1</v>
      </c>
      <c r="F39" s="27" t="b">
        <f>COUNTIFS(Fixtures[referee], Referees[[#This Row],[name]], Fixtures[APP], TRUE) &gt; 0</f>
        <v>0</v>
      </c>
      <c r="G39" s="27" t="s">
        <v>1117</v>
      </c>
    </row>
    <row r="40" spans="1:7" ht="13">
      <c r="A40" s="27" t="s">
        <v>330</v>
      </c>
      <c r="B40" s="27" t="s">
        <v>463</v>
      </c>
      <c r="C40" s="27" t="s">
        <v>1104</v>
      </c>
      <c r="D40" s="27" t="s">
        <v>1116</v>
      </c>
      <c r="E40" s="27" t="b">
        <v>0</v>
      </c>
      <c r="F40" s="27" t="b">
        <f>COUNTIFS(Fixtures[referee], Referees[[#This Row],[name]], Fixtures[APP], TRUE) &gt; 0</f>
        <v>1</v>
      </c>
      <c r="G40" s="27" t="s">
        <v>1106</v>
      </c>
    </row>
    <row r="41" spans="1:7" ht="13">
      <c r="A41" s="27" t="s">
        <v>202</v>
      </c>
      <c r="B41" s="27" t="s">
        <v>1147</v>
      </c>
      <c r="C41" s="27" t="s">
        <v>1104</v>
      </c>
      <c r="D41" s="27" t="s">
        <v>1105</v>
      </c>
      <c r="E41" s="27" t="b">
        <v>0</v>
      </c>
      <c r="F41" s="27" t="b">
        <f>COUNTIFS(Fixtures[referee], Referees[[#This Row],[name]], Fixtures[APP], TRUE) &gt; 0</f>
        <v>1</v>
      </c>
      <c r="G41" s="27" t="s">
        <v>1106</v>
      </c>
    </row>
    <row r="42" spans="1:7" ht="13">
      <c r="A42" s="27" t="s">
        <v>1148</v>
      </c>
      <c r="B42" s="27" t="s">
        <v>401</v>
      </c>
      <c r="C42" s="27" t="s">
        <v>1116</v>
      </c>
      <c r="D42" s="27" t="s">
        <v>1121</v>
      </c>
      <c r="E42" s="27" t="b">
        <v>0</v>
      </c>
      <c r="F42" s="27" t="b">
        <f>COUNTIFS(Fixtures[referee], Referees[[#This Row],[name]], Fixtures[APP], TRUE) &gt; 0</f>
        <v>0</v>
      </c>
      <c r="G42" s="27" t="s">
        <v>1117</v>
      </c>
    </row>
    <row r="43" spans="1:7" ht="13">
      <c r="A43" s="27" t="s">
        <v>1149</v>
      </c>
      <c r="B43" s="27" t="s">
        <v>398</v>
      </c>
      <c r="C43" s="27" t="s">
        <v>1104</v>
      </c>
      <c r="D43" s="27" t="s">
        <v>1105</v>
      </c>
      <c r="E43" s="27" t="b">
        <v>0</v>
      </c>
      <c r="F43" s="27" t="b">
        <f>COUNTIFS(Fixtures[referee], Referees[[#This Row],[name]], Fixtures[APP], TRUE) &gt; 0</f>
        <v>0</v>
      </c>
      <c r="G43" s="27" t="s">
        <v>1106</v>
      </c>
    </row>
    <row r="44" spans="1:7" ht="13">
      <c r="A44" s="27" t="s">
        <v>1150</v>
      </c>
      <c r="B44" s="27" t="s">
        <v>163</v>
      </c>
      <c r="C44" s="27" t="s">
        <v>1104</v>
      </c>
      <c r="D44" s="27" t="s">
        <v>1105</v>
      </c>
      <c r="E44" s="27" t="b">
        <v>0</v>
      </c>
      <c r="F44" s="27" t="b">
        <f>COUNTIFS(Fixtures[referee], Referees[[#This Row],[name]], Fixtures[APP], TRUE) &gt; 0</f>
        <v>0</v>
      </c>
      <c r="G44" s="27" t="s">
        <v>1106</v>
      </c>
    </row>
    <row r="45" spans="1:7" ht="13">
      <c r="A45" s="27" t="s">
        <v>1151</v>
      </c>
      <c r="B45" s="27" t="s">
        <v>1152</v>
      </c>
      <c r="C45" s="27" t="s">
        <v>1104</v>
      </c>
      <c r="D45" s="27" t="s">
        <v>1105</v>
      </c>
      <c r="E45" s="27" t="b">
        <v>0</v>
      </c>
      <c r="F45" s="27" t="b">
        <f>COUNTIFS(Fixtures[referee], Referees[[#This Row],[name]], Fixtures[APP], TRUE) &gt; 0</f>
        <v>0</v>
      </c>
      <c r="G45" s="27" t="s">
        <v>1106</v>
      </c>
    </row>
    <row r="46" spans="1:7" ht="13">
      <c r="A46" s="27" t="s">
        <v>1153</v>
      </c>
      <c r="B46" s="27" t="s">
        <v>339</v>
      </c>
      <c r="C46" s="27" t="s">
        <v>1104</v>
      </c>
      <c r="D46" s="27" t="s">
        <v>1105</v>
      </c>
      <c r="E46" s="27" t="b">
        <v>0</v>
      </c>
      <c r="F46" s="27" t="b">
        <f>COUNTIFS(Fixtures[referee], Referees[[#This Row],[name]], Fixtures[APP], TRUE) &gt; 0</f>
        <v>0</v>
      </c>
      <c r="G46" s="27" t="s">
        <v>1106</v>
      </c>
    </row>
    <row r="47" spans="1:7" ht="13">
      <c r="A47" s="27" t="s">
        <v>1154</v>
      </c>
      <c r="B47" s="27" t="s">
        <v>163</v>
      </c>
      <c r="C47" s="27" t="s">
        <v>1113</v>
      </c>
      <c r="D47" s="27" t="s">
        <v>1121</v>
      </c>
      <c r="E47" s="27" t="b">
        <v>0</v>
      </c>
      <c r="F47" s="27" t="b">
        <f>COUNTIFS(Fixtures[referee], Referees[[#This Row],[name]], Fixtures[APP], TRUE) &gt; 0</f>
        <v>0</v>
      </c>
      <c r="G47" s="27" t="s">
        <v>1106</v>
      </c>
    </row>
    <row r="48" spans="1:7" ht="13">
      <c r="A48" s="27" t="s">
        <v>1155</v>
      </c>
      <c r="B48" s="27" t="s">
        <v>16</v>
      </c>
      <c r="C48" s="27" t="s">
        <v>1104</v>
      </c>
      <c r="D48" s="27" t="s">
        <v>1105</v>
      </c>
      <c r="E48" s="27" t="b">
        <v>0</v>
      </c>
      <c r="F48" s="27" t="b">
        <f>COUNTIFS(Fixtures[referee], Referees[[#This Row],[name]], Fixtures[APP], TRUE) &gt; 0</f>
        <v>0</v>
      </c>
      <c r="G48" s="27" t="s">
        <v>1106</v>
      </c>
    </row>
    <row r="49" spans="1:7" ht="13">
      <c r="A49" s="27" t="s">
        <v>212</v>
      </c>
      <c r="B49" s="27" t="s">
        <v>519</v>
      </c>
      <c r="C49" s="27" t="s">
        <v>1104</v>
      </c>
      <c r="D49" s="27" t="s">
        <v>1105</v>
      </c>
      <c r="E49" s="27" t="b">
        <v>0</v>
      </c>
      <c r="F49" s="27" t="b">
        <f>COUNTIFS(Fixtures[referee], Referees[[#This Row],[name]], Fixtures[APP], TRUE) &gt; 0</f>
        <v>1</v>
      </c>
      <c r="G49" s="27" t="s">
        <v>1106</v>
      </c>
    </row>
    <row r="50" spans="1:7" ht="13">
      <c r="A50" s="27" t="s">
        <v>1156</v>
      </c>
      <c r="B50" s="27" t="s">
        <v>1157</v>
      </c>
      <c r="C50" s="27" t="s">
        <v>1113</v>
      </c>
      <c r="D50" s="27" t="s">
        <v>1116</v>
      </c>
      <c r="E50" s="27" t="b">
        <v>0</v>
      </c>
      <c r="F50" s="27" t="b">
        <f>COUNTIFS(Fixtures[referee], Referees[[#This Row],[name]], Fixtures[APP], TRUE) &gt; 0</f>
        <v>0</v>
      </c>
      <c r="G50" s="27" t="s">
        <v>1106</v>
      </c>
    </row>
    <row r="51" spans="1:7" ht="13">
      <c r="A51" s="27" t="s">
        <v>1158</v>
      </c>
      <c r="B51" s="27" t="s">
        <v>339</v>
      </c>
      <c r="C51" s="27" t="s">
        <v>1104</v>
      </c>
      <c r="D51" s="27" t="s">
        <v>1105</v>
      </c>
      <c r="E51" s="27" t="b">
        <v>0</v>
      </c>
      <c r="F51" s="27" t="b">
        <f>COUNTIFS(Fixtures[referee], Referees[[#This Row],[name]], Fixtures[APP], TRUE) &gt; 0</f>
        <v>0</v>
      </c>
      <c r="G51" s="27" t="s">
        <v>1106</v>
      </c>
    </row>
    <row r="52" spans="1:7" ht="13">
      <c r="A52" s="27" t="s">
        <v>260</v>
      </c>
      <c r="B52" s="27" t="s">
        <v>408</v>
      </c>
      <c r="C52" s="27" t="s">
        <v>1104</v>
      </c>
      <c r="D52" s="27" t="s">
        <v>1105</v>
      </c>
      <c r="E52" s="27" t="b">
        <v>0</v>
      </c>
      <c r="F52" s="27" t="b">
        <f>COUNTIFS(Fixtures[referee], Referees[[#This Row],[name]], Fixtures[APP], TRUE) &gt; 0</f>
        <v>1</v>
      </c>
      <c r="G52" s="27" t="s">
        <v>1106</v>
      </c>
    </row>
    <row r="53" spans="1:7" ht="13">
      <c r="A53" s="27" t="s">
        <v>1159</v>
      </c>
      <c r="B53" s="27" t="s">
        <v>337</v>
      </c>
      <c r="C53" s="27" t="s">
        <v>1104</v>
      </c>
      <c r="D53" s="27" t="s">
        <v>1105</v>
      </c>
      <c r="E53" s="27" t="b">
        <v>0</v>
      </c>
      <c r="F53" s="27" t="b">
        <f>COUNTIFS(Fixtures[referee], Referees[[#This Row],[name]], Fixtures[APP], TRUE) &gt; 0</f>
        <v>0</v>
      </c>
      <c r="G53" s="27" t="s">
        <v>1106</v>
      </c>
    </row>
    <row r="54" spans="1:7" ht="13">
      <c r="A54" s="27" t="s">
        <v>1160</v>
      </c>
      <c r="B54" s="27" t="s">
        <v>152</v>
      </c>
      <c r="C54" s="27" t="s">
        <v>1104</v>
      </c>
      <c r="D54" s="27" t="s">
        <v>1105</v>
      </c>
      <c r="E54" s="27" t="b">
        <v>1</v>
      </c>
      <c r="F54" s="27" t="b">
        <f>COUNTIFS(Fixtures[referee], Referees[[#This Row],[name]], Fixtures[APP], TRUE) &gt; 0</f>
        <v>0</v>
      </c>
      <c r="G54" s="27" t="s">
        <v>1106</v>
      </c>
    </row>
    <row r="55" spans="1:7" ht="13">
      <c r="A55" s="27" t="s">
        <v>1161</v>
      </c>
      <c r="B55" s="27" t="s">
        <v>152</v>
      </c>
      <c r="C55" s="27" t="s">
        <v>1113</v>
      </c>
      <c r="D55" s="27" t="s">
        <v>1121</v>
      </c>
      <c r="E55" s="27" t="b">
        <v>1</v>
      </c>
      <c r="F55" s="27" t="b">
        <f>COUNTIFS(Fixtures[referee], Referees[[#This Row],[name]], Fixtures[APP], TRUE) &gt; 0</f>
        <v>0</v>
      </c>
      <c r="G55" s="27" t="s">
        <v>1106</v>
      </c>
    </row>
    <row r="56" spans="1:7" ht="13">
      <c r="A56" s="27" t="s">
        <v>1162</v>
      </c>
      <c r="B56" s="27" t="s">
        <v>152</v>
      </c>
      <c r="C56" s="27" t="s">
        <v>1104</v>
      </c>
      <c r="D56" s="27" t="s">
        <v>1105</v>
      </c>
      <c r="E56" s="27" t="b">
        <v>1</v>
      </c>
      <c r="F56" s="27" t="b">
        <f>COUNTIFS(Fixtures[referee], Referees[[#This Row],[name]], Fixtures[APP], TRUE) &gt; 0</f>
        <v>0</v>
      </c>
      <c r="G56" s="27" t="s">
        <v>1106</v>
      </c>
    </row>
    <row r="57" spans="1:7" ht="13">
      <c r="A57" s="27" t="s">
        <v>1163</v>
      </c>
      <c r="B57" s="27" t="s">
        <v>339</v>
      </c>
      <c r="C57" s="27" t="s">
        <v>1132</v>
      </c>
      <c r="D57" s="27" t="s">
        <v>1105</v>
      </c>
      <c r="E57" s="27" t="b">
        <v>0</v>
      </c>
      <c r="F57" s="27" t="b">
        <f>COUNTIFS(Fixtures[referee], Referees[[#This Row],[name]], Fixtures[APP], TRUE) &gt; 0</f>
        <v>0</v>
      </c>
      <c r="G57" s="27" t="s">
        <v>1106</v>
      </c>
    </row>
    <row r="58" spans="1:7" ht="13">
      <c r="A58" s="27" t="s">
        <v>1164</v>
      </c>
      <c r="B58" s="27" t="s">
        <v>401</v>
      </c>
      <c r="C58" s="27" t="s">
        <v>1113</v>
      </c>
      <c r="D58" s="27" t="s">
        <v>1105</v>
      </c>
      <c r="E58" s="27" t="b">
        <v>0</v>
      </c>
      <c r="F58" s="27" t="b">
        <f>COUNTIFS(Fixtures[referee], Referees[[#This Row],[name]], Fixtures[APP], TRUE) &gt; 0</f>
        <v>0</v>
      </c>
      <c r="G58" s="27" t="s">
        <v>1106</v>
      </c>
    </row>
    <row r="59" spans="1:7" ht="13">
      <c r="A59" s="27" t="s">
        <v>1165</v>
      </c>
      <c r="B59" s="27" t="s">
        <v>152</v>
      </c>
      <c r="C59" s="27" t="s">
        <v>1105</v>
      </c>
      <c r="D59" s="27" t="s">
        <v>1116</v>
      </c>
      <c r="E59" s="27" t="b">
        <v>1</v>
      </c>
      <c r="F59" s="27" t="b">
        <f>COUNTIFS(Fixtures[referee], Referees[[#This Row],[name]], Fixtures[APP], TRUE) &gt; 0</f>
        <v>0</v>
      </c>
      <c r="G59" s="27" t="s">
        <v>1117</v>
      </c>
    </row>
    <row r="60" spans="1:7" ht="13">
      <c r="A60" s="27" t="s">
        <v>1166</v>
      </c>
      <c r="B60" s="27" t="s">
        <v>1142</v>
      </c>
      <c r="C60" s="27" t="s">
        <v>1104</v>
      </c>
      <c r="D60" s="27" t="s">
        <v>1105</v>
      </c>
      <c r="E60" s="27" t="b">
        <v>0</v>
      </c>
      <c r="F60" s="27" t="b">
        <f>COUNTIFS(Fixtures[referee], Referees[[#This Row],[name]], Fixtures[APP], TRUE) &gt; 0</f>
        <v>0</v>
      </c>
      <c r="G60" s="27" t="s">
        <v>1106</v>
      </c>
    </row>
    <row r="61" spans="1:7" ht="13">
      <c r="A61" s="27" t="s">
        <v>1167</v>
      </c>
      <c r="B61" s="27" t="s">
        <v>152</v>
      </c>
      <c r="C61" s="27" t="s">
        <v>1113</v>
      </c>
      <c r="D61" s="27" t="s">
        <v>1121</v>
      </c>
      <c r="E61" s="27" t="b">
        <v>1</v>
      </c>
      <c r="F61" s="27" t="b">
        <f>COUNTIFS(Fixtures[referee], Referees[[#This Row],[name]], Fixtures[APP], TRUE) &gt; 0</f>
        <v>0</v>
      </c>
      <c r="G61" s="27" t="s">
        <v>1106</v>
      </c>
    </row>
    <row r="62" spans="1:7" ht="13">
      <c r="A62" s="27" t="s">
        <v>1168</v>
      </c>
      <c r="B62" s="27" t="s">
        <v>152</v>
      </c>
      <c r="C62" s="27" t="s">
        <v>1104</v>
      </c>
      <c r="D62" s="27" t="s">
        <v>1105</v>
      </c>
      <c r="E62" s="27" t="b">
        <v>1</v>
      </c>
      <c r="F62" s="27" t="b">
        <f>COUNTIFS(Fixtures[referee], Referees[[#This Row],[name]], Fixtures[APP], TRUE) &gt; 0</f>
        <v>0</v>
      </c>
      <c r="G62" s="27" t="s">
        <v>1106</v>
      </c>
    </row>
    <row r="63" spans="1:7" ht="13">
      <c r="A63" s="27" t="s">
        <v>1169</v>
      </c>
      <c r="B63" s="27" t="s">
        <v>337</v>
      </c>
      <c r="C63" s="27" t="s">
        <v>1104</v>
      </c>
      <c r="D63" s="27" t="s">
        <v>1105</v>
      </c>
      <c r="E63" s="27" t="b">
        <v>0</v>
      </c>
      <c r="F63" s="27" t="b">
        <f>COUNTIFS(Fixtures[referee], Referees[[#This Row],[name]], Fixtures[APP], TRUE) &gt; 0</f>
        <v>0</v>
      </c>
      <c r="G63" s="27" t="s">
        <v>1106</v>
      </c>
    </row>
    <row r="64" spans="1:7" ht="13">
      <c r="A64" s="27" t="s">
        <v>1170</v>
      </c>
      <c r="B64" s="27" t="s">
        <v>152</v>
      </c>
      <c r="C64" s="27" t="s">
        <v>1132</v>
      </c>
      <c r="D64" s="27" t="s">
        <v>1121</v>
      </c>
      <c r="E64" s="27" t="b">
        <v>1</v>
      </c>
      <c r="F64" s="27" t="b">
        <f>COUNTIFS(Fixtures[referee], Referees[[#This Row],[name]], Fixtures[APP], TRUE) &gt; 0</f>
        <v>0</v>
      </c>
      <c r="G64" s="27" t="s">
        <v>1106</v>
      </c>
    </row>
    <row r="65" spans="1:7" ht="13">
      <c r="A65" s="27" t="s">
        <v>1171</v>
      </c>
      <c r="B65" s="27" t="s">
        <v>473</v>
      </c>
      <c r="C65" s="27" t="s">
        <v>1104</v>
      </c>
      <c r="D65" s="27" t="s">
        <v>1105</v>
      </c>
      <c r="E65" s="27" t="b">
        <v>0</v>
      </c>
      <c r="F65" s="27" t="b">
        <f>COUNTIFS(Fixtures[referee], Referees[[#This Row],[name]], Fixtures[APP], TRUE) &gt; 0</f>
        <v>0</v>
      </c>
      <c r="G65" s="27" t="s">
        <v>1106</v>
      </c>
    </row>
    <row r="66" spans="1:7" ht="13">
      <c r="A66" s="27" t="s">
        <v>1172</v>
      </c>
      <c r="B66" s="27" t="s">
        <v>152</v>
      </c>
      <c r="C66" s="27" t="s">
        <v>1132</v>
      </c>
      <c r="D66" s="27" t="s">
        <v>1116</v>
      </c>
      <c r="E66" s="27" t="b">
        <v>1</v>
      </c>
      <c r="F66" s="27" t="b">
        <f>COUNTIFS(Fixtures[referee], Referees[[#This Row],[name]], Fixtures[APP], TRUE) &gt; 0</f>
        <v>0</v>
      </c>
      <c r="G66" s="27" t="s">
        <v>1106</v>
      </c>
    </row>
    <row r="67" spans="1:7" ht="13">
      <c r="A67" s="27" t="s">
        <v>1173</v>
      </c>
      <c r="B67" s="27" t="s">
        <v>152</v>
      </c>
      <c r="C67" s="27" t="s">
        <v>1105</v>
      </c>
      <c r="D67" s="27" t="s">
        <v>1105</v>
      </c>
      <c r="E67" s="27" t="b">
        <v>1</v>
      </c>
      <c r="F67" s="27" t="b">
        <f>COUNTIFS(Fixtures[referee], Referees[[#This Row],[name]], Fixtures[APP], TRUE) &gt; 0</f>
        <v>0</v>
      </c>
      <c r="G67" s="27" t="s">
        <v>1117</v>
      </c>
    </row>
    <row r="68" spans="1:7" ht="13">
      <c r="A68" s="27" t="s">
        <v>1174</v>
      </c>
      <c r="B68" s="27" t="s">
        <v>152</v>
      </c>
      <c r="C68" s="27" t="s">
        <v>1104</v>
      </c>
      <c r="D68" s="27" t="s">
        <v>1105</v>
      </c>
      <c r="E68" s="27" t="b">
        <v>1</v>
      </c>
      <c r="F68" s="27" t="b">
        <f>COUNTIFS(Fixtures[referee], Referees[[#This Row],[name]], Fixtures[APP], TRUE) &gt; 0</f>
        <v>0</v>
      </c>
      <c r="G68" s="27" t="s">
        <v>1106</v>
      </c>
    </row>
    <row r="69" spans="1:7" ht="13">
      <c r="A69" s="27" t="s">
        <v>1175</v>
      </c>
      <c r="B69" s="27" t="s">
        <v>339</v>
      </c>
      <c r="C69" s="27" t="s">
        <v>1104</v>
      </c>
      <c r="D69" s="27" t="s">
        <v>1105</v>
      </c>
      <c r="E69" s="27" t="b">
        <v>0</v>
      </c>
      <c r="F69" s="27" t="b">
        <f>COUNTIFS(Fixtures[referee], Referees[[#This Row],[name]], Fixtures[APP], TRUE) &gt; 0</f>
        <v>0</v>
      </c>
      <c r="G69" s="27" t="s">
        <v>1106</v>
      </c>
    </row>
    <row r="70" spans="1:7" ht="13">
      <c r="A70" s="27" t="s">
        <v>1176</v>
      </c>
      <c r="B70" s="27" t="s">
        <v>339</v>
      </c>
      <c r="C70" s="27" t="s">
        <v>1104</v>
      </c>
      <c r="D70" s="27" t="s">
        <v>1105</v>
      </c>
      <c r="E70" s="27" t="b">
        <v>0</v>
      </c>
      <c r="F70" s="27" t="b">
        <f>COUNTIFS(Fixtures[referee], Referees[[#This Row],[name]], Fixtures[APP], TRUE) &gt; 0</f>
        <v>0</v>
      </c>
      <c r="G70" s="27" t="s">
        <v>1106</v>
      </c>
    </row>
    <row r="71" spans="1:7" ht="13">
      <c r="A71" s="27" t="s">
        <v>1177</v>
      </c>
      <c r="B71" s="27" t="s">
        <v>270</v>
      </c>
      <c r="C71" s="27" t="s">
        <v>1104</v>
      </c>
      <c r="D71" s="27" t="s">
        <v>1116</v>
      </c>
      <c r="E71" s="27" t="b">
        <v>0</v>
      </c>
      <c r="F71" s="27" t="b">
        <f>COUNTIFS(Fixtures[referee], Referees[[#This Row],[name]], Fixtures[APP], TRUE) &gt; 0</f>
        <v>0</v>
      </c>
      <c r="G71" s="27" t="s">
        <v>1106</v>
      </c>
    </row>
    <row r="72" spans="1:7" ht="13">
      <c r="A72" s="27" t="s">
        <v>1178</v>
      </c>
      <c r="B72" s="27" t="s">
        <v>339</v>
      </c>
      <c r="C72" s="27" t="s">
        <v>1104</v>
      </c>
      <c r="D72" s="27" t="s">
        <v>1105</v>
      </c>
      <c r="E72" s="27" t="b">
        <v>0</v>
      </c>
      <c r="F72" s="27" t="b">
        <f>COUNTIFS(Fixtures[referee], Referees[[#This Row],[name]], Fixtures[APP], TRUE) &gt; 0</f>
        <v>0</v>
      </c>
      <c r="G72" s="27" t="s">
        <v>1106</v>
      </c>
    </row>
    <row r="73" spans="1:7" ht="13">
      <c r="A73" s="27" t="s">
        <v>1179</v>
      </c>
      <c r="B73" s="27" t="s">
        <v>152</v>
      </c>
      <c r="C73" s="27" t="s">
        <v>1104</v>
      </c>
      <c r="D73" s="27" t="s">
        <v>1121</v>
      </c>
      <c r="E73" s="27" t="b">
        <v>1</v>
      </c>
      <c r="F73" s="27" t="b">
        <f>COUNTIFS(Fixtures[referee], Referees[[#This Row],[name]], Fixtures[APP], TRUE) &gt; 0</f>
        <v>0</v>
      </c>
      <c r="G73" s="27" t="s">
        <v>1106</v>
      </c>
    </row>
    <row r="74" spans="1:7" ht="13">
      <c r="A74" s="27" t="s">
        <v>1180</v>
      </c>
      <c r="B74" s="27" t="s">
        <v>152</v>
      </c>
      <c r="C74" s="27" t="s">
        <v>1132</v>
      </c>
      <c r="D74" s="27" t="s">
        <v>1116</v>
      </c>
      <c r="E74" s="27" t="b">
        <v>1</v>
      </c>
      <c r="F74" s="27" t="b">
        <f>COUNTIFS(Fixtures[referee], Referees[[#This Row],[name]], Fixtures[APP], TRUE) &gt; 0</f>
        <v>0</v>
      </c>
      <c r="G74" s="27" t="s">
        <v>1106</v>
      </c>
    </row>
    <row r="75" spans="1:7" ht="13">
      <c r="A75" s="27" t="s">
        <v>1181</v>
      </c>
      <c r="B75" s="27" t="s">
        <v>152</v>
      </c>
      <c r="C75" s="27" t="s">
        <v>1104</v>
      </c>
      <c r="D75" s="27" t="s">
        <v>1105</v>
      </c>
      <c r="E75" s="27" t="b">
        <v>1</v>
      </c>
      <c r="F75" s="27" t="b">
        <f>COUNTIFS(Fixtures[referee], Referees[[#This Row],[name]], Fixtures[APP], TRUE) &gt; 0</f>
        <v>0</v>
      </c>
      <c r="G75" s="27" t="s">
        <v>1106</v>
      </c>
    </row>
    <row r="76" spans="1:7" ht="13">
      <c r="A76" s="27" t="s">
        <v>1182</v>
      </c>
      <c r="B76" s="27" t="s">
        <v>1183</v>
      </c>
      <c r="C76" s="27" t="s">
        <v>1105</v>
      </c>
      <c r="D76" s="27" t="s">
        <v>1116</v>
      </c>
      <c r="E76" s="27" t="b">
        <v>0</v>
      </c>
      <c r="F76" s="27" t="b">
        <f>COUNTIFS(Fixtures[referee], Referees[[#This Row],[name]], Fixtures[APP], TRUE) &gt; 0</f>
        <v>0</v>
      </c>
      <c r="G76" s="27" t="s">
        <v>1117</v>
      </c>
    </row>
    <row r="77" spans="1:7" ht="13">
      <c r="A77" s="27" t="s">
        <v>1184</v>
      </c>
      <c r="B77" s="27" t="s">
        <v>152</v>
      </c>
      <c r="C77" s="27" t="s">
        <v>1104</v>
      </c>
      <c r="D77" s="27" t="s">
        <v>1105</v>
      </c>
      <c r="E77" s="27" t="b">
        <v>1</v>
      </c>
      <c r="F77" s="27" t="b">
        <f>COUNTIFS(Fixtures[referee], Referees[[#This Row],[name]], Fixtures[APP], TRUE) &gt; 0</f>
        <v>0</v>
      </c>
      <c r="G77" s="27" t="s">
        <v>1106</v>
      </c>
    </row>
    <row r="78" spans="1:7" ht="13">
      <c r="A78" s="27" t="s">
        <v>1185</v>
      </c>
      <c r="B78" s="27" t="s">
        <v>163</v>
      </c>
      <c r="C78" s="27" t="s">
        <v>1104</v>
      </c>
      <c r="D78" s="27" t="s">
        <v>1121</v>
      </c>
      <c r="E78" s="27" t="b">
        <v>0</v>
      </c>
      <c r="F78" s="27" t="b">
        <f>COUNTIFS(Fixtures[referee], Referees[[#This Row],[name]], Fixtures[APP], TRUE) &gt; 0</f>
        <v>0</v>
      </c>
      <c r="G78" s="27" t="s">
        <v>1106</v>
      </c>
    </row>
    <row r="79" spans="1:7" ht="13">
      <c r="A79" s="27" t="s">
        <v>1186</v>
      </c>
      <c r="B79" s="27" t="s">
        <v>286</v>
      </c>
      <c r="C79" s="27" t="s">
        <v>1104</v>
      </c>
      <c r="D79" s="27" t="s">
        <v>1105</v>
      </c>
      <c r="E79" s="27" t="b">
        <v>0</v>
      </c>
      <c r="F79" s="27" t="b">
        <f>COUNTIFS(Fixtures[referee], Referees[[#This Row],[name]], Fixtures[APP], TRUE) &gt; 0</f>
        <v>0</v>
      </c>
      <c r="G79" s="27" t="s">
        <v>1106</v>
      </c>
    </row>
    <row r="80" spans="1:7" ht="13">
      <c r="A80" s="27" t="s">
        <v>1187</v>
      </c>
      <c r="B80" s="27" t="s">
        <v>152</v>
      </c>
      <c r="C80" s="27" t="s">
        <v>1104</v>
      </c>
      <c r="D80" s="27" t="s">
        <v>1105</v>
      </c>
      <c r="E80" s="27" t="b">
        <v>1</v>
      </c>
      <c r="F80" s="27" t="b">
        <f>COUNTIFS(Fixtures[referee], Referees[[#This Row],[name]], Fixtures[APP], TRUE) &gt; 0</f>
        <v>0</v>
      </c>
      <c r="G80" s="27" t="s">
        <v>1106</v>
      </c>
    </row>
    <row r="81" spans="1:7" ht="13">
      <c r="A81" s="27" t="s">
        <v>1188</v>
      </c>
      <c r="B81" s="27" t="s">
        <v>513</v>
      </c>
      <c r="C81" s="27" t="s">
        <v>1113</v>
      </c>
      <c r="D81" s="27" t="s">
        <v>1116</v>
      </c>
      <c r="E81" s="27" t="b">
        <v>0</v>
      </c>
      <c r="F81" s="27" t="b">
        <f>COUNTIFS(Fixtures[referee], Referees[[#This Row],[name]], Fixtures[APP], TRUE) &gt; 0</f>
        <v>0</v>
      </c>
      <c r="G81" s="27" t="s">
        <v>1106</v>
      </c>
    </row>
    <row r="82" spans="1:7" ht="13">
      <c r="A82" s="27" t="s">
        <v>1189</v>
      </c>
      <c r="B82" s="27" t="s">
        <v>152</v>
      </c>
      <c r="C82" s="27" t="s">
        <v>1105</v>
      </c>
      <c r="D82" s="27" t="s">
        <v>1121</v>
      </c>
      <c r="E82" s="27" t="b">
        <v>1</v>
      </c>
      <c r="F82" s="27" t="b">
        <f>COUNTIFS(Fixtures[referee], Referees[[#This Row],[name]], Fixtures[APP], TRUE) &gt; 0</f>
        <v>0</v>
      </c>
      <c r="G82" s="27" t="s">
        <v>1117</v>
      </c>
    </row>
    <row r="83" spans="1:7" ht="13">
      <c r="A83" s="27" t="s">
        <v>1190</v>
      </c>
      <c r="B83" s="27" t="s">
        <v>152</v>
      </c>
      <c r="C83" s="27" t="s">
        <v>1104</v>
      </c>
      <c r="D83" s="27" t="s">
        <v>1105</v>
      </c>
      <c r="E83" s="27" t="b">
        <v>1</v>
      </c>
      <c r="F83" s="27" t="b">
        <f>COUNTIFS(Fixtures[referee], Referees[[#This Row],[name]], Fixtures[APP], TRUE) &gt; 0</f>
        <v>0</v>
      </c>
      <c r="G83" s="27" t="s">
        <v>1106</v>
      </c>
    </row>
    <row r="84" spans="1:7" ht="13">
      <c r="A84" s="27" t="s">
        <v>1191</v>
      </c>
      <c r="B84" s="27" t="s">
        <v>152</v>
      </c>
      <c r="C84" s="27" t="s">
        <v>1104</v>
      </c>
      <c r="D84" s="27" t="s">
        <v>1105</v>
      </c>
      <c r="E84" s="27" t="b">
        <v>1</v>
      </c>
      <c r="F84" s="27" t="b">
        <f>COUNTIFS(Fixtures[referee], Referees[[#This Row],[name]], Fixtures[APP], TRUE) &gt; 0</f>
        <v>0</v>
      </c>
      <c r="G84" s="27" t="s">
        <v>1106</v>
      </c>
    </row>
    <row r="85" spans="1:7" ht="13">
      <c r="A85" s="27" t="s">
        <v>1192</v>
      </c>
      <c r="B85" s="27" t="s">
        <v>152</v>
      </c>
      <c r="C85" s="27" t="s">
        <v>1132</v>
      </c>
      <c r="D85" s="27" t="s">
        <v>1121</v>
      </c>
      <c r="E85" s="27" t="b">
        <v>1</v>
      </c>
      <c r="F85" s="27" t="b">
        <f>COUNTIFS(Fixtures[referee], Referees[[#This Row],[name]], Fixtures[APP], TRUE) &gt; 0</f>
        <v>0</v>
      </c>
      <c r="G85" s="27" t="s">
        <v>1106</v>
      </c>
    </row>
    <row r="86" spans="1:7" ht="13">
      <c r="A86" s="27" t="s">
        <v>1193</v>
      </c>
      <c r="B86" s="27" t="s">
        <v>152</v>
      </c>
      <c r="C86" s="27" t="s">
        <v>1104</v>
      </c>
      <c r="D86" s="27" t="s">
        <v>1105</v>
      </c>
      <c r="E86" s="27" t="b">
        <v>1</v>
      </c>
      <c r="F86" s="27" t="b">
        <f>COUNTIFS(Fixtures[referee], Referees[[#This Row],[name]], Fixtures[APP], TRUE) &gt; 0</f>
        <v>0</v>
      </c>
      <c r="G86" s="27" t="s">
        <v>1106</v>
      </c>
    </row>
    <row r="87" spans="1:7" ht="13">
      <c r="A87" s="27" t="s">
        <v>1194</v>
      </c>
      <c r="B87" s="27" t="s">
        <v>152</v>
      </c>
      <c r="C87" s="27" t="s">
        <v>1132</v>
      </c>
      <c r="D87" s="27" t="s">
        <v>1121</v>
      </c>
      <c r="E87" s="27" t="b">
        <v>1</v>
      </c>
      <c r="F87" s="27" t="b">
        <f>COUNTIFS(Fixtures[referee], Referees[[#This Row],[name]], Fixtures[APP], TRUE) &gt; 0</f>
        <v>0</v>
      </c>
      <c r="G87" s="27" t="s">
        <v>1106</v>
      </c>
    </row>
    <row r="88" spans="1:7" ht="13">
      <c r="A88" s="27" t="s">
        <v>1195</v>
      </c>
      <c r="B88" s="27" t="s">
        <v>152</v>
      </c>
      <c r="C88" s="27" t="s">
        <v>1104</v>
      </c>
      <c r="D88" s="27" t="s">
        <v>1105</v>
      </c>
      <c r="E88" s="27" t="b">
        <v>1</v>
      </c>
      <c r="F88" s="27" t="b">
        <f>COUNTIFS(Fixtures[referee], Referees[[#This Row],[name]], Fixtures[APP], TRUE) &gt; 0</f>
        <v>0</v>
      </c>
      <c r="G88" s="27" t="s">
        <v>1106</v>
      </c>
    </row>
    <row r="89" spans="1:7" ht="13">
      <c r="A89" s="27" t="s">
        <v>240</v>
      </c>
      <c r="B89" s="27" t="s">
        <v>152</v>
      </c>
      <c r="C89" s="27" t="s">
        <v>1113</v>
      </c>
      <c r="D89" s="27" t="s">
        <v>1116</v>
      </c>
      <c r="E89" s="27" t="b">
        <v>1</v>
      </c>
      <c r="F89" s="27" t="b">
        <f>COUNTIFS(Fixtures[referee], Referees[[#This Row],[name]], Fixtures[APP], TRUE) &gt; 0</f>
        <v>1</v>
      </c>
      <c r="G89" s="27" t="s">
        <v>1106</v>
      </c>
    </row>
    <row r="90" spans="1:7" ht="13">
      <c r="A90" s="27" t="s">
        <v>1196</v>
      </c>
      <c r="B90" s="27" t="s">
        <v>1197</v>
      </c>
      <c r="C90" s="27" t="s">
        <v>1104</v>
      </c>
      <c r="D90" s="27" t="s">
        <v>1105</v>
      </c>
      <c r="E90" s="27" t="b">
        <v>0</v>
      </c>
      <c r="F90" s="27" t="b">
        <f>COUNTIFS(Fixtures[referee], Referees[[#This Row],[name]], Fixtures[APP], TRUE) &gt; 0</f>
        <v>0</v>
      </c>
      <c r="G90" s="27" t="s">
        <v>1106</v>
      </c>
    </row>
    <row r="91" spans="1:7" ht="13">
      <c r="A91" s="27" t="s">
        <v>237</v>
      </c>
      <c r="B91" s="27" t="s">
        <v>152</v>
      </c>
      <c r="C91" s="27" t="s">
        <v>1113</v>
      </c>
      <c r="D91" s="27" t="s">
        <v>1105</v>
      </c>
      <c r="E91" s="27" t="b">
        <v>1</v>
      </c>
      <c r="F91" s="27" t="b">
        <f>COUNTIFS(Fixtures[referee], Referees[[#This Row],[name]], Fixtures[APP], TRUE) &gt; 0</f>
        <v>1</v>
      </c>
      <c r="G91" s="27" t="s">
        <v>1106</v>
      </c>
    </row>
    <row r="92" spans="1:7" ht="13">
      <c r="A92" s="27" t="s">
        <v>1198</v>
      </c>
      <c r="B92" s="27" t="s">
        <v>152</v>
      </c>
      <c r="C92" s="27" t="s">
        <v>1104</v>
      </c>
      <c r="D92" s="27" t="s">
        <v>1105</v>
      </c>
      <c r="E92" s="27" t="b">
        <v>1</v>
      </c>
      <c r="F92" s="27" t="b">
        <f>COUNTIFS(Fixtures[referee], Referees[[#This Row],[name]], Fixtures[APP], TRUE) &gt; 0</f>
        <v>0</v>
      </c>
      <c r="G92" s="27" t="s">
        <v>1106</v>
      </c>
    </row>
    <row r="93" spans="1:7" ht="13">
      <c r="A93" s="27" t="s">
        <v>1199</v>
      </c>
      <c r="B93" s="27" t="s">
        <v>337</v>
      </c>
      <c r="C93" s="27" t="s">
        <v>1132</v>
      </c>
      <c r="D93" s="27" t="s">
        <v>1105</v>
      </c>
      <c r="E93" s="27" t="b">
        <v>0</v>
      </c>
      <c r="F93" s="27" t="b">
        <f>COUNTIFS(Fixtures[referee], Referees[[#This Row],[name]], Fixtures[APP], TRUE) &gt; 0</f>
        <v>0</v>
      </c>
      <c r="G93" s="27" t="s">
        <v>1106</v>
      </c>
    </row>
    <row r="94" spans="1:7" ht="13">
      <c r="A94" s="27" t="s">
        <v>1200</v>
      </c>
      <c r="B94" s="27" t="s">
        <v>337</v>
      </c>
      <c r="C94" s="27" t="s">
        <v>1104</v>
      </c>
      <c r="D94" s="27" t="s">
        <v>1105</v>
      </c>
      <c r="E94" s="27" t="b">
        <v>0</v>
      </c>
      <c r="F94" s="27" t="b">
        <f>COUNTIFS(Fixtures[referee], Referees[[#This Row],[name]], Fixtures[APP], TRUE) &gt; 0</f>
        <v>0</v>
      </c>
      <c r="G94" s="27" t="s">
        <v>1106</v>
      </c>
    </row>
    <row r="95" spans="1:7" ht="13">
      <c r="A95" s="27" t="s">
        <v>1201</v>
      </c>
      <c r="B95" s="27" t="s">
        <v>1142</v>
      </c>
      <c r="C95" s="27" t="s">
        <v>1113</v>
      </c>
      <c r="D95" s="27" t="s">
        <v>1121</v>
      </c>
      <c r="E95" s="27" t="b">
        <v>0</v>
      </c>
      <c r="F95" s="27" t="b">
        <f>COUNTIFS(Fixtures[referee], Referees[[#This Row],[name]], Fixtures[APP], TRUE) &gt; 0</f>
        <v>0</v>
      </c>
      <c r="G95" s="27" t="s">
        <v>1106</v>
      </c>
    </row>
    <row r="96" spans="1:7" ht="13">
      <c r="A96" s="27" t="s">
        <v>304</v>
      </c>
      <c r="B96" s="27" t="s">
        <v>419</v>
      </c>
      <c r="C96" s="27" t="s">
        <v>1104</v>
      </c>
      <c r="D96" s="27" t="s">
        <v>1105</v>
      </c>
      <c r="E96" s="27" t="b">
        <v>0</v>
      </c>
      <c r="F96" s="27" t="b">
        <f>COUNTIFS(Fixtures[referee], Referees[[#This Row],[name]], Fixtures[APP], TRUE) &gt; 0</f>
        <v>1</v>
      </c>
      <c r="G96" s="27" t="s">
        <v>1106</v>
      </c>
    </row>
    <row r="97" spans="1:7" ht="13">
      <c r="A97" s="27" t="s">
        <v>1202</v>
      </c>
      <c r="B97" s="27" t="s">
        <v>152</v>
      </c>
      <c r="C97" s="27" t="s">
        <v>1104</v>
      </c>
      <c r="D97" s="27" t="s">
        <v>1105</v>
      </c>
      <c r="E97" s="27" t="b">
        <v>1</v>
      </c>
      <c r="F97" s="27" t="b">
        <f>COUNTIFS(Fixtures[referee], Referees[[#This Row],[name]], Fixtures[APP], TRUE) &gt; 0</f>
        <v>0</v>
      </c>
      <c r="G97" s="27" t="s">
        <v>1106</v>
      </c>
    </row>
    <row r="98" spans="1:7" ht="13">
      <c r="A98" s="27" t="s">
        <v>1203</v>
      </c>
      <c r="B98" s="27" t="s">
        <v>144</v>
      </c>
      <c r="C98" s="27" t="s">
        <v>1104</v>
      </c>
      <c r="D98" s="27" t="s">
        <v>1105</v>
      </c>
      <c r="E98" s="27" t="b">
        <v>0</v>
      </c>
      <c r="F98" s="27" t="b">
        <f>COUNTIFS(Fixtures[referee], Referees[[#This Row],[name]], Fixtures[APP], TRUE) &gt; 0</f>
        <v>0</v>
      </c>
      <c r="G98" s="27" t="s">
        <v>1106</v>
      </c>
    </row>
    <row r="99" spans="1:7" ht="13">
      <c r="A99" s="27" t="s">
        <v>1204</v>
      </c>
      <c r="B99" s="27" t="s">
        <v>108</v>
      </c>
      <c r="C99" s="27" t="s">
        <v>1104</v>
      </c>
      <c r="D99" s="27" t="s">
        <v>1105</v>
      </c>
      <c r="E99" s="27" t="b">
        <v>0</v>
      </c>
      <c r="F99" s="27" t="b">
        <f>COUNTIFS(Fixtures[referee], Referees[[#This Row],[name]], Fixtures[APP], TRUE) &gt; 0</f>
        <v>0</v>
      </c>
      <c r="G99" s="27" t="s">
        <v>1106</v>
      </c>
    </row>
    <row r="100" spans="1:7" ht="13">
      <c r="A100" s="27" t="s">
        <v>1205</v>
      </c>
      <c r="B100" s="27" t="s">
        <v>252</v>
      </c>
      <c r="C100" s="27" t="s">
        <v>1105</v>
      </c>
      <c r="D100" s="27" t="s">
        <v>1121</v>
      </c>
      <c r="E100" s="27" t="b">
        <v>0</v>
      </c>
      <c r="F100" s="27" t="b">
        <f>COUNTIFS(Fixtures[referee], Referees[[#This Row],[name]], Fixtures[APP], TRUE) &gt; 0</f>
        <v>0</v>
      </c>
      <c r="G100" s="27" t="s">
        <v>1117</v>
      </c>
    </row>
    <row r="101" spans="1:7" ht="13">
      <c r="A101" s="27" t="s">
        <v>1206</v>
      </c>
      <c r="B101" s="27" t="s">
        <v>152</v>
      </c>
      <c r="C101" s="27" t="s">
        <v>1104</v>
      </c>
      <c r="D101" s="27" t="s">
        <v>1105</v>
      </c>
      <c r="E101" s="27" t="b">
        <v>1</v>
      </c>
      <c r="F101" s="27" t="b">
        <f>COUNTIFS(Fixtures[referee], Referees[[#This Row],[name]], Fixtures[APP], TRUE) &gt; 0</f>
        <v>0</v>
      </c>
      <c r="G101" s="27" t="s">
        <v>1106</v>
      </c>
    </row>
    <row r="102" spans="1:7" ht="13">
      <c r="A102" s="27" t="s">
        <v>200</v>
      </c>
      <c r="B102" s="27" t="s">
        <v>1207</v>
      </c>
      <c r="C102" s="27" t="s">
        <v>1104</v>
      </c>
      <c r="D102" s="27" t="s">
        <v>1105</v>
      </c>
      <c r="E102" s="27" t="b">
        <v>0</v>
      </c>
      <c r="F102" s="27" t="b">
        <f>COUNTIFS(Fixtures[referee], Referees[[#This Row],[name]], Fixtures[APP], TRUE) &gt; 0</f>
        <v>1</v>
      </c>
      <c r="G102" s="27" t="s">
        <v>1106</v>
      </c>
    </row>
    <row r="103" spans="1:7" ht="13">
      <c r="A103" s="27" t="s">
        <v>1208</v>
      </c>
      <c r="B103" s="27" t="s">
        <v>152</v>
      </c>
      <c r="C103" s="27" t="s">
        <v>1104</v>
      </c>
      <c r="D103" s="27" t="s">
        <v>1105</v>
      </c>
      <c r="E103" s="27" t="b">
        <v>1</v>
      </c>
      <c r="F103" s="27" t="b">
        <f>COUNTIFS(Fixtures[referee], Referees[[#This Row],[name]], Fixtures[APP], TRUE) &gt; 0</f>
        <v>0</v>
      </c>
      <c r="G103" s="27" t="s">
        <v>1106</v>
      </c>
    </row>
    <row r="104" spans="1:7" ht="13">
      <c r="A104" s="27" t="s">
        <v>1209</v>
      </c>
      <c r="B104" s="27" t="s">
        <v>408</v>
      </c>
      <c r="C104" s="27" t="s">
        <v>1104</v>
      </c>
      <c r="D104" s="27" t="s">
        <v>1105</v>
      </c>
      <c r="E104" s="27" t="b">
        <v>0</v>
      </c>
      <c r="F104" s="27" t="b">
        <f>COUNTIFS(Fixtures[referee], Referees[[#This Row],[name]], Fixtures[APP], TRUE) &gt; 0</f>
        <v>0</v>
      </c>
      <c r="G104" s="27" t="s">
        <v>1106</v>
      </c>
    </row>
    <row r="105" spans="1:7" ht="13">
      <c r="A105" s="27" t="s">
        <v>1210</v>
      </c>
      <c r="B105" s="27" t="s">
        <v>398</v>
      </c>
      <c r="C105" s="27" t="s">
        <v>1113</v>
      </c>
      <c r="D105" s="27" t="s">
        <v>1121</v>
      </c>
      <c r="E105" s="27" t="b">
        <v>0</v>
      </c>
      <c r="F105" s="27" t="b">
        <f>COUNTIFS(Fixtures[referee], Referees[[#This Row],[name]], Fixtures[APP], TRUE) &gt; 0</f>
        <v>0</v>
      </c>
      <c r="G105" s="27" t="s">
        <v>1106</v>
      </c>
    </row>
    <row r="106" spans="1:7" ht="13">
      <c r="A106" s="27" t="s">
        <v>1211</v>
      </c>
      <c r="B106" s="27" t="s">
        <v>513</v>
      </c>
      <c r="C106" s="27" t="s">
        <v>1104</v>
      </c>
      <c r="D106" s="27" t="s">
        <v>1116</v>
      </c>
      <c r="E106" s="27" t="b">
        <v>0</v>
      </c>
      <c r="F106" s="27" t="b">
        <f>COUNTIFS(Fixtures[referee], Referees[[#This Row],[name]], Fixtures[APP], TRUE) &gt; 0</f>
        <v>0</v>
      </c>
      <c r="G106" s="27" t="s">
        <v>1106</v>
      </c>
    </row>
    <row r="107" spans="1:7" ht="13">
      <c r="A107" s="27" t="s">
        <v>1212</v>
      </c>
      <c r="B107" s="27" t="s">
        <v>163</v>
      </c>
      <c r="C107" s="27" t="s">
        <v>1104</v>
      </c>
      <c r="D107" s="27" t="s">
        <v>1105</v>
      </c>
      <c r="E107" s="27" t="b">
        <v>0</v>
      </c>
      <c r="F107" s="27" t="b">
        <f>COUNTIFS(Fixtures[referee], Referees[[#This Row],[name]], Fixtures[APP], TRUE) &gt; 0</f>
        <v>0</v>
      </c>
      <c r="G107" s="27" t="s">
        <v>1106</v>
      </c>
    </row>
    <row r="108" spans="1:7" ht="13">
      <c r="A108" s="27" t="s">
        <v>1213</v>
      </c>
      <c r="B108" s="27" t="s">
        <v>339</v>
      </c>
      <c r="C108" s="27" t="s">
        <v>1132</v>
      </c>
      <c r="D108" s="27" t="s">
        <v>1121</v>
      </c>
      <c r="E108" s="27" t="b">
        <v>0</v>
      </c>
      <c r="F108" s="27" t="b">
        <f>COUNTIFS(Fixtures[referee], Referees[[#This Row],[name]], Fixtures[APP], TRUE) &gt; 0</f>
        <v>0</v>
      </c>
      <c r="G108" s="27" t="s">
        <v>1106</v>
      </c>
    </row>
    <row r="109" spans="1:7" ht="13">
      <c r="A109" s="27" t="s">
        <v>1214</v>
      </c>
      <c r="B109" s="27" t="s">
        <v>152</v>
      </c>
      <c r="C109" s="27" t="s">
        <v>1104</v>
      </c>
      <c r="D109" s="27" t="s">
        <v>1105</v>
      </c>
      <c r="E109" s="27" t="b">
        <v>1</v>
      </c>
      <c r="F109" s="27" t="b">
        <f>COUNTIFS(Fixtures[referee], Referees[[#This Row],[name]], Fixtures[APP], TRUE) &gt; 0</f>
        <v>0</v>
      </c>
      <c r="G109" s="27" t="s">
        <v>1106</v>
      </c>
    </row>
    <row r="110" spans="1:7" ht="13">
      <c r="A110" s="27" t="s">
        <v>1215</v>
      </c>
      <c r="B110" s="27" t="s">
        <v>414</v>
      </c>
      <c r="C110" s="27" t="s">
        <v>1104</v>
      </c>
      <c r="D110" s="27" t="s">
        <v>1105</v>
      </c>
      <c r="E110" s="27" t="b">
        <v>0</v>
      </c>
      <c r="F110" s="27" t="b">
        <f>COUNTIFS(Fixtures[referee], Referees[[#This Row],[name]], Fixtures[APP], TRUE) &gt; 0</f>
        <v>0</v>
      </c>
      <c r="G110" s="27" t="s">
        <v>1106</v>
      </c>
    </row>
    <row r="111" spans="1:7" ht="13">
      <c r="A111" s="27" t="s">
        <v>1216</v>
      </c>
      <c r="B111" s="27" t="s">
        <v>254</v>
      </c>
      <c r="C111" s="27" t="s">
        <v>1104</v>
      </c>
      <c r="D111" s="27" t="s">
        <v>1105</v>
      </c>
      <c r="E111" s="27" t="b">
        <v>0</v>
      </c>
      <c r="F111" s="27" t="b">
        <f>COUNTIFS(Fixtures[referee], Referees[[#This Row],[name]], Fixtures[APP], TRUE) &gt; 0</f>
        <v>0</v>
      </c>
      <c r="G111" s="27" t="s">
        <v>1106</v>
      </c>
    </row>
    <row r="112" spans="1:7" ht="13">
      <c r="A112" s="27" t="s">
        <v>1217</v>
      </c>
      <c r="B112" s="27" t="s">
        <v>163</v>
      </c>
      <c r="C112" s="27" t="s">
        <v>1104</v>
      </c>
      <c r="D112" s="27" t="s">
        <v>1121</v>
      </c>
      <c r="E112" s="27" t="b">
        <v>0</v>
      </c>
      <c r="F112" s="27" t="b">
        <f>COUNTIFS(Fixtures[referee], Referees[[#This Row],[name]], Fixtures[APP], TRUE) &gt; 0</f>
        <v>0</v>
      </c>
      <c r="G112" s="27" t="s">
        <v>1106</v>
      </c>
    </row>
    <row r="113" spans="1:7" ht="13">
      <c r="A113" s="27" t="s">
        <v>1218</v>
      </c>
      <c r="B113" s="27" t="s">
        <v>408</v>
      </c>
      <c r="C113" s="27" t="s">
        <v>1104</v>
      </c>
      <c r="D113" s="27" t="s">
        <v>1121</v>
      </c>
      <c r="E113" s="27" t="b">
        <v>0</v>
      </c>
      <c r="F113" s="27" t="b">
        <f>COUNTIFS(Fixtures[referee], Referees[[#This Row],[name]], Fixtures[APP], TRUE) &gt; 0</f>
        <v>0</v>
      </c>
      <c r="G113" s="27" t="s">
        <v>1106</v>
      </c>
    </row>
    <row r="114" spans="1:7" ht="13">
      <c r="A114" s="27" t="s">
        <v>1219</v>
      </c>
      <c r="B114" s="27" t="s">
        <v>254</v>
      </c>
      <c r="C114" s="27" t="s">
        <v>1132</v>
      </c>
      <c r="D114" s="27" t="s">
        <v>1105</v>
      </c>
      <c r="E114" s="27" t="b">
        <v>0</v>
      </c>
      <c r="F114" s="27" t="b">
        <f>COUNTIFS(Fixtures[referee], Referees[[#This Row],[name]], Fixtures[APP], TRUE) &gt; 0</f>
        <v>0</v>
      </c>
      <c r="G114" s="27" t="s">
        <v>1106</v>
      </c>
    </row>
    <row r="115" spans="1:7" ht="13">
      <c r="A115" s="27" t="s">
        <v>289</v>
      </c>
      <c r="B115" s="27" t="s">
        <v>398</v>
      </c>
      <c r="C115" s="27" t="s">
        <v>1113</v>
      </c>
      <c r="D115" s="27" t="s">
        <v>1105</v>
      </c>
      <c r="E115" s="27" t="b">
        <v>0</v>
      </c>
      <c r="F115" s="27" t="b">
        <f>COUNTIFS(Fixtures[referee], Referees[[#This Row],[name]], Fixtures[APP], TRUE) &gt; 0</f>
        <v>1</v>
      </c>
      <c r="G115" s="27" t="s">
        <v>1106</v>
      </c>
    </row>
    <row r="116" spans="1:7" ht="13">
      <c r="A116" s="27" t="s">
        <v>1220</v>
      </c>
      <c r="B116" s="27" t="s">
        <v>252</v>
      </c>
      <c r="C116" s="27" t="s">
        <v>1121</v>
      </c>
      <c r="D116" s="27" t="s">
        <v>1116</v>
      </c>
      <c r="E116" s="27" t="b">
        <v>0</v>
      </c>
      <c r="F116" s="27" t="b">
        <f>COUNTIFS(Fixtures[referee], Referees[[#This Row],[name]], Fixtures[APP], TRUE) &gt; 0</f>
        <v>0</v>
      </c>
      <c r="G116" s="27" t="s">
        <v>1117</v>
      </c>
    </row>
    <row r="117" spans="1:7" ht="13">
      <c r="A117" s="27" t="s">
        <v>1221</v>
      </c>
      <c r="B117" s="27" t="s">
        <v>339</v>
      </c>
      <c r="C117" s="27" t="s">
        <v>1104</v>
      </c>
      <c r="D117" s="27" t="s">
        <v>1105</v>
      </c>
      <c r="E117" s="27" t="b">
        <v>0</v>
      </c>
      <c r="F117" s="27" t="b">
        <f>COUNTIFS(Fixtures[referee], Referees[[#This Row],[name]], Fixtures[APP], TRUE) &gt; 0</f>
        <v>0</v>
      </c>
      <c r="G117" s="27" t="s">
        <v>1106</v>
      </c>
    </row>
    <row r="118" spans="1:7" ht="13">
      <c r="A118" s="27" t="s">
        <v>267</v>
      </c>
      <c r="B118" s="27" t="s">
        <v>337</v>
      </c>
      <c r="C118" s="27" t="s">
        <v>1104</v>
      </c>
      <c r="D118" s="27" t="s">
        <v>1105</v>
      </c>
      <c r="E118" s="27" t="b">
        <v>0</v>
      </c>
      <c r="F118" s="27" t="b">
        <f>COUNTIFS(Fixtures[referee], Referees[[#This Row],[name]], Fixtures[APP], TRUE) &gt; 0</f>
        <v>1</v>
      </c>
      <c r="G118" s="27" t="s">
        <v>1106</v>
      </c>
    </row>
    <row r="119" spans="1:7" ht="13">
      <c r="A119" s="27" t="s">
        <v>296</v>
      </c>
      <c r="B119" s="27" t="s">
        <v>337</v>
      </c>
      <c r="C119" s="27" t="s">
        <v>1104</v>
      </c>
      <c r="D119" s="27" t="s">
        <v>1105</v>
      </c>
      <c r="E119" s="27" t="b">
        <v>0</v>
      </c>
      <c r="F119" s="27" t="b">
        <f>COUNTIFS(Fixtures[referee], Referees[[#This Row],[name]], Fixtures[APP], TRUE) &gt; 0</f>
        <v>1</v>
      </c>
      <c r="G119" s="27" t="s">
        <v>1106</v>
      </c>
    </row>
    <row r="120" spans="1:7" ht="13">
      <c r="A120" s="27" t="s">
        <v>1222</v>
      </c>
      <c r="B120" s="27" t="s">
        <v>403</v>
      </c>
      <c r="C120" s="27" t="s">
        <v>1104</v>
      </c>
      <c r="D120" s="27" t="s">
        <v>1116</v>
      </c>
      <c r="E120" s="27" t="b">
        <v>0</v>
      </c>
      <c r="F120" s="27" t="b">
        <f>COUNTIFS(Fixtures[referee], Referees[[#This Row],[name]], Fixtures[APP], TRUE) &gt; 0</f>
        <v>0</v>
      </c>
      <c r="G120" s="27" t="s">
        <v>1106</v>
      </c>
    </row>
    <row r="121" spans="1:7" ht="13">
      <c r="A121" s="27" t="s">
        <v>1223</v>
      </c>
      <c r="B121" s="27" t="s">
        <v>131</v>
      </c>
      <c r="C121" s="27" t="s">
        <v>1104</v>
      </c>
      <c r="D121" s="27" t="s">
        <v>1105</v>
      </c>
      <c r="E121" s="27" t="b">
        <v>0</v>
      </c>
      <c r="F121" s="27" t="b">
        <f>COUNTIFS(Fixtures[referee], Referees[[#This Row],[name]], Fixtures[APP], TRUE) &gt; 0</f>
        <v>0</v>
      </c>
      <c r="G121" s="27" t="s">
        <v>1106</v>
      </c>
    </row>
    <row r="122" spans="1:7" ht="13">
      <c r="A122" s="27" t="s">
        <v>1224</v>
      </c>
      <c r="B122" s="27" t="s">
        <v>513</v>
      </c>
      <c r="C122" s="27" t="s">
        <v>1104</v>
      </c>
      <c r="D122" s="27" t="s">
        <v>1105</v>
      </c>
      <c r="E122" s="27" t="b">
        <v>0</v>
      </c>
      <c r="F122" s="27" t="b">
        <f>COUNTIFS(Fixtures[referee], Referees[[#This Row],[name]], Fixtures[APP], TRUE) &gt; 0</f>
        <v>0</v>
      </c>
      <c r="G122" s="27" t="s">
        <v>1106</v>
      </c>
    </row>
    <row r="123" spans="1:7" ht="13">
      <c r="A123" s="27" t="s">
        <v>1225</v>
      </c>
      <c r="B123" s="27" t="s">
        <v>339</v>
      </c>
      <c r="C123" s="27" t="s">
        <v>1104</v>
      </c>
      <c r="D123" s="27" t="s">
        <v>1105</v>
      </c>
      <c r="E123" s="27" t="b">
        <v>0</v>
      </c>
      <c r="F123" s="27" t="b">
        <f>COUNTIFS(Fixtures[referee], Referees[[#This Row],[name]], Fixtures[APP], TRUE) &gt; 0</f>
        <v>0</v>
      </c>
      <c r="G123" s="27" t="s">
        <v>1106</v>
      </c>
    </row>
    <row r="124" spans="1:7" ht="13">
      <c r="A124" s="27" t="s">
        <v>1226</v>
      </c>
      <c r="B124" s="27" t="s">
        <v>493</v>
      </c>
      <c r="C124" s="27" t="s">
        <v>1113</v>
      </c>
      <c r="D124" s="27" t="s">
        <v>1105</v>
      </c>
      <c r="E124" s="27" t="b">
        <v>0</v>
      </c>
      <c r="F124" s="27" t="b">
        <f>COUNTIFS(Fixtures[referee], Referees[[#This Row],[name]], Fixtures[APP], TRUE) &gt; 0</f>
        <v>0</v>
      </c>
      <c r="G124" s="27" t="s">
        <v>1106</v>
      </c>
    </row>
    <row r="125" spans="1:7" ht="13">
      <c r="A125" s="27" t="s">
        <v>321</v>
      </c>
      <c r="B125" s="27" t="s">
        <v>270</v>
      </c>
      <c r="C125" s="27" t="s">
        <v>1104</v>
      </c>
      <c r="D125" s="27" t="s">
        <v>1105</v>
      </c>
      <c r="E125" s="27" t="b">
        <v>0</v>
      </c>
      <c r="F125" s="27" t="b">
        <f>COUNTIFS(Fixtures[referee], Referees[[#This Row],[name]], Fixtures[APP], TRUE) &gt; 0</f>
        <v>1</v>
      </c>
      <c r="G125" s="27" t="s">
        <v>1106</v>
      </c>
    </row>
    <row r="126" spans="1:7" ht="13">
      <c r="A126" s="27" t="s">
        <v>248</v>
      </c>
      <c r="B126" s="27" t="s">
        <v>152</v>
      </c>
      <c r="C126" s="27" t="s">
        <v>1113</v>
      </c>
      <c r="D126" s="27" t="s">
        <v>1105</v>
      </c>
      <c r="E126" s="27" t="b">
        <v>1</v>
      </c>
      <c r="F126" s="27" t="b">
        <f>COUNTIFS(Fixtures[referee], Referees[[#This Row],[name]], Fixtures[APP], TRUE) &gt; 0</f>
        <v>1</v>
      </c>
      <c r="G126" s="27" t="s">
        <v>1106</v>
      </c>
    </row>
    <row r="127" spans="1:7" ht="13">
      <c r="A127" s="27" t="s">
        <v>1227</v>
      </c>
      <c r="B127" s="27" t="s">
        <v>254</v>
      </c>
      <c r="C127" s="27" t="s">
        <v>1104</v>
      </c>
      <c r="D127" s="27" t="s">
        <v>1105</v>
      </c>
      <c r="E127" s="27" t="b">
        <v>0</v>
      </c>
      <c r="F127" s="27" t="b">
        <f>COUNTIFS(Fixtures[referee], Referees[[#This Row],[name]], Fixtures[APP], TRUE) &gt; 0</f>
        <v>0</v>
      </c>
      <c r="G127" s="27" t="s">
        <v>1106</v>
      </c>
    </row>
    <row r="128" spans="1:7" ht="13">
      <c r="A128" s="27" t="s">
        <v>238</v>
      </c>
      <c r="B128" s="27" t="s">
        <v>152</v>
      </c>
      <c r="C128" s="27" t="s">
        <v>1132</v>
      </c>
      <c r="D128" s="27" t="s">
        <v>1121</v>
      </c>
      <c r="E128" s="27" t="b">
        <v>1</v>
      </c>
      <c r="F128" s="27" t="b">
        <f>COUNTIFS(Fixtures[referee], Referees[[#This Row],[name]], Fixtures[APP], TRUE) &gt; 0</f>
        <v>1</v>
      </c>
      <c r="G128" s="27" t="s">
        <v>1106</v>
      </c>
    </row>
    <row r="129" spans="1:7" ht="13">
      <c r="A129" s="27" t="s">
        <v>1228</v>
      </c>
      <c r="B129" s="27" t="s">
        <v>254</v>
      </c>
      <c r="C129" s="27" t="s">
        <v>1104</v>
      </c>
      <c r="D129" s="27" t="s">
        <v>1105</v>
      </c>
      <c r="E129" s="27" t="b">
        <v>0</v>
      </c>
      <c r="F129" s="27" t="b">
        <f>COUNTIFS(Fixtures[referee], Referees[[#This Row],[name]], Fixtures[APP], TRUE) &gt; 0</f>
        <v>0</v>
      </c>
      <c r="G129" s="27" t="s">
        <v>1106</v>
      </c>
    </row>
    <row r="130" spans="1:7" ht="13">
      <c r="A130" s="27" t="s">
        <v>1229</v>
      </c>
      <c r="B130" s="27" t="s">
        <v>144</v>
      </c>
      <c r="C130" s="27" t="s">
        <v>1132</v>
      </c>
      <c r="D130" s="27" t="s">
        <v>1105</v>
      </c>
      <c r="E130" s="27" t="b">
        <v>0</v>
      </c>
      <c r="F130" s="27" t="b">
        <f>COUNTIFS(Fixtures[referee], Referees[[#This Row],[name]], Fixtures[APP], TRUE) &gt; 0</f>
        <v>0</v>
      </c>
      <c r="G130" s="27" t="s">
        <v>1106</v>
      </c>
    </row>
    <row r="131" spans="1:7" ht="13">
      <c r="A131" s="27" t="s">
        <v>1230</v>
      </c>
      <c r="B131" s="27" t="s">
        <v>16</v>
      </c>
      <c r="C131" s="27" t="s">
        <v>1104</v>
      </c>
      <c r="D131" s="27" t="s">
        <v>1105</v>
      </c>
      <c r="E131" s="27" t="b">
        <v>0</v>
      </c>
      <c r="F131" s="27" t="b">
        <f>COUNTIFS(Fixtures[referee], Referees[[#This Row],[name]], Fixtures[APP], TRUE) &gt; 0</f>
        <v>0</v>
      </c>
      <c r="G131" s="27" t="s">
        <v>1106</v>
      </c>
    </row>
    <row r="132" spans="1:7" ht="13">
      <c r="A132" s="27" t="s">
        <v>1231</v>
      </c>
      <c r="B132" s="27" t="s">
        <v>408</v>
      </c>
      <c r="C132" s="27" t="s">
        <v>1104</v>
      </c>
      <c r="D132" s="27" t="s">
        <v>1105</v>
      </c>
      <c r="E132" s="27" t="b">
        <v>0</v>
      </c>
      <c r="F132" s="27" t="b">
        <f>COUNTIFS(Fixtures[referee], Referees[[#This Row],[name]], Fixtures[APP], TRUE) &gt; 0</f>
        <v>0</v>
      </c>
      <c r="G132" s="27" t="s">
        <v>1106</v>
      </c>
    </row>
    <row r="133" spans="1:7" ht="13">
      <c r="A133" s="27" t="s">
        <v>1232</v>
      </c>
      <c r="B133" s="27" t="s">
        <v>401</v>
      </c>
      <c r="C133" s="27" t="s">
        <v>1104</v>
      </c>
      <c r="D133" s="27" t="s">
        <v>1105</v>
      </c>
      <c r="E133" s="27" t="b">
        <v>0</v>
      </c>
      <c r="F133" s="27" t="b">
        <f>COUNTIFS(Fixtures[referee], Referees[[#This Row],[name]], Fixtures[APP], TRUE) &gt; 0</f>
        <v>0</v>
      </c>
      <c r="G133" s="27" t="s">
        <v>1106</v>
      </c>
    </row>
    <row r="134" spans="1:7" ht="13">
      <c r="A134" s="27" t="s">
        <v>1233</v>
      </c>
      <c r="B134" s="27" t="s">
        <v>410</v>
      </c>
      <c r="C134" s="27" t="s">
        <v>1113</v>
      </c>
      <c r="D134" s="27" t="s">
        <v>1121</v>
      </c>
      <c r="E134" s="27" t="b">
        <v>0</v>
      </c>
      <c r="F134" s="27" t="b">
        <f>COUNTIFS(Fixtures[referee], Referees[[#This Row],[name]], Fixtures[APP], TRUE) &gt; 0</f>
        <v>0</v>
      </c>
      <c r="G134" s="27" t="s">
        <v>1106</v>
      </c>
    </row>
    <row r="135" spans="1:7" ht="13">
      <c r="A135" s="27" t="s">
        <v>1234</v>
      </c>
      <c r="B135" s="27" t="s">
        <v>152</v>
      </c>
      <c r="C135" s="27" t="s">
        <v>1113</v>
      </c>
      <c r="D135" s="27" t="s">
        <v>1105</v>
      </c>
      <c r="E135" s="27" t="b">
        <v>1</v>
      </c>
      <c r="F135" s="27" t="b">
        <f>COUNTIFS(Fixtures[referee], Referees[[#This Row],[name]], Fixtures[APP], TRUE) &gt; 0</f>
        <v>0</v>
      </c>
      <c r="G135" s="27" t="s">
        <v>1106</v>
      </c>
    </row>
    <row r="136" spans="1:7" ht="13">
      <c r="A136" s="27" t="s">
        <v>269</v>
      </c>
      <c r="B136" s="27" t="s">
        <v>152</v>
      </c>
      <c r="C136" s="27" t="s">
        <v>1132</v>
      </c>
      <c r="D136" s="27" t="s">
        <v>1105</v>
      </c>
      <c r="E136" s="27" t="b">
        <v>0</v>
      </c>
      <c r="F136" s="27" t="b">
        <f>COUNTIFS(Fixtures[referee], Referees[[#This Row],[name]], Fixtures[APP], TRUE) &gt; 0</f>
        <v>1</v>
      </c>
      <c r="G136" s="27" t="s">
        <v>1106</v>
      </c>
    </row>
    <row r="137" spans="1:7" ht="13">
      <c r="A137" s="27" t="s">
        <v>1235</v>
      </c>
      <c r="B137" s="27" t="s">
        <v>414</v>
      </c>
      <c r="C137" s="27" t="s">
        <v>1105</v>
      </c>
      <c r="D137" s="27" t="s">
        <v>1121</v>
      </c>
      <c r="E137" s="27" t="b">
        <v>0</v>
      </c>
      <c r="F137" s="27" t="b">
        <f>COUNTIFS(Fixtures[referee], Referees[[#This Row],[name]], Fixtures[APP], TRUE) &gt; 0</f>
        <v>0</v>
      </c>
      <c r="G137" s="27" t="s">
        <v>1117</v>
      </c>
    </row>
    <row r="138" spans="1:7" ht="13">
      <c r="A138" s="27" t="s">
        <v>1236</v>
      </c>
      <c r="B138" s="27" t="s">
        <v>463</v>
      </c>
      <c r="C138" s="27" t="s">
        <v>1104</v>
      </c>
      <c r="D138" s="27" t="s">
        <v>1105</v>
      </c>
      <c r="E138" s="27" t="b">
        <v>0</v>
      </c>
      <c r="F138" s="27" t="b">
        <f>COUNTIFS(Fixtures[referee], Referees[[#This Row],[name]], Fixtures[APP], TRUE) &gt; 0</f>
        <v>0</v>
      </c>
      <c r="G138" s="27" t="s">
        <v>1106</v>
      </c>
    </row>
    <row r="139" spans="1:7" ht="13">
      <c r="A139" s="27" t="s">
        <v>1237</v>
      </c>
      <c r="B139" s="27" t="s">
        <v>254</v>
      </c>
      <c r="C139" s="27" t="s">
        <v>1113</v>
      </c>
      <c r="D139" s="27" t="s">
        <v>1121</v>
      </c>
      <c r="E139" s="27" t="b">
        <v>0</v>
      </c>
      <c r="F139" s="27" t="b">
        <f>COUNTIFS(Fixtures[referee], Referees[[#This Row],[name]], Fixtures[APP], TRUE) &gt; 0</f>
        <v>0</v>
      </c>
      <c r="G139" s="27" t="s">
        <v>1106</v>
      </c>
    </row>
    <row r="140" spans="1:7" ht="13">
      <c r="A140" s="27" t="s">
        <v>1238</v>
      </c>
      <c r="B140" s="27" t="s">
        <v>213</v>
      </c>
      <c r="C140" s="27" t="s">
        <v>1113</v>
      </c>
      <c r="D140" s="27" t="s">
        <v>1105</v>
      </c>
      <c r="E140" s="27" t="b">
        <v>0</v>
      </c>
      <c r="F140" s="27" t="b">
        <f>COUNTIFS(Fixtures[referee], Referees[[#This Row],[name]], Fixtures[APP], TRUE) &gt; 0</f>
        <v>0</v>
      </c>
      <c r="G140" s="27" t="s">
        <v>1106</v>
      </c>
    </row>
    <row r="141" spans="1:7" ht="13">
      <c r="A141" s="27" t="s">
        <v>1239</v>
      </c>
      <c r="B141" s="27" t="s">
        <v>339</v>
      </c>
      <c r="C141" s="27" t="s">
        <v>1104</v>
      </c>
      <c r="D141" s="27" t="s">
        <v>1105</v>
      </c>
      <c r="E141" s="27" t="b">
        <v>0</v>
      </c>
      <c r="F141" s="27" t="b">
        <f>COUNTIFS(Fixtures[referee], Referees[[#This Row],[name]], Fixtures[APP], TRUE) &gt; 0</f>
        <v>0</v>
      </c>
      <c r="G141" s="27" t="s">
        <v>1106</v>
      </c>
    </row>
    <row r="142" spans="1:7" ht="13">
      <c r="A142" s="27" t="s">
        <v>1240</v>
      </c>
      <c r="B142" s="27" t="s">
        <v>493</v>
      </c>
      <c r="C142" s="27" t="s">
        <v>1104</v>
      </c>
      <c r="D142" s="27" t="s">
        <v>1116</v>
      </c>
      <c r="E142" s="27" t="b">
        <v>0</v>
      </c>
      <c r="F142" s="27" t="b">
        <f>COUNTIFS(Fixtures[referee], Referees[[#This Row],[name]], Fixtures[APP], TRUE) &gt; 0</f>
        <v>0</v>
      </c>
      <c r="G142" s="27" t="s">
        <v>1106</v>
      </c>
    </row>
    <row r="143" spans="1:7" ht="13">
      <c r="A143" s="27" t="s">
        <v>316</v>
      </c>
      <c r="B143" s="27" t="s">
        <v>408</v>
      </c>
      <c r="C143" s="27" t="s">
        <v>1104</v>
      </c>
      <c r="D143" s="27" t="s">
        <v>1105</v>
      </c>
      <c r="E143" s="27" t="b">
        <v>0</v>
      </c>
      <c r="F143" s="27" t="b">
        <f>COUNTIFS(Fixtures[referee], Referees[[#This Row],[name]], Fixtures[APP], TRUE) &gt; 0</f>
        <v>1</v>
      </c>
      <c r="G143" s="27" t="s">
        <v>1106</v>
      </c>
    </row>
    <row r="144" spans="1:7" ht="13">
      <c r="A144" s="27" t="s">
        <v>1241</v>
      </c>
      <c r="B144" s="27" t="s">
        <v>144</v>
      </c>
      <c r="C144" s="27" t="s">
        <v>1104</v>
      </c>
      <c r="D144" s="27" t="s">
        <v>1105</v>
      </c>
      <c r="E144" s="27" t="b">
        <v>0</v>
      </c>
      <c r="F144" s="27" t="b">
        <f>COUNTIFS(Fixtures[referee], Referees[[#This Row],[name]], Fixtures[APP], TRUE) &gt; 0</f>
        <v>0</v>
      </c>
      <c r="G144" s="27" t="s">
        <v>1106</v>
      </c>
    </row>
    <row r="145" spans="1:7" ht="13">
      <c r="A145" s="27" t="s">
        <v>265</v>
      </c>
      <c r="B145" s="27" t="s">
        <v>337</v>
      </c>
      <c r="C145" s="27" t="s">
        <v>1104</v>
      </c>
      <c r="D145" s="27" t="s">
        <v>1116</v>
      </c>
      <c r="E145" s="27" t="b">
        <v>0</v>
      </c>
      <c r="F145" s="27" t="b">
        <f>COUNTIFS(Fixtures[referee], Referees[[#This Row],[name]], Fixtures[APP], TRUE) &gt; 0</f>
        <v>1</v>
      </c>
      <c r="G145" s="27" t="s">
        <v>1106</v>
      </c>
    </row>
    <row r="146" spans="1:7" ht="13">
      <c r="A146" s="27" t="s">
        <v>1242</v>
      </c>
      <c r="B146" s="27" t="s">
        <v>1183</v>
      </c>
      <c r="C146" s="27" t="s">
        <v>1105</v>
      </c>
      <c r="D146" s="27" t="s">
        <v>1121</v>
      </c>
      <c r="E146" s="27" t="b">
        <v>0</v>
      </c>
      <c r="F146" s="27" t="b">
        <f>COUNTIFS(Fixtures[referee], Referees[[#This Row],[name]], Fixtures[APP], TRUE) &gt; 0</f>
        <v>0</v>
      </c>
      <c r="G146" s="27" t="s">
        <v>1117</v>
      </c>
    </row>
    <row r="147" spans="1:7" ht="13">
      <c r="A147" s="27" t="s">
        <v>1243</v>
      </c>
      <c r="B147" s="27" t="s">
        <v>152</v>
      </c>
      <c r="C147" s="27" t="s">
        <v>1116</v>
      </c>
      <c r="D147" s="27" t="s">
        <v>1105</v>
      </c>
      <c r="E147" s="27" t="b">
        <v>0</v>
      </c>
      <c r="F147" s="27" t="b">
        <f>COUNTIFS(Fixtures[referee], Referees[[#This Row],[name]], Fixtures[APP], TRUE) &gt; 0</f>
        <v>0</v>
      </c>
      <c r="G147" s="27" t="s">
        <v>1117</v>
      </c>
    </row>
    <row r="148" spans="1:7" ht="13">
      <c r="A148" s="27" t="s">
        <v>1244</v>
      </c>
      <c r="B148" s="27" t="s">
        <v>337</v>
      </c>
      <c r="C148" s="27" t="s">
        <v>1104</v>
      </c>
      <c r="D148" s="27" t="s">
        <v>1105</v>
      </c>
      <c r="E148" s="27" t="b">
        <v>0</v>
      </c>
      <c r="F148" s="27" t="b">
        <f>COUNTIFS(Fixtures[referee], Referees[[#This Row],[name]], Fixtures[APP], TRUE) &gt; 0</f>
        <v>0</v>
      </c>
      <c r="G148" s="27" t="s">
        <v>1106</v>
      </c>
    </row>
    <row r="149" spans="1:7" ht="13">
      <c r="A149" s="27" t="s">
        <v>1245</v>
      </c>
      <c r="B149" s="27" t="s">
        <v>270</v>
      </c>
      <c r="C149" s="27" t="s">
        <v>1104</v>
      </c>
      <c r="D149" s="27" t="s">
        <v>1121</v>
      </c>
      <c r="E149" s="27" t="b">
        <v>0</v>
      </c>
      <c r="F149" s="27" t="b">
        <f>COUNTIFS(Fixtures[referee], Referees[[#This Row],[name]], Fixtures[APP], TRUE) &gt; 0</f>
        <v>0</v>
      </c>
      <c r="G149" s="27" t="s">
        <v>1106</v>
      </c>
    </row>
    <row r="150" spans="1:7" ht="13">
      <c r="A150" s="27" t="s">
        <v>1246</v>
      </c>
      <c r="B150" s="27" t="s">
        <v>414</v>
      </c>
      <c r="C150" s="27" t="s">
        <v>1104</v>
      </c>
      <c r="D150" s="27" t="s">
        <v>1121</v>
      </c>
      <c r="E150" s="27" t="b">
        <v>0</v>
      </c>
      <c r="F150" s="27" t="b">
        <f>COUNTIFS(Fixtures[referee], Referees[[#This Row],[name]], Fixtures[APP], TRUE) &gt; 0</f>
        <v>0</v>
      </c>
      <c r="G150" s="27" t="s">
        <v>1106</v>
      </c>
    </row>
    <row r="151" spans="1:7" ht="13">
      <c r="A151" s="27" t="s">
        <v>1247</v>
      </c>
      <c r="B151" s="27" t="s">
        <v>286</v>
      </c>
      <c r="C151" s="27" t="s">
        <v>1104</v>
      </c>
      <c r="D151" s="27" t="s">
        <v>1105</v>
      </c>
      <c r="E151" s="27" t="b">
        <v>0</v>
      </c>
      <c r="F151" s="27" t="b">
        <f>COUNTIFS(Fixtures[referee], Referees[[#This Row],[name]], Fixtures[APP], TRUE) &gt; 0</f>
        <v>0</v>
      </c>
      <c r="G151" s="27" t="s">
        <v>1106</v>
      </c>
    </row>
    <row r="152" spans="1:7" ht="13">
      <c r="A152" s="27" t="s">
        <v>1248</v>
      </c>
      <c r="B152" s="27" t="s">
        <v>337</v>
      </c>
      <c r="C152" s="27" t="s">
        <v>1104</v>
      </c>
      <c r="D152" s="27" t="s">
        <v>1105</v>
      </c>
      <c r="E152" s="27" t="b">
        <v>0</v>
      </c>
      <c r="F152" s="27" t="b">
        <f>COUNTIFS(Fixtures[referee], Referees[[#This Row],[name]], Fixtures[APP], TRUE) &gt; 0</f>
        <v>0</v>
      </c>
      <c r="G152" s="27" t="s">
        <v>1106</v>
      </c>
    </row>
    <row r="153" spans="1:7" ht="13">
      <c r="A153" s="27" t="s">
        <v>1249</v>
      </c>
      <c r="B153" s="27" t="s">
        <v>213</v>
      </c>
      <c r="C153" s="27" t="s">
        <v>1104</v>
      </c>
      <c r="D153" s="27" t="s">
        <v>1105</v>
      </c>
      <c r="E153" s="27" t="b">
        <v>0</v>
      </c>
      <c r="F153" s="27" t="b">
        <f>COUNTIFS(Fixtures[referee], Referees[[#This Row],[name]], Fixtures[APP], TRUE) &gt; 0</f>
        <v>0</v>
      </c>
      <c r="G153" s="27" t="s">
        <v>1106</v>
      </c>
    </row>
    <row r="154" spans="1:7" ht="13">
      <c r="A154" s="27" t="s">
        <v>1250</v>
      </c>
      <c r="B154" s="27" t="s">
        <v>493</v>
      </c>
      <c r="C154" s="27" t="s">
        <v>1104</v>
      </c>
      <c r="D154" s="27" t="s">
        <v>1105</v>
      </c>
      <c r="E154" s="27" t="b">
        <v>0</v>
      </c>
      <c r="F154" s="27" t="b">
        <f>COUNTIFS(Fixtures[referee], Referees[[#This Row],[name]], Fixtures[APP], TRUE) &gt; 0</f>
        <v>0</v>
      </c>
      <c r="G154" s="27" t="s">
        <v>1106</v>
      </c>
    </row>
    <row r="155" spans="1:7" ht="13">
      <c r="A155" s="27" t="s">
        <v>1251</v>
      </c>
      <c r="B155" s="27" t="s">
        <v>403</v>
      </c>
      <c r="C155" s="27" t="s">
        <v>1104</v>
      </c>
      <c r="D155" s="27" t="s">
        <v>1105</v>
      </c>
      <c r="E155" s="27" t="b">
        <v>0</v>
      </c>
      <c r="F155" s="27" t="b">
        <f>COUNTIFS(Fixtures[referee], Referees[[#This Row],[name]], Fixtures[APP], TRUE) &gt; 0</f>
        <v>0</v>
      </c>
      <c r="G155" s="27" t="s">
        <v>1106</v>
      </c>
    </row>
    <row r="156" spans="1:7" ht="13">
      <c r="A156" s="27" t="s">
        <v>1252</v>
      </c>
      <c r="B156" s="27" t="s">
        <v>1142</v>
      </c>
      <c r="C156" s="27" t="s">
        <v>1104</v>
      </c>
      <c r="D156" s="27" t="s">
        <v>1105</v>
      </c>
      <c r="E156" s="27" t="b">
        <v>0</v>
      </c>
      <c r="F156" s="27" t="b">
        <f>COUNTIFS(Fixtures[referee], Referees[[#This Row],[name]], Fixtures[APP], TRUE) &gt; 0</f>
        <v>0</v>
      </c>
      <c r="G156" s="27" t="s">
        <v>1106</v>
      </c>
    </row>
    <row r="157" spans="1:7" ht="13">
      <c r="A157" s="27" t="s">
        <v>1253</v>
      </c>
      <c r="B157" s="27" t="s">
        <v>419</v>
      </c>
      <c r="C157" s="27" t="s">
        <v>1104</v>
      </c>
      <c r="D157" s="27" t="s">
        <v>1121</v>
      </c>
      <c r="E157" s="27" t="b">
        <v>0</v>
      </c>
      <c r="F157" s="27" t="b">
        <f>COUNTIFS(Fixtures[referee], Referees[[#This Row],[name]], Fixtures[APP], TRUE) &gt; 0</f>
        <v>0</v>
      </c>
      <c r="G157" s="27" t="s">
        <v>1106</v>
      </c>
    </row>
    <row r="158" spans="1:7" ht="13">
      <c r="A158" s="27" t="s">
        <v>1254</v>
      </c>
      <c r="B158" s="27" t="s">
        <v>152</v>
      </c>
      <c r="C158" s="27" t="s">
        <v>1113</v>
      </c>
      <c r="D158" s="27" t="s">
        <v>1105</v>
      </c>
      <c r="E158" s="27" t="b">
        <v>0</v>
      </c>
      <c r="F158" s="27" t="b">
        <f>COUNTIFS(Fixtures[referee], Referees[[#This Row],[name]], Fixtures[APP], TRUE) &gt; 0</f>
        <v>0</v>
      </c>
      <c r="G158" s="27" t="s">
        <v>1106</v>
      </c>
    </row>
    <row r="159" spans="1:7" ht="13">
      <c r="A159" s="27" t="s">
        <v>1255</v>
      </c>
      <c r="B159" s="27" t="s">
        <v>163</v>
      </c>
      <c r="C159" s="27" t="s">
        <v>1132</v>
      </c>
      <c r="D159" s="27" t="s">
        <v>1121</v>
      </c>
      <c r="E159" s="27" t="b">
        <v>0</v>
      </c>
      <c r="F159" s="27" t="b">
        <f>COUNTIFS(Fixtures[referee], Referees[[#This Row],[name]], Fixtures[APP], TRUE) &gt; 0</f>
        <v>0</v>
      </c>
      <c r="G159" s="27" t="s">
        <v>1106</v>
      </c>
    </row>
    <row r="160" spans="1:7" ht="13">
      <c r="A160" s="27" t="s">
        <v>338</v>
      </c>
      <c r="B160" s="27" t="s">
        <v>1256</v>
      </c>
      <c r="C160" s="27" t="s">
        <v>1104</v>
      </c>
      <c r="D160" s="27" t="s">
        <v>1105</v>
      </c>
      <c r="E160" s="27" t="b">
        <v>0</v>
      </c>
      <c r="F160" s="27" t="b">
        <f>COUNTIFS(Fixtures[referee], Referees[[#This Row],[name]], Fixtures[APP], TRUE) &gt; 0</f>
        <v>0</v>
      </c>
      <c r="G160" s="27" t="s">
        <v>1106</v>
      </c>
    </row>
    <row r="161" spans="1:7" ht="13">
      <c r="A161" s="27" t="s">
        <v>1257</v>
      </c>
      <c r="B161" s="27" t="s">
        <v>286</v>
      </c>
      <c r="C161" s="27" t="s">
        <v>1104</v>
      </c>
      <c r="D161" s="27" t="s">
        <v>1121</v>
      </c>
      <c r="E161" s="27" t="b">
        <v>0</v>
      </c>
      <c r="F161" s="27" t="b">
        <f>COUNTIFS(Fixtures[referee], Referees[[#This Row],[name]], Fixtures[APP], TRUE) &gt; 0</f>
        <v>0</v>
      </c>
      <c r="G161" s="27" t="s">
        <v>1106</v>
      </c>
    </row>
    <row r="162" spans="1:7" ht="13">
      <c r="A162" s="27" t="s">
        <v>1258</v>
      </c>
      <c r="B162" s="27" t="s">
        <v>286</v>
      </c>
      <c r="C162" s="27" t="s">
        <v>1104</v>
      </c>
      <c r="D162" s="27" t="s">
        <v>1105</v>
      </c>
      <c r="E162" s="27" t="b">
        <v>0</v>
      </c>
      <c r="F162" s="27" t="b">
        <f>COUNTIFS(Fixtures[referee], Referees[[#This Row],[name]], Fixtures[APP], TRUE) &gt; 0</f>
        <v>0</v>
      </c>
      <c r="G162" s="27" t="s">
        <v>1106</v>
      </c>
    </row>
    <row r="163" spans="1:7" ht="13">
      <c r="A163" s="27" t="s">
        <v>298</v>
      </c>
      <c r="B163" s="27" t="s">
        <v>401</v>
      </c>
      <c r="C163" s="27" t="s">
        <v>1104</v>
      </c>
      <c r="D163" s="27" t="s">
        <v>1105</v>
      </c>
      <c r="E163" s="27" t="b">
        <v>0</v>
      </c>
      <c r="F163" s="27" t="b">
        <f>COUNTIFS(Fixtures[referee], Referees[[#This Row],[name]], Fixtures[APP], TRUE) &gt; 0</f>
        <v>1</v>
      </c>
      <c r="G163" s="27" t="s">
        <v>1106</v>
      </c>
    </row>
    <row r="164" spans="1:7" ht="13">
      <c r="A164" s="27" t="s">
        <v>1259</v>
      </c>
      <c r="B164" s="27" t="s">
        <v>419</v>
      </c>
      <c r="C164" s="27" t="s">
        <v>1104</v>
      </c>
      <c r="D164" s="27" t="s">
        <v>1105</v>
      </c>
      <c r="E164" s="27" t="b">
        <v>0</v>
      </c>
      <c r="F164" s="27" t="b">
        <f>COUNTIFS(Fixtures[referee], Referees[[#This Row],[name]], Fixtures[APP], TRUE) &gt; 0</f>
        <v>0</v>
      </c>
      <c r="G164" s="27" t="s">
        <v>1106</v>
      </c>
    </row>
    <row r="165" spans="1:7" ht="13">
      <c r="A165" s="27" t="s">
        <v>1260</v>
      </c>
      <c r="B165" s="27" t="s">
        <v>213</v>
      </c>
      <c r="C165" s="27" t="s">
        <v>1104</v>
      </c>
      <c r="D165" s="27" t="s">
        <v>1121</v>
      </c>
      <c r="E165" s="27" t="b">
        <v>0</v>
      </c>
      <c r="F165" s="27" t="b">
        <f>COUNTIFS(Fixtures[referee], Referees[[#This Row],[name]], Fixtures[APP], TRUE) &gt; 0</f>
        <v>0</v>
      </c>
      <c r="G165" s="27" t="s">
        <v>1106</v>
      </c>
    </row>
    <row r="166" spans="1:7" ht="13">
      <c r="A166" s="27" t="s">
        <v>1261</v>
      </c>
      <c r="B166" s="27" t="s">
        <v>416</v>
      </c>
      <c r="C166" s="27" t="s">
        <v>1104</v>
      </c>
      <c r="D166" s="27" t="s">
        <v>1105</v>
      </c>
      <c r="E166" s="27" t="b">
        <v>0</v>
      </c>
      <c r="F166" s="27" t="b">
        <f>COUNTIFS(Fixtures[referee], Referees[[#This Row],[name]], Fixtures[APP], TRUE) &gt; 0</f>
        <v>0</v>
      </c>
      <c r="G166" s="27" t="s">
        <v>1106</v>
      </c>
    </row>
    <row r="167" spans="1:7" ht="13">
      <c r="A167" s="27" t="s">
        <v>1262</v>
      </c>
      <c r="B167" s="27" t="s">
        <v>410</v>
      </c>
      <c r="C167" s="27" t="s">
        <v>1104</v>
      </c>
      <c r="D167" s="27" t="s">
        <v>1105</v>
      </c>
      <c r="E167" s="27" t="b">
        <v>0</v>
      </c>
      <c r="F167" s="27" t="b">
        <f>COUNTIFS(Fixtures[referee], Referees[[#This Row],[name]], Fixtures[APP], TRUE) &gt; 0</f>
        <v>0</v>
      </c>
      <c r="G167" s="27" t="s">
        <v>1106</v>
      </c>
    </row>
    <row r="168" spans="1:7" ht="13">
      <c r="A168" s="27" t="s">
        <v>344</v>
      </c>
      <c r="B168" s="27" t="s">
        <v>213</v>
      </c>
      <c r="C168" s="27" t="s">
        <v>1104</v>
      </c>
      <c r="D168" s="27" t="s">
        <v>1105</v>
      </c>
      <c r="E168" s="27" t="b">
        <v>0</v>
      </c>
      <c r="F168" s="27" t="b">
        <f>COUNTIFS(Fixtures[referee], Referees[[#This Row],[name]], Fixtures[APP], TRUE) &gt; 0</f>
        <v>0</v>
      </c>
      <c r="G168" s="27" t="s">
        <v>1106</v>
      </c>
    </row>
    <row r="169" spans="1:7" ht="13">
      <c r="A169" s="27" t="s">
        <v>1263</v>
      </c>
      <c r="B169" s="27" t="s">
        <v>152</v>
      </c>
      <c r="C169" s="27" t="s">
        <v>1104</v>
      </c>
      <c r="D169" s="27" t="s">
        <v>1105</v>
      </c>
      <c r="E169" s="27" t="b">
        <v>1</v>
      </c>
      <c r="F169" s="27" t="b">
        <f>COUNTIFS(Fixtures[referee], Referees[[#This Row],[name]], Fixtures[APP], TRUE) &gt; 0</f>
        <v>0</v>
      </c>
      <c r="G169" s="27" t="s">
        <v>1106</v>
      </c>
    </row>
    <row r="170" spans="1:7" ht="13">
      <c r="A170" s="27" t="s">
        <v>191</v>
      </c>
      <c r="B170" s="27" t="s">
        <v>152</v>
      </c>
      <c r="C170" s="27" t="s">
        <v>1104</v>
      </c>
      <c r="D170" s="27" t="s">
        <v>1105</v>
      </c>
      <c r="E170" s="27" t="b">
        <v>1</v>
      </c>
      <c r="F170" s="27" t="b">
        <f>COUNTIFS(Fixtures[referee], Referees[[#This Row],[name]], Fixtures[APP], TRUE) &gt; 0</f>
        <v>1</v>
      </c>
      <c r="G170" s="27" t="s">
        <v>1106</v>
      </c>
    </row>
    <row r="171" spans="1:7" ht="13">
      <c r="A171" s="27" t="s">
        <v>1264</v>
      </c>
      <c r="B171" s="27" t="s">
        <v>152</v>
      </c>
      <c r="C171" s="27" t="s">
        <v>1105</v>
      </c>
      <c r="D171" s="27" t="s">
        <v>1105</v>
      </c>
      <c r="E171" s="27" t="b">
        <v>1</v>
      </c>
      <c r="F171" s="27" t="b">
        <f>COUNTIFS(Fixtures[referee], Referees[[#This Row],[name]], Fixtures[APP], TRUE) &gt; 0</f>
        <v>0</v>
      </c>
      <c r="G171" s="27" t="s">
        <v>1117</v>
      </c>
    </row>
    <row r="172" spans="1:7" ht="13">
      <c r="A172" s="27" t="s">
        <v>193</v>
      </c>
      <c r="B172" s="27" t="s">
        <v>152</v>
      </c>
      <c r="C172" s="27" t="s">
        <v>1104</v>
      </c>
      <c r="D172" s="27" t="s">
        <v>1105</v>
      </c>
      <c r="E172" s="27" t="b">
        <v>1</v>
      </c>
      <c r="F172" s="27" t="b">
        <f>COUNTIFS(Fixtures[referee], Referees[[#This Row],[name]], Fixtures[APP], TRUE) &gt; 0</f>
        <v>1</v>
      </c>
      <c r="G172" s="27" t="s">
        <v>1106</v>
      </c>
    </row>
    <row r="173" spans="1:7" ht="13">
      <c r="A173" s="27" t="s">
        <v>250</v>
      </c>
      <c r="B173" s="27" t="s">
        <v>152</v>
      </c>
      <c r="C173" s="27" t="s">
        <v>1132</v>
      </c>
      <c r="D173" s="27" t="s">
        <v>1121</v>
      </c>
      <c r="E173" s="27" t="b">
        <v>1</v>
      </c>
      <c r="F173" s="27" t="b">
        <f>COUNTIFS(Fixtures[referee], Referees[[#This Row],[name]], Fixtures[APP], TRUE) &gt; 0</f>
        <v>1</v>
      </c>
      <c r="G173" s="27" t="s">
        <v>1106</v>
      </c>
    </row>
    <row r="174" spans="1:7" ht="13">
      <c r="A174" s="27" t="s">
        <v>1265</v>
      </c>
      <c r="B174" s="27" t="s">
        <v>152</v>
      </c>
      <c r="C174" s="27" t="s">
        <v>1104</v>
      </c>
      <c r="D174" s="27" t="s">
        <v>1105</v>
      </c>
      <c r="E174" s="27" t="b">
        <v>1</v>
      </c>
      <c r="F174" s="27" t="b">
        <f>COUNTIFS(Fixtures[referee], Referees[[#This Row],[name]], Fixtures[APP], TRUE) &gt; 0</f>
        <v>0</v>
      </c>
      <c r="G174" s="27" t="s">
        <v>1106</v>
      </c>
    </row>
    <row r="175" spans="1:7" ht="13">
      <c r="A175" s="27" t="s">
        <v>1266</v>
      </c>
      <c r="B175" s="27" t="s">
        <v>152</v>
      </c>
      <c r="C175" s="27" t="s">
        <v>1104</v>
      </c>
      <c r="D175" s="27" t="s">
        <v>1105</v>
      </c>
      <c r="E175" s="27" t="b">
        <v>1</v>
      </c>
      <c r="F175" s="27" t="b">
        <f>COUNTIFS(Fixtures[referee], Referees[[#This Row],[name]], Fixtures[APP], TRUE) &gt; 0</f>
        <v>0</v>
      </c>
      <c r="G175" s="27" t="s">
        <v>1106</v>
      </c>
    </row>
    <row r="176" spans="1:7" ht="13">
      <c r="A176" s="27" t="s">
        <v>309</v>
      </c>
      <c r="B176" s="27" t="s">
        <v>337</v>
      </c>
      <c r="C176" s="27" t="s">
        <v>1104</v>
      </c>
      <c r="D176" s="27" t="s">
        <v>1105</v>
      </c>
      <c r="E176" s="27" t="b">
        <v>0</v>
      </c>
      <c r="F176" s="27" t="b">
        <f>COUNTIFS(Fixtures[referee], Referees[[#This Row],[name]], Fixtures[APP], TRUE) &gt; 0</f>
        <v>1</v>
      </c>
      <c r="G176" s="27" t="s">
        <v>1106</v>
      </c>
    </row>
    <row r="177" spans="1:7" ht="13">
      <c r="A177" s="27" t="s">
        <v>1267</v>
      </c>
      <c r="B177" s="27" t="s">
        <v>410</v>
      </c>
      <c r="C177" s="27" t="s">
        <v>1104</v>
      </c>
      <c r="D177" s="27" t="s">
        <v>1105</v>
      </c>
      <c r="E177" s="27" t="b">
        <v>1</v>
      </c>
      <c r="F177" s="27" t="b">
        <f>COUNTIFS(Fixtures[referee], Referees[[#This Row],[name]], Fixtures[APP], TRUE) &gt; 0</f>
        <v>0</v>
      </c>
      <c r="G177" s="27" t="s">
        <v>1106</v>
      </c>
    </row>
    <row r="178" spans="1:7" ht="13">
      <c r="A178" s="27" t="s">
        <v>305</v>
      </c>
      <c r="B178" s="27" t="s">
        <v>337</v>
      </c>
      <c r="C178" s="27" t="s">
        <v>1113</v>
      </c>
      <c r="D178" s="27" t="s">
        <v>1105</v>
      </c>
      <c r="E178" s="27" t="b">
        <v>0</v>
      </c>
      <c r="F178" s="27" t="b">
        <f>COUNTIFS(Fixtures[referee], Referees[[#This Row],[name]], Fixtures[APP], TRUE) &gt; 0</f>
        <v>1</v>
      </c>
      <c r="G178" s="27" t="s">
        <v>1106</v>
      </c>
    </row>
    <row r="179" spans="1:7" ht="13">
      <c r="A179" s="27" t="s">
        <v>1268</v>
      </c>
      <c r="B179" s="27" t="s">
        <v>152</v>
      </c>
      <c r="C179" s="27" t="s">
        <v>1104</v>
      </c>
      <c r="D179" s="27" t="s">
        <v>1105</v>
      </c>
      <c r="E179" s="27" t="b">
        <v>1</v>
      </c>
      <c r="F179" s="27" t="b">
        <f>COUNTIFS(Fixtures[referee], Referees[[#This Row],[name]], Fixtures[APP], TRUE) &gt; 0</f>
        <v>0</v>
      </c>
      <c r="G179" s="27" t="s">
        <v>1106</v>
      </c>
    </row>
    <row r="180" spans="1:7" ht="13">
      <c r="A180" s="27" t="s">
        <v>1269</v>
      </c>
      <c r="B180" s="27" t="s">
        <v>425</v>
      </c>
      <c r="C180" s="27" t="s">
        <v>1104</v>
      </c>
      <c r="D180" s="27" t="s">
        <v>1105</v>
      </c>
      <c r="E180" s="27" t="b">
        <v>0</v>
      </c>
      <c r="F180" s="27" t="b">
        <f>COUNTIFS(Fixtures[referee], Referees[[#This Row],[name]], Fixtures[APP], TRUE) &gt; 0</f>
        <v>0</v>
      </c>
      <c r="G180" s="27" t="s">
        <v>1106</v>
      </c>
    </row>
    <row r="181" spans="1:7" ht="13">
      <c r="A181" s="27" t="s">
        <v>1270</v>
      </c>
      <c r="B181" s="27" t="s">
        <v>16</v>
      </c>
      <c r="C181" s="27" t="s">
        <v>1104</v>
      </c>
      <c r="D181" s="27" t="s">
        <v>1105</v>
      </c>
      <c r="E181" s="27" t="b">
        <v>0</v>
      </c>
      <c r="F181" s="27" t="b">
        <f>COUNTIFS(Fixtures[referee], Referees[[#This Row],[name]], Fixtures[APP], TRUE) &gt; 0</f>
        <v>0</v>
      </c>
      <c r="G181" s="27" t="s">
        <v>1106</v>
      </c>
    </row>
    <row r="182" spans="1:7" ht="13">
      <c r="A182" s="27" t="s">
        <v>1271</v>
      </c>
      <c r="B182" s="27" t="s">
        <v>339</v>
      </c>
      <c r="C182" s="27" t="s">
        <v>1113</v>
      </c>
      <c r="D182" s="27" t="s">
        <v>1105</v>
      </c>
      <c r="E182" s="27" t="b">
        <v>0</v>
      </c>
      <c r="F182" s="27" t="b">
        <f>COUNTIFS(Fixtures[referee], Referees[[#This Row],[name]], Fixtures[APP], TRUE) &gt; 0</f>
        <v>0</v>
      </c>
      <c r="G182" s="27" t="s">
        <v>1106</v>
      </c>
    </row>
    <row r="183" spans="1:7" ht="13">
      <c r="A183" s="27" t="s">
        <v>1272</v>
      </c>
      <c r="B183" s="27" t="s">
        <v>339</v>
      </c>
      <c r="C183" s="27" t="s">
        <v>1104</v>
      </c>
      <c r="D183" s="27" t="s">
        <v>1121</v>
      </c>
      <c r="E183" s="27" t="b">
        <v>0</v>
      </c>
      <c r="F183" s="27" t="b">
        <f>COUNTIFS(Fixtures[referee], Referees[[#This Row],[name]], Fixtures[APP], TRUE) &gt; 0</f>
        <v>0</v>
      </c>
      <c r="G183" s="27" t="s">
        <v>1106</v>
      </c>
    </row>
    <row r="184" spans="1:7" ht="13">
      <c r="A184" s="27" t="s">
        <v>1273</v>
      </c>
      <c r="B184" s="27" t="s">
        <v>16</v>
      </c>
      <c r="C184" s="27" t="s">
        <v>1104</v>
      </c>
      <c r="D184" s="27" t="s">
        <v>1116</v>
      </c>
      <c r="E184" s="27" t="b">
        <v>0</v>
      </c>
      <c r="F184" s="27" t="b">
        <f>COUNTIFS(Fixtures[referee], Referees[[#This Row],[name]], Fixtures[APP], TRUE) &gt; 0</f>
        <v>0</v>
      </c>
      <c r="G184" s="27" t="s">
        <v>1106</v>
      </c>
    </row>
    <row r="185" spans="1:7" ht="13">
      <c r="A185" s="27" t="s">
        <v>1274</v>
      </c>
      <c r="B185" s="27" t="s">
        <v>339</v>
      </c>
      <c r="C185" s="27" t="s">
        <v>1104</v>
      </c>
      <c r="D185" s="27" t="s">
        <v>1105</v>
      </c>
      <c r="E185" s="27" t="b">
        <v>0</v>
      </c>
      <c r="F185" s="27" t="b">
        <f>COUNTIFS(Fixtures[referee], Referees[[#This Row],[name]], Fixtures[APP], TRUE) &gt; 0</f>
        <v>0</v>
      </c>
      <c r="G185" s="27" t="s">
        <v>1106</v>
      </c>
    </row>
    <row r="186" spans="1:7" ht="13">
      <c r="A186" s="27" t="s">
        <v>188</v>
      </c>
      <c r="B186" s="27" t="s">
        <v>152</v>
      </c>
      <c r="C186" s="27" t="s">
        <v>1132</v>
      </c>
      <c r="D186" s="27" t="s">
        <v>1121</v>
      </c>
      <c r="E186" s="27" t="b">
        <v>1</v>
      </c>
      <c r="F186" s="27" t="b">
        <f>COUNTIFS(Fixtures[referee], Referees[[#This Row],[name]], Fixtures[APP], TRUE) &gt; 0</f>
        <v>1</v>
      </c>
      <c r="G186" s="27" t="s">
        <v>1106</v>
      </c>
    </row>
    <row r="187" spans="1:7" ht="13">
      <c r="A187" s="27" t="s">
        <v>1275</v>
      </c>
      <c r="B187" s="27" t="s">
        <v>131</v>
      </c>
      <c r="C187" s="27" t="s">
        <v>1132</v>
      </c>
      <c r="D187" s="27" t="s">
        <v>1105</v>
      </c>
      <c r="E187" s="27" t="b">
        <v>0</v>
      </c>
      <c r="F187" s="27" t="b">
        <f>COUNTIFS(Fixtures[referee], Referees[[#This Row],[name]], Fixtures[APP], TRUE) &gt; 0</f>
        <v>0</v>
      </c>
      <c r="G187" s="27" t="s">
        <v>1106</v>
      </c>
    </row>
    <row r="188" spans="1:7" ht="13">
      <c r="A188" s="27" t="s">
        <v>1276</v>
      </c>
      <c r="B188" s="27" t="s">
        <v>410</v>
      </c>
      <c r="C188" s="27" t="s">
        <v>1104</v>
      </c>
      <c r="D188" s="27" t="s">
        <v>1105</v>
      </c>
      <c r="E188" s="27" t="b">
        <v>0</v>
      </c>
      <c r="F188" s="27" t="b">
        <f>COUNTIFS(Fixtures[referee], Referees[[#This Row],[name]], Fixtures[APP], TRUE) &gt; 0</f>
        <v>0</v>
      </c>
      <c r="G188" s="27" t="s">
        <v>1106</v>
      </c>
    </row>
    <row r="189" spans="1:7" ht="13">
      <c r="A189" s="27" t="s">
        <v>1277</v>
      </c>
      <c r="B189" s="27" t="s">
        <v>144</v>
      </c>
      <c r="C189" s="27" t="s">
        <v>1104</v>
      </c>
      <c r="D189" s="27" t="s">
        <v>1121</v>
      </c>
      <c r="E189" s="27" t="b">
        <v>0</v>
      </c>
      <c r="F189" s="27" t="b">
        <f>COUNTIFS(Fixtures[referee], Referees[[#This Row],[name]], Fixtures[APP], TRUE) &gt; 0</f>
        <v>0</v>
      </c>
      <c r="G189" s="27" t="s">
        <v>1106</v>
      </c>
    </row>
    <row r="190" spans="1:7" ht="13">
      <c r="A190" s="27" t="s">
        <v>1278</v>
      </c>
      <c r="B190" s="27" t="s">
        <v>410</v>
      </c>
      <c r="C190" s="27" t="s">
        <v>1113</v>
      </c>
      <c r="D190" s="27" t="s">
        <v>1105</v>
      </c>
      <c r="E190" s="27" t="b">
        <v>0</v>
      </c>
      <c r="F190" s="27" t="b">
        <f>COUNTIFS(Fixtures[referee], Referees[[#This Row],[name]], Fixtures[APP], TRUE) &gt; 0</f>
        <v>0</v>
      </c>
      <c r="G190" s="27" t="s">
        <v>1106</v>
      </c>
    </row>
    <row r="191" spans="1:7" ht="13">
      <c r="A191" s="27" t="s">
        <v>280</v>
      </c>
      <c r="B191" s="27" t="s">
        <v>108</v>
      </c>
      <c r="C191" s="27" t="s">
        <v>1132</v>
      </c>
      <c r="D191" s="27" t="s">
        <v>1105</v>
      </c>
      <c r="E191" s="27" t="b">
        <v>0</v>
      </c>
      <c r="F191" s="27" t="b">
        <f>COUNTIFS(Fixtures[referee], Referees[[#This Row],[name]], Fixtures[APP], TRUE) &gt; 0</f>
        <v>1</v>
      </c>
      <c r="G191" s="27" t="s">
        <v>1106</v>
      </c>
    </row>
    <row r="192" spans="1:7" ht="13">
      <c r="A192" s="27" t="s">
        <v>1279</v>
      </c>
      <c r="B192" s="27" t="s">
        <v>152</v>
      </c>
      <c r="C192" s="27" t="s">
        <v>1113</v>
      </c>
      <c r="D192" s="27" t="s">
        <v>1121</v>
      </c>
      <c r="E192" s="27" t="b">
        <v>1</v>
      </c>
      <c r="F192" s="27" t="b">
        <f>COUNTIFS(Fixtures[referee], Referees[[#This Row],[name]], Fixtures[APP], TRUE) &gt; 0</f>
        <v>0</v>
      </c>
      <c r="G192" s="27" t="s">
        <v>1106</v>
      </c>
    </row>
    <row r="193" spans="1:7" ht="13">
      <c r="A193" s="27" t="s">
        <v>1280</v>
      </c>
      <c r="B193" s="27" t="s">
        <v>152</v>
      </c>
      <c r="C193" s="27" t="s">
        <v>1113</v>
      </c>
      <c r="D193" s="27" t="s">
        <v>1116</v>
      </c>
      <c r="E193" s="27" t="b">
        <v>1</v>
      </c>
      <c r="F193" s="27" t="b">
        <f>COUNTIFS(Fixtures[referee], Referees[[#This Row],[name]], Fixtures[APP], TRUE) &gt; 0</f>
        <v>0</v>
      </c>
      <c r="G193" s="27" t="s">
        <v>1106</v>
      </c>
    </row>
    <row r="194" spans="1:7" ht="13">
      <c r="A194" s="27" t="s">
        <v>1281</v>
      </c>
      <c r="B194" s="27" t="s">
        <v>152</v>
      </c>
      <c r="C194" s="27" t="s">
        <v>1105</v>
      </c>
      <c r="D194" s="27" t="s">
        <v>1121</v>
      </c>
      <c r="E194" s="27" t="b">
        <v>1</v>
      </c>
      <c r="F194" s="27" t="b">
        <f>COUNTIFS(Fixtures[referee], Referees[[#This Row],[name]], Fixtures[APP], TRUE) &gt; 0</f>
        <v>0</v>
      </c>
      <c r="G194" s="27" t="s">
        <v>1117</v>
      </c>
    </row>
    <row r="195" spans="1:7" ht="13">
      <c r="A195" s="27" t="s">
        <v>1282</v>
      </c>
      <c r="B195" s="27" t="s">
        <v>252</v>
      </c>
      <c r="C195" s="27" t="s">
        <v>1121</v>
      </c>
      <c r="D195" s="27" t="s">
        <v>1116</v>
      </c>
      <c r="E195" s="27" t="b">
        <v>0</v>
      </c>
      <c r="F195" s="27" t="b">
        <f>COUNTIFS(Fixtures[referee], Referees[[#This Row],[name]], Fixtures[APP], TRUE) &gt; 0</f>
        <v>0</v>
      </c>
      <c r="G195" s="27" t="s">
        <v>1117</v>
      </c>
    </row>
    <row r="196" spans="1:7" ht="13">
      <c r="A196" s="27" t="s">
        <v>1283</v>
      </c>
      <c r="B196" s="27" t="s">
        <v>410</v>
      </c>
      <c r="C196" s="27" t="s">
        <v>1132</v>
      </c>
      <c r="D196" s="27" t="s">
        <v>1116</v>
      </c>
      <c r="E196" s="27" t="b">
        <v>0</v>
      </c>
      <c r="F196" s="27" t="b">
        <f>COUNTIFS(Fixtures[referee], Referees[[#This Row],[name]], Fixtures[APP], TRUE) &gt; 0</f>
        <v>0</v>
      </c>
      <c r="G196" s="27" t="s">
        <v>1106</v>
      </c>
    </row>
    <row r="197" spans="1:7" ht="13">
      <c r="A197" s="27" t="s">
        <v>217</v>
      </c>
      <c r="B197" s="27" t="s">
        <v>152</v>
      </c>
      <c r="C197" s="27" t="s">
        <v>1104</v>
      </c>
      <c r="D197" s="27" t="s">
        <v>1105</v>
      </c>
      <c r="E197" s="27" t="b">
        <v>1</v>
      </c>
      <c r="F197" s="27" t="b">
        <f>COUNTIFS(Fixtures[referee], Referees[[#This Row],[name]], Fixtures[APP], TRUE) &gt; 0</f>
        <v>1</v>
      </c>
      <c r="G197" s="27" t="s">
        <v>1106</v>
      </c>
    </row>
    <row r="198" spans="1:7" ht="13">
      <c r="A198" s="27" t="s">
        <v>1284</v>
      </c>
      <c r="B198" s="27" t="s">
        <v>337</v>
      </c>
      <c r="C198" s="27" t="s">
        <v>1104</v>
      </c>
      <c r="D198" s="27" t="s">
        <v>1105</v>
      </c>
      <c r="E198" s="27" t="b">
        <v>0</v>
      </c>
      <c r="F198" s="27" t="b">
        <f>COUNTIFS(Fixtures[referee], Referees[[#This Row],[name]], Fixtures[APP], TRUE) &gt; 0</f>
        <v>0</v>
      </c>
      <c r="G198" s="27" t="s">
        <v>1106</v>
      </c>
    </row>
    <row r="199" spans="1:7" ht="13">
      <c r="A199" s="27" t="s">
        <v>1285</v>
      </c>
      <c r="B199" s="27" t="s">
        <v>16</v>
      </c>
      <c r="C199" s="27" t="s">
        <v>1104</v>
      </c>
      <c r="D199" s="27" t="s">
        <v>1105</v>
      </c>
      <c r="E199" s="27" t="b">
        <v>0</v>
      </c>
      <c r="F199" s="27" t="b">
        <f>COUNTIFS(Fixtures[referee], Referees[[#This Row],[name]], Fixtures[APP], TRUE) &gt; 0</f>
        <v>0</v>
      </c>
      <c r="G199" s="27" t="s">
        <v>1106</v>
      </c>
    </row>
    <row r="200" spans="1:7" ht="13">
      <c r="A200" s="27" t="s">
        <v>1286</v>
      </c>
      <c r="B200" s="27" t="s">
        <v>16</v>
      </c>
      <c r="C200" s="27" t="s">
        <v>1104</v>
      </c>
      <c r="D200" s="27" t="s">
        <v>1105</v>
      </c>
      <c r="E200" s="27" t="b">
        <v>0</v>
      </c>
      <c r="F200" s="27" t="b">
        <f>COUNTIFS(Fixtures[referee], Referees[[#This Row],[name]], Fixtures[APP], TRUE) &gt; 0</f>
        <v>0</v>
      </c>
      <c r="G200" s="27" t="s">
        <v>1106</v>
      </c>
    </row>
    <row r="201" spans="1:7" ht="13">
      <c r="A201" s="27" t="s">
        <v>1287</v>
      </c>
      <c r="B201" s="27" t="s">
        <v>284</v>
      </c>
      <c r="C201" s="27" t="s">
        <v>1104</v>
      </c>
      <c r="D201" s="27" t="s">
        <v>1121</v>
      </c>
      <c r="E201" s="27" t="b">
        <v>0</v>
      </c>
      <c r="F201" s="27" t="b">
        <f>COUNTIFS(Fixtures[referee], Referees[[#This Row],[name]], Fixtures[APP], TRUE) &gt; 0</f>
        <v>0</v>
      </c>
      <c r="G201" s="27" t="s">
        <v>1106</v>
      </c>
    </row>
    <row r="202" spans="1:7" ht="13">
      <c r="A202" s="27" t="s">
        <v>258</v>
      </c>
      <c r="B202" s="27" t="s">
        <v>152</v>
      </c>
      <c r="C202" s="27" t="s">
        <v>1132</v>
      </c>
      <c r="D202" s="27" t="s">
        <v>1121</v>
      </c>
      <c r="E202" s="27" t="b">
        <v>1</v>
      </c>
      <c r="F202" s="27" t="b">
        <f>COUNTIFS(Fixtures[referee], Referees[[#This Row],[name]], Fixtures[APP], TRUE) &gt; 0</f>
        <v>1</v>
      </c>
      <c r="G202" s="27" t="s">
        <v>1106</v>
      </c>
    </row>
    <row r="203" spans="1:7" ht="13">
      <c r="A203" s="27" t="s">
        <v>1288</v>
      </c>
      <c r="B203" s="27" t="s">
        <v>1183</v>
      </c>
      <c r="C203" s="27" t="s">
        <v>1105</v>
      </c>
      <c r="D203" s="27" t="s">
        <v>1105</v>
      </c>
      <c r="E203" s="27" t="b">
        <v>0</v>
      </c>
      <c r="F203" s="27" t="b">
        <f>COUNTIFS(Fixtures[referee], Referees[[#This Row],[name]], Fixtures[APP], TRUE) &gt; 0</f>
        <v>0</v>
      </c>
      <c r="G203" s="27" t="s">
        <v>1117</v>
      </c>
    </row>
    <row r="204" spans="1:7" ht="13">
      <c r="A204" s="27" t="s">
        <v>1289</v>
      </c>
      <c r="B204" s="27" t="s">
        <v>1290</v>
      </c>
      <c r="C204" s="27" t="s">
        <v>1104</v>
      </c>
      <c r="D204" s="27" t="s">
        <v>1105</v>
      </c>
      <c r="E204" s="27" t="b">
        <v>0</v>
      </c>
      <c r="F204" s="27" t="b">
        <f>COUNTIFS(Fixtures[referee], Referees[[#This Row],[name]], Fixtures[APP], TRUE) &gt; 0</f>
        <v>0</v>
      </c>
      <c r="G204" s="27" t="s">
        <v>1106</v>
      </c>
    </row>
    <row r="205" spans="1:7" ht="13">
      <c r="A205" s="27" t="s">
        <v>1291</v>
      </c>
      <c r="B205" s="27" t="s">
        <v>152</v>
      </c>
      <c r="C205" s="27" t="s">
        <v>1116</v>
      </c>
      <c r="D205" s="27" t="s">
        <v>1105</v>
      </c>
      <c r="E205" s="27" t="b">
        <v>1</v>
      </c>
      <c r="F205" s="27" t="b">
        <f>COUNTIFS(Fixtures[referee], Referees[[#This Row],[name]], Fixtures[APP], TRUE) &gt; 0</f>
        <v>0</v>
      </c>
      <c r="G205" s="27" t="s">
        <v>1117</v>
      </c>
    </row>
    <row r="206" spans="1:7" ht="13">
      <c r="A206" s="27" t="s">
        <v>1292</v>
      </c>
      <c r="B206" s="27" t="s">
        <v>152</v>
      </c>
      <c r="C206" s="27" t="s">
        <v>1105</v>
      </c>
      <c r="D206" s="27" t="s">
        <v>1116</v>
      </c>
      <c r="E206" s="27" t="b">
        <v>1</v>
      </c>
      <c r="F206" s="27" t="b">
        <f>COUNTIFS(Fixtures[referee], Referees[[#This Row],[name]], Fixtures[APP], TRUE) &gt; 0</f>
        <v>0</v>
      </c>
      <c r="G206" s="27" t="s">
        <v>1117</v>
      </c>
    </row>
    <row r="207" spans="1:7" ht="13">
      <c r="A207" s="27" t="s">
        <v>1293</v>
      </c>
      <c r="B207" s="27" t="s">
        <v>16</v>
      </c>
      <c r="C207" s="27" t="s">
        <v>1104</v>
      </c>
      <c r="D207" s="27" t="s">
        <v>1105</v>
      </c>
      <c r="E207" s="27" t="b">
        <v>0</v>
      </c>
      <c r="F207" s="27" t="b">
        <f>COUNTIFS(Fixtures[referee], Referees[[#This Row],[name]], Fixtures[APP], TRUE) &gt; 0</f>
        <v>0</v>
      </c>
      <c r="G207" s="27" t="s">
        <v>1106</v>
      </c>
    </row>
    <row r="208" spans="1:7" ht="13">
      <c r="A208" s="27" t="s">
        <v>1294</v>
      </c>
      <c r="B208" s="27" t="s">
        <v>152</v>
      </c>
      <c r="C208" s="27" t="s">
        <v>1104</v>
      </c>
      <c r="D208" s="27" t="s">
        <v>1105</v>
      </c>
      <c r="E208" s="27" t="b">
        <v>1</v>
      </c>
      <c r="F208" s="27" t="b">
        <f>COUNTIFS(Fixtures[referee], Referees[[#This Row],[name]], Fixtures[APP], TRUE) &gt; 0</f>
        <v>0</v>
      </c>
      <c r="G208" s="27" t="s">
        <v>1106</v>
      </c>
    </row>
    <row r="209" spans="1:7" ht="13">
      <c r="A209" s="27" t="s">
        <v>1295</v>
      </c>
      <c r="B209" s="27" t="s">
        <v>398</v>
      </c>
      <c r="C209" s="27" t="s">
        <v>1104</v>
      </c>
      <c r="D209" s="27" t="s">
        <v>1116</v>
      </c>
      <c r="E209" s="27" t="b">
        <v>0</v>
      </c>
      <c r="F209" s="27" t="b">
        <f>COUNTIFS(Fixtures[referee], Referees[[#This Row],[name]], Fixtures[APP], TRUE) &gt; 0</f>
        <v>0</v>
      </c>
      <c r="G209" s="27" t="s">
        <v>1106</v>
      </c>
    </row>
    <row r="210" spans="1:7" ht="13">
      <c r="A210" s="27" t="s">
        <v>1296</v>
      </c>
      <c r="B210" s="27" t="s">
        <v>284</v>
      </c>
      <c r="C210" s="27" t="s">
        <v>1104</v>
      </c>
      <c r="D210" s="27" t="s">
        <v>1105</v>
      </c>
      <c r="E210" s="27" t="b">
        <v>0</v>
      </c>
      <c r="F210" s="27" t="b">
        <f>COUNTIFS(Fixtures[referee], Referees[[#This Row],[name]], Fixtures[APP], TRUE) &gt; 0</f>
        <v>0</v>
      </c>
      <c r="G210" s="27" t="s">
        <v>1106</v>
      </c>
    </row>
    <row r="211" spans="1:7" ht="13">
      <c r="A211" s="27" t="s">
        <v>1297</v>
      </c>
      <c r="B211" s="27" t="s">
        <v>1298</v>
      </c>
      <c r="C211" s="27" t="s">
        <v>1113</v>
      </c>
      <c r="D211" s="27" t="s">
        <v>1105</v>
      </c>
      <c r="E211" s="27" t="b">
        <v>0</v>
      </c>
      <c r="F211" s="27" t="b">
        <f>COUNTIFS(Fixtures[referee], Referees[[#This Row],[name]], Fixtures[APP], TRUE) &gt; 0</f>
        <v>0</v>
      </c>
      <c r="G211" s="27" t="s">
        <v>1106</v>
      </c>
    </row>
    <row r="212" spans="1:7" ht="13">
      <c r="A212" s="27" t="s">
        <v>1299</v>
      </c>
      <c r="B212" s="27" t="s">
        <v>270</v>
      </c>
      <c r="C212" s="27" t="s">
        <v>1104</v>
      </c>
      <c r="D212" s="27" t="s">
        <v>1105</v>
      </c>
      <c r="E212" s="27" t="b">
        <v>0</v>
      </c>
      <c r="F212" s="27" t="b">
        <f>COUNTIFS(Fixtures[referee], Referees[[#This Row],[name]], Fixtures[APP], TRUE) &gt; 0</f>
        <v>0</v>
      </c>
      <c r="G212" s="27" t="s">
        <v>1106</v>
      </c>
    </row>
    <row r="213" spans="1:7" ht="13">
      <c r="A213" s="27" t="s">
        <v>1300</v>
      </c>
      <c r="B213" s="27" t="s">
        <v>284</v>
      </c>
      <c r="C213" s="27" t="s">
        <v>1104</v>
      </c>
      <c r="D213" s="27" t="s">
        <v>1105</v>
      </c>
      <c r="E213" s="27" t="b">
        <v>0</v>
      </c>
      <c r="F213" s="27" t="b">
        <f>COUNTIFS(Fixtures[referee], Referees[[#This Row],[name]], Fixtures[APP], TRUE) &gt; 0</f>
        <v>0</v>
      </c>
      <c r="G213" s="27" t="s">
        <v>1106</v>
      </c>
    </row>
    <row r="214" spans="1:7" ht="13">
      <c r="A214" s="27" t="s">
        <v>1301</v>
      </c>
      <c r="B214" s="27" t="s">
        <v>152</v>
      </c>
      <c r="C214" s="27" t="s">
        <v>1104</v>
      </c>
      <c r="D214" s="27" t="s">
        <v>1105</v>
      </c>
      <c r="E214" s="27" t="b">
        <v>1</v>
      </c>
      <c r="F214" s="27" t="b">
        <f>COUNTIFS(Fixtures[referee], Referees[[#This Row],[name]], Fixtures[APP], TRUE) &gt; 0</f>
        <v>0</v>
      </c>
      <c r="G214" s="27" t="s">
        <v>1106</v>
      </c>
    </row>
    <row r="215" spans="1:7" ht="13">
      <c r="A215" s="27" t="s">
        <v>1302</v>
      </c>
      <c r="B215" s="27" t="s">
        <v>513</v>
      </c>
      <c r="C215" s="27" t="s">
        <v>1104</v>
      </c>
      <c r="D215" s="27" t="s">
        <v>1105</v>
      </c>
      <c r="E215" s="27" t="b">
        <v>0</v>
      </c>
      <c r="F215" s="27" t="b">
        <f>COUNTIFS(Fixtures[referee], Referees[[#This Row],[name]], Fixtures[APP], TRUE) &gt; 0</f>
        <v>0</v>
      </c>
      <c r="G215" s="27" t="s">
        <v>1106</v>
      </c>
    </row>
    <row r="216" spans="1:7" ht="13">
      <c r="A216" s="27" t="s">
        <v>1303</v>
      </c>
      <c r="B216" s="27" t="s">
        <v>398</v>
      </c>
      <c r="C216" s="27" t="s">
        <v>1104</v>
      </c>
      <c r="D216" s="27" t="s">
        <v>1105</v>
      </c>
      <c r="E216" s="27" t="b">
        <v>0</v>
      </c>
      <c r="F216" s="27" t="b">
        <f>COUNTIFS(Fixtures[referee], Referees[[#This Row],[name]], Fixtures[APP], TRUE) &gt; 0</f>
        <v>0</v>
      </c>
      <c r="G216" s="27" t="s">
        <v>1106</v>
      </c>
    </row>
    <row r="217" spans="1:7" ht="13">
      <c r="A217" s="27" t="s">
        <v>1304</v>
      </c>
      <c r="B217" s="27" t="s">
        <v>152</v>
      </c>
      <c r="C217" s="27" t="s">
        <v>1104</v>
      </c>
      <c r="D217" s="27" t="s">
        <v>1105</v>
      </c>
      <c r="E217" s="27" t="b">
        <v>1</v>
      </c>
      <c r="F217" s="27" t="b">
        <f>COUNTIFS(Fixtures[referee], Referees[[#This Row],[name]], Fixtures[APP], TRUE) &gt; 0</f>
        <v>0</v>
      </c>
      <c r="G217" s="27" t="s">
        <v>1106</v>
      </c>
    </row>
    <row r="218" spans="1:7" ht="13">
      <c r="A218" s="27" t="s">
        <v>205</v>
      </c>
      <c r="B218" s="27" t="s">
        <v>152</v>
      </c>
      <c r="C218" s="27" t="s">
        <v>1104</v>
      </c>
      <c r="D218" s="27" t="s">
        <v>1105</v>
      </c>
      <c r="E218" s="27" t="b">
        <v>1</v>
      </c>
      <c r="F218" s="27" t="b">
        <f>COUNTIFS(Fixtures[referee], Referees[[#This Row],[name]], Fixtures[APP], TRUE) &gt; 0</f>
        <v>1</v>
      </c>
      <c r="G218" s="27" t="s">
        <v>1106</v>
      </c>
    </row>
    <row r="219" spans="1:7" ht="13">
      <c r="A219" s="27" t="s">
        <v>1305</v>
      </c>
      <c r="B219" s="27" t="s">
        <v>163</v>
      </c>
      <c r="C219" s="27" t="s">
        <v>1104</v>
      </c>
      <c r="D219" s="27" t="s">
        <v>1105</v>
      </c>
      <c r="E219" s="27" t="b">
        <v>0</v>
      </c>
      <c r="F219" s="27" t="b">
        <f>COUNTIFS(Fixtures[referee], Referees[[#This Row],[name]], Fixtures[APP], TRUE) &gt; 0</f>
        <v>0</v>
      </c>
      <c r="G219" s="27" t="s">
        <v>1106</v>
      </c>
    </row>
    <row r="220" spans="1:7" ht="13">
      <c r="A220" s="27" t="s">
        <v>325</v>
      </c>
      <c r="B220" s="27" t="s">
        <v>254</v>
      </c>
      <c r="C220" s="27" t="s">
        <v>1132</v>
      </c>
      <c r="D220" s="27" t="s">
        <v>1105</v>
      </c>
      <c r="E220" s="27" t="b">
        <v>0</v>
      </c>
      <c r="F220" s="27" t="b">
        <f>COUNTIFS(Fixtures[referee], Referees[[#This Row],[name]], Fixtures[APP], TRUE) &gt; 0</f>
        <v>1</v>
      </c>
      <c r="G220" s="27" t="s">
        <v>1106</v>
      </c>
    </row>
    <row r="221" spans="1:7" ht="13">
      <c r="A221" s="27" t="s">
        <v>253</v>
      </c>
      <c r="B221" s="27" t="s">
        <v>416</v>
      </c>
      <c r="C221" s="27" t="s">
        <v>1104</v>
      </c>
      <c r="D221" s="27" t="s">
        <v>1105</v>
      </c>
      <c r="E221" s="27" t="b">
        <v>0</v>
      </c>
      <c r="F221" s="27" t="b">
        <f>COUNTIFS(Fixtures[referee], Referees[[#This Row],[name]], Fixtures[APP], TRUE) &gt; 0</f>
        <v>1</v>
      </c>
      <c r="G221" s="27" t="s">
        <v>1106</v>
      </c>
    </row>
    <row r="222" spans="1:7" ht="13">
      <c r="A222" s="27" t="s">
        <v>1306</v>
      </c>
      <c r="B222" s="27" t="s">
        <v>152</v>
      </c>
      <c r="C222" s="27" t="s">
        <v>1116</v>
      </c>
      <c r="D222" s="27" t="s">
        <v>1116</v>
      </c>
      <c r="E222" s="27" t="b">
        <v>0</v>
      </c>
      <c r="F222" s="27" t="b">
        <f>COUNTIFS(Fixtures[referee], Referees[[#This Row],[name]], Fixtures[APP], TRUE) &gt; 0</f>
        <v>0</v>
      </c>
      <c r="G222" s="27" t="s">
        <v>1117</v>
      </c>
    </row>
    <row r="223" spans="1:7" ht="13">
      <c r="A223" s="27" t="s">
        <v>1307</v>
      </c>
      <c r="B223" s="27" t="s">
        <v>1308</v>
      </c>
      <c r="C223" s="27" t="s">
        <v>1104</v>
      </c>
      <c r="D223" s="27" t="s">
        <v>1105</v>
      </c>
      <c r="E223" s="27" t="b">
        <v>0</v>
      </c>
      <c r="F223" s="27" t="b">
        <f>COUNTIFS(Fixtures[referee], Referees[[#This Row],[name]], Fixtures[APP], TRUE) &gt; 0</f>
        <v>0</v>
      </c>
      <c r="G223" s="27" t="s">
        <v>1106</v>
      </c>
    </row>
    <row r="224" spans="1:7" ht="13">
      <c r="A224" s="27" t="s">
        <v>1309</v>
      </c>
      <c r="B224" s="27" t="s">
        <v>152</v>
      </c>
      <c r="C224" s="27" t="s">
        <v>1104</v>
      </c>
      <c r="D224" s="27" t="s">
        <v>1105</v>
      </c>
      <c r="E224" s="27" t="b">
        <v>1</v>
      </c>
      <c r="F224" s="27" t="b">
        <f>COUNTIFS(Fixtures[referee], Referees[[#This Row],[name]], Fixtures[APP], TRUE) &gt; 0</f>
        <v>0</v>
      </c>
      <c r="G224" s="27" t="s">
        <v>1106</v>
      </c>
    </row>
    <row r="225" spans="1:7" ht="13">
      <c r="A225" s="27" t="s">
        <v>1310</v>
      </c>
      <c r="B225" s="27" t="s">
        <v>339</v>
      </c>
      <c r="C225" s="27" t="s">
        <v>1104</v>
      </c>
      <c r="D225" s="27" t="s">
        <v>1121</v>
      </c>
      <c r="E225" s="27" t="b">
        <v>0</v>
      </c>
      <c r="F225" s="27" t="b">
        <f>COUNTIFS(Fixtures[referee], Referees[[#This Row],[name]], Fixtures[APP], TRUE) &gt; 0</f>
        <v>0</v>
      </c>
      <c r="G225" s="27" t="s">
        <v>1106</v>
      </c>
    </row>
    <row r="226" spans="1:7" ht="13">
      <c r="A226" s="27" t="s">
        <v>1311</v>
      </c>
      <c r="B226" s="27" t="s">
        <v>339</v>
      </c>
      <c r="C226" s="27" t="s">
        <v>1104</v>
      </c>
      <c r="D226" s="27" t="s">
        <v>1105</v>
      </c>
      <c r="E226" s="27" t="b">
        <v>0</v>
      </c>
      <c r="F226" s="27" t="b">
        <f>COUNTIFS(Fixtures[referee], Referees[[#This Row],[name]], Fixtures[APP], TRUE) &gt; 0</f>
        <v>0</v>
      </c>
      <c r="G226" s="27" t="s">
        <v>1106</v>
      </c>
    </row>
    <row r="227" spans="1:7" ht="13">
      <c r="A227" s="27" t="s">
        <v>1312</v>
      </c>
      <c r="B227" s="27" t="s">
        <v>152</v>
      </c>
      <c r="C227" s="27" t="s">
        <v>1104</v>
      </c>
      <c r="D227" s="27" t="s">
        <v>1105</v>
      </c>
      <c r="E227" s="27" t="b">
        <v>1</v>
      </c>
      <c r="F227" s="27" t="b">
        <f>COUNTIFS(Fixtures[referee], Referees[[#This Row],[name]], Fixtures[APP], TRUE) &gt; 0</f>
        <v>0</v>
      </c>
      <c r="G227" s="27" t="s">
        <v>1106</v>
      </c>
    </row>
    <row r="228" spans="1:7" ht="12.75" customHeight="1">
      <c r="A228" s="27" t="s">
        <v>1313</v>
      </c>
      <c r="B228" s="27" t="s">
        <v>414</v>
      </c>
      <c r="C228" s="27" t="s">
        <v>1132</v>
      </c>
      <c r="D228" s="27" t="s">
        <v>1105</v>
      </c>
      <c r="E228" s="27" t="b">
        <v>0</v>
      </c>
      <c r="F228" s="27" t="b">
        <f>COUNTIFS(Fixtures[referee], Referees[[#This Row],[name]], Fixtures[APP], TRUE) &gt; 0</f>
        <v>0</v>
      </c>
      <c r="G228" s="27" t="s">
        <v>1106</v>
      </c>
    </row>
    <row r="229" spans="1:7" ht="12.75" customHeight="1">
      <c r="A229" s="27" t="s">
        <v>1314</v>
      </c>
      <c r="B229" s="27" t="s">
        <v>284</v>
      </c>
      <c r="C229" s="27" t="s">
        <v>1104</v>
      </c>
      <c r="D229" s="27" t="s">
        <v>1116</v>
      </c>
      <c r="E229" s="27" t="b">
        <v>0</v>
      </c>
      <c r="F229" s="27" t="b">
        <f>COUNTIFS(Fixtures[referee], Referees[[#This Row],[name]], Fixtures[APP], TRUE) &gt; 0</f>
        <v>0</v>
      </c>
      <c r="G229" s="27" t="s">
        <v>1106</v>
      </c>
    </row>
    <row r="230" spans="1:7" ht="12.75" customHeight="1">
      <c r="A230" s="27" t="s">
        <v>1315</v>
      </c>
      <c r="B230" s="27" t="s">
        <v>414</v>
      </c>
      <c r="C230" s="27" t="s">
        <v>1105</v>
      </c>
      <c r="D230" s="27" t="s">
        <v>1105</v>
      </c>
      <c r="E230" s="27" t="b">
        <v>0</v>
      </c>
      <c r="F230" s="27" t="b">
        <f>COUNTIFS(Fixtures[referee], Referees[[#This Row],[name]], Fixtures[APP], TRUE) &gt; 0</f>
        <v>0</v>
      </c>
      <c r="G230" s="27" t="s">
        <v>1117</v>
      </c>
    </row>
    <row r="231" spans="1:7" ht="12.75" customHeight="1">
      <c r="A231" s="27" t="s">
        <v>1316</v>
      </c>
      <c r="B231" s="27" t="s">
        <v>414</v>
      </c>
      <c r="C231" s="27" t="s">
        <v>1113</v>
      </c>
      <c r="D231" s="27" t="s">
        <v>1105</v>
      </c>
      <c r="E231" s="27" t="b">
        <v>0</v>
      </c>
      <c r="F231" s="27" t="b">
        <f>COUNTIFS(Fixtures[referee], Referees[[#This Row],[name]], Fixtures[APP], TRUE) &gt; 0</f>
        <v>0</v>
      </c>
      <c r="G231" s="27" t="s">
        <v>1106</v>
      </c>
    </row>
    <row r="232" spans="1:7" ht="12.75" customHeight="1">
      <c r="A232" s="27" t="s">
        <v>1317</v>
      </c>
      <c r="B232" s="27" t="s">
        <v>425</v>
      </c>
      <c r="C232" s="27" t="s">
        <v>1104</v>
      </c>
      <c r="D232" s="27" t="s">
        <v>1116</v>
      </c>
      <c r="E232" s="27" t="b">
        <v>0</v>
      </c>
      <c r="F232" s="27" t="b">
        <f>COUNTIFS(Fixtures[referee], Referees[[#This Row],[name]], Fixtures[APP], TRUE) &gt; 0</f>
        <v>0</v>
      </c>
      <c r="G232" s="27" t="s">
        <v>1106</v>
      </c>
    </row>
    <row r="233" spans="1:7" ht="12.75" customHeight="1">
      <c r="A233" s="27" t="s">
        <v>1318</v>
      </c>
      <c r="B233" s="27" t="s">
        <v>16</v>
      </c>
      <c r="C233" s="27" t="s">
        <v>1104</v>
      </c>
      <c r="D233" s="27" t="s">
        <v>1105</v>
      </c>
      <c r="E233" s="27" t="b">
        <v>0</v>
      </c>
      <c r="F233" s="27" t="b">
        <f>COUNTIFS(Fixtures[referee], Referees[[#This Row],[name]], Fixtures[APP], TRUE) &gt; 0</f>
        <v>0</v>
      </c>
      <c r="G233" s="27" t="s">
        <v>1106</v>
      </c>
    </row>
    <row r="234" spans="1:7" ht="12.75" customHeight="1">
      <c r="A234" s="27" t="s">
        <v>1319</v>
      </c>
      <c r="B234" s="27" t="s">
        <v>410</v>
      </c>
      <c r="C234" s="27" t="s">
        <v>1104</v>
      </c>
      <c r="D234" s="27" t="s">
        <v>1105</v>
      </c>
      <c r="E234" s="27" t="b">
        <v>0</v>
      </c>
      <c r="F234" s="27" t="b">
        <f>COUNTIFS(Fixtures[referee], Referees[[#This Row],[name]], Fixtures[APP], TRUE) &gt; 0</f>
        <v>0</v>
      </c>
      <c r="G234" s="27" t="s">
        <v>1106</v>
      </c>
    </row>
    <row r="235" spans="1:7" ht="12.75" customHeight="1">
      <c r="A235" s="27" t="s">
        <v>1320</v>
      </c>
      <c r="B235" s="27" t="s">
        <v>473</v>
      </c>
      <c r="C235" s="27" t="s">
        <v>1104</v>
      </c>
      <c r="D235" s="27" t="s">
        <v>1105</v>
      </c>
      <c r="E235" s="27" t="b">
        <v>0</v>
      </c>
      <c r="F235" s="27" t="b">
        <f>COUNTIFS(Fixtures[referee], Referees[[#This Row],[name]], Fixtures[APP], TRUE) &gt; 0</f>
        <v>0</v>
      </c>
      <c r="G235" s="27" t="s">
        <v>1106</v>
      </c>
    </row>
    <row r="236" spans="1:7" ht="12.75" customHeight="1">
      <c r="A236" s="27" t="s">
        <v>1321</v>
      </c>
      <c r="B236" s="27" t="s">
        <v>284</v>
      </c>
      <c r="C236" s="27" t="s">
        <v>1104</v>
      </c>
      <c r="D236" s="27" t="s">
        <v>1105</v>
      </c>
      <c r="E236" s="27" t="b">
        <v>0</v>
      </c>
      <c r="F236" s="27" t="b">
        <f>COUNTIFS(Fixtures[referee], Referees[[#This Row],[name]], Fixtures[APP], TRUE) &gt; 0</f>
        <v>0</v>
      </c>
      <c r="G236" s="27" t="s">
        <v>1106</v>
      </c>
    </row>
    <row r="237" spans="1:7" ht="12.75" customHeight="1">
      <c r="A237" s="27" t="s">
        <v>323</v>
      </c>
      <c r="B237" s="27" t="s">
        <v>419</v>
      </c>
      <c r="C237" s="27" t="s">
        <v>1104</v>
      </c>
      <c r="D237" s="27" t="s">
        <v>1121</v>
      </c>
      <c r="E237" s="27" t="b">
        <v>0</v>
      </c>
      <c r="F237" s="27" t="b">
        <f>COUNTIFS(Fixtures[referee], Referees[[#This Row],[name]], Fixtures[APP], TRUE) &gt; 0</f>
        <v>1</v>
      </c>
      <c r="G237" s="27" t="s">
        <v>1106</v>
      </c>
    </row>
    <row r="238" spans="1:7" ht="12.75" customHeight="1">
      <c r="A238" s="27" t="s">
        <v>1322</v>
      </c>
      <c r="B238" s="27" t="s">
        <v>451</v>
      </c>
      <c r="C238" s="27" t="s">
        <v>1104</v>
      </c>
      <c r="D238" s="27" t="s">
        <v>1105</v>
      </c>
      <c r="E238" s="27" t="b">
        <v>0</v>
      </c>
      <c r="F238" s="27" t="b">
        <f>COUNTIFS(Fixtures[referee], Referees[[#This Row],[name]], Fixtures[APP], TRUE) &gt; 0</f>
        <v>0</v>
      </c>
      <c r="G238" s="27" t="s">
        <v>1106</v>
      </c>
    </row>
    <row r="239" spans="1:7" ht="12.75" customHeight="1">
      <c r="A239" s="27" t="s">
        <v>1323</v>
      </c>
      <c r="B239" s="27" t="s">
        <v>152</v>
      </c>
      <c r="C239" s="27" t="s">
        <v>1104</v>
      </c>
      <c r="D239" s="27" t="s">
        <v>1105</v>
      </c>
      <c r="E239" s="27" t="b">
        <v>1</v>
      </c>
      <c r="F239" s="27" t="b">
        <f>COUNTIFS(Fixtures[referee], Referees[[#This Row],[name]], Fixtures[APP], TRUE) &gt; 0</f>
        <v>0</v>
      </c>
      <c r="G239" s="27" t="s">
        <v>1106</v>
      </c>
    </row>
    <row r="240" spans="1:7" ht="12.75" customHeight="1">
      <c r="A240" s="27" t="s">
        <v>1324</v>
      </c>
      <c r="B240" s="27" t="s">
        <v>131</v>
      </c>
      <c r="C240" s="27" t="s">
        <v>1104</v>
      </c>
      <c r="D240" s="27" t="s">
        <v>1105</v>
      </c>
      <c r="E240" s="27" t="b">
        <v>0</v>
      </c>
      <c r="F240" s="27" t="b">
        <f>COUNTIFS(Fixtures[referee], Referees[[#This Row],[name]], Fixtures[APP], TRUE) &gt; 0</f>
        <v>0</v>
      </c>
      <c r="G240" s="27" t="s">
        <v>1106</v>
      </c>
    </row>
    <row r="241" spans="1:7" ht="12.75" customHeight="1">
      <c r="A241" s="27" t="s">
        <v>1325</v>
      </c>
      <c r="B241" s="27" t="s">
        <v>451</v>
      </c>
      <c r="C241" s="27" t="s">
        <v>1105</v>
      </c>
      <c r="D241" s="27" t="s">
        <v>1116</v>
      </c>
      <c r="E241" s="27" t="b">
        <v>0</v>
      </c>
      <c r="F241" s="27" t="b">
        <f>COUNTIFS(Fixtures[referee], Referees[[#This Row],[name]], Fixtures[APP], TRUE) &gt; 0</f>
        <v>0</v>
      </c>
      <c r="G241" s="27" t="s">
        <v>1117</v>
      </c>
    </row>
    <row r="242" spans="1:7" ht="12.75" customHeight="1">
      <c r="A242" s="27" t="s">
        <v>1326</v>
      </c>
      <c r="B242" s="27" t="s">
        <v>163</v>
      </c>
      <c r="C242" s="27" t="s">
        <v>1104</v>
      </c>
      <c r="D242" s="27" t="s">
        <v>1105</v>
      </c>
      <c r="E242" s="27" t="b">
        <v>0</v>
      </c>
      <c r="F242" s="27" t="b">
        <f>COUNTIFS(Fixtures[referee], Referees[[#This Row],[name]], Fixtures[APP], TRUE) &gt; 0</f>
        <v>0</v>
      </c>
      <c r="G242" s="27" t="s">
        <v>1106</v>
      </c>
    </row>
    <row r="243" spans="1:7" ht="12.75" customHeight="1">
      <c r="A243" s="27" t="s">
        <v>1327</v>
      </c>
      <c r="B243" s="27" t="s">
        <v>254</v>
      </c>
      <c r="C243" s="27" t="s">
        <v>1104</v>
      </c>
      <c r="D243" s="27" t="s">
        <v>1105</v>
      </c>
      <c r="E243" s="27" t="b">
        <v>0</v>
      </c>
      <c r="F243" s="27" t="b">
        <f>COUNTIFS(Fixtures[referee], Referees[[#This Row],[name]], Fixtures[APP], TRUE) &gt; 0</f>
        <v>0</v>
      </c>
      <c r="G243" s="27" t="s">
        <v>1106</v>
      </c>
    </row>
    <row r="244" spans="1:7" ht="12.75" customHeight="1">
      <c r="A244" s="27" t="s">
        <v>1328</v>
      </c>
      <c r="B244" s="27" t="s">
        <v>447</v>
      </c>
      <c r="C244" s="27" t="s">
        <v>1104</v>
      </c>
      <c r="D244" s="27" t="s">
        <v>1105</v>
      </c>
      <c r="E244" s="27" t="b">
        <v>0</v>
      </c>
      <c r="F244" s="27" t="b">
        <f>COUNTIFS(Fixtures[referee], Referees[[#This Row],[name]], Fixtures[APP], TRUE) &gt; 0</f>
        <v>0</v>
      </c>
      <c r="G244" s="27" t="s">
        <v>1106</v>
      </c>
    </row>
    <row r="245" spans="1:7" ht="12.75" customHeight="1">
      <c r="A245" s="27" t="s">
        <v>1329</v>
      </c>
      <c r="B245" s="27" t="s">
        <v>463</v>
      </c>
      <c r="C245" s="27" t="s">
        <v>1104</v>
      </c>
      <c r="D245" s="27" t="s">
        <v>1105</v>
      </c>
      <c r="E245" s="27" t="b">
        <v>0</v>
      </c>
      <c r="F245" s="27" t="b">
        <f>COUNTIFS(Fixtures[referee], Referees[[#This Row],[name]], Fixtures[APP], TRUE) &gt; 0</f>
        <v>0</v>
      </c>
      <c r="G245" s="27" t="s">
        <v>1106</v>
      </c>
    </row>
    <row r="246" spans="1:7" ht="12.75" customHeight="1">
      <c r="A246" s="27" t="s">
        <v>1330</v>
      </c>
      <c r="B246" s="27" t="s">
        <v>152</v>
      </c>
      <c r="C246" s="27" t="s">
        <v>1105</v>
      </c>
      <c r="D246" s="27" t="s">
        <v>1105</v>
      </c>
      <c r="E246" s="27" t="b">
        <v>1</v>
      </c>
      <c r="F246" s="27" t="b">
        <f>COUNTIFS(Fixtures[referee], Referees[[#This Row],[name]], Fixtures[APP], TRUE) &gt; 0</f>
        <v>0</v>
      </c>
      <c r="G246" s="27" t="s">
        <v>1117</v>
      </c>
    </row>
    <row r="247" spans="1:7" ht="12.75" customHeight="1">
      <c r="A247" s="27" t="s">
        <v>1331</v>
      </c>
      <c r="B247" s="27" t="s">
        <v>152</v>
      </c>
      <c r="C247" s="27" t="s">
        <v>1113</v>
      </c>
      <c r="D247" s="27" t="s">
        <v>1105</v>
      </c>
      <c r="E247" s="27" t="b">
        <v>1</v>
      </c>
      <c r="F247" s="27" t="b">
        <f>COUNTIFS(Fixtures[referee], Referees[[#This Row],[name]], Fixtures[APP], TRUE) &gt; 0</f>
        <v>0</v>
      </c>
      <c r="G247" s="27" t="s">
        <v>1106</v>
      </c>
    </row>
    <row r="248" spans="1:7" ht="12.75" customHeight="1">
      <c r="A248" s="27" t="s">
        <v>1332</v>
      </c>
      <c r="B248" s="27" t="s">
        <v>152</v>
      </c>
      <c r="C248" s="27" t="s">
        <v>1104</v>
      </c>
      <c r="D248" s="27" t="s">
        <v>1105</v>
      </c>
      <c r="E248" s="27" t="b">
        <v>1</v>
      </c>
      <c r="F248" s="27" t="b">
        <f>COUNTIFS(Fixtures[referee], Referees[[#This Row],[name]], Fixtures[APP], TRUE) &gt; 0</f>
        <v>0</v>
      </c>
      <c r="G248" s="27" t="s">
        <v>1106</v>
      </c>
    </row>
    <row r="249" spans="1:7" ht="12.75" customHeight="1">
      <c r="A249" s="27" t="s">
        <v>1333</v>
      </c>
      <c r="B249" s="27" t="s">
        <v>152</v>
      </c>
      <c r="C249" s="27" t="s">
        <v>1104</v>
      </c>
      <c r="D249" s="27" t="s">
        <v>1105</v>
      </c>
      <c r="E249" s="27" t="b">
        <v>1</v>
      </c>
      <c r="F249" s="27" t="b">
        <f>COUNTIFS(Fixtures[referee], Referees[[#This Row],[name]], Fixtures[APP], TRUE) &gt; 0</f>
        <v>0</v>
      </c>
      <c r="G249" s="27" t="s">
        <v>1106</v>
      </c>
    </row>
    <row r="250" spans="1:7" ht="12.75" customHeight="1">
      <c r="A250" s="27" t="s">
        <v>1334</v>
      </c>
      <c r="B250" s="27" t="s">
        <v>152</v>
      </c>
      <c r="C250" s="27" t="s">
        <v>1104</v>
      </c>
      <c r="D250" s="27" t="s">
        <v>1105</v>
      </c>
      <c r="E250" s="27" t="b">
        <v>1</v>
      </c>
      <c r="F250" s="27" t="b">
        <f>COUNTIFS(Fixtures[referee], Referees[[#This Row],[name]], Fixtures[APP], TRUE) &gt; 0</f>
        <v>0</v>
      </c>
      <c r="G250" s="27" t="s">
        <v>1106</v>
      </c>
    </row>
    <row r="251" spans="1:7" ht="12.75" customHeight="1">
      <c r="A251" s="27" t="s">
        <v>219</v>
      </c>
      <c r="B251" s="27" t="s">
        <v>152</v>
      </c>
      <c r="C251" s="27" t="s">
        <v>1132</v>
      </c>
      <c r="D251" s="27" t="s">
        <v>1105</v>
      </c>
      <c r="E251" s="27" t="b">
        <v>1</v>
      </c>
      <c r="F251" s="27" t="b">
        <f>COUNTIFS(Fixtures[referee], Referees[[#This Row],[name]], Fixtures[APP], TRUE) &gt; 0</f>
        <v>1</v>
      </c>
      <c r="G251" s="27" t="s">
        <v>1106</v>
      </c>
    </row>
    <row r="252" spans="1:7" ht="12.75" customHeight="1">
      <c r="A252" s="27" t="s">
        <v>211</v>
      </c>
      <c r="B252" s="27" t="s">
        <v>728</v>
      </c>
      <c r="C252" s="27" t="s">
        <v>1104</v>
      </c>
      <c r="D252" s="27" t="s">
        <v>1121</v>
      </c>
      <c r="E252" s="27" t="b">
        <v>0</v>
      </c>
      <c r="F252" s="27" t="b">
        <f>COUNTIFS(Fixtures[referee], Referees[[#This Row],[name]], Fixtures[APP], TRUE) &gt; 0</f>
        <v>1</v>
      </c>
      <c r="G252" s="27" t="s">
        <v>1106</v>
      </c>
    </row>
    <row r="253" spans="1:7" ht="12.75" customHeight="1">
      <c r="A253" s="27" t="s">
        <v>294</v>
      </c>
      <c r="B253" s="27" t="s">
        <v>337</v>
      </c>
      <c r="C253" s="27" t="s">
        <v>1132</v>
      </c>
      <c r="D253" s="27" t="s">
        <v>1105</v>
      </c>
      <c r="E253" s="27" t="b">
        <v>0</v>
      </c>
      <c r="F253" s="27" t="b">
        <f>COUNTIFS(Fixtures[referee], Referees[[#This Row],[name]], Fixtures[APP], TRUE) &gt; 0</f>
        <v>1</v>
      </c>
      <c r="G253" s="27" t="s">
        <v>1106</v>
      </c>
    </row>
    <row r="254" spans="1:7" ht="12.75" customHeight="1">
      <c r="A254" s="27" t="s">
        <v>1335</v>
      </c>
      <c r="B254" s="27" t="s">
        <v>131</v>
      </c>
      <c r="C254" s="27" t="s">
        <v>1104</v>
      </c>
      <c r="D254" s="27" t="s">
        <v>1121</v>
      </c>
      <c r="E254" s="27" t="b">
        <v>0</v>
      </c>
      <c r="F254" s="27" t="b">
        <f>COUNTIFS(Fixtures[referee], Referees[[#This Row],[name]], Fixtures[APP], TRUE) &gt; 0</f>
        <v>0</v>
      </c>
      <c r="G254" s="27" t="s">
        <v>1106</v>
      </c>
    </row>
    <row r="255" spans="1:7" ht="12.75" customHeight="1">
      <c r="A255" s="27" t="s">
        <v>1336</v>
      </c>
      <c r="B255" s="27" t="s">
        <v>403</v>
      </c>
      <c r="C255" s="27" t="s">
        <v>1113</v>
      </c>
      <c r="D255" s="27" t="s">
        <v>1105</v>
      </c>
      <c r="E255" s="27" t="b">
        <v>0</v>
      </c>
      <c r="F255" s="27" t="b">
        <f>COUNTIFS(Fixtures[referee], Referees[[#This Row],[name]], Fixtures[APP], TRUE) &gt; 0</f>
        <v>0</v>
      </c>
      <c r="G255" s="27" t="s">
        <v>1106</v>
      </c>
    </row>
    <row r="256" spans="1:7" ht="12.75" customHeight="1">
      <c r="A256" s="27" t="s">
        <v>351</v>
      </c>
      <c r="B256" s="27" t="s">
        <v>408</v>
      </c>
      <c r="C256" s="27" t="s">
        <v>1104</v>
      </c>
      <c r="D256" s="27" t="s">
        <v>1105</v>
      </c>
      <c r="E256" s="27" t="b">
        <v>0</v>
      </c>
      <c r="F256" s="27" t="b">
        <f>COUNTIFS(Fixtures[referee], Referees[[#This Row],[name]], Fixtures[APP], TRUE) &gt; 0</f>
        <v>0</v>
      </c>
      <c r="G256" s="27" t="s">
        <v>1106</v>
      </c>
    </row>
    <row r="257" spans="1:7" ht="12.75" customHeight="1">
      <c r="A257" s="27" t="s">
        <v>1337</v>
      </c>
      <c r="B257" s="27" t="s">
        <v>152</v>
      </c>
      <c r="C257" s="27" t="s">
        <v>1104</v>
      </c>
      <c r="D257" s="27" t="s">
        <v>1105</v>
      </c>
      <c r="E257" s="27" t="b">
        <v>1</v>
      </c>
      <c r="F257" s="27" t="b">
        <f>COUNTIFS(Fixtures[referee], Referees[[#This Row],[name]], Fixtures[APP], TRUE) &gt; 0</f>
        <v>0</v>
      </c>
      <c r="G257" s="27" t="s">
        <v>1106</v>
      </c>
    </row>
    <row r="258" spans="1:7" ht="12.75" customHeight="1">
      <c r="A258" s="27" t="s">
        <v>1338</v>
      </c>
      <c r="B258" s="27" t="s">
        <v>152</v>
      </c>
      <c r="C258" s="27" t="s">
        <v>1104</v>
      </c>
      <c r="D258" s="27" t="s">
        <v>1105</v>
      </c>
      <c r="E258" s="27" t="b">
        <v>1</v>
      </c>
      <c r="F258" s="27" t="b">
        <f>COUNTIFS(Fixtures[referee], Referees[[#This Row],[name]], Fixtures[APP], TRUE) &gt; 0</f>
        <v>0</v>
      </c>
      <c r="G258" s="27" t="s">
        <v>1106</v>
      </c>
    </row>
    <row r="259" spans="1:7" ht="12.75" customHeight="1">
      <c r="A259" s="27" t="s">
        <v>1339</v>
      </c>
      <c r="B259" s="27" t="s">
        <v>152</v>
      </c>
      <c r="C259" s="27" t="s">
        <v>1104</v>
      </c>
      <c r="D259" s="27" t="s">
        <v>1121</v>
      </c>
      <c r="E259" s="27" t="b">
        <v>1</v>
      </c>
      <c r="F259" s="27" t="b">
        <f>COUNTIFS(Fixtures[referee], Referees[[#This Row],[name]], Fixtures[APP], TRUE) &gt; 0</f>
        <v>0</v>
      </c>
      <c r="G259" s="27" t="s">
        <v>1106</v>
      </c>
    </row>
    <row r="260" spans="1:7" ht="12.75" customHeight="1">
      <c r="A260" s="27" t="s">
        <v>1340</v>
      </c>
      <c r="B260" s="27" t="s">
        <v>152</v>
      </c>
      <c r="C260" s="27" t="s">
        <v>1116</v>
      </c>
      <c r="D260" s="27" t="s">
        <v>1121</v>
      </c>
      <c r="E260" s="27" t="b">
        <v>1</v>
      </c>
      <c r="F260" s="27" t="b">
        <f>COUNTIFS(Fixtures[referee], Referees[[#This Row],[name]], Fixtures[APP], TRUE) &gt; 0</f>
        <v>0</v>
      </c>
      <c r="G260" s="27" t="s">
        <v>1117</v>
      </c>
    </row>
    <row r="261" spans="1:7" ht="12.75" customHeight="1">
      <c r="A261" s="27" t="s">
        <v>1341</v>
      </c>
      <c r="B261" s="27" t="s">
        <v>152</v>
      </c>
      <c r="C261" s="27" t="s">
        <v>1116</v>
      </c>
      <c r="D261" s="27" t="s">
        <v>1105</v>
      </c>
      <c r="E261" s="27" t="b">
        <v>0</v>
      </c>
      <c r="F261" s="27" t="b">
        <f>COUNTIFS(Fixtures[referee], Referees[[#This Row],[name]], Fixtures[APP], TRUE) &gt; 0</f>
        <v>0</v>
      </c>
      <c r="G261" s="27" t="s">
        <v>1117</v>
      </c>
    </row>
    <row r="262" spans="1:7" ht="12.75" customHeight="1">
      <c r="A262" s="27" t="s">
        <v>1342</v>
      </c>
      <c r="B262" s="27" t="s">
        <v>1343</v>
      </c>
      <c r="C262" s="27" t="s">
        <v>1104</v>
      </c>
      <c r="D262" s="27" t="s">
        <v>1105</v>
      </c>
      <c r="E262" s="27" t="b">
        <v>0</v>
      </c>
      <c r="F262" s="27" t="b">
        <f>COUNTIFS(Fixtures[referee], Referees[[#This Row],[name]], Fixtures[APP], TRUE) &gt; 0</f>
        <v>0</v>
      </c>
      <c r="G262" s="27" t="s">
        <v>1106</v>
      </c>
    </row>
    <row r="263" spans="1:7" ht="12.75" customHeight="1">
      <c r="A263" s="27" t="s">
        <v>1344</v>
      </c>
      <c r="B263" s="27" t="s">
        <v>401</v>
      </c>
      <c r="C263" s="27" t="s">
        <v>1104</v>
      </c>
      <c r="D263" s="27" t="s">
        <v>1105</v>
      </c>
      <c r="E263" s="27" t="b">
        <v>0</v>
      </c>
      <c r="F263" s="27" t="b">
        <f>COUNTIFS(Fixtures[referee], Referees[[#This Row],[name]], Fixtures[APP], TRUE) &gt; 0</f>
        <v>0</v>
      </c>
      <c r="G263" s="27" t="s">
        <v>1106</v>
      </c>
    </row>
    <row r="264" spans="1:7" ht="12.75" customHeight="1">
      <c r="A264" s="27" t="s">
        <v>108</v>
      </c>
      <c r="B264" s="27" t="s">
        <v>108</v>
      </c>
      <c r="C264" s="27" t="s">
        <v>108</v>
      </c>
      <c r="D264" s="27" t="s">
        <v>108</v>
      </c>
      <c r="E264" s="27" t="b">
        <v>0</v>
      </c>
      <c r="F264" s="27" t="b">
        <f>COUNTIFS(Fixtures[referee], Referees[[#This Row],[name]], Fixtures[APP], TRUE) &gt; 0</f>
        <v>1</v>
      </c>
      <c r="G264" s="27" t="s">
        <v>108</v>
      </c>
    </row>
    <row r="265" spans="1:7" ht="12.75" customHeight="1">
      <c r="A265" s="27" t="s">
        <v>1345</v>
      </c>
      <c r="B265" s="27" t="s">
        <v>473</v>
      </c>
      <c r="C265" s="27" t="s">
        <v>1104</v>
      </c>
      <c r="D265" s="27" t="s">
        <v>1105</v>
      </c>
      <c r="E265" s="27" t="b">
        <v>0</v>
      </c>
      <c r="F265" s="27" t="b">
        <f>COUNTIFS(Fixtures[referee], Referees[[#This Row],[name]], Fixtures[APP], TRUE) &gt; 0</f>
        <v>0</v>
      </c>
      <c r="G265" s="27" t="s">
        <v>1106</v>
      </c>
    </row>
    <row r="266" spans="1:7" ht="12.75" customHeight="1">
      <c r="A266" s="27" t="s">
        <v>1346</v>
      </c>
      <c r="B266" s="27" t="s">
        <v>163</v>
      </c>
      <c r="C266" s="27" t="s">
        <v>1104</v>
      </c>
      <c r="D266" s="27" t="s">
        <v>1105</v>
      </c>
      <c r="E266" s="27" t="b">
        <v>0</v>
      </c>
      <c r="F266" s="27" t="b">
        <f>COUNTIFS(Fixtures[referee], Referees[[#This Row],[name]], Fixtures[APP], TRUE) &gt; 0</f>
        <v>0</v>
      </c>
      <c r="G266" s="27" t="s">
        <v>1106</v>
      </c>
    </row>
    <row r="267" spans="1:7" ht="12.75" customHeight="1">
      <c r="A267" s="27" t="s">
        <v>1347</v>
      </c>
      <c r="B267" s="27" t="s">
        <v>152</v>
      </c>
      <c r="C267" s="27" t="s">
        <v>1105</v>
      </c>
      <c r="D267" s="27" t="s">
        <v>1105</v>
      </c>
      <c r="E267" s="27" t="b">
        <v>0</v>
      </c>
      <c r="F267" s="27" t="b">
        <f>COUNTIFS(Fixtures[referee], Referees[[#This Row],[name]], Fixtures[APP], TRUE) &gt; 0</f>
        <v>0</v>
      </c>
      <c r="G267" s="27" t="s">
        <v>1117</v>
      </c>
    </row>
    <row r="268" spans="1:7" ht="12.75" customHeight="1">
      <c r="A268" s="27" t="s">
        <v>1348</v>
      </c>
      <c r="B268" s="27" t="s">
        <v>463</v>
      </c>
      <c r="C268" s="27" t="s">
        <v>1132</v>
      </c>
      <c r="D268" s="27" t="s">
        <v>1105</v>
      </c>
      <c r="E268" s="27" t="b">
        <v>0</v>
      </c>
      <c r="F268" s="27" t="b">
        <f>COUNTIFS(Fixtures[referee], Referees[[#This Row],[name]], Fixtures[APP], TRUE) &gt; 0</f>
        <v>0</v>
      </c>
      <c r="G268" s="27" t="s">
        <v>1106</v>
      </c>
    </row>
    <row r="269" spans="1:7" ht="12.75" customHeight="1">
      <c r="A269" s="27" t="s">
        <v>1349</v>
      </c>
      <c r="B269" s="27" t="s">
        <v>142</v>
      </c>
      <c r="C269" s="27" t="s">
        <v>1104</v>
      </c>
      <c r="D269" s="27" t="s">
        <v>1105</v>
      </c>
      <c r="E269" s="27" t="b">
        <v>0</v>
      </c>
      <c r="F269" s="27" t="b">
        <f>COUNTIFS(Fixtures[referee], Referees[[#This Row],[name]], Fixtures[APP], TRUE) &gt; 0</f>
        <v>0</v>
      </c>
      <c r="G269" s="27" t="s">
        <v>1106</v>
      </c>
    </row>
    <row r="270" spans="1:7" ht="12.75" customHeight="1">
      <c r="A270" s="27" t="s">
        <v>1350</v>
      </c>
      <c r="B270" s="27" t="s">
        <v>152</v>
      </c>
      <c r="C270" s="27" t="s">
        <v>1132</v>
      </c>
      <c r="D270" s="27" t="s">
        <v>1121</v>
      </c>
      <c r="E270" s="27" t="b">
        <v>1</v>
      </c>
      <c r="F270" s="27" t="b">
        <f>COUNTIFS(Fixtures[referee], Referees[[#This Row],[name]], Fixtures[APP], TRUE) &gt; 0</f>
        <v>0</v>
      </c>
      <c r="G270" s="27" t="s">
        <v>1106</v>
      </c>
    </row>
    <row r="271" spans="1:7" ht="12.75" customHeight="1">
      <c r="A271" s="27" t="s">
        <v>1351</v>
      </c>
      <c r="B271" s="27" t="s">
        <v>1352</v>
      </c>
      <c r="C271" s="27" t="s">
        <v>1104</v>
      </c>
      <c r="D271" s="27" t="s">
        <v>1105</v>
      </c>
      <c r="E271" s="27" t="b">
        <v>0</v>
      </c>
      <c r="F271" s="27" t="b">
        <f>COUNTIFS(Fixtures[referee], Referees[[#This Row],[name]], Fixtures[APP], TRUE) &gt; 0</f>
        <v>0</v>
      </c>
      <c r="G271" s="27" t="s">
        <v>1106</v>
      </c>
    </row>
    <row r="272" spans="1:7" ht="12.75" customHeight="1">
      <c r="A272" s="27" t="s">
        <v>317</v>
      </c>
      <c r="B272" s="27" t="s">
        <v>213</v>
      </c>
      <c r="C272" s="27" t="s">
        <v>1104</v>
      </c>
      <c r="D272" s="27" t="s">
        <v>1105</v>
      </c>
      <c r="E272" s="27" t="b">
        <v>0</v>
      </c>
      <c r="F272" s="27" t="b">
        <f>COUNTIFS(Fixtures[referee], Referees[[#This Row],[name]], Fixtures[APP], TRUE) &gt; 0</f>
        <v>1</v>
      </c>
      <c r="G272" s="27" t="s">
        <v>1106</v>
      </c>
    </row>
    <row r="273" spans="1:7" ht="12.75" customHeight="1">
      <c r="A273" s="27" t="s">
        <v>1353</v>
      </c>
      <c r="B273" s="27" t="s">
        <v>337</v>
      </c>
      <c r="C273" s="27" t="s">
        <v>1104</v>
      </c>
      <c r="D273" s="27" t="s">
        <v>1105</v>
      </c>
      <c r="E273" s="27" t="b">
        <v>0</v>
      </c>
      <c r="F273" s="27" t="b">
        <f>COUNTIFS(Fixtures[referee], Referees[[#This Row],[name]], Fixtures[APP], TRUE) &gt; 0</f>
        <v>0</v>
      </c>
      <c r="G273" s="27" t="s">
        <v>1106</v>
      </c>
    </row>
    <row r="274" spans="1:7" ht="12.75" customHeight="1">
      <c r="A274" s="27" t="s">
        <v>1354</v>
      </c>
      <c r="B274" s="27" t="s">
        <v>286</v>
      </c>
      <c r="C274" s="27" t="s">
        <v>1104</v>
      </c>
      <c r="D274" s="27" t="s">
        <v>1121</v>
      </c>
      <c r="E274" s="27" t="b">
        <v>0</v>
      </c>
      <c r="F274" s="27" t="b">
        <f>COUNTIFS(Fixtures[referee], Referees[[#This Row],[name]], Fixtures[APP], TRUE) &gt; 0</f>
        <v>0</v>
      </c>
      <c r="G274" s="27" t="s">
        <v>1106</v>
      </c>
    </row>
    <row r="275" spans="1:7" ht="12.75" customHeight="1">
      <c r="A275" s="27" t="s">
        <v>1355</v>
      </c>
      <c r="B275" s="27" t="s">
        <v>131</v>
      </c>
      <c r="C275" s="27" t="s">
        <v>1104</v>
      </c>
      <c r="D275" s="27" t="s">
        <v>1121</v>
      </c>
      <c r="E275" s="27" t="b">
        <v>0</v>
      </c>
      <c r="F275" s="27" t="b">
        <f>COUNTIFS(Fixtures[referee], Referees[[#This Row],[name]], Fixtures[APP], TRUE) &gt; 0</f>
        <v>0</v>
      </c>
      <c r="G275" s="27" t="s">
        <v>1106</v>
      </c>
    </row>
    <row r="276" spans="1:7" ht="12.75" customHeight="1">
      <c r="A276" s="27" t="s">
        <v>257</v>
      </c>
      <c r="B276" s="27" t="s">
        <v>152</v>
      </c>
      <c r="C276" s="27" t="s">
        <v>1104</v>
      </c>
      <c r="D276" s="27" t="s">
        <v>1105</v>
      </c>
      <c r="E276" s="27" t="b">
        <v>1</v>
      </c>
      <c r="F276" s="27" t="b">
        <f>COUNTIFS(Fixtures[referee], Referees[[#This Row],[name]], Fixtures[APP], TRUE) &gt; 0</f>
        <v>1</v>
      </c>
      <c r="G276" s="27" t="s">
        <v>1106</v>
      </c>
    </row>
    <row r="277" spans="1:7" ht="12.75" customHeight="1">
      <c r="A277" s="27" t="s">
        <v>1356</v>
      </c>
      <c r="B277" s="27" t="s">
        <v>163</v>
      </c>
      <c r="C277" s="27" t="s">
        <v>1104</v>
      </c>
      <c r="D277" s="27" t="s">
        <v>1105</v>
      </c>
      <c r="E277" s="27" t="b">
        <v>0</v>
      </c>
      <c r="F277" s="27" t="b">
        <f>COUNTIFS(Fixtures[referee], Referees[[#This Row],[name]], Fixtures[APP], TRUE) &gt; 0</f>
        <v>0</v>
      </c>
      <c r="G277" s="27" t="s">
        <v>1106</v>
      </c>
    </row>
    <row r="278" spans="1:7" ht="12.75" customHeight="1">
      <c r="A278" s="27" t="s">
        <v>1357</v>
      </c>
      <c r="B278" s="27" t="s">
        <v>152</v>
      </c>
      <c r="C278" s="27" t="s">
        <v>1104</v>
      </c>
      <c r="D278" s="27" t="s">
        <v>1105</v>
      </c>
      <c r="E278" s="27" t="b">
        <v>1</v>
      </c>
      <c r="F278" s="27" t="b">
        <f>COUNTIFS(Fixtures[referee], Referees[[#This Row],[name]], Fixtures[APP], TRUE) &gt; 0</f>
        <v>0</v>
      </c>
      <c r="G278" s="27" t="s">
        <v>1106</v>
      </c>
    </row>
    <row r="279" spans="1:7" ht="12.75" customHeight="1">
      <c r="A279" s="27" t="s">
        <v>1358</v>
      </c>
      <c r="B279" s="27" t="s">
        <v>408</v>
      </c>
      <c r="C279" s="27" t="s">
        <v>1132</v>
      </c>
      <c r="D279" s="27" t="s">
        <v>1105</v>
      </c>
      <c r="E279" s="27" t="b">
        <v>0</v>
      </c>
      <c r="F279" s="27" t="b">
        <f>COUNTIFS(Fixtures[referee], Referees[[#This Row],[name]], Fixtures[APP], TRUE) &gt; 0</f>
        <v>0</v>
      </c>
      <c r="G279" s="27" t="s">
        <v>1106</v>
      </c>
    </row>
    <row r="280" spans="1:7" ht="12.75" customHeight="1">
      <c r="A280" s="27" t="s">
        <v>1359</v>
      </c>
      <c r="B280" s="27" t="s">
        <v>16</v>
      </c>
      <c r="C280" s="27" t="s">
        <v>1104</v>
      </c>
      <c r="D280" s="27" t="s">
        <v>1105</v>
      </c>
      <c r="E280" s="27" t="b">
        <v>0</v>
      </c>
      <c r="F280" s="27" t="b">
        <f>COUNTIFS(Fixtures[referee], Referees[[#This Row],[name]], Fixtures[APP], TRUE) &gt; 0</f>
        <v>0</v>
      </c>
      <c r="G280" s="27" t="s">
        <v>1106</v>
      </c>
    </row>
    <row r="281" spans="1:7" ht="12.75" customHeight="1">
      <c r="A281" s="27" t="s">
        <v>1360</v>
      </c>
      <c r="B281" s="27" t="s">
        <v>410</v>
      </c>
      <c r="C281" s="27" t="s">
        <v>1104</v>
      </c>
      <c r="D281" s="27" t="s">
        <v>1105</v>
      </c>
      <c r="E281" s="27" t="b">
        <v>0</v>
      </c>
      <c r="F281" s="27" t="b">
        <f>COUNTIFS(Fixtures[referee], Referees[[#This Row],[name]], Fixtures[APP], TRUE) &gt; 0</f>
        <v>0</v>
      </c>
      <c r="G281" s="27" t="s">
        <v>1106</v>
      </c>
    </row>
    <row r="282" spans="1:7" ht="12.75" customHeight="1">
      <c r="A282" s="27" t="s">
        <v>1361</v>
      </c>
      <c r="B282" s="27" t="s">
        <v>152</v>
      </c>
      <c r="C282" s="27" t="s">
        <v>1104</v>
      </c>
      <c r="D282" s="27" t="s">
        <v>1105</v>
      </c>
      <c r="E282" s="27" t="b">
        <v>1</v>
      </c>
      <c r="F282" s="27" t="b">
        <f>COUNTIFS(Fixtures[referee], Referees[[#This Row],[name]], Fixtures[APP], TRUE) &gt; 0</f>
        <v>0</v>
      </c>
      <c r="G282" s="27" t="s">
        <v>1106</v>
      </c>
    </row>
    <row r="283" spans="1:7" ht="12.75" customHeight="1">
      <c r="A283" s="27" t="s">
        <v>244</v>
      </c>
      <c r="B283" s="27" t="s">
        <v>152</v>
      </c>
      <c r="C283" s="27" t="s">
        <v>1113</v>
      </c>
      <c r="D283" s="27" t="s">
        <v>1121</v>
      </c>
      <c r="E283" s="27" t="b">
        <v>1</v>
      </c>
      <c r="F283" s="27" t="b">
        <f>COUNTIFS(Fixtures[referee], Referees[[#This Row],[name]], Fixtures[APP], TRUE) &gt; 0</f>
        <v>1</v>
      </c>
      <c r="G283" s="27" t="s">
        <v>1106</v>
      </c>
    </row>
    <row r="284" spans="1:7" ht="12.75" customHeight="1">
      <c r="A284" s="27" t="s">
        <v>1362</v>
      </c>
      <c r="B284" s="27" t="s">
        <v>152</v>
      </c>
      <c r="C284" s="27" t="s">
        <v>1104</v>
      </c>
      <c r="D284" s="27" t="s">
        <v>1105</v>
      </c>
      <c r="E284" s="27" t="b">
        <v>1</v>
      </c>
      <c r="F284" s="27" t="b">
        <f>COUNTIFS(Fixtures[referee], Referees[[#This Row],[name]], Fixtures[APP], TRUE) &gt; 0</f>
        <v>0</v>
      </c>
      <c r="G284" s="27" t="s">
        <v>1106</v>
      </c>
    </row>
    <row r="285" spans="1:7" ht="12.75" customHeight="1">
      <c r="A285" s="27" t="s">
        <v>1363</v>
      </c>
      <c r="B285" s="27" t="s">
        <v>213</v>
      </c>
      <c r="C285" s="27" t="s">
        <v>1132</v>
      </c>
      <c r="D285" s="27" t="s">
        <v>1105</v>
      </c>
      <c r="E285" s="27" t="b">
        <v>0</v>
      </c>
      <c r="F285" s="27" t="b">
        <f>COUNTIFS(Fixtures[referee], Referees[[#This Row],[name]], Fixtures[APP], TRUE) &gt; 0</f>
        <v>0</v>
      </c>
      <c r="G285" s="27" t="s">
        <v>1106</v>
      </c>
    </row>
    <row r="286" spans="1:7" ht="12.75" customHeight="1">
      <c r="A286" s="27" t="s">
        <v>1364</v>
      </c>
      <c r="B286" s="27" t="s">
        <v>163</v>
      </c>
      <c r="C286" s="27" t="s">
        <v>1132</v>
      </c>
      <c r="D286" s="27" t="s">
        <v>1105</v>
      </c>
      <c r="E286" s="27" t="b">
        <v>0</v>
      </c>
      <c r="F286" s="27" t="b">
        <f>COUNTIFS(Fixtures[referee], Referees[[#This Row],[name]], Fixtures[APP], TRUE) &gt; 0</f>
        <v>0</v>
      </c>
      <c r="G286" s="27" t="s">
        <v>1106</v>
      </c>
    </row>
    <row r="287" spans="1:7" ht="12.75" customHeight="1">
      <c r="A287" s="27" t="s">
        <v>1365</v>
      </c>
      <c r="B287" s="27" t="s">
        <v>152</v>
      </c>
      <c r="C287" s="27" t="s">
        <v>1132</v>
      </c>
      <c r="D287" s="27" t="s">
        <v>1121</v>
      </c>
      <c r="E287" s="27" t="b">
        <v>1</v>
      </c>
      <c r="F287" s="27" t="b">
        <f>COUNTIFS(Fixtures[referee], Referees[[#This Row],[name]], Fixtures[APP], TRUE) &gt; 0</f>
        <v>0</v>
      </c>
      <c r="G287" s="27" t="s">
        <v>1106</v>
      </c>
    </row>
    <row r="288" spans="1:7" ht="12.75" customHeight="1">
      <c r="A288" s="27" t="s">
        <v>242</v>
      </c>
      <c r="B288" s="27" t="s">
        <v>152</v>
      </c>
      <c r="C288" s="27" t="s">
        <v>1104</v>
      </c>
      <c r="D288" s="27" t="s">
        <v>1116</v>
      </c>
      <c r="E288" s="27" t="b">
        <v>1</v>
      </c>
      <c r="F288" s="27" t="b">
        <f>COUNTIFS(Fixtures[referee], Referees[[#This Row],[name]], Fixtures[APP], TRUE) &gt; 0</f>
        <v>1</v>
      </c>
      <c r="G288" s="27" t="s">
        <v>1106</v>
      </c>
    </row>
    <row r="289" spans="1:7" ht="12.75" customHeight="1">
      <c r="A289" s="27" t="s">
        <v>1366</v>
      </c>
      <c r="B289" s="27" t="s">
        <v>152</v>
      </c>
      <c r="C289" s="27" t="s">
        <v>1121</v>
      </c>
      <c r="D289" s="27" t="s">
        <v>1121</v>
      </c>
      <c r="E289" s="27" t="b">
        <v>0</v>
      </c>
      <c r="F289" s="27" t="b">
        <f>COUNTIFS(Fixtures[referee], Referees[[#This Row],[name]], Fixtures[APP], TRUE) &gt; 0</f>
        <v>0</v>
      </c>
      <c r="G289" s="27" t="s">
        <v>1117</v>
      </c>
    </row>
    <row r="290" spans="1:7" ht="12.75" customHeight="1">
      <c r="A290" s="27" t="s">
        <v>1367</v>
      </c>
      <c r="B290" s="27" t="s">
        <v>339</v>
      </c>
      <c r="C290" s="27" t="s">
        <v>1132</v>
      </c>
      <c r="D290" s="27" t="s">
        <v>1105</v>
      </c>
      <c r="E290" s="27" t="b">
        <v>0</v>
      </c>
      <c r="F290" s="27" t="b">
        <f>COUNTIFS(Fixtures[referee], Referees[[#This Row],[name]], Fixtures[APP], TRUE) &gt; 0</f>
        <v>0</v>
      </c>
      <c r="G290" s="27" t="s">
        <v>1106</v>
      </c>
    </row>
    <row r="291" spans="1:7" ht="12.75" customHeight="1">
      <c r="A291" s="27" t="s">
        <v>1368</v>
      </c>
      <c r="B291" s="27" t="s">
        <v>152</v>
      </c>
      <c r="C291" s="27" t="s">
        <v>1104</v>
      </c>
      <c r="D291" s="27" t="s">
        <v>1105</v>
      </c>
      <c r="E291" s="27" t="b">
        <v>1</v>
      </c>
      <c r="F291" s="27" t="b">
        <f>COUNTIFS(Fixtures[referee], Referees[[#This Row],[name]], Fixtures[APP], TRUE) &gt; 0</f>
        <v>0</v>
      </c>
      <c r="G291" s="27" t="s">
        <v>1106</v>
      </c>
    </row>
    <row r="292" spans="1:7" ht="12.75" customHeight="1">
      <c r="A292" s="27" t="s">
        <v>1369</v>
      </c>
      <c r="B292" s="27" t="s">
        <v>425</v>
      </c>
      <c r="C292" s="27" t="s">
        <v>1104</v>
      </c>
      <c r="D292" s="27" t="s">
        <v>1121</v>
      </c>
      <c r="E292" s="27" t="b">
        <v>0</v>
      </c>
      <c r="F292" s="27" t="b">
        <f>COUNTIFS(Fixtures[referee], Referees[[#This Row],[name]], Fixtures[APP], TRUE) &gt; 0</f>
        <v>0</v>
      </c>
      <c r="G292" s="27" t="s">
        <v>1106</v>
      </c>
    </row>
    <row r="293" spans="1:7" ht="12.75" customHeight="1">
      <c r="A293" s="27" t="s">
        <v>1370</v>
      </c>
      <c r="B293" s="27" t="s">
        <v>425</v>
      </c>
      <c r="C293" s="27" t="s">
        <v>1113</v>
      </c>
      <c r="D293" s="27" t="s">
        <v>1105</v>
      </c>
      <c r="E293" s="27" t="b">
        <v>0</v>
      </c>
      <c r="F293" s="27" t="b">
        <f>COUNTIFS(Fixtures[referee], Referees[[#This Row],[name]], Fixtures[APP], TRUE) &gt; 0</f>
        <v>0</v>
      </c>
      <c r="G293" s="27" t="s">
        <v>1106</v>
      </c>
    </row>
    <row r="294" spans="1:7" ht="12.75" customHeight="1">
      <c r="A294" s="27" t="s">
        <v>1371</v>
      </c>
      <c r="B294" s="27" t="s">
        <v>335</v>
      </c>
      <c r="C294" s="27" t="s">
        <v>1104</v>
      </c>
      <c r="D294" s="27" t="s">
        <v>1105</v>
      </c>
      <c r="E294" s="27" t="b">
        <v>0</v>
      </c>
      <c r="F294" s="27" t="b">
        <f>COUNTIFS(Fixtures[referee], Referees[[#This Row],[name]], Fixtures[APP], TRUE) &gt; 0</f>
        <v>0</v>
      </c>
      <c r="G294" s="27" t="s">
        <v>1106</v>
      </c>
    </row>
    <row r="295" spans="1:7" ht="12.75" customHeight="1">
      <c r="A295" s="27" t="s">
        <v>1372</v>
      </c>
      <c r="B295" s="27" t="s">
        <v>284</v>
      </c>
      <c r="C295" s="27" t="s">
        <v>1113</v>
      </c>
      <c r="D295" s="27" t="s">
        <v>1105</v>
      </c>
      <c r="E295" s="27" t="b">
        <v>0</v>
      </c>
      <c r="F295" s="27" t="b">
        <f>COUNTIFS(Fixtures[referee], Referees[[#This Row],[name]], Fixtures[APP], TRUE) &gt; 0</f>
        <v>0</v>
      </c>
      <c r="G295" s="27" t="s">
        <v>1106</v>
      </c>
    </row>
    <row r="296" spans="1:7" ht="12.75" customHeight="1">
      <c r="A296" s="27" t="s">
        <v>1373</v>
      </c>
      <c r="B296" s="27" t="s">
        <v>1343</v>
      </c>
      <c r="C296" s="27" t="s">
        <v>1104</v>
      </c>
      <c r="D296" s="27" t="s">
        <v>1105</v>
      </c>
      <c r="E296" s="27" t="b">
        <v>0</v>
      </c>
      <c r="F296" s="27" t="b">
        <f>COUNTIFS(Fixtures[referee], Referees[[#This Row],[name]], Fixtures[APP], TRUE) &gt; 0</f>
        <v>0</v>
      </c>
      <c r="G296" s="27" t="s">
        <v>1106</v>
      </c>
    </row>
    <row r="297" spans="1:7" ht="12.75" customHeight="1">
      <c r="A297" s="27" t="s">
        <v>1374</v>
      </c>
      <c r="B297" s="27" t="s">
        <v>163</v>
      </c>
      <c r="C297" s="27" t="s">
        <v>1113</v>
      </c>
      <c r="D297" s="27" t="s">
        <v>1105</v>
      </c>
      <c r="E297" s="27" t="b">
        <v>0</v>
      </c>
      <c r="F297" s="27" t="b">
        <f>COUNTIFS(Fixtures[referee], Referees[[#This Row],[name]], Fixtures[APP], TRUE) &gt; 0</f>
        <v>0</v>
      </c>
      <c r="G297" s="27" t="s">
        <v>1106</v>
      </c>
    </row>
    <row r="298" spans="1:7" ht="12.75" customHeight="1">
      <c r="A298" s="27" t="s">
        <v>1375</v>
      </c>
      <c r="B298" s="27" t="s">
        <v>339</v>
      </c>
      <c r="C298" s="27" t="s">
        <v>1104</v>
      </c>
      <c r="D298" s="27" t="s">
        <v>1116</v>
      </c>
      <c r="E298" s="27" t="b">
        <v>0</v>
      </c>
      <c r="F298" s="27" t="b">
        <f>COUNTIFS(Fixtures[referee], Referees[[#This Row],[name]], Fixtures[APP], TRUE) &gt; 0</f>
        <v>0</v>
      </c>
      <c r="G298" s="27" t="s">
        <v>1106</v>
      </c>
    </row>
    <row r="299" spans="1:7" ht="12.75" customHeight="1">
      <c r="A299" s="27" t="s">
        <v>1376</v>
      </c>
      <c r="B299" s="27" t="s">
        <v>252</v>
      </c>
      <c r="C299" s="27" t="s">
        <v>1116</v>
      </c>
      <c r="D299" s="27" t="s">
        <v>1116</v>
      </c>
      <c r="E299" s="27" t="b">
        <v>0</v>
      </c>
      <c r="F299" s="27" t="b">
        <f>COUNTIFS(Fixtures[referee], Referees[[#This Row],[name]], Fixtures[APP], TRUE) &gt; 0</f>
        <v>0</v>
      </c>
      <c r="G299" s="27" t="s">
        <v>1117</v>
      </c>
    </row>
    <row r="300" spans="1:7" ht="12.75" customHeight="1">
      <c r="A300" s="27" t="s">
        <v>1377</v>
      </c>
      <c r="B300" s="27" t="s">
        <v>152</v>
      </c>
      <c r="C300" s="27" t="s">
        <v>1105</v>
      </c>
      <c r="D300" s="27" t="s">
        <v>1105</v>
      </c>
      <c r="E300" s="27" t="b">
        <v>0</v>
      </c>
      <c r="F300" s="27" t="b">
        <f>COUNTIFS(Fixtures[referee], Referees[[#This Row],[name]], Fixtures[APP], TRUE) &gt; 0</f>
        <v>0</v>
      </c>
      <c r="G300" s="27" t="s">
        <v>1117</v>
      </c>
    </row>
    <row r="301" spans="1:7" ht="12.75" customHeight="1">
      <c r="A301" s="27" t="s">
        <v>1378</v>
      </c>
      <c r="B301" s="27" t="s">
        <v>473</v>
      </c>
      <c r="C301" s="27" t="s">
        <v>1104</v>
      </c>
      <c r="D301" s="27" t="s">
        <v>1105</v>
      </c>
      <c r="E301" s="27" t="b">
        <v>0</v>
      </c>
      <c r="F301" s="27" t="b">
        <f>COUNTIFS(Fixtures[referee], Referees[[#This Row],[name]], Fixtures[APP], TRUE) &gt; 0</f>
        <v>0</v>
      </c>
      <c r="G301" s="27" t="s">
        <v>1106</v>
      </c>
    </row>
    <row r="302" spans="1:7" ht="12.75" customHeight="1">
      <c r="A302" s="27" t="s">
        <v>1379</v>
      </c>
      <c r="B302" s="27" t="s">
        <v>152</v>
      </c>
      <c r="C302" s="27" t="s">
        <v>1104</v>
      </c>
      <c r="D302" s="27" t="s">
        <v>1105</v>
      </c>
      <c r="E302" s="27" t="b">
        <v>1</v>
      </c>
      <c r="F302" s="27" t="b">
        <f>COUNTIFS(Fixtures[referee], Referees[[#This Row],[name]], Fixtures[APP], TRUE) &gt; 0</f>
        <v>0</v>
      </c>
      <c r="G302" s="27" t="s">
        <v>1106</v>
      </c>
    </row>
    <row r="303" spans="1:7" ht="12.75" customHeight="1">
      <c r="A303" s="27" t="s">
        <v>223</v>
      </c>
      <c r="B303" s="27" t="s">
        <v>1380</v>
      </c>
      <c r="C303" s="27" t="s">
        <v>1104</v>
      </c>
      <c r="D303" s="27" t="s">
        <v>1121</v>
      </c>
      <c r="E303" s="27" t="b">
        <v>0</v>
      </c>
      <c r="F303" s="27" t="b">
        <f>COUNTIFS(Fixtures[referee], Referees[[#This Row],[name]], Fixtures[APP], TRUE) &gt; 0</f>
        <v>1</v>
      </c>
      <c r="G303" s="27" t="s">
        <v>1106</v>
      </c>
    </row>
    <row r="304" spans="1:7" ht="12.75" customHeight="1">
      <c r="A304" s="27" t="s">
        <v>1381</v>
      </c>
      <c r="B304" s="27" t="s">
        <v>152</v>
      </c>
      <c r="C304" s="27" t="s">
        <v>1104</v>
      </c>
      <c r="D304" s="27" t="s">
        <v>1105</v>
      </c>
      <c r="E304" s="27" t="b">
        <v>1</v>
      </c>
      <c r="F304" s="27" t="b">
        <f>COUNTIFS(Fixtures[referee], Referees[[#This Row],[name]], Fixtures[APP], TRUE) &gt; 0</f>
        <v>0</v>
      </c>
      <c r="G304" s="27" t="s">
        <v>1106</v>
      </c>
    </row>
    <row r="305" spans="1:7" ht="12.75" customHeight="1">
      <c r="A305" s="27" t="s">
        <v>1382</v>
      </c>
      <c r="B305" s="27" t="s">
        <v>108</v>
      </c>
      <c r="C305" s="27" t="s">
        <v>1104</v>
      </c>
      <c r="D305" s="27" t="s">
        <v>1105</v>
      </c>
      <c r="E305" s="27" t="b">
        <v>0</v>
      </c>
      <c r="F305" s="27" t="b">
        <f>COUNTIFS(Fixtures[referee], Referees[[#This Row],[name]], Fixtures[APP], TRUE) &gt; 0</f>
        <v>0</v>
      </c>
      <c r="G305" s="27" t="s">
        <v>1106</v>
      </c>
    </row>
    <row r="306" spans="1:7" ht="12.75" customHeight="1">
      <c r="A306" s="27" t="s">
        <v>1383</v>
      </c>
      <c r="B306" s="27" t="s">
        <v>286</v>
      </c>
      <c r="C306" s="27" t="s">
        <v>1104</v>
      </c>
      <c r="D306" s="27" t="s">
        <v>1116</v>
      </c>
      <c r="E306" s="27" t="b">
        <v>0</v>
      </c>
      <c r="F306" s="27" t="b">
        <f>COUNTIFS(Fixtures[referee], Referees[[#This Row],[name]], Fixtures[APP], TRUE) &gt; 0</f>
        <v>0</v>
      </c>
      <c r="G306" s="27" t="s">
        <v>1106</v>
      </c>
    </row>
    <row r="307" spans="1:7" ht="12.75" customHeight="1">
      <c r="A307" s="27" t="s">
        <v>1384</v>
      </c>
      <c r="B307" s="27" t="s">
        <v>152</v>
      </c>
      <c r="C307" s="27" t="s">
        <v>1113</v>
      </c>
      <c r="D307" s="27" t="s">
        <v>1105</v>
      </c>
      <c r="E307" s="27" t="b">
        <v>1</v>
      </c>
      <c r="F307" s="27" t="b">
        <f>COUNTIFS(Fixtures[referee], Referees[[#This Row],[name]], Fixtures[APP], TRUE) &gt; 0</f>
        <v>0</v>
      </c>
      <c r="G307" s="27" t="s">
        <v>1106</v>
      </c>
    </row>
    <row r="308" spans="1:7" ht="12.75" customHeight="1">
      <c r="A308" s="27" t="s">
        <v>1385</v>
      </c>
      <c r="B308" s="27" t="s">
        <v>152</v>
      </c>
      <c r="C308" s="27" t="s">
        <v>1104</v>
      </c>
      <c r="D308" s="27" t="s">
        <v>1121</v>
      </c>
      <c r="E308" s="27" t="b">
        <v>1</v>
      </c>
      <c r="F308" s="27" t="b">
        <f>COUNTIFS(Fixtures[referee], Referees[[#This Row],[name]], Fixtures[APP], TRUE) &gt; 0</f>
        <v>0</v>
      </c>
      <c r="G308" s="27" t="s">
        <v>1106</v>
      </c>
    </row>
    <row r="309" spans="1:7" ht="12.75" customHeight="1">
      <c r="A309" s="27" t="s">
        <v>1386</v>
      </c>
      <c r="B309" s="27" t="s">
        <v>401</v>
      </c>
      <c r="C309" s="27" t="s">
        <v>1104</v>
      </c>
      <c r="D309" s="27" t="s">
        <v>1105</v>
      </c>
      <c r="E309" s="27" t="b">
        <v>1</v>
      </c>
      <c r="F309" s="27" t="b">
        <f>COUNTIFS(Fixtures[referee], Referees[[#This Row],[name]], Fixtures[APP], TRUE) &gt; 0</f>
        <v>0</v>
      </c>
      <c r="G309" s="27" t="s">
        <v>1106</v>
      </c>
    </row>
    <row r="310" spans="1:7" ht="12.75" customHeight="1">
      <c r="A310" s="27" t="s">
        <v>249</v>
      </c>
      <c r="B310" s="27" t="s">
        <v>152</v>
      </c>
      <c r="C310" s="27" t="s">
        <v>1104</v>
      </c>
      <c r="D310" s="27" t="s">
        <v>1116</v>
      </c>
      <c r="E310" s="27" t="b">
        <v>1</v>
      </c>
      <c r="F310" s="27" t="b">
        <f>COUNTIFS(Fixtures[referee], Referees[[#This Row],[name]], Fixtures[APP], TRUE) &gt; 0</f>
        <v>1</v>
      </c>
      <c r="G310" s="27" t="s">
        <v>1106</v>
      </c>
    </row>
    <row r="311" spans="1:7" ht="12.75" customHeight="1">
      <c r="A311" s="27" t="s">
        <v>1387</v>
      </c>
      <c r="B311" s="27" t="s">
        <v>152</v>
      </c>
      <c r="C311" s="27" t="s">
        <v>1104</v>
      </c>
      <c r="D311" s="27" t="s">
        <v>1105</v>
      </c>
      <c r="E311" s="27" t="b">
        <v>1</v>
      </c>
      <c r="F311" s="27" t="b">
        <f>COUNTIFS(Fixtures[referee], Referees[[#This Row],[name]], Fixtures[APP], TRUE) &gt; 0</f>
        <v>0</v>
      </c>
      <c r="G311" s="27" t="s">
        <v>1106</v>
      </c>
    </row>
    <row r="312" spans="1:7" ht="12.75" customHeight="1">
      <c r="A312" s="27" t="s">
        <v>1388</v>
      </c>
      <c r="B312" s="27" t="s">
        <v>337</v>
      </c>
      <c r="C312" s="27" t="s">
        <v>1104</v>
      </c>
      <c r="D312" s="27" t="s">
        <v>1105</v>
      </c>
      <c r="E312" s="27" t="b">
        <v>0</v>
      </c>
      <c r="F312" s="27" t="b">
        <f>COUNTIFS(Fixtures[referee], Referees[[#This Row],[name]], Fixtures[APP], TRUE) &gt; 0</f>
        <v>0</v>
      </c>
      <c r="G312" s="27" t="s">
        <v>1106</v>
      </c>
    </row>
    <row r="313" spans="1:7" ht="12.75" customHeight="1">
      <c r="A313" s="27" t="s">
        <v>1389</v>
      </c>
      <c r="B313" s="27" t="s">
        <v>451</v>
      </c>
      <c r="C313" s="27" t="s">
        <v>1105</v>
      </c>
      <c r="D313" s="27" t="s">
        <v>1121</v>
      </c>
      <c r="E313" s="27" t="b">
        <v>0</v>
      </c>
      <c r="F313" s="27" t="b">
        <f>COUNTIFS(Fixtures[referee], Referees[[#This Row],[name]], Fixtures[APP], TRUE) &gt; 0</f>
        <v>0</v>
      </c>
      <c r="G313" s="27" t="s">
        <v>1117</v>
      </c>
    </row>
    <row r="314" spans="1:7" ht="12.75" customHeight="1">
      <c r="A314" s="27" t="s">
        <v>1390</v>
      </c>
      <c r="B314" s="27" t="s">
        <v>152</v>
      </c>
      <c r="C314" s="27" t="s">
        <v>1132</v>
      </c>
      <c r="D314" s="27" t="s">
        <v>1105</v>
      </c>
      <c r="E314" s="27" t="b">
        <v>1</v>
      </c>
      <c r="F314" s="27" t="b">
        <f>COUNTIFS(Fixtures[referee], Referees[[#This Row],[name]], Fixtures[APP], TRUE) &gt; 0</f>
        <v>0</v>
      </c>
      <c r="G314" s="27" t="s">
        <v>1106</v>
      </c>
    </row>
    <row r="315" spans="1:7" ht="12.75" customHeight="1">
      <c r="A315" s="27" t="s">
        <v>1391</v>
      </c>
      <c r="B315" s="27" t="s">
        <v>401</v>
      </c>
      <c r="C315" s="27" t="s">
        <v>1104</v>
      </c>
      <c r="D315" s="27" t="s">
        <v>1105</v>
      </c>
      <c r="E315" s="27" t="b">
        <v>0</v>
      </c>
      <c r="F315" s="27" t="b">
        <f>COUNTIFS(Fixtures[referee], Referees[[#This Row],[name]], Fixtures[APP], TRUE) &gt; 0</f>
        <v>0</v>
      </c>
      <c r="G315" s="27" t="s">
        <v>1106</v>
      </c>
    </row>
    <row r="316" spans="1:7" ht="12.75" customHeight="1">
      <c r="A316" s="27" t="s">
        <v>1392</v>
      </c>
      <c r="B316" s="27" t="s">
        <v>152</v>
      </c>
      <c r="C316" s="27" t="s">
        <v>1104</v>
      </c>
      <c r="D316" s="27" t="s">
        <v>1105</v>
      </c>
      <c r="E316" s="27" t="b">
        <v>1</v>
      </c>
      <c r="F316" s="27" t="b">
        <f>COUNTIFS(Fixtures[referee], Referees[[#This Row],[name]], Fixtures[APP], TRUE) &gt; 0</f>
        <v>0</v>
      </c>
      <c r="G316" s="27" t="s">
        <v>1106</v>
      </c>
    </row>
    <row r="317" spans="1:7" ht="12.75" customHeight="1">
      <c r="A317" s="27" t="s">
        <v>1393</v>
      </c>
      <c r="B317" s="27" t="s">
        <v>152</v>
      </c>
      <c r="C317" s="27" t="s">
        <v>1104</v>
      </c>
      <c r="D317" s="27" t="s">
        <v>1105</v>
      </c>
      <c r="E317" s="27" t="b">
        <v>1</v>
      </c>
      <c r="F317" s="27" t="b">
        <f>COUNTIFS(Fixtures[referee], Referees[[#This Row],[name]], Fixtures[APP], TRUE) &gt; 0</f>
        <v>0</v>
      </c>
      <c r="G317" s="27" t="s">
        <v>1106</v>
      </c>
    </row>
    <row r="318" spans="1:7" ht="12.75" customHeight="1">
      <c r="A318" s="27" t="s">
        <v>1394</v>
      </c>
      <c r="B318" s="27" t="s">
        <v>152</v>
      </c>
      <c r="C318" s="27" t="s">
        <v>1104</v>
      </c>
      <c r="D318" s="27" t="s">
        <v>1105</v>
      </c>
      <c r="E318" s="27" t="b">
        <v>1</v>
      </c>
      <c r="F318" s="27" t="b">
        <f>COUNTIFS(Fixtures[referee], Referees[[#This Row],[name]], Fixtures[APP], TRUE) &gt; 0</f>
        <v>0</v>
      </c>
      <c r="G318" s="27" t="s">
        <v>1106</v>
      </c>
    </row>
    <row r="319" spans="1:7" ht="12.75" customHeight="1">
      <c r="A319" s="27" t="s">
        <v>1395</v>
      </c>
      <c r="B319" s="27" t="s">
        <v>152</v>
      </c>
      <c r="C319" s="27" t="s">
        <v>1104</v>
      </c>
      <c r="D319" s="27" t="s">
        <v>1105</v>
      </c>
      <c r="E319" s="27" t="b">
        <v>1</v>
      </c>
      <c r="F319" s="27" t="b">
        <f>COUNTIFS(Fixtures[referee], Referees[[#This Row],[name]], Fixtures[APP], TRUE) &gt; 0</f>
        <v>0</v>
      </c>
      <c r="G319" s="27" t="s">
        <v>1106</v>
      </c>
    </row>
    <row r="320" spans="1:7" ht="12.75" customHeight="1">
      <c r="A320" s="27" t="s">
        <v>1396</v>
      </c>
      <c r="B320" s="27" t="s">
        <v>152</v>
      </c>
      <c r="C320" s="27" t="s">
        <v>1104</v>
      </c>
      <c r="D320" s="27" t="s">
        <v>1105</v>
      </c>
      <c r="E320" s="27" t="b">
        <v>1</v>
      </c>
      <c r="F320" s="27" t="b">
        <f>COUNTIFS(Fixtures[referee], Referees[[#This Row],[name]], Fixtures[APP], TRUE) &gt; 0</f>
        <v>0</v>
      </c>
      <c r="G320" s="27" t="s">
        <v>1106</v>
      </c>
    </row>
    <row r="321" spans="1:7" ht="12.75" customHeight="1">
      <c r="A321" s="27" t="s">
        <v>1397</v>
      </c>
      <c r="B321" s="27" t="s">
        <v>224</v>
      </c>
      <c r="C321" s="27" t="s">
        <v>1104</v>
      </c>
      <c r="D321" s="27" t="s">
        <v>1105</v>
      </c>
      <c r="E321" s="27" t="b">
        <v>0</v>
      </c>
      <c r="F321" s="27" t="b">
        <f>COUNTIFS(Fixtures[referee], Referees[[#This Row],[name]], Fixtures[APP], TRUE) &gt; 0</f>
        <v>0</v>
      </c>
      <c r="G321" s="27" t="s">
        <v>1106</v>
      </c>
    </row>
    <row r="322" spans="1:7" ht="12.75" customHeight="1">
      <c r="A322" s="27" t="s">
        <v>1398</v>
      </c>
      <c r="B322" s="27" t="s">
        <v>337</v>
      </c>
      <c r="C322" s="27" t="s">
        <v>1104</v>
      </c>
      <c r="D322" s="27" t="s">
        <v>1105</v>
      </c>
      <c r="E322" s="27" t="b">
        <v>0</v>
      </c>
      <c r="F322" s="27" t="b">
        <f>COUNTIFS(Fixtures[referee], Referees[[#This Row],[name]], Fixtures[APP], TRUE) &gt; 0</f>
        <v>0</v>
      </c>
      <c r="G322" s="27" t="s">
        <v>1106</v>
      </c>
    </row>
    <row r="323" spans="1:7" ht="12.75" customHeight="1">
      <c r="A323" s="27" t="s">
        <v>1399</v>
      </c>
      <c r="B323" s="27" t="s">
        <v>339</v>
      </c>
      <c r="C323" s="27" t="s">
        <v>1104</v>
      </c>
      <c r="D323" s="27" t="s">
        <v>1105</v>
      </c>
      <c r="E323" s="27" t="b">
        <v>0</v>
      </c>
      <c r="F323" s="27" t="b">
        <f>COUNTIFS(Fixtures[referee], Referees[[#This Row],[name]], Fixtures[APP], TRUE) &gt; 0</f>
        <v>0</v>
      </c>
      <c r="G323" s="27" t="s">
        <v>1106</v>
      </c>
    </row>
    <row r="324" spans="1:7" ht="12.75" customHeight="1">
      <c r="A324" s="27" t="s">
        <v>1400</v>
      </c>
      <c r="B324" s="27" t="s">
        <v>152</v>
      </c>
      <c r="C324" s="27" t="s">
        <v>1105</v>
      </c>
      <c r="D324" s="27" t="s">
        <v>1105</v>
      </c>
      <c r="E324" s="27" t="b">
        <v>1</v>
      </c>
      <c r="F324" s="27" t="b">
        <f>COUNTIFS(Fixtures[referee], Referees[[#This Row],[name]], Fixtures[APP], TRUE) &gt; 0</f>
        <v>0</v>
      </c>
      <c r="G324" s="27" t="s">
        <v>1117</v>
      </c>
    </row>
    <row r="325" spans="1:7" ht="12.75" customHeight="1">
      <c r="A325" s="27" t="s">
        <v>1401</v>
      </c>
      <c r="B325" s="27" t="s">
        <v>152</v>
      </c>
      <c r="C325" s="27" t="s">
        <v>1104</v>
      </c>
      <c r="D325" s="27" t="s">
        <v>1105</v>
      </c>
      <c r="E325" s="27" t="b">
        <v>1</v>
      </c>
      <c r="F325" s="27" t="b">
        <f>COUNTIFS(Fixtures[referee], Referees[[#This Row],[name]], Fixtures[APP], TRUE) &gt; 0</f>
        <v>0</v>
      </c>
      <c r="G325" s="27" t="s">
        <v>1106</v>
      </c>
    </row>
    <row r="326" spans="1:7" ht="12.75" customHeight="1">
      <c r="A326" s="27" t="s">
        <v>1402</v>
      </c>
      <c r="B326" s="27" t="s">
        <v>152</v>
      </c>
      <c r="C326" s="27" t="s">
        <v>1104</v>
      </c>
      <c r="D326" s="27" t="s">
        <v>1105</v>
      </c>
      <c r="E326" s="27" t="b">
        <v>0</v>
      </c>
      <c r="F326" s="27" t="b">
        <f>COUNTIFS(Fixtures[referee], Referees[[#This Row],[name]], Fixtures[APP], TRUE) &gt; 0</f>
        <v>0</v>
      </c>
      <c r="G326" s="27" t="s">
        <v>1106</v>
      </c>
    </row>
    <row r="327" spans="1:7" ht="12.75" customHeight="1">
      <c r="A327" s="27" t="s">
        <v>1403</v>
      </c>
      <c r="B327" s="27" t="s">
        <v>152</v>
      </c>
      <c r="C327" s="27" t="s">
        <v>1113</v>
      </c>
      <c r="D327" s="27" t="s">
        <v>1116</v>
      </c>
      <c r="E327" s="27" t="b">
        <v>1</v>
      </c>
      <c r="F327" s="27" t="b">
        <f>COUNTIFS(Fixtures[referee], Referees[[#This Row],[name]], Fixtures[APP], TRUE) &gt; 0</f>
        <v>0</v>
      </c>
      <c r="G327" s="27" t="s">
        <v>1106</v>
      </c>
    </row>
    <row r="328" spans="1:7" ht="12.75" customHeight="1">
      <c r="A328" s="27" t="s">
        <v>1404</v>
      </c>
      <c r="B328" s="27" t="s">
        <v>152</v>
      </c>
      <c r="C328" s="27" t="s">
        <v>1104</v>
      </c>
      <c r="D328" s="27" t="s">
        <v>1105</v>
      </c>
      <c r="E328" s="27" t="b">
        <v>1</v>
      </c>
      <c r="F328" s="27" t="b">
        <f>COUNTIFS(Fixtures[referee], Referees[[#This Row],[name]], Fixtures[APP], TRUE) &gt; 0</f>
        <v>0</v>
      </c>
      <c r="G328" s="27" t="s">
        <v>1106</v>
      </c>
    </row>
    <row r="329" spans="1:7" ht="12.75" customHeight="1">
      <c r="A329" s="27" t="s">
        <v>1405</v>
      </c>
      <c r="B329" s="27" t="s">
        <v>152</v>
      </c>
      <c r="C329" s="27" t="s">
        <v>1104</v>
      </c>
      <c r="D329" s="27" t="s">
        <v>1105</v>
      </c>
      <c r="E329" s="27" t="b">
        <v>1</v>
      </c>
      <c r="F329" s="27" t="b">
        <f>COUNTIFS(Fixtures[referee], Referees[[#This Row],[name]], Fixtures[APP], TRUE) &gt; 0</f>
        <v>0</v>
      </c>
      <c r="G329" s="27" t="s">
        <v>1106</v>
      </c>
    </row>
    <row r="330" spans="1:7" ht="12.75" customHeight="1">
      <c r="A330" s="27" t="s">
        <v>1406</v>
      </c>
      <c r="B330" s="27" t="s">
        <v>152</v>
      </c>
      <c r="C330" s="27" t="s">
        <v>1132</v>
      </c>
      <c r="D330" s="27" t="s">
        <v>1116</v>
      </c>
      <c r="E330" s="27" t="b">
        <v>1</v>
      </c>
      <c r="F330" s="27" t="b">
        <f>COUNTIFS(Fixtures[referee], Referees[[#This Row],[name]], Fixtures[APP], TRUE) &gt; 0</f>
        <v>0</v>
      </c>
      <c r="G330" s="27" t="s">
        <v>1106</v>
      </c>
    </row>
    <row r="331" spans="1:7" ht="12.75" customHeight="1">
      <c r="A331" s="27" t="s">
        <v>1407</v>
      </c>
      <c r="B331" s="27" t="s">
        <v>339</v>
      </c>
      <c r="C331" s="27" t="s">
        <v>1113</v>
      </c>
      <c r="D331" s="27" t="s">
        <v>1116</v>
      </c>
      <c r="E331" s="27" t="b">
        <v>0</v>
      </c>
      <c r="F331" s="27" t="b">
        <f>COUNTIFS(Fixtures[referee], Referees[[#This Row],[name]], Fixtures[APP], TRUE) &gt; 0</f>
        <v>0</v>
      </c>
      <c r="G331" s="27" t="s">
        <v>1106</v>
      </c>
    </row>
    <row r="332" spans="1:7" ht="12.75" customHeight="1">
      <c r="A332" s="27" t="s">
        <v>1408</v>
      </c>
      <c r="B332" s="27" t="s">
        <v>408</v>
      </c>
      <c r="C332" s="27" t="s">
        <v>1104</v>
      </c>
      <c r="D332" s="27" t="s">
        <v>1105</v>
      </c>
      <c r="E332" s="27" t="b">
        <v>0</v>
      </c>
      <c r="F332" s="27" t="b">
        <f>COUNTIFS(Fixtures[referee], Referees[[#This Row],[name]], Fixtures[APP], TRUE) &gt; 0</f>
        <v>0</v>
      </c>
      <c r="G332" s="27" t="s">
        <v>1106</v>
      </c>
    </row>
    <row r="333" spans="1:7" ht="12.75" customHeight="1">
      <c r="A333" s="27" t="s">
        <v>1409</v>
      </c>
      <c r="B333" s="27" t="s">
        <v>1126</v>
      </c>
      <c r="C333" s="27" t="s">
        <v>1105</v>
      </c>
      <c r="D333" s="27" t="s">
        <v>1105</v>
      </c>
      <c r="E333" s="27" t="b">
        <v>0</v>
      </c>
      <c r="F333" s="27" t="b">
        <f>COUNTIFS(Fixtures[referee], Referees[[#This Row],[name]], Fixtures[APP], TRUE) &gt; 0</f>
        <v>0</v>
      </c>
      <c r="G333" s="27" t="s">
        <v>1117</v>
      </c>
    </row>
    <row r="334" spans="1:7" ht="12.75" customHeight="1">
      <c r="A334" s="27" t="s">
        <v>1410</v>
      </c>
      <c r="B334" s="27" t="s">
        <v>154</v>
      </c>
      <c r="C334" s="27" t="s">
        <v>1104</v>
      </c>
      <c r="D334" s="27" t="s">
        <v>1105</v>
      </c>
      <c r="E334" s="27" t="b">
        <v>0</v>
      </c>
      <c r="F334" s="27" t="b">
        <f>COUNTIFS(Fixtures[referee], Referees[[#This Row],[name]], Fixtures[APP], TRUE) &gt; 0</f>
        <v>0</v>
      </c>
      <c r="G334" s="27" t="s">
        <v>1106</v>
      </c>
    </row>
    <row r="335" spans="1:7" ht="12.75" customHeight="1">
      <c r="A335" s="27" t="s">
        <v>1411</v>
      </c>
      <c r="B335" s="27" t="s">
        <v>129</v>
      </c>
      <c r="C335" s="27" t="s">
        <v>1104</v>
      </c>
      <c r="D335" s="27" t="s">
        <v>1105</v>
      </c>
      <c r="E335" s="27" t="b">
        <v>0</v>
      </c>
      <c r="F335" s="27" t="b">
        <f>COUNTIFS(Fixtures[referee], Referees[[#This Row],[name]], Fixtures[APP], TRUE) &gt; 0</f>
        <v>0</v>
      </c>
      <c r="G335" s="27" t="s">
        <v>1106</v>
      </c>
    </row>
    <row r="336" spans="1:7" ht="12.75" customHeight="1">
      <c r="A336" s="27" t="s">
        <v>1412</v>
      </c>
      <c r="B336" s="27" t="s">
        <v>270</v>
      </c>
      <c r="C336" s="27" t="s">
        <v>1132</v>
      </c>
      <c r="D336" s="27" t="s">
        <v>1105</v>
      </c>
      <c r="E336" s="27" t="b">
        <v>0</v>
      </c>
      <c r="F336" s="27" t="b">
        <f>COUNTIFS(Fixtures[referee], Referees[[#This Row],[name]], Fixtures[APP], TRUE) &gt; 0</f>
        <v>0</v>
      </c>
      <c r="G336" s="27" t="s">
        <v>1106</v>
      </c>
    </row>
    <row r="337" spans="1:7" ht="12.75" customHeight="1">
      <c r="A337" s="27" t="s">
        <v>1413</v>
      </c>
      <c r="B337" s="27" t="s">
        <v>144</v>
      </c>
      <c r="C337" s="27" t="s">
        <v>1113</v>
      </c>
      <c r="D337" s="27" t="s">
        <v>1105</v>
      </c>
      <c r="E337" s="27" t="b">
        <v>0</v>
      </c>
      <c r="F337" s="27" t="b">
        <f>COUNTIFS(Fixtures[referee], Referees[[#This Row],[name]], Fixtures[APP], TRUE) &gt; 0</f>
        <v>0</v>
      </c>
      <c r="G337" s="27" t="s">
        <v>1106</v>
      </c>
    </row>
    <row r="338" spans="1:7" ht="12.75" customHeight="1">
      <c r="A338" s="27" t="s">
        <v>1414</v>
      </c>
      <c r="B338" s="27" t="s">
        <v>152</v>
      </c>
      <c r="C338" s="27" t="s">
        <v>1104</v>
      </c>
      <c r="D338" s="27" t="s">
        <v>1121</v>
      </c>
      <c r="E338" s="27" t="b">
        <v>1</v>
      </c>
      <c r="F338" s="27" t="b">
        <f>COUNTIFS(Fixtures[referee], Referees[[#This Row],[name]], Fixtures[APP], TRUE) &gt; 0</f>
        <v>0</v>
      </c>
      <c r="G338" s="27" t="s">
        <v>1106</v>
      </c>
    </row>
    <row r="339" spans="1:7" ht="12.75" customHeight="1">
      <c r="A339" s="27" t="s">
        <v>1415</v>
      </c>
      <c r="B339" s="27" t="s">
        <v>152</v>
      </c>
      <c r="C339" s="27" t="s">
        <v>1104</v>
      </c>
      <c r="D339" s="27" t="s">
        <v>1105</v>
      </c>
      <c r="E339" s="27" t="b">
        <v>1</v>
      </c>
      <c r="F339" s="27" t="b">
        <f>COUNTIFS(Fixtures[referee], Referees[[#This Row],[name]], Fixtures[APP], TRUE) &gt; 0</f>
        <v>0</v>
      </c>
      <c r="G339" s="27" t="s">
        <v>1106</v>
      </c>
    </row>
    <row r="340" spans="1:7" ht="12.75" customHeight="1">
      <c r="A340" s="27" t="s">
        <v>1416</v>
      </c>
      <c r="B340" s="27" t="s">
        <v>1417</v>
      </c>
      <c r="C340" s="27" t="s">
        <v>1104</v>
      </c>
      <c r="D340" s="27" t="s">
        <v>1105</v>
      </c>
      <c r="E340" s="27" t="b">
        <v>0</v>
      </c>
      <c r="F340" s="27" t="b">
        <f>COUNTIFS(Fixtures[referee], Referees[[#This Row],[name]], Fixtures[APP], TRUE) &gt; 0</f>
        <v>0</v>
      </c>
      <c r="G340" s="27" t="s">
        <v>1106</v>
      </c>
    </row>
    <row r="341" spans="1:7" ht="12.75" customHeight="1">
      <c r="A341" s="27" t="s">
        <v>1418</v>
      </c>
      <c r="B341" s="27" t="s">
        <v>414</v>
      </c>
      <c r="C341" s="27" t="s">
        <v>1104</v>
      </c>
      <c r="D341" s="27" t="s">
        <v>1105</v>
      </c>
      <c r="E341" s="27" t="b">
        <v>0</v>
      </c>
      <c r="F341" s="27" t="b">
        <f>COUNTIFS(Fixtures[referee], Referees[[#This Row],[name]], Fixtures[APP], TRUE) &gt; 0</f>
        <v>0</v>
      </c>
      <c r="G341" s="27" t="s">
        <v>1106</v>
      </c>
    </row>
    <row r="342" spans="1:7" ht="12.75" customHeight="1">
      <c r="A342" s="27" t="s">
        <v>1419</v>
      </c>
      <c r="B342" s="27" t="s">
        <v>152</v>
      </c>
      <c r="C342" s="27" t="s">
        <v>1104</v>
      </c>
      <c r="D342" s="27" t="s">
        <v>1105</v>
      </c>
      <c r="E342" s="27" t="b">
        <v>1</v>
      </c>
      <c r="F342" s="27" t="b">
        <f>COUNTIFS(Fixtures[referee], Referees[[#This Row],[name]], Fixtures[APP], TRUE) &gt; 0</f>
        <v>0</v>
      </c>
      <c r="G342" s="27" t="s">
        <v>1106</v>
      </c>
    </row>
    <row r="343" spans="1:7" ht="12.75" customHeight="1">
      <c r="A343" s="27" t="s">
        <v>342</v>
      </c>
      <c r="B343" s="27" t="s">
        <v>152</v>
      </c>
      <c r="C343" s="27" t="s">
        <v>1104</v>
      </c>
      <c r="D343" s="27" t="s">
        <v>1105</v>
      </c>
      <c r="E343" s="27" t="b">
        <v>1</v>
      </c>
      <c r="F343" s="27" t="b">
        <f>COUNTIFS(Fixtures[referee], Referees[[#This Row],[name]], Fixtures[APP], TRUE) &gt; 0</f>
        <v>0</v>
      </c>
      <c r="G343" s="27" t="s">
        <v>1106</v>
      </c>
    </row>
    <row r="344" spans="1:7" ht="12.75" customHeight="1">
      <c r="A344" s="27" t="s">
        <v>1420</v>
      </c>
      <c r="B344" s="27" t="s">
        <v>513</v>
      </c>
      <c r="C344" s="27" t="s">
        <v>1113</v>
      </c>
      <c r="D344" s="27" t="s">
        <v>1105</v>
      </c>
      <c r="E344" s="27" t="b">
        <v>0</v>
      </c>
      <c r="F344" s="27" t="b">
        <f>COUNTIFS(Fixtures[referee], Referees[[#This Row],[name]], Fixtures[APP], TRUE) &gt; 0</f>
        <v>0</v>
      </c>
      <c r="G344" s="27" t="s">
        <v>1106</v>
      </c>
    </row>
    <row r="345" spans="1:7" ht="12.75" customHeight="1">
      <c r="A345" s="27" t="s">
        <v>1421</v>
      </c>
      <c r="B345" s="27" t="s">
        <v>337</v>
      </c>
      <c r="C345" s="27" t="s">
        <v>1132</v>
      </c>
      <c r="D345" s="27" t="s">
        <v>1105</v>
      </c>
      <c r="E345" s="27" t="b">
        <v>0</v>
      </c>
      <c r="F345" s="27" t="b">
        <f>COUNTIFS(Fixtures[referee], Referees[[#This Row],[name]], Fixtures[APP], TRUE) &gt; 0</f>
        <v>0</v>
      </c>
      <c r="G345" s="27" t="s">
        <v>1106</v>
      </c>
    </row>
    <row r="346" spans="1:7" ht="12.75" customHeight="1">
      <c r="A346" s="27" t="s">
        <v>215</v>
      </c>
      <c r="B346" s="27" t="s">
        <v>152</v>
      </c>
      <c r="C346" s="27" t="s">
        <v>1113</v>
      </c>
      <c r="D346" s="27" t="s">
        <v>1105</v>
      </c>
      <c r="E346" s="27" t="b">
        <v>1</v>
      </c>
      <c r="F346" s="27" t="b">
        <f>COUNTIFS(Fixtures[referee], Referees[[#This Row],[name]], Fixtures[APP], TRUE) &gt; 0</f>
        <v>0</v>
      </c>
      <c r="G346" s="27" t="s">
        <v>1106</v>
      </c>
    </row>
    <row r="347" spans="1:7" ht="12.75" customHeight="1">
      <c r="A347" s="27" t="s">
        <v>1422</v>
      </c>
      <c r="B347" s="27" t="s">
        <v>152</v>
      </c>
      <c r="C347" s="27" t="s">
        <v>1104</v>
      </c>
      <c r="D347" s="27" t="s">
        <v>1105</v>
      </c>
      <c r="E347" s="27" t="b">
        <v>1</v>
      </c>
      <c r="F347" s="27" t="b">
        <f>COUNTIFS(Fixtures[referee], Referees[[#This Row],[name]], Fixtures[APP], TRUE) &gt; 0</f>
        <v>0</v>
      </c>
      <c r="G347" s="27" t="s">
        <v>1106</v>
      </c>
    </row>
    <row r="348" spans="1:7" ht="12.75" customHeight="1">
      <c r="A348" s="27" t="s">
        <v>246</v>
      </c>
      <c r="B348" s="27" t="s">
        <v>152</v>
      </c>
      <c r="C348" s="27" t="s">
        <v>1132</v>
      </c>
      <c r="D348" s="27" t="s">
        <v>1105</v>
      </c>
      <c r="E348" s="27" t="b">
        <v>1</v>
      </c>
      <c r="F348" s="27" t="b">
        <f>COUNTIFS(Fixtures[referee], Referees[[#This Row],[name]], Fixtures[APP], TRUE) &gt; 0</f>
        <v>1</v>
      </c>
      <c r="G348" s="27" t="s">
        <v>1106</v>
      </c>
    </row>
    <row r="349" spans="1:7" ht="12.75" customHeight="1">
      <c r="A349" s="27" t="s">
        <v>1423</v>
      </c>
      <c r="B349" s="27" t="s">
        <v>284</v>
      </c>
      <c r="C349" s="27" t="s">
        <v>1104</v>
      </c>
      <c r="D349" s="27" t="s">
        <v>1105</v>
      </c>
      <c r="E349" s="27" t="b">
        <v>0</v>
      </c>
      <c r="F349" s="27" t="b">
        <f>COUNTIFS(Fixtures[referee], Referees[[#This Row],[name]], Fixtures[APP], TRUE) &gt; 0</f>
        <v>0</v>
      </c>
      <c r="G349" s="27" t="s">
        <v>1106</v>
      </c>
    </row>
    <row r="350" spans="1:7" ht="12.75" customHeight="1">
      <c r="A350" s="27" t="s">
        <v>1424</v>
      </c>
      <c r="B350" s="27" t="s">
        <v>1142</v>
      </c>
      <c r="C350" s="27" t="s">
        <v>1104</v>
      </c>
      <c r="D350" s="27" t="s">
        <v>1105</v>
      </c>
      <c r="E350" s="27" t="b">
        <v>0</v>
      </c>
      <c r="F350" s="27" t="b">
        <f>COUNTIFS(Fixtures[referee], Referees[[#This Row],[name]], Fixtures[APP], TRUE) &gt; 0</f>
        <v>0</v>
      </c>
      <c r="G350" s="27" t="s">
        <v>1106</v>
      </c>
    </row>
    <row r="351" spans="1:7" ht="12.75" customHeight="1">
      <c r="A351" s="27" t="s">
        <v>1425</v>
      </c>
      <c r="B351" s="27" t="s">
        <v>473</v>
      </c>
      <c r="C351" s="27" t="s">
        <v>1104</v>
      </c>
      <c r="D351" s="27" t="s">
        <v>1105</v>
      </c>
      <c r="E351" s="27" t="b">
        <v>1</v>
      </c>
      <c r="F351" s="27" t="b">
        <f>COUNTIFS(Fixtures[referee], Referees[[#This Row],[name]], Fixtures[APP], TRUE) &gt; 0</f>
        <v>0</v>
      </c>
      <c r="G351" s="27" t="s">
        <v>1106</v>
      </c>
    </row>
    <row r="352" spans="1:7" ht="12.75" customHeight="1">
      <c r="A352" s="27" t="s">
        <v>1426</v>
      </c>
      <c r="B352" s="27" t="s">
        <v>284</v>
      </c>
      <c r="C352" s="27" t="s">
        <v>1132</v>
      </c>
      <c r="D352" s="27" t="s">
        <v>1105</v>
      </c>
      <c r="E352" s="27" t="b">
        <v>0</v>
      </c>
      <c r="F352" s="27" t="b">
        <f>COUNTIFS(Fixtures[referee], Referees[[#This Row],[name]], Fixtures[APP], TRUE) &gt; 0</f>
        <v>0</v>
      </c>
      <c r="G352" s="27" t="s">
        <v>1106</v>
      </c>
    </row>
    <row r="353" spans="1:7" ht="12.75" customHeight="1">
      <c r="A353" s="27" t="s">
        <v>1427</v>
      </c>
      <c r="B353" s="27" t="s">
        <v>164</v>
      </c>
      <c r="C353" s="27" t="s">
        <v>1104</v>
      </c>
      <c r="D353" s="27" t="s">
        <v>1105</v>
      </c>
      <c r="E353" s="27" t="b">
        <v>0</v>
      </c>
      <c r="F353" s="27" t="b">
        <f>COUNTIFS(Fixtures[referee], Referees[[#This Row],[name]], Fixtures[APP], TRUE) &gt; 0</f>
        <v>0</v>
      </c>
      <c r="G353" s="27" t="s">
        <v>1106</v>
      </c>
    </row>
    <row r="354" spans="1:7" ht="12.75" customHeight="1">
      <c r="A354" s="27" t="s">
        <v>1428</v>
      </c>
      <c r="B354" s="27" t="s">
        <v>152</v>
      </c>
      <c r="C354" s="27" t="s">
        <v>1113</v>
      </c>
      <c r="D354" s="27" t="s">
        <v>1105</v>
      </c>
      <c r="E354" s="27" t="b">
        <v>1</v>
      </c>
      <c r="F354" s="27" t="b">
        <f>COUNTIFS(Fixtures[referee], Referees[[#This Row],[name]], Fixtures[APP], TRUE) &gt; 0</f>
        <v>0</v>
      </c>
      <c r="G354" s="27" t="s">
        <v>1106</v>
      </c>
    </row>
    <row r="355" spans="1:7" ht="12.75" customHeight="1">
      <c r="A355" s="27" t="s">
        <v>1429</v>
      </c>
      <c r="B355" s="27" t="s">
        <v>152</v>
      </c>
      <c r="C355" s="27" t="s">
        <v>1104</v>
      </c>
      <c r="D355" s="27" t="s">
        <v>1105</v>
      </c>
      <c r="E355" s="27" t="b">
        <v>1</v>
      </c>
      <c r="F355" s="27" t="b">
        <f>COUNTIFS(Fixtures[referee], Referees[[#This Row],[name]], Fixtures[APP], TRUE) &gt; 0</f>
        <v>0</v>
      </c>
      <c r="G355" s="27" t="s">
        <v>1106</v>
      </c>
    </row>
    <row r="356" spans="1:7" ht="12.75" customHeight="1">
      <c r="A356" s="27" t="s">
        <v>1430</v>
      </c>
      <c r="B356" s="27" t="s">
        <v>152</v>
      </c>
      <c r="C356" s="27" t="s">
        <v>1104</v>
      </c>
      <c r="D356" s="27" t="s">
        <v>1105</v>
      </c>
      <c r="E356" s="27" t="b">
        <v>1</v>
      </c>
      <c r="F356" s="27" t="b">
        <f>COUNTIFS(Fixtures[referee], Referees[[#This Row],[name]], Fixtures[APP], TRUE) &gt; 0</f>
        <v>0</v>
      </c>
      <c r="G356" s="27" t="s">
        <v>1106</v>
      </c>
    </row>
    <row r="357" spans="1:7" ht="12.75" customHeight="1">
      <c r="A357" s="27" t="s">
        <v>1431</v>
      </c>
      <c r="B357" s="27" t="s">
        <v>286</v>
      </c>
      <c r="C357" s="27" t="s">
        <v>1104</v>
      </c>
      <c r="D357" s="27" t="s">
        <v>1121</v>
      </c>
      <c r="E357" s="27" t="b">
        <v>0</v>
      </c>
      <c r="F357" s="27" t="b">
        <f>COUNTIFS(Fixtures[referee], Referees[[#This Row],[name]], Fixtures[APP], TRUE) &gt; 0</f>
        <v>0</v>
      </c>
      <c r="G357" s="27" t="s">
        <v>1106</v>
      </c>
    </row>
    <row r="358" spans="1:7" ht="12.75" customHeight="1">
      <c r="A358" s="27" t="s">
        <v>1432</v>
      </c>
      <c r="B358" s="27" t="s">
        <v>142</v>
      </c>
      <c r="C358" s="27" t="s">
        <v>1104</v>
      </c>
      <c r="D358" s="27" t="s">
        <v>1105</v>
      </c>
      <c r="E358" s="27" t="b">
        <v>0</v>
      </c>
      <c r="F358" s="27" t="b">
        <f>COUNTIFS(Fixtures[referee], Referees[[#This Row],[name]], Fixtures[APP], TRUE) &gt; 0</f>
        <v>0</v>
      </c>
      <c r="G358" s="27" t="s">
        <v>1106</v>
      </c>
    </row>
    <row r="359" spans="1:7" ht="12.75" customHeight="1">
      <c r="A359" s="27" t="s">
        <v>1433</v>
      </c>
      <c r="B359" s="27" t="s">
        <v>152</v>
      </c>
      <c r="C359" s="27" t="s">
        <v>1132</v>
      </c>
      <c r="D359" s="27" t="s">
        <v>1121</v>
      </c>
      <c r="E359" s="27" t="b">
        <v>1</v>
      </c>
      <c r="F359" s="27" t="b">
        <f>COUNTIFS(Fixtures[referee], Referees[[#This Row],[name]], Fixtures[APP], TRUE) &gt; 0</f>
        <v>0</v>
      </c>
      <c r="G359" s="27" t="s">
        <v>1106</v>
      </c>
    </row>
    <row r="360" spans="1:7" ht="12.75" customHeight="1">
      <c r="A360" s="27" t="s">
        <v>1434</v>
      </c>
      <c r="B360" s="27" t="s">
        <v>339</v>
      </c>
      <c r="C360" s="27" t="s">
        <v>1104</v>
      </c>
      <c r="D360" s="27" t="s">
        <v>1105</v>
      </c>
      <c r="E360" s="27" t="b">
        <v>0</v>
      </c>
      <c r="F360" s="27" t="b">
        <f>COUNTIFS(Fixtures[referee], Referees[[#This Row],[name]], Fixtures[APP], TRUE) &gt; 0</f>
        <v>0</v>
      </c>
      <c r="G360" s="27" t="s">
        <v>1106</v>
      </c>
    </row>
    <row r="361" spans="1:7" ht="12.75" customHeight="1">
      <c r="A361" s="27" t="s">
        <v>1435</v>
      </c>
      <c r="B361" s="27" t="s">
        <v>152</v>
      </c>
      <c r="C361" s="27" t="s">
        <v>1113</v>
      </c>
      <c r="D361" s="27" t="s">
        <v>1105</v>
      </c>
      <c r="E361" s="27" t="b">
        <v>1</v>
      </c>
      <c r="F361" s="27" t="b">
        <f>COUNTIFS(Fixtures[referee], Referees[[#This Row],[name]], Fixtures[APP], TRUE) &gt; 0</f>
        <v>0</v>
      </c>
      <c r="G361" s="27" t="s">
        <v>1106</v>
      </c>
    </row>
    <row r="362" spans="1:7" ht="12.75" customHeight="1">
      <c r="A362" s="27" t="s">
        <v>1436</v>
      </c>
      <c r="B362" s="27" t="s">
        <v>152</v>
      </c>
      <c r="C362" s="27" t="s">
        <v>1104</v>
      </c>
      <c r="D362" s="27" t="s">
        <v>1105</v>
      </c>
      <c r="E362" s="27" t="b">
        <v>1</v>
      </c>
      <c r="F362" s="27" t="b">
        <f>COUNTIFS(Fixtures[referee], Referees[[#This Row],[name]], Fixtures[APP], TRUE) &gt; 0</f>
        <v>0</v>
      </c>
      <c r="G362" s="27" t="s">
        <v>1106</v>
      </c>
    </row>
    <row r="363" spans="1:7" ht="12.75" customHeight="1">
      <c r="A363" s="27" t="s">
        <v>1437</v>
      </c>
      <c r="B363" s="27" t="s">
        <v>152</v>
      </c>
      <c r="C363" s="27" t="s">
        <v>1132</v>
      </c>
      <c r="D363" s="27" t="s">
        <v>1121</v>
      </c>
      <c r="E363" s="27" t="b">
        <v>1</v>
      </c>
      <c r="F363" s="27" t="b">
        <f>COUNTIFS(Fixtures[referee], Referees[[#This Row],[name]], Fixtures[APP], TRUE) &gt; 0</f>
        <v>0</v>
      </c>
      <c r="G363" s="27" t="s">
        <v>1106</v>
      </c>
    </row>
    <row r="364" spans="1:7" ht="12.75" customHeight="1">
      <c r="A364" s="27" t="s">
        <v>1438</v>
      </c>
      <c r="B364" s="27" t="s">
        <v>286</v>
      </c>
      <c r="C364" s="27" t="s">
        <v>1113</v>
      </c>
      <c r="D364" s="27" t="s">
        <v>1105</v>
      </c>
      <c r="E364" s="27" t="b">
        <v>0</v>
      </c>
      <c r="F364" s="27" t="b">
        <f>COUNTIFS(Fixtures[referee], Referees[[#This Row],[name]], Fixtures[APP], TRUE) &gt; 0</f>
        <v>0</v>
      </c>
      <c r="G364" s="27" t="s">
        <v>1106</v>
      </c>
    </row>
    <row r="365" spans="1:7" ht="12.75" customHeight="1">
      <c r="A365" s="27" t="s">
        <v>1439</v>
      </c>
      <c r="B365" s="27" t="s">
        <v>152</v>
      </c>
      <c r="C365" s="27" t="s">
        <v>1116</v>
      </c>
      <c r="D365" s="27" t="s">
        <v>1105</v>
      </c>
      <c r="E365" s="27" t="b">
        <v>1</v>
      </c>
      <c r="F365" s="27" t="b">
        <f>COUNTIFS(Fixtures[referee], Referees[[#This Row],[name]], Fixtures[APP], TRUE) &gt; 0</f>
        <v>0</v>
      </c>
      <c r="G365" s="27" t="s">
        <v>1117</v>
      </c>
    </row>
    <row r="366" spans="1:7" ht="12.75" customHeight="1">
      <c r="A366" s="27" t="s">
        <v>1440</v>
      </c>
      <c r="B366" s="27" t="s">
        <v>1126</v>
      </c>
      <c r="C366" s="27" t="s">
        <v>1105</v>
      </c>
      <c r="D366" s="27" t="s">
        <v>1105</v>
      </c>
      <c r="E366" s="27" t="b">
        <v>0</v>
      </c>
      <c r="F366" s="27" t="b">
        <f>COUNTIFS(Fixtures[referee], Referees[[#This Row],[name]], Fixtures[APP], TRUE) &gt; 0</f>
        <v>0</v>
      </c>
      <c r="G366" s="27" t="s">
        <v>1117</v>
      </c>
    </row>
    <row r="367" spans="1:7" ht="12.75" customHeight="1">
      <c r="A367" s="27" t="s">
        <v>1441</v>
      </c>
      <c r="B367" s="27" t="s">
        <v>163</v>
      </c>
      <c r="C367" s="27" t="s">
        <v>1132</v>
      </c>
      <c r="D367" s="27" t="s">
        <v>1105</v>
      </c>
      <c r="E367" s="27" t="b">
        <v>0</v>
      </c>
      <c r="F367" s="27" t="b">
        <f>COUNTIFS(Fixtures[referee], Referees[[#This Row],[name]], Fixtures[APP], TRUE) &gt; 0</f>
        <v>0</v>
      </c>
      <c r="G367" s="27" t="s">
        <v>1106</v>
      </c>
    </row>
    <row r="368" spans="1:7" ht="12.75" customHeight="1">
      <c r="A368" s="27" t="s">
        <v>1442</v>
      </c>
      <c r="B368" s="27" t="s">
        <v>398</v>
      </c>
      <c r="C368" s="27" t="s">
        <v>1132</v>
      </c>
      <c r="D368" s="27" t="s">
        <v>1116</v>
      </c>
      <c r="E368" s="27" t="b">
        <v>0</v>
      </c>
      <c r="F368" s="27" t="b">
        <f>COUNTIFS(Fixtures[referee], Referees[[#This Row],[name]], Fixtures[APP], TRUE) &gt; 0</f>
        <v>0</v>
      </c>
      <c r="G368" s="27" t="s">
        <v>1106</v>
      </c>
    </row>
    <row r="369" spans="1:7" ht="12.75" customHeight="1">
      <c r="A369" s="27" t="s">
        <v>291</v>
      </c>
      <c r="B369" s="27" t="s">
        <v>337</v>
      </c>
      <c r="C369" s="27" t="s">
        <v>1104</v>
      </c>
      <c r="D369" s="27" t="s">
        <v>1105</v>
      </c>
      <c r="E369" s="27" t="b">
        <v>0</v>
      </c>
      <c r="F369" s="27" t="b">
        <f>COUNTIFS(Fixtures[referee], Referees[[#This Row],[name]], Fixtures[APP], TRUE) &gt; 0</f>
        <v>1</v>
      </c>
      <c r="G369" s="27" t="s">
        <v>1106</v>
      </c>
    </row>
    <row r="370" spans="1:7" ht="12.75" customHeight="1">
      <c r="A370" s="27" t="s">
        <v>327</v>
      </c>
      <c r="B370" s="27" t="s">
        <v>463</v>
      </c>
      <c r="C370" s="27" t="s">
        <v>1104</v>
      </c>
      <c r="D370" s="27" t="s">
        <v>1121</v>
      </c>
      <c r="E370" s="27" t="b">
        <v>0</v>
      </c>
      <c r="F370" s="27" t="b">
        <f>COUNTIFS(Fixtures[referee], Referees[[#This Row],[name]], Fixtures[APP], TRUE) &gt; 0</f>
        <v>1</v>
      </c>
      <c r="G370" s="27" t="s">
        <v>1106</v>
      </c>
    </row>
    <row r="371" spans="1:7" ht="12.75" customHeight="1">
      <c r="A371" s="27" t="s">
        <v>251</v>
      </c>
      <c r="B371" s="27" t="s">
        <v>589</v>
      </c>
      <c r="C371" s="27" t="s">
        <v>1104</v>
      </c>
      <c r="D371" s="27" t="s">
        <v>1105</v>
      </c>
      <c r="E371" s="27" t="b">
        <v>0</v>
      </c>
      <c r="F371" s="27" t="b">
        <f>COUNTIFS(Fixtures[referee], Referees[[#This Row],[name]], Fixtures[APP], TRUE) &gt; 0</f>
        <v>1</v>
      </c>
      <c r="G371" s="27" t="s">
        <v>1106</v>
      </c>
    </row>
    <row r="372" spans="1:7" ht="12.75" customHeight="1">
      <c r="A372" s="27" t="s">
        <v>1443</v>
      </c>
      <c r="B372" s="27" t="s">
        <v>152</v>
      </c>
      <c r="C372" s="27" t="s">
        <v>1104</v>
      </c>
      <c r="D372" s="27" t="s">
        <v>1105</v>
      </c>
      <c r="E372" s="27" t="b">
        <v>1</v>
      </c>
      <c r="F372" s="27" t="b">
        <f>COUNTIFS(Fixtures[referee], Referees[[#This Row],[name]], Fixtures[APP], TRUE) &gt; 0</f>
        <v>0</v>
      </c>
      <c r="G372" s="27" t="s">
        <v>1106</v>
      </c>
    </row>
    <row r="373" spans="1:7" ht="12.75" customHeight="1">
      <c r="A373" s="27" t="s">
        <v>1444</v>
      </c>
      <c r="B373" s="27" t="s">
        <v>144</v>
      </c>
      <c r="C373" s="27" t="s">
        <v>1104</v>
      </c>
      <c r="D373" s="27" t="s">
        <v>1116</v>
      </c>
      <c r="E373" s="27" t="b">
        <v>0</v>
      </c>
      <c r="F373" s="27" t="b">
        <f>COUNTIFS(Fixtures[referee], Referees[[#This Row],[name]], Fixtures[APP], TRUE) &gt; 0</f>
        <v>0</v>
      </c>
      <c r="G373" s="27" t="s">
        <v>1106</v>
      </c>
    </row>
    <row r="374" spans="1:7" ht="12.75" customHeight="1">
      <c r="A374" s="27" t="s">
        <v>1445</v>
      </c>
      <c r="B374" s="27" t="s">
        <v>152</v>
      </c>
      <c r="C374" s="27" t="s">
        <v>1104</v>
      </c>
      <c r="D374" s="27" t="s">
        <v>1105</v>
      </c>
      <c r="E374" s="27" t="b">
        <v>1</v>
      </c>
      <c r="F374" s="27" t="b">
        <f>COUNTIFS(Fixtures[referee], Referees[[#This Row],[name]], Fixtures[APP], TRUE) &gt; 0</f>
        <v>0</v>
      </c>
      <c r="G374" s="27" t="s">
        <v>1106</v>
      </c>
    </row>
    <row r="375" spans="1:7" ht="12.75" customHeight="1">
      <c r="A375" s="27" t="s">
        <v>1446</v>
      </c>
      <c r="B375" s="27" t="s">
        <v>451</v>
      </c>
      <c r="C375" s="27" t="s">
        <v>1105</v>
      </c>
      <c r="D375" s="27" t="s">
        <v>1105</v>
      </c>
      <c r="E375" s="27" t="b">
        <v>0</v>
      </c>
      <c r="F375" s="27" t="b">
        <f>COUNTIFS(Fixtures[referee], Referees[[#This Row],[name]], Fixtures[APP], TRUE) &gt; 0</f>
        <v>0</v>
      </c>
      <c r="G375" s="27" t="s">
        <v>1117</v>
      </c>
    </row>
    <row r="376" spans="1:7" ht="12.75" customHeight="1">
      <c r="A376" s="27" t="s">
        <v>1447</v>
      </c>
      <c r="B376" s="27" t="s">
        <v>16</v>
      </c>
      <c r="C376" s="27" t="s">
        <v>1113</v>
      </c>
      <c r="D376" s="27" t="s">
        <v>1105</v>
      </c>
      <c r="E376" s="27" t="b">
        <v>0</v>
      </c>
      <c r="F376" s="27" t="b">
        <f>COUNTIFS(Fixtures[referee], Referees[[#This Row],[name]], Fixtures[APP], TRUE) &gt; 0</f>
        <v>0</v>
      </c>
      <c r="G376" s="27" t="s">
        <v>1106</v>
      </c>
    </row>
    <row r="377" spans="1:7" ht="12.75" customHeight="1">
      <c r="A377" s="27" t="s">
        <v>1448</v>
      </c>
      <c r="B377" s="27" t="s">
        <v>425</v>
      </c>
      <c r="C377" s="27" t="s">
        <v>1104</v>
      </c>
      <c r="D377" s="27" t="s">
        <v>1105</v>
      </c>
      <c r="E377" s="27" t="b">
        <v>0</v>
      </c>
      <c r="F377" s="27" t="b">
        <f>COUNTIFS(Fixtures[referee], Referees[[#This Row],[name]], Fixtures[APP], TRUE) &gt; 0</f>
        <v>0</v>
      </c>
      <c r="G377" s="27" t="s">
        <v>1106</v>
      </c>
    </row>
    <row r="378" spans="1:7" ht="12.75" customHeight="1">
      <c r="A378" s="27" t="s">
        <v>1449</v>
      </c>
      <c r="B378" s="27" t="s">
        <v>252</v>
      </c>
      <c r="C378" s="27" t="s">
        <v>1105</v>
      </c>
      <c r="D378" s="27" t="s">
        <v>1105</v>
      </c>
      <c r="E378" s="27" t="b">
        <v>0</v>
      </c>
      <c r="F378" s="27" t="b">
        <f>COUNTIFS(Fixtures[referee], Referees[[#This Row],[name]], Fixtures[APP], TRUE) &gt; 0</f>
        <v>0</v>
      </c>
      <c r="G378" s="27" t="s">
        <v>1117</v>
      </c>
    </row>
    <row r="379" spans="1:7" ht="12.75" customHeight="1">
      <c r="A379" s="27" t="s">
        <v>1450</v>
      </c>
      <c r="B379" s="27" t="s">
        <v>152</v>
      </c>
      <c r="C379" s="27" t="s">
        <v>1104</v>
      </c>
      <c r="D379" s="27" t="s">
        <v>1105</v>
      </c>
      <c r="E379" s="27" t="b">
        <v>1</v>
      </c>
      <c r="F379" s="27" t="b">
        <f>COUNTIFS(Fixtures[referee], Referees[[#This Row],[name]], Fixtures[APP], TRUE) &gt; 0</f>
        <v>0</v>
      </c>
      <c r="G379" s="27" t="s">
        <v>1106</v>
      </c>
    </row>
    <row r="380" spans="1:7" ht="12.75" customHeight="1">
      <c r="A380" s="27" t="s">
        <v>1451</v>
      </c>
      <c r="B380" s="27" t="s">
        <v>1183</v>
      </c>
      <c r="C380" s="27" t="s">
        <v>1116</v>
      </c>
      <c r="D380" s="27" t="s">
        <v>1121</v>
      </c>
      <c r="E380" s="27" t="b">
        <v>0</v>
      </c>
      <c r="F380" s="27" t="b">
        <f>COUNTIFS(Fixtures[referee], Referees[[#This Row],[name]], Fixtures[APP], TRUE) &gt; 0</f>
        <v>0</v>
      </c>
      <c r="G380" s="27" t="s">
        <v>1117</v>
      </c>
    </row>
    <row r="381" spans="1:7" ht="12.75" customHeight="1">
      <c r="A381" s="27" t="s">
        <v>1452</v>
      </c>
      <c r="B381" s="27" t="s">
        <v>1142</v>
      </c>
      <c r="C381" s="27" t="s">
        <v>1113</v>
      </c>
      <c r="D381" s="27" t="s">
        <v>1116</v>
      </c>
      <c r="E381" s="27" t="b">
        <v>0</v>
      </c>
      <c r="F381" s="27" t="b">
        <f>COUNTIFS(Fixtures[referee], Referees[[#This Row],[name]], Fixtures[APP], TRUE) &gt; 0</f>
        <v>0</v>
      </c>
      <c r="G381" s="27" t="s">
        <v>1106</v>
      </c>
    </row>
    <row r="382" spans="1:7" ht="12.75" customHeight="1">
      <c r="A382" s="27" t="s">
        <v>1453</v>
      </c>
      <c r="B382" s="27" t="s">
        <v>1454</v>
      </c>
      <c r="C382" s="27" t="s">
        <v>1104</v>
      </c>
      <c r="D382" s="27" t="s">
        <v>1105</v>
      </c>
      <c r="E382" s="27" t="b">
        <v>0</v>
      </c>
      <c r="F382" s="27" t="b">
        <f>COUNTIFS(Fixtures[referee], Referees[[#This Row],[name]], Fixtures[APP], TRUE) &gt; 0</f>
        <v>0</v>
      </c>
      <c r="G382" s="27" t="s">
        <v>1106</v>
      </c>
    </row>
    <row r="383" spans="1:7" ht="12.75" customHeight="1">
      <c r="A383" s="27" t="s">
        <v>1455</v>
      </c>
      <c r="B383" s="27" t="s">
        <v>213</v>
      </c>
      <c r="C383" s="27" t="s">
        <v>1104</v>
      </c>
      <c r="D383" s="27" t="s">
        <v>1105</v>
      </c>
      <c r="E383" s="27" t="b">
        <v>0</v>
      </c>
      <c r="F383" s="27" t="b">
        <f>COUNTIFS(Fixtures[referee], Referees[[#This Row],[name]], Fixtures[APP], TRUE) &gt; 0</f>
        <v>0</v>
      </c>
      <c r="G383" s="27" t="s">
        <v>1106</v>
      </c>
    </row>
    <row r="384" spans="1:7" ht="12.75" customHeight="1">
      <c r="A384" s="27" t="s">
        <v>1456</v>
      </c>
      <c r="B384" s="27" t="s">
        <v>419</v>
      </c>
      <c r="C384" s="27" t="s">
        <v>1104</v>
      </c>
      <c r="D384" s="27" t="s">
        <v>1105</v>
      </c>
      <c r="E384" s="27" t="b">
        <v>0</v>
      </c>
      <c r="F384" s="27" t="b">
        <f>COUNTIFS(Fixtures[referee], Referees[[#This Row],[name]], Fixtures[APP], TRUE) &gt; 0</f>
        <v>0</v>
      </c>
      <c r="G384" s="27" t="s">
        <v>1106</v>
      </c>
    </row>
    <row r="385" spans="1:7" ht="12.75" customHeight="1">
      <c r="A385" s="27" t="s">
        <v>1457</v>
      </c>
      <c r="B385" s="27" t="s">
        <v>493</v>
      </c>
      <c r="C385" s="27" t="s">
        <v>1104</v>
      </c>
      <c r="D385" s="27" t="s">
        <v>1121</v>
      </c>
      <c r="E385" s="27" t="b">
        <v>0</v>
      </c>
      <c r="F385" s="27" t="b">
        <f>COUNTIFS(Fixtures[referee], Referees[[#This Row],[name]], Fixtures[APP], TRUE) &gt; 0</f>
        <v>0</v>
      </c>
      <c r="G385" s="27" t="s">
        <v>1106</v>
      </c>
    </row>
    <row r="386" spans="1:7" ht="12.75" customHeight="1">
      <c r="A386"/>
      <c r="B386"/>
      <c r="D386"/>
      <c r="E386"/>
      <c r="F386"/>
      <c r="G386"/>
    </row>
    <row r="387" spans="1:7" ht="12.75" customHeight="1">
      <c r="A387"/>
      <c r="B387"/>
      <c r="D387"/>
      <c r="E387"/>
      <c r="F387"/>
      <c r="G387"/>
    </row>
    <row r="388" spans="1:7" ht="12.75" customHeight="1">
      <c r="A388"/>
      <c r="B388"/>
      <c r="D388"/>
      <c r="E388"/>
      <c r="F388"/>
      <c r="G388"/>
    </row>
    <row r="389" spans="1:7" ht="12.75" customHeight="1">
      <c r="A389"/>
      <c r="B389"/>
      <c r="D389"/>
      <c r="E389"/>
      <c r="F389"/>
      <c r="G389"/>
    </row>
    <row r="390" spans="1:7" ht="12.75" customHeight="1">
      <c r="A390"/>
      <c r="B390"/>
      <c r="D390"/>
      <c r="E390"/>
      <c r="F390"/>
      <c r="G390"/>
    </row>
    <row r="391" spans="1:7" ht="12.75" customHeight="1">
      <c r="A391"/>
      <c r="B391"/>
      <c r="D391"/>
      <c r="E391"/>
      <c r="F391"/>
      <c r="G391"/>
    </row>
    <row r="392" spans="1:7" ht="12.75" customHeight="1">
      <c r="A392"/>
      <c r="B392"/>
      <c r="D392"/>
      <c r="E392"/>
      <c r="F392"/>
      <c r="G392"/>
    </row>
    <row r="393" spans="1:7" ht="12.75" customHeight="1">
      <c r="A393"/>
      <c r="B393"/>
      <c r="D393"/>
      <c r="E393"/>
      <c r="F393"/>
      <c r="G393"/>
    </row>
    <row r="394" spans="1:7" ht="12.75" customHeight="1">
      <c r="A394"/>
      <c r="B394"/>
      <c r="D394"/>
      <c r="E394"/>
      <c r="F394"/>
      <c r="G394"/>
    </row>
    <row r="395" spans="1:7" ht="12.75" customHeight="1">
      <c r="A395"/>
      <c r="B395"/>
      <c r="D395"/>
      <c r="E395"/>
      <c r="F395"/>
      <c r="G395"/>
    </row>
    <row r="396" spans="1:7" ht="12.75" customHeight="1">
      <c r="A396"/>
      <c r="B396"/>
      <c r="D396"/>
      <c r="E396"/>
      <c r="F396"/>
      <c r="G396"/>
    </row>
    <row r="397" spans="1:7" ht="12.75" customHeight="1">
      <c r="A397"/>
      <c r="B397"/>
      <c r="D397"/>
      <c r="E397"/>
      <c r="F397"/>
      <c r="G397"/>
    </row>
    <row r="398" spans="1:7" ht="12.75" customHeight="1">
      <c r="A398"/>
      <c r="B398"/>
      <c r="D398"/>
      <c r="E398"/>
      <c r="F398"/>
      <c r="G398"/>
    </row>
    <row r="399" spans="1:7" ht="12.75" customHeight="1">
      <c r="A399"/>
      <c r="B399"/>
      <c r="D399"/>
      <c r="E399"/>
      <c r="F399"/>
      <c r="G399"/>
    </row>
    <row r="400" spans="1:7" ht="12.75" customHeight="1">
      <c r="A400"/>
      <c r="B400"/>
      <c r="D400"/>
      <c r="E400"/>
      <c r="F400"/>
      <c r="G400"/>
    </row>
    <row r="401" spans="1:7" ht="12.75" customHeight="1">
      <c r="A401"/>
      <c r="B401"/>
      <c r="D401"/>
      <c r="E401"/>
      <c r="F401"/>
      <c r="G401"/>
    </row>
    <row r="402" spans="1:7" ht="12.75" customHeight="1">
      <c r="A402"/>
      <c r="B402"/>
      <c r="D402"/>
      <c r="E402"/>
      <c r="F402"/>
      <c r="G402"/>
    </row>
    <row r="403" spans="1:7" ht="12.75" customHeight="1">
      <c r="A403"/>
      <c r="B403"/>
      <c r="D403"/>
      <c r="E403"/>
      <c r="F403"/>
      <c r="G403"/>
    </row>
    <row r="404" spans="1:7" ht="12.75" customHeight="1">
      <c r="A404"/>
      <c r="B404"/>
      <c r="D404"/>
      <c r="E404"/>
      <c r="F404"/>
      <c r="G404"/>
    </row>
    <row r="405" spans="1:7" ht="12.75" customHeight="1">
      <c r="A405"/>
      <c r="B405"/>
      <c r="D405"/>
      <c r="E405"/>
      <c r="F405"/>
      <c r="G405"/>
    </row>
    <row r="406" spans="1:7" ht="12.75" customHeight="1">
      <c r="A406"/>
      <c r="B406"/>
      <c r="D406"/>
      <c r="E406"/>
      <c r="F406"/>
      <c r="G406"/>
    </row>
    <row r="407" spans="1:7" ht="12.75" customHeight="1">
      <c r="A407"/>
      <c r="B407"/>
      <c r="D407"/>
      <c r="E407"/>
      <c r="F407"/>
      <c r="G407"/>
    </row>
    <row r="408" spans="1:7" ht="12.75" customHeight="1">
      <c r="A408"/>
      <c r="B408"/>
      <c r="D408"/>
      <c r="E408"/>
      <c r="F408"/>
      <c r="G408"/>
    </row>
    <row r="409" spans="1:7" ht="12.75" customHeight="1">
      <c r="A409"/>
      <c r="B409"/>
      <c r="D409"/>
      <c r="E409"/>
      <c r="F409"/>
      <c r="G409"/>
    </row>
    <row r="410" spans="1:7" ht="12.75" customHeight="1">
      <c r="A410"/>
      <c r="B410"/>
      <c r="D410"/>
      <c r="E410"/>
      <c r="F410"/>
      <c r="G410"/>
    </row>
    <row r="411" spans="1:7" ht="12.75" customHeight="1">
      <c r="A411"/>
      <c r="B411"/>
      <c r="D411"/>
      <c r="E411"/>
      <c r="F411"/>
      <c r="G411"/>
    </row>
    <row r="412" spans="1:7" ht="12.75" customHeight="1">
      <c r="A412"/>
      <c r="B412"/>
      <c r="D412"/>
      <c r="E412"/>
      <c r="F412"/>
      <c r="G412"/>
    </row>
    <row r="413" spans="1:7" ht="12.75" customHeight="1">
      <c r="A413"/>
      <c r="B413"/>
      <c r="D413"/>
      <c r="E413"/>
      <c r="F413"/>
      <c r="G413"/>
    </row>
    <row r="414" spans="1:7" ht="12.75" customHeight="1">
      <c r="A414"/>
      <c r="B414"/>
      <c r="D414"/>
      <c r="E414"/>
      <c r="F414"/>
      <c r="G414"/>
    </row>
    <row r="415" spans="1:7" ht="12.75" customHeight="1">
      <c r="A415"/>
      <c r="B415"/>
      <c r="D415"/>
      <c r="E415"/>
      <c r="F415"/>
      <c r="G415"/>
    </row>
    <row r="416" spans="1:7" ht="12.75" customHeight="1">
      <c r="A416"/>
      <c r="B416"/>
      <c r="D416"/>
      <c r="E416"/>
      <c r="F416"/>
      <c r="G416"/>
    </row>
    <row r="417" spans="1:7" ht="12.75" customHeight="1">
      <c r="A417"/>
      <c r="B417"/>
      <c r="D417"/>
      <c r="E417"/>
      <c r="F417"/>
      <c r="G417"/>
    </row>
    <row r="418" spans="1:7" ht="12.75" customHeight="1">
      <c r="A418"/>
      <c r="B418"/>
      <c r="D418"/>
      <c r="E418"/>
      <c r="F418"/>
      <c r="G418"/>
    </row>
    <row r="419" spans="1:7" ht="12.75" customHeight="1">
      <c r="A419"/>
      <c r="B419"/>
      <c r="D419"/>
      <c r="E419"/>
      <c r="F419"/>
      <c r="G419"/>
    </row>
    <row r="420" spans="1:7" ht="12.75" customHeight="1">
      <c r="A420"/>
      <c r="B420"/>
      <c r="D420"/>
      <c r="E420"/>
      <c r="F420"/>
      <c r="G420"/>
    </row>
    <row r="421" spans="1:7" ht="12.75" customHeight="1">
      <c r="A421"/>
      <c r="B421"/>
      <c r="D421"/>
      <c r="E421"/>
      <c r="F421"/>
      <c r="G421"/>
    </row>
    <row r="422" spans="1:7" ht="12.75" customHeight="1">
      <c r="A422"/>
      <c r="B422"/>
      <c r="D422"/>
      <c r="E422"/>
      <c r="F422"/>
      <c r="G422"/>
    </row>
    <row r="423" spans="1:7" ht="12.75" customHeight="1">
      <c r="A423"/>
      <c r="B423"/>
      <c r="D423"/>
      <c r="E423"/>
      <c r="F423"/>
      <c r="G423"/>
    </row>
    <row r="424" spans="1:7" ht="12.75" customHeight="1">
      <c r="A424"/>
      <c r="B424"/>
      <c r="D424"/>
      <c r="E424"/>
      <c r="F424"/>
      <c r="G424"/>
    </row>
    <row r="425" spans="1:7" ht="12.75" customHeight="1">
      <c r="A425"/>
      <c r="B425"/>
      <c r="D425"/>
      <c r="E425"/>
      <c r="F425"/>
      <c r="G425"/>
    </row>
    <row r="426" spans="1:7" ht="12.75" customHeight="1">
      <c r="A426"/>
      <c r="B426"/>
      <c r="D426"/>
      <c r="E426"/>
      <c r="F426"/>
      <c r="G426"/>
    </row>
    <row r="427" spans="1:7" ht="12.75" customHeight="1">
      <c r="A427"/>
      <c r="B427"/>
      <c r="D427"/>
      <c r="E427"/>
      <c r="F427"/>
      <c r="G427"/>
    </row>
    <row r="428" spans="1:7" ht="12.75" customHeight="1">
      <c r="A428"/>
      <c r="B428"/>
      <c r="D428"/>
      <c r="E428"/>
      <c r="F428"/>
      <c r="G428"/>
    </row>
    <row r="429" spans="1:7" ht="12.75" customHeight="1">
      <c r="A429"/>
      <c r="B429"/>
      <c r="D429"/>
      <c r="E429"/>
      <c r="F429"/>
      <c r="G429"/>
    </row>
    <row r="430" spans="1:7" ht="12.75" customHeight="1">
      <c r="A430"/>
      <c r="B430"/>
      <c r="D430"/>
      <c r="E430"/>
      <c r="F430"/>
      <c r="G430"/>
    </row>
    <row r="431" spans="1:7" ht="12.75" customHeight="1">
      <c r="A431"/>
      <c r="B431"/>
      <c r="D431"/>
      <c r="E431"/>
      <c r="F431"/>
      <c r="G431"/>
    </row>
    <row r="432" spans="1:7" ht="12.75" customHeight="1">
      <c r="A432"/>
      <c r="B432"/>
      <c r="D432"/>
      <c r="E432"/>
      <c r="F432"/>
      <c r="G432"/>
    </row>
    <row r="433" spans="1:7" ht="12.75" customHeight="1">
      <c r="A433"/>
      <c r="B433"/>
      <c r="D433"/>
      <c r="E433"/>
      <c r="F433"/>
      <c r="G433"/>
    </row>
    <row r="434" spans="1:7" ht="12.75" customHeight="1">
      <c r="A434"/>
      <c r="B434"/>
      <c r="D434"/>
      <c r="E434"/>
      <c r="F434"/>
      <c r="G434"/>
    </row>
    <row r="435" spans="1:7" ht="12.75" customHeight="1">
      <c r="A435"/>
      <c r="B435"/>
      <c r="D435"/>
      <c r="E435"/>
      <c r="F435"/>
      <c r="G435"/>
    </row>
    <row r="436" spans="1:7" ht="12.75" customHeight="1">
      <c r="A436"/>
      <c r="B436"/>
      <c r="D436"/>
      <c r="E436"/>
      <c r="F436"/>
      <c r="G436"/>
    </row>
    <row r="437" spans="1:7" ht="12.75" customHeight="1">
      <c r="A437"/>
      <c r="B437"/>
      <c r="D437"/>
      <c r="E437"/>
      <c r="F437"/>
      <c r="G437"/>
    </row>
    <row r="438" spans="1:7" ht="12.75" customHeight="1">
      <c r="A438"/>
      <c r="B438"/>
      <c r="D438"/>
      <c r="E438"/>
      <c r="F438"/>
      <c r="G438"/>
    </row>
    <row r="439" spans="1:7" ht="12.75" customHeight="1">
      <c r="A439"/>
      <c r="B439"/>
      <c r="D439"/>
      <c r="E439"/>
      <c r="F439"/>
      <c r="G439"/>
    </row>
    <row r="440" spans="1:7" ht="12.75" customHeight="1">
      <c r="A440"/>
      <c r="B440"/>
      <c r="D440"/>
      <c r="E440"/>
      <c r="F440"/>
      <c r="G440"/>
    </row>
    <row r="441" spans="1:7" ht="12.75" customHeight="1">
      <c r="A441"/>
      <c r="B441"/>
      <c r="D441"/>
      <c r="E441"/>
      <c r="F441"/>
      <c r="G441"/>
    </row>
    <row r="442" spans="1:7" ht="12.75" customHeight="1">
      <c r="A442"/>
      <c r="B442"/>
      <c r="D442"/>
      <c r="E442"/>
      <c r="F442"/>
      <c r="G442"/>
    </row>
    <row r="443" spans="1:7" ht="12.75" customHeight="1">
      <c r="A443"/>
      <c r="B443"/>
      <c r="D443"/>
      <c r="E443"/>
      <c r="F443"/>
      <c r="G443"/>
    </row>
    <row r="444" spans="1:7" ht="12.75" customHeight="1">
      <c r="A444"/>
      <c r="B444"/>
      <c r="D444"/>
      <c r="E444"/>
      <c r="F444"/>
      <c r="G444"/>
    </row>
    <row r="445" spans="1:7" ht="12.75" customHeight="1">
      <c r="A445"/>
      <c r="B445"/>
      <c r="D445"/>
      <c r="E445"/>
      <c r="F445"/>
      <c r="G445"/>
    </row>
    <row r="446" spans="1:7" ht="12.75" customHeight="1">
      <c r="A446"/>
      <c r="B446"/>
      <c r="D446"/>
      <c r="E446"/>
      <c r="F446"/>
      <c r="G446"/>
    </row>
    <row r="447" spans="1:7" ht="12.75" customHeight="1">
      <c r="A447"/>
      <c r="B447"/>
      <c r="D447"/>
      <c r="E447"/>
      <c r="F447"/>
      <c r="G447"/>
    </row>
    <row r="448" spans="1:7" ht="12.75" customHeight="1">
      <c r="A448"/>
      <c r="B448"/>
      <c r="D448"/>
      <c r="E448"/>
      <c r="F448"/>
      <c r="G448"/>
    </row>
    <row r="449" spans="1:7" ht="12.75" customHeight="1">
      <c r="A449"/>
      <c r="B449"/>
      <c r="D449"/>
      <c r="E449"/>
      <c r="F449"/>
      <c r="G449"/>
    </row>
    <row r="450" spans="1:7" ht="12.75" customHeight="1">
      <c r="A450"/>
      <c r="B450"/>
      <c r="D450"/>
      <c r="E450"/>
      <c r="F450"/>
      <c r="G450"/>
    </row>
    <row r="451" spans="1:7" ht="12.75" customHeight="1">
      <c r="A451"/>
      <c r="B451"/>
      <c r="D451"/>
      <c r="E451"/>
      <c r="F451"/>
      <c r="G451"/>
    </row>
    <row r="452" spans="1:7" ht="12.75" customHeight="1">
      <c r="A452"/>
      <c r="B452"/>
      <c r="D452"/>
      <c r="E452"/>
      <c r="F452"/>
      <c r="G452"/>
    </row>
    <row r="453" spans="1:7" ht="12.75" customHeight="1">
      <c r="A453"/>
      <c r="B453"/>
      <c r="D453"/>
      <c r="E453"/>
      <c r="F453"/>
      <c r="G453"/>
    </row>
    <row r="454" spans="1:7" ht="12.75" customHeight="1">
      <c r="A454"/>
      <c r="B454"/>
      <c r="D454"/>
      <c r="E454"/>
      <c r="F454"/>
      <c r="G454"/>
    </row>
    <row r="455" spans="1:7" ht="12.75" customHeight="1">
      <c r="A455"/>
      <c r="B455"/>
      <c r="D455"/>
      <c r="E455"/>
      <c r="F455"/>
      <c r="G455"/>
    </row>
    <row r="456" spans="1:7" ht="12.75" customHeight="1">
      <c r="A456"/>
      <c r="B456"/>
      <c r="D456"/>
      <c r="E456"/>
      <c r="F456"/>
      <c r="G456"/>
    </row>
    <row r="457" spans="1:7" ht="12.75" customHeight="1">
      <c r="A457"/>
      <c r="B457"/>
      <c r="D457"/>
      <c r="E457"/>
      <c r="F457"/>
      <c r="G457"/>
    </row>
    <row r="458" spans="1:7" ht="12.75" customHeight="1">
      <c r="A458"/>
      <c r="B458"/>
      <c r="D458"/>
      <c r="E458"/>
      <c r="F458"/>
      <c r="G458"/>
    </row>
    <row r="459" spans="1:7" ht="12.75" customHeight="1">
      <c r="A459"/>
      <c r="B459"/>
      <c r="D459"/>
      <c r="E459"/>
      <c r="F459"/>
      <c r="G459"/>
    </row>
    <row r="460" spans="1:7" ht="12.75" customHeight="1">
      <c r="A460"/>
      <c r="B460"/>
      <c r="D460"/>
      <c r="E460"/>
      <c r="F460"/>
      <c r="G460"/>
    </row>
    <row r="461" spans="1:7" ht="12.75" customHeight="1">
      <c r="A461"/>
      <c r="B461"/>
      <c r="D461"/>
      <c r="E461"/>
      <c r="F461"/>
      <c r="G461"/>
    </row>
    <row r="462" spans="1:7" ht="12.75" customHeight="1">
      <c r="A462"/>
      <c r="B462"/>
      <c r="D462"/>
      <c r="E462"/>
      <c r="F462"/>
      <c r="G462"/>
    </row>
    <row r="463" spans="1:7" ht="12.75" customHeight="1">
      <c r="A463"/>
      <c r="B463"/>
      <c r="D463"/>
      <c r="E463"/>
      <c r="F463"/>
      <c r="G463"/>
    </row>
    <row r="464" spans="1:7" ht="12.75" customHeight="1">
      <c r="A464"/>
      <c r="B464"/>
      <c r="D464"/>
      <c r="E464"/>
      <c r="F464"/>
      <c r="G464"/>
    </row>
    <row r="465" spans="1:7" ht="12.75" customHeight="1">
      <c r="A465"/>
      <c r="B465"/>
      <c r="D465"/>
      <c r="E465"/>
      <c r="F465"/>
      <c r="G465"/>
    </row>
    <row r="466" spans="1:7" ht="12.75" customHeight="1">
      <c r="A466"/>
      <c r="B466"/>
      <c r="D466"/>
      <c r="E466"/>
      <c r="F466"/>
      <c r="G466"/>
    </row>
    <row r="467" spans="1:7" ht="12.75" customHeight="1">
      <c r="A467"/>
      <c r="B467"/>
      <c r="D467"/>
      <c r="E467"/>
      <c r="F467"/>
      <c r="G467"/>
    </row>
    <row r="468" spans="1:7" ht="12.75" customHeight="1">
      <c r="A468"/>
      <c r="B468"/>
      <c r="D468"/>
      <c r="E468"/>
      <c r="F468"/>
      <c r="G468"/>
    </row>
    <row r="469" spans="1:7" ht="12.75" customHeight="1">
      <c r="A469"/>
      <c r="B469"/>
      <c r="D469"/>
      <c r="E469"/>
      <c r="F469"/>
      <c r="G469"/>
    </row>
    <row r="470" spans="1:7" ht="12.75" customHeight="1">
      <c r="A470"/>
      <c r="B470"/>
      <c r="D470"/>
      <c r="E470"/>
      <c r="F470"/>
      <c r="G470"/>
    </row>
    <row r="471" spans="1:7" ht="12.75" customHeight="1">
      <c r="A471"/>
      <c r="B471"/>
      <c r="D471"/>
      <c r="E471"/>
      <c r="F471"/>
      <c r="G471"/>
    </row>
    <row r="472" spans="1:7" ht="12.75" customHeight="1">
      <c r="A472"/>
      <c r="B472"/>
      <c r="D472"/>
      <c r="E472"/>
      <c r="F472"/>
      <c r="G472"/>
    </row>
    <row r="473" spans="1:7" ht="12.75" customHeight="1">
      <c r="A473"/>
      <c r="B473"/>
      <c r="D473"/>
      <c r="E473"/>
      <c r="F473"/>
      <c r="G473"/>
    </row>
    <row r="474" spans="1:7" ht="12.75" customHeight="1">
      <c r="A474"/>
      <c r="B474"/>
      <c r="D474"/>
      <c r="E474"/>
      <c r="F474"/>
      <c r="G474"/>
    </row>
    <row r="475" spans="1:7" ht="12.75" customHeight="1">
      <c r="A475"/>
      <c r="B475"/>
      <c r="D475"/>
      <c r="E475"/>
      <c r="F475"/>
      <c r="G475"/>
    </row>
    <row r="476" spans="1:7" ht="12.75" customHeight="1">
      <c r="A476"/>
      <c r="B476"/>
      <c r="D476"/>
      <c r="E476"/>
      <c r="F476"/>
      <c r="G476"/>
    </row>
    <row r="477" spans="1:7" ht="12.75" customHeight="1">
      <c r="A477"/>
      <c r="B477"/>
      <c r="D477"/>
      <c r="E477"/>
      <c r="F477"/>
      <c r="G477"/>
    </row>
    <row r="478" spans="1:7" ht="12.75" customHeight="1">
      <c r="A478"/>
      <c r="B478"/>
      <c r="D478"/>
      <c r="E478"/>
      <c r="F478"/>
      <c r="G478"/>
    </row>
    <row r="479" spans="1:7" ht="12.75" customHeight="1">
      <c r="A479"/>
      <c r="B479"/>
      <c r="D479"/>
      <c r="E479"/>
      <c r="F479"/>
      <c r="G479"/>
    </row>
    <row r="480" spans="1:7" ht="12.75" customHeight="1">
      <c r="A480"/>
      <c r="B480"/>
      <c r="D480"/>
      <c r="E480"/>
      <c r="F480"/>
      <c r="G480"/>
    </row>
    <row r="481" spans="1:7" ht="12.75" customHeight="1">
      <c r="A481"/>
      <c r="B481"/>
      <c r="D481"/>
      <c r="E481"/>
      <c r="F481"/>
      <c r="G481"/>
    </row>
    <row r="482" spans="1:7" ht="12.75" customHeight="1">
      <c r="A482"/>
      <c r="B482"/>
      <c r="D482"/>
      <c r="E482"/>
      <c r="F482"/>
      <c r="G482"/>
    </row>
    <row r="483" spans="1:7" ht="12.75" customHeight="1">
      <c r="A483"/>
      <c r="B483"/>
      <c r="D483"/>
      <c r="E483"/>
      <c r="F483"/>
      <c r="G483"/>
    </row>
    <row r="484" spans="1:7" ht="12.75" customHeight="1">
      <c r="A484"/>
      <c r="B484"/>
      <c r="D484"/>
      <c r="E484"/>
      <c r="F484"/>
      <c r="G484"/>
    </row>
    <row r="485" spans="1:7" ht="12.75" customHeight="1">
      <c r="A485"/>
      <c r="B485"/>
      <c r="D485"/>
      <c r="E485"/>
      <c r="F485"/>
      <c r="G485"/>
    </row>
    <row r="486" spans="1:7" ht="12.75" customHeight="1">
      <c r="A486"/>
      <c r="B486"/>
      <c r="D486"/>
      <c r="E486"/>
      <c r="F486"/>
      <c r="G486"/>
    </row>
    <row r="487" spans="1:7" ht="12.75" customHeight="1">
      <c r="A487"/>
      <c r="B487"/>
      <c r="D487"/>
      <c r="E487"/>
      <c r="F487"/>
      <c r="G487"/>
    </row>
    <row r="488" spans="1:7" ht="12.75" customHeight="1">
      <c r="A488"/>
      <c r="B488"/>
      <c r="D488"/>
      <c r="E488"/>
      <c r="F488"/>
      <c r="G488"/>
    </row>
    <row r="489" spans="1:7" ht="12.75" customHeight="1">
      <c r="A489"/>
      <c r="B489"/>
      <c r="D489"/>
      <c r="E489"/>
      <c r="F489"/>
      <c r="G489"/>
    </row>
    <row r="490" spans="1:7" ht="12.75" customHeight="1">
      <c r="A490"/>
      <c r="B490"/>
      <c r="D490"/>
      <c r="E490"/>
      <c r="F490"/>
      <c r="G490"/>
    </row>
    <row r="491" spans="1:7" ht="12.75" customHeight="1">
      <c r="A491"/>
      <c r="B491"/>
      <c r="D491"/>
      <c r="E491"/>
      <c r="F491"/>
      <c r="G491"/>
    </row>
    <row r="492" spans="1:7" ht="12.75" customHeight="1">
      <c r="A492"/>
      <c r="B492"/>
      <c r="D492"/>
      <c r="E492"/>
      <c r="F492"/>
      <c r="G492"/>
    </row>
    <row r="493" spans="1:7" ht="12.75" customHeight="1">
      <c r="A493"/>
      <c r="B493"/>
      <c r="D493"/>
      <c r="E493"/>
      <c r="F493"/>
      <c r="G493"/>
    </row>
    <row r="494" spans="1:7" ht="12.75" customHeight="1">
      <c r="A494"/>
      <c r="B494"/>
      <c r="D494"/>
      <c r="E494"/>
      <c r="F494"/>
      <c r="G494"/>
    </row>
    <row r="495" spans="1:7" ht="12.75" customHeight="1">
      <c r="A495"/>
      <c r="B495"/>
      <c r="D495"/>
      <c r="E495"/>
      <c r="F495"/>
      <c r="G495"/>
    </row>
    <row r="496" spans="1:7" ht="12.75" customHeight="1">
      <c r="A496"/>
      <c r="B496"/>
      <c r="D496"/>
      <c r="E496"/>
      <c r="F496"/>
      <c r="G496"/>
    </row>
    <row r="497" spans="1:7" ht="12.75" customHeight="1">
      <c r="A497"/>
      <c r="B497"/>
      <c r="D497"/>
      <c r="E497"/>
      <c r="F497"/>
      <c r="G497"/>
    </row>
    <row r="498" spans="1:7" ht="12.75" customHeight="1">
      <c r="A498"/>
      <c r="B498"/>
      <c r="D498"/>
      <c r="E498"/>
      <c r="F498"/>
      <c r="G498"/>
    </row>
    <row r="499" spans="1:7" ht="12.75" customHeight="1">
      <c r="A499"/>
      <c r="B499"/>
      <c r="D499"/>
      <c r="E499"/>
      <c r="F499"/>
      <c r="G499"/>
    </row>
    <row r="500" spans="1:7" ht="12.75" customHeight="1">
      <c r="A500"/>
      <c r="B500"/>
      <c r="D500"/>
      <c r="E500"/>
      <c r="F500"/>
      <c r="G500"/>
    </row>
    <row r="501" spans="1:7" ht="12.75" customHeight="1">
      <c r="A501"/>
      <c r="B501"/>
      <c r="D501"/>
      <c r="E501"/>
      <c r="F501"/>
      <c r="G501"/>
    </row>
    <row r="502" spans="1:7" ht="12.75" customHeight="1">
      <c r="A502"/>
      <c r="B502"/>
      <c r="D502"/>
      <c r="E502"/>
      <c r="F502"/>
      <c r="G502"/>
    </row>
    <row r="503" spans="1:7" ht="12.75" customHeight="1">
      <c r="A503"/>
      <c r="B503"/>
      <c r="D503"/>
      <c r="E503"/>
      <c r="F503"/>
      <c r="G503"/>
    </row>
    <row r="504" spans="1:7" ht="12.75" customHeight="1">
      <c r="A504"/>
      <c r="B504"/>
      <c r="D504"/>
      <c r="E504"/>
      <c r="F504"/>
      <c r="G504"/>
    </row>
    <row r="505" spans="1:7" ht="12.75" customHeight="1">
      <c r="A505"/>
      <c r="B505"/>
      <c r="D505"/>
      <c r="E505"/>
      <c r="F505"/>
      <c r="G505"/>
    </row>
    <row r="506" spans="1:7" ht="12.75" customHeight="1">
      <c r="A506"/>
      <c r="B506"/>
      <c r="D506"/>
      <c r="E506"/>
      <c r="F506"/>
      <c r="G506"/>
    </row>
    <row r="507" spans="1:7" ht="12.75" customHeight="1">
      <c r="A507"/>
      <c r="B507"/>
      <c r="D507"/>
      <c r="E507"/>
      <c r="F507"/>
      <c r="G507"/>
    </row>
    <row r="508" spans="1:7" ht="12.75" customHeight="1">
      <c r="A508"/>
      <c r="B508"/>
      <c r="D508"/>
      <c r="E508"/>
      <c r="F508"/>
      <c r="G508"/>
    </row>
    <row r="509" spans="1:7" ht="12.75" customHeight="1">
      <c r="A509"/>
      <c r="B509"/>
      <c r="D509"/>
      <c r="E509"/>
      <c r="F509"/>
      <c r="G509"/>
    </row>
    <row r="510" spans="1:7" ht="12.75" customHeight="1">
      <c r="A510"/>
      <c r="B510"/>
      <c r="D510"/>
      <c r="E510"/>
      <c r="F510"/>
      <c r="G510"/>
    </row>
    <row r="511" spans="1:7" ht="12.75" customHeight="1">
      <c r="A511"/>
      <c r="B511"/>
      <c r="D511"/>
      <c r="E511"/>
      <c r="F511"/>
      <c r="G511"/>
    </row>
    <row r="512" spans="1:7" ht="12.75" customHeight="1">
      <c r="A512"/>
      <c r="B512"/>
      <c r="D512"/>
      <c r="E512"/>
      <c r="F512"/>
      <c r="G512"/>
    </row>
    <row r="513" spans="1:7" ht="12.75" customHeight="1">
      <c r="A513"/>
      <c r="B513"/>
      <c r="D513"/>
      <c r="E513"/>
      <c r="F513"/>
      <c r="G513"/>
    </row>
    <row r="514" spans="1:7" ht="12.75" customHeight="1">
      <c r="A514"/>
      <c r="B514"/>
      <c r="D514"/>
      <c r="E514"/>
      <c r="F514"/>
      <c r="G514"/>
    </row>
    <row r="515" spans="1:7" ht="12.75" customHeight="1">
      <c r="A515"/>
      <c r="B515"/>
      <c r="D515"/>
      <c r="E515"/>
      <c r="F515"/>
      <c r="G515"/>
    </row>
    <row r="516" spans="1:7" ht="12.75" customHeight="1">
      <c r="A516"/>
      <c r="B516"/>
      <c r="D516"/>
      <c r="E516"/>
      <c r="F516"/>
      <c r="G516"/>
    </row>
    <row r="517" spans="1:7" ht="12.75" customHeight="1">
      <c r="A517"/>
      <c r="B517"/>
      <c r="D517"/>
      <c r="E517"/>
      <c r="F517"/>
      <c r="G517"/>
    </row>
    <row r="518" spans="1:7" ht="12.75" customHeight="1">
      <c r="A518"/>
      <c r="B518"/>
      <c r="D518"/>
      <c r="E518"/>
      <c r="F518"/>
      <c r="G518"/>
    </row>
    <row r="519" spans="1:7" ht="12.75" customHeight="1">
      <c r="A519"/>
      <c r="B519"/>
      <c r="D519"/>
      <c r="E519"/>
      <c r="F519"/>
      <c r="G519"/>
    </row>
    <row r="520" spans="1:7" ht="12.75" customHeight="1">
      <c r="A520"/>
      <c r="B520"/>
      <c r="D520"/>
      <c r="E520"/>
      <c r="F520"/>
      <c r="G520"/>
    </row>
    <row r="521" spans="1:7" ht="12.75" customHeight="1">
      <c r="A521"/>
      <c r="B521"/>
      <c r="D521"/>
      <c r="E521"/>
      <c r="F521"/>
      <c r="G521"/>
    </row>
    <row r="522" spans="1:7" ht="12.75" customHeight="1">
      <c r="A522"/>
      <c r="B522"/>
      <c r="D522"/>
      <c r="E522"/>
      <c r="F522"/>
      <c r="G522"/>
    </row>
    <row r="523" spans="1:7" ht="12.75" customHeight="1">
      <c r="A523"/>
      <c r="B523"/>
      <c r="D523"/>
      <c r="E523"/>
      <c r="F523"/>
      <c r="G523"/>
    </row>
    <row r="524" spans="1:7" ht="12.75" customHeight="1">
      <c r="A524"/>
      <c r="B524"/>
      <c r="D524"/>
      <c r="E524"/>
      <c r="F524"/>
      <c r="G524"/>
    </row>
    <row r="525" spans="1:7" ht="12.75" customHeight="1">
      <c r="A525"/>
      <c r="B525"/>
      <c r="D525"/>
      <c r="E525"/>
      <c r="F525"/>
      <c r="G525"/>
    </row>
    <row r="526" spans="1:7" ht="12.75" customHeight="1">
      <c r="A526"/>
      <c r="B526"/>
      <c r="D526"/>
      <c r="E526"/>
      <c r="F526"/>
      <c r="G526"/>
    </row>
    <row r="527" spans="1:7" ht="12.75" customHeight="1">
      <c r="A527"/>
      <c r="B527"/>
      <c r="D527"/>
      <c r="E527"/>
      <c r="F527"/>
      <c r="G527"/>
    </row>
    <row r="528" spans="1:7" ht="12.75" customHeight="1">
      <c r="A528"/>
      <c r="B528"/>
      <c r="D528"/>
      <c r="E528"/>
      <c r="F528"/>
      <c r="G528"/>
    </row>
    <row r="529" spans="1:7" ht="12.75" customHeight="1">
      <c r="A529"/>
      <c r="B529"/>
      <c r="D529"/>
      <c r="E529"/>
      <c r="F529"/>
      <c r="G529"/>
    </row>
    <row r="530" spans="1:7" ht="12.75" customHeight="1">
      <c r="A530"/>
      <c r="B530"/>
      <c r="D530"/>
      <c r="E530"/>
      <c r="F530"/>
      <c r="G530"/>
    </row>
    <row r="531" spans="1:7" ht="12.75" customHeight="1">
      <c r="A531"/>
      <c r="B531"/>
      <c r="D531"/>
      <c r="E531"/>
      <c r="F531"/>
      <c r="G531"/>
    </row>
    <row r="532" spans="1:7" ht="12.75" customHeight="1">
      <c r="A532"/>
      <c r="B532"/>
      <c r="D532"/>
      <c r="E532"/>
      <c r="F532"/>
      <c r="G532"/>
    </row>
    <row r="533" spans="1:7" ht="12.75" customHeight="1">
      <c r="A533"/>
      <c r="B533"/>
      <c r="D533"/>
      <c r="E533"/>
      <c r="F533"/>
      <c r="G533"/>
    </row>
    <row r="534" spans="1:7" ht="12.75" customHeight="1">
      <c r="A534"/>
      <c r="B534"/>
      <c r="D534"/>
      <c r="E534"/>
      <c r="F534"/>
      <c r="G534"/>
    </row>
    <row r="535" spans="1:7" ht="12.75" customHeight="1">
      <c r="A535"/>
      <c r="B535"/>
      <c r="D535"/>
      <c r="E535"/>
      <c r="F535"/>
      <c r="G535"/>
    </row>
    <row r="536" spans="1:7" ht="12.75" customHeight="1">
      <c r="A536"/>
      <c r="B536"/>
      <c r="D536"/>
      <c r="E536"/>
      <c r="F536"/>
      <c r="G536"/>
    </row>
    <row r="537" spans="1:7" ht="12.75" customHeight="1">
      <c r="A537"/>
      <c r="B537"/>
      <c r="D537"/>
      <c r="E537"/>
      <c r="F537"/>
      <c r="G537"/>
    </row>
    <row r="538" spans="1:7" ht="12.75" customHeight="1">
      <c r="A538"/>
      <c r="B538"/>
      <c r="D538"/>
      <c r="E538"/>
      <c r="F538"/>
      <c r="G538"/>
    </row>
    <row r="539" spans="1:7" ht="12.75" customHeight="1">
      <c r="A539"/>
      <c r="B539"/>
      <c r="D539"/>
      <c r="E539"/>
      <c r="F539"/>
      <c r="G539"/>
    </row>
    <row r="540" spans="1:7" ht="12.75" customHeight="1">
      <c r="A540"/>
      <c r="B540"/>
      <c r="D540"/>
      <c r="E540"/>
      <c r="F540"/>
      <c r="G540"/>
    </row>
    <row r="541" spans="1:7" ht="12.75" customHeight="1">
      <c r="A541"/>
      <c r="B541"/>
      <c r="D541"/>
      <c r="E541"/>
      <c r="F541"/>
      <c r="G541"/>
    </row>
    <row r="542" spans="1:7" ht="12.75" customHeight="1">
      <c r="A542"/>
      <c r="B542"/>
      <c r="D542"/>
      <c r="E542"/>
      <c r="F542"/>
      <c r="G542"/>
    </row>
    <row r="543" spans="1:7" ht="12.75" customHeight="1">
      <c r="A543"/>
      <c r="B543"/>
      <c r="D543"/>
      <c r="E543"/>
      <c r="F543"/>
      <c r="G543"/>
    </row>
    <row r="544" spans="1:7" ht="12.75" customHeight="1">
      <c r="A544"/>
      <c r="B544"/>
      <c r="D544"/>
      <c r="E544"/>
      <c r="F544"/>
      <c r="G544"/>
    </row>
    <row r="545" spans="1:7" ht="12.75" customHeight="1">
      <c r="A545"/>
      <c r="B545"/>
      <c r="D545"/>
      <c r="E545"/>
      <c r="F545"/>
      <c r="G545"/>
    </row>
    <row r="546" spans="1:7" ht="12.75" customHeight="1">
      <c r="A546"/>
      <c r="B546"/>
      <c r="D546"/>
      <c r="E546"/>
      <c r="F546"/>
      <c r="G546"/>
    </row>
    <row r="547" spans="1:7" ht="12.75" customHeight="1">
      <c r="A547"/>
      <c r="B547"/>
      <c r="D547"/>
      <c r="E547"/>
      <c r="F547"/>
      <c r="G547"/>
    </row>
    <row r="548" spans="1:7" ht="12.75" customHeight="1">
      <c r="A548"/>
      <c r="B548"/>
      <c r="D548"/>
      <c r="E548"/>
      <c r="F548"/>
      <c r="G548"/>
    </row>
    <row r="549" spans="1:7" ht="12.75" customHeight="1">
      <c r="A549"/>
      <c r="B549"/>
      <c r="D549"/>
      <c r="E549"/>
      <c r="F549"/>
      <c r="G549"/>
    </row>
    <row r="550" spans="1:7" ht="12.75" customHeight="1">
      <c r="A550"/>
      <c r="B550"/>
      <c r="D550"/>
      <c r="E550"/>
      <c r="F550"/>
      <c r="G550"/>
    </row>
    <row r="551" spans="1:7" ht="12.75" customHeight="1">
      <c r="A551"/>
      <c r="B551"/>
      <c r="D551"/>
      <c r="E551"/>
      <c r="F551"/>
      <c r="G551"/>
    </row>
    <row r="552" spans="1:7" ht="12.75" customHeight="1">
      <c r="A552"/>
      <c r="B552"/>
      <c r="D552"/>
      <c r="E552"/>
      <c r="F552"/>
      <c r="G552"/>
    </row>
    <row r="553" spans="1:7" ht="12.75" customHeight="1">
      <c r="A553"/>
      <c r="B553"/>
      <c r="D553"/>
      <c r="E553"/>
      <c r="F553"/>
      <c r="G553"/>
    </row>
    <row r="554" spans="1:7" ht="12.75" customHeight="1">
      <c r="A554"/>
      <c r="B554"/>
      <c r="D554"/>
      <c r="E554"/>
      <c r="F554"/>
      <c r="G554"/>
    </row>
    <row r="555" spans="1:7" ht="12.75" customHeight="1">
      <c r="A555"/>
      <c r="B555"/>
      <c r="D555"/>
      <c r="E555"/>
      <c r="F555"/>
      <c r="G555"/>
    </row>
    <row r="556" spans="1:7" ht="12.75" customHeight="1">
      <c r="A556"/>
      <c r="B556"/>
      <c r="D556"/>
      <c r="E556"/>
      <c r="F556"/>
      <c r="G556"/>
    </row>
    <row r="557" spans="1:7" ht="12.75" customHeight="1">
      <c r="A557"/>
      <c r="B557"/>
      <c r="D557"/>
      <c r="E557"/>
      <c r="F557"/>
      <c r="G557"/>
    </row>
    <row r="558" spans="1:7" ht="12.75" customHeight="1">
      <c r="A558"/>
      <c r="B558"/>
      <c r="D558"/>
      <c r="E558"/>
      <c r="F558"/>
      <c r="G558"/>
    </row>
    <row r="559" spans="1:7" ht="12.75" customHeight="1">
      <c r="A559"/>
      <c r="B559"/>
      <c r="D559"/>
      <c r="E559"/>
      <c r="F559"/>
      <c r="G559"/>
    </row>
    <row r="560" spans="1:7" ht="12.75" customHeight="1">
      <c r="A560"/>
      <c r="B560"/>
      <c r="D560"/>
      <c r="E560"/>
      <c r="F560"/>
      <c r="G560"/>
    </row>
    <row r="561" spans="1:7" ht="12.75" customHeight="1">
      <c r="A561"/>
      <c r="B561"/>
      <c r="D561"/>
      <c r="E561"/>
      <c r="F561"/>
      <c r="G561"/>
    </row>
    <row r="562" spans="1:7" ht="12.75" customHeight="1">
      <c r="A562"/>
      <c r="B562"/>
      <c r="D562"/>
      <c r="E562"/>
      <c r="F562"/>
      <c r="G562"/>
    </row>
    <row r="563" spans="1:7" ht="12.75" customHeight="1">
      <c r="A563"/>
      <c r="B563"/>
      <c r="D563"/>
      <c r="E563"/>
      <c r="F563"/>
      <c r="G563"/>
    </row>
    <row r="564" spans="1:7" ht="12.75" customHeight="1">
      <c r="A564"/>
      <c r="B564"/>
      <c r="D564"/>
      <c r="E564"/>
      <c r="F564"/>
      <c r="G564"/>
    </row>
    <row r="565" spans="1:7" ht="12.75" customHeight="1">
      <c r="A565"/>
      <c r="B565"/>
      <c r="D565"/>
      <c r="E565"/>
      <c r="F565"/>
      <c r="G565"/>
    </row>
    <row r="566" spans="1:7" ht="12.75" customHeight="1">
      <c r="A566"/>
      <c r="B566"/>
      <c r="D566"/>
      <c r="E566"/>
      <c r="F566"/>
      <c r="G566"/>
    </row>
    <row r="567" spans="1:7" ht="12.75" customHeight="1">
      <c r="A567"/>
      <c r="B567"/>
      <c r="D567"/>
      <c r="E567"/>
      <c r="F567"/>
      <c r="G567"/>
    </row>
    <row r="568" spans="1:7" ht="12.75" customHeight="1">
      <c r="A568"/>
      <c r="B568"/>
      <c r="D568"/>
      <c r="E568"/>
      <c r="F568"/>
      <c r="G568"/>
    </row>
    <row r="569" spans="1:7" ht="12.75" customHeight="1">
      <c r="A569"/>
      <c r="B569"/>
      <c r="D569"/>
      <c r="E569"/>
      <c r="F569"/>
      <c r="G569"/>
    </row>
    <row r="570" spans="1:7" ht="12.75" customHeight="1">
      <c r="A570"/>
      <c r="B570"/>
      <c r="D570"/>
      <c r="E570"/>
      <c r="F570"/>
      <c r="G570"/>
    </row>
    <row r="571" spans="1:7" ht="12.75" customHeight="1">
      <c r="A571"/>
      <c r="B571"/>
      <c r="D571"/>
      <c r="E571"/>
      <c r="F571"/>
      <c r="G571"/>
    </row>
    <row r="572" spans="1:7" ht="12.75" customHeight="1">
      <c r="A572"/>
      <c r="B572"/>
      <c r="D572"/>
      <c r="E572"/>
      <c r="F572"/>
      <c r="G572"/>
    </row>
    <row r="573" spans="1:7" ht="12.75" customHeight="1">
      <c r="A573"/>
      <c r="B573"/>
      <c r="D573"/>
      <c r="E573"/>
      <c r="F573"/>
      <c r="G573"/>
    </row>
    <row r="574" spans="1:7" ht="12.75" customHeight="1">
      <c r="A574"/>
      <c r="B574"/>
      <c r="D574"/>
      <c r="E574"/>
      <c r="F574"/>
      <c r="G574"/>
    </row>
    <row r="575" spans="1:7" ht="12.75" customHeight="1">
      <c r="A575"/>
      <c r="B575"/>
      <c r="D575"/>
      <c r="E575"/>
      <c r="F575"/>
      <c r="G575"/>
    </row>
    <row r="576" spans="1:7" ht="12.75" customHeight="1">
      <c r="A576"/>
      <c r="B576"/>
      <c r="D576"/>
      <c r="E576"/>
      <c r="F576"/>
      <c r="G576"/>
    </row>
    <row r="577" spans="1:7" ht="12.75" customHeight="1">
      <c r="A577"/>
      <c r="B577"/>
      <c r="D577"/>
      <c r="E577"/>
      <c r="F577"/>
      <c r="G577"/>
    </row>
    <row r="578" spans="1:7" ht="12.75" customHeight="1">
      <c r="A578"/>
      <c r="B578"/>
      <c r="D578"/>
      <c r="E578"/>
      <c r="F578"/>
      <c r="G578"/>
    </row>
    <row r="579" spans="1:7" ht="12.75" customHeight="1">
      <c r="A579"/>
      <c r="B579"/>
      <c r="D579"/>
      <c r="E579"/>
      <c r="F579"/>
      <c r="G579"/>
    </row>
    <row r="580" spans="1:7" ht="12.75" customHeight="1">
      <c r="A580"/>
      <c r="B580"/>
      <c r="D580"/>
      <c r="E580"/>
      <c r="F580"/>
      <c r="G580"/>
    </row>
    <row r="581" spans="1:7" ht="12.75" customHeight="1">
      <c r="A581"/>
      <c r="B581"/>
      <c r="D581"/>
      <c r="E581"/>
      <c r="F581"/>
      <c r="G581"/>
    </row>
    <row r="582" spans="1:7" ht="12.75" customHeight="1">
      <c r="A582"/>
      <c r="B582"/>
      <c r="D582"/>
      <c r="E582"/>
      <c r="F582"/>
      <c r="G582"/>
    </row>
    <row r="583" spans="1:7" ht="12.75" customHeight="1">
      <c r="A583"/>
      <c r="B583"/>
      <c r="D583"/>
      <c r="E583"/>
      <c r="F583"/>
      <c r="G583"/>
    </row>
    <row r="584" spans="1:7" ht="12.75" customHeight="1">
      <c r="A584"/>
      <c r="B584"/>
      <c r="D584"/>
      <c r="E584"/>
      <c r="F584"/>
      <c r="G584"/>
    </row>
    <row r="585" spans="1:7" ht="12.75" customHeight="1">
      <c r="A585"/>
      <c r="B585"/>
      <c r="D585"/>
      <c r="E585"/>
      <c r="F585"/>
      <c r="G585"/>
    </row>
    <row r="586" spans="1:7" ht="12.75" customHeight="1">
      <c r="A586"/>
      <c r="B586"/>
      <c r="D586"/>
      <c r="E586"/>
      <c r="F586"/>
      <c r="G586"/>
    </row>
    <row r="587" spans="1:7" ht="12.75" customHeight="1">
      <c r="A587"/>
      <c r="B587"/>
      <c r="D587"/>
      <c r="E587"/>
      <c r="F587"/>
      <c r="G587"/>
    </row>
    <row r="588" spans="1:7" ht="12.75" customHeight="1">
      <c r="A588"/>
      <c r="B588"/>
      <c r="D588"/>
      <c r="E588"/>
      <c r="F588"/>
      <c r="G588"/>
    </row>
    <row r="589" spans="1:7" ht="12.75" customHeight="1">
      <c r="A589"/>
      <c r="B589"/>
      <c r="D589"/>
      <c r="E589"/>
      <c r="F589"/>
      <c r="G589"/>
    </row>
    <row r="590" spans="1:7" ht="12.75" customHeight="1">
      <c r="A590"/>
      <c r="B590"/>
      <c r="D590"/>
      <c r="E590"/>
      <c r="F590"/>
      <c r="G590"/>
    </row>
    <row r="591" spans="1:7" ht="12.75" customHeight="1">
      <c r="A591"/>
      <c r="B591"/>
      <c r="D591"/>
      <c r="E591"/>
      <c r="F591"/>
      <c r="G591"/>
    </row>
    <row r="592" spans="1:7" ht="12.75" customHeight="1">
      <c r="A592"/>
      <c r="B592"/>
      <c r="D592"/>
      <c r="E592"/>
      <c r="F592"/>
      <c r="G592"/>
    </row>
    <row r="593" spans="1:7" ht="12.75" customHeight="1">
      <c r="A593"/>
      <c r="B593"/>
      <c r="D593"/>
      <c r="E593"/>
      <c r="F593"/>
      <c r="G593"/>
    </row>
    <row r="594" spans="1:7" ht="12.75" customHeight="1">
      <c r="A594"/>
      <c r="B594"/>
      <c r="D594"/>
      <c r="E594"/>
      <c r="F594"/>
      <c r="G594"/>
    </row>
    <row r="595" spans="1:7" ht="12.75" customHeight="1">
      <c r="A595"/>
      <c r="B595"/>
      <c r="D595"/>
      <c r="E595"/>
      <c r="F595"/>
      <c r="G595"/>
    </row>
    <row r="596" spans="1:7" ht="12.75" customHeight="1">
      <c r="A596"/>
      <c r="B596"/>
      <c r="D596"/>
      <c r="E596"/>
      <c r="F596"/>
      <c r="G596"/>
    </row>
    <row r="597" spans="1:7" ht="12.75" customHeight="1">
      <c r="A597"/>
      <c r="B597"/>
      <c r="D597"/>
      <c r="E597"/>
      <c r="F597"/>
      <c r="G597"/>
    </row>
    <row r="598" spans="1:7" ht="12.75" customHeight="1">
      <c r="A598"/>
      <c r="B598"/>
      <c r="D598"/>
      <c r="E598"/>
      <c r="F598"/>
      <c r="G598"/>
    </row>
    <row r="599" spans="1:7" ht="12.75" customHeight="1">
      <c r="A599"/>
      <c r="B599"/>
      <c r="D599"/>
      <c r="E599"/>
      <c r="F599"/>
      <c r="G599"/>
    </row>
    <row r="600" spans="1:7" ht="12.75" customHeight="1">
      <c r="A600"/>
      <c r="B600"/>
      <c r="D600"/>
      <c r="E600"/>
      <c r="F600"/>
      <c r="G600"/>
    </row>
    <row r="601" spans="1:7" ht="12.75" customHeight="1">
      <c r="A601"/>
      <c r="B601"/>
      <c r="D601"/>
      <c r="E601"/>
      <c r="F601"/>
      <c r="G601"/>
    </row>
    <row r="602" spans="1:7" ht="12.75" customHeight="1">
      <c r="A602"/>
      <c r="B602"/>
      <c r="D602"/>
      <c r="E602"/>
      <c r="F602"/>
      <c r="G602"/>
    </row>
    <row r="603" spans="1:7" ht="12.75" customHeight="1">
      <c r="A603"/>
      <c r="B603"/>
      <c r="D603"/>
      <c r="E603"/>
      <c r="F603"/>
      <c r="G603"/>
    </row>
    <row r="604" spans="1:7" ht="12.75" customHeight="1">
      <c r="A604"/>
      <c r="B604"/>
      <c r="D604"/>
      <c r="E604"/>
      <c r="F604"/>
      <c r="G604"/>
    </row>
  </sheetData>
  <phoneticPr fontId="6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A88F5-BA81-4249-8DEA-CDAED392A46B}">
  <dimension ref="A1:C140"/>
  <sheetViews>
    <sheetView workbookViewId="0">
      <pane ySplit="1" topLeftCell="A2" activePane="bottomLeft" state="frozen"/>
      <selection pane="bottomLeft" activeCell="C12" sqref="C12"/>
    </sheetView>
  </sheetViews>
  <sheetFormatPr baseColWidth="10" defaultColWidth="8.85546875" defaultRowHeight="13"/>
  <cols>
    <col min="1" max="1" width="21.7109375" style="36" bestFit="1" customWidth="1"/>
    <col min="2" max="2" width="5.42578125" style="36" bestFit="1" customWidth="1"/>
    <col min="3" max="16384" width="8.85546875" style="36"/>
  </cols>
  <sheetData>
    <row r="1" spans="1:3">
      <c r="A1" s="37" t="s">
        <v>384</v>
      </c>
      <c r="B1" s="38" t="s">
        <v>1101</v>
      </c>
      <c r="C1" s="38" t="s">
        <v>390</v>
      </c>
    </row>
    <row r="2" spans="1:3">
      <c r="A2" s="45" t="s">
        <v>1458</v>
      </c>
      <c r="B2" s="40" t="b">
        <v>0</v>
      </c>
      <c r="C2" s="40" t="b">
        <f>COUNTIFS(Fixtures[stadium], Stadiums[[#This Row],[name]], Fixtures[APP], TRUE) &gt; 0</f>
        <v>0</v>
      </c>
    </row>
    <row r="3" spans="1:3">
      <c r="A3" s="45" t="s">
        <v>1459</v>
      </c>
      <c r="B3" s="40" t="b">
        <v>1</v>
      </c>
      <c r="C3" s="40" t="b">
        <f>COUNTIFS(Fixtures[stadium], Stadiums[[#This Row],[name]], Fixtures[APP], TRUE) &gt; 0</f>
        <v>0</v>
      </c>
    </row>
    <row r="4" spans="1:3">
      <c r="A4" s="45" t="s">
        <v>1460</v>
      </c>
      <c r="B4" s="40" t="b">
        <v>0</v>
      </c>
      <c r="C4" s="27" t="b">
        <f>COUNTIFS(Fixtures[stadium], Stadiums[[#This Row],[name]], Fixtures[APP], TRUE) &gt; 0</f>
        <v>0</v>
      </c>
    </row>
    <row r="5" spans="1:3">
      <c r="A5" s="45" t="s">
        <v>1461</v>
      </c>
      <c r="B5" s="40" t="b">
        <v>1</v>
      </c>
      <c r="C5" s="40" t="b">
        <f>COUNTIFS(Fixtures[stadium], Stadiums[[#This Row],[name]], Fixtures[APP], TRUE) &gt; 0</f>
        <v>0</v>
      </c>
    </row>
    <row r="6" spans="1:3">
      <c r="A6" s="45" t="s">
        <v>1462</v>
      </c>
      <c r="B6" s="40" t="b">
        <v>0</v>
      </c>
      <c r="C6" s="40" t="b">
        <f>COUNTIFS(Fixtures[stadium], Stadiums[[#This Row],[name]], Fixtures[APP], TRUE) &gt; 0</f>
        <v>0</v>
      </c>
    </row>
    <row r="7" spans="1:3">
      <c r="A7" s="45" t="s">
        <v>1463</v>
      </c>
      <c r="B7" s="40" t="b">
        <v>0</v>
      </c>
      <c r="C7" s="40" t="b">
        <f>COUNTIFS(Fixtures[stadium], Stadiums[[#This Row],[name]], Fixtures[APP], TRUE) &gt; 0</f>
        <v>0</v>
      </c>
    </row>
    <row r="8" spans="1:3">
      <c r="A8" s="45" t="s">
        <v>1464</v>
      </c>
      <c r="B8" s="40" t="b">
        <v>1</v>
      </c>
      <c r="C8" s="40" t="b">
        <f>COUNTIFS(Fixtures[stadium], Stadiums[[#This Row],[name]], Fixtures[APP], TRUE) &gt; 0</f>
        <v>0</v>
      </c>
    </row>
    <row r="9" spans="1:3">
      <c r="A9" s="45" t="s">
        <v>1465</v>
      </c>
      <c r="B9" s="40" t="b">
        <v>1</v>
      </c>
      <c r="C9" s="40" t="b">
        <f>COUNTIFS(Fixtures[stadium], Stadiums[[#This Row],[name]], Fixtures[APP], TRUE) &gt; 0</f>
        <v>0</v>
      </c>
    </row>
    <row r="10" spans="1:3">
      <c r="A10" s="45" t="s">
        <v>315</v>
      </c>
      <c r="B10" s="40" t="b">
        <v>1</v>
      </c>
      <c r="C10" s="40" t="b">
        <f>COUNTIFS(Fixtures[stadium], Stadiums[[#This Row],[name]], Fixtures[APP], TRUE) &gt; 0</f>
        <v>1</v>
      </c>
    </row>
    <row r="11" spans="1:3">
      <c r="A11" s="45" t="s">
        <v>1466</v>
      </c>
      <c r="B11" s="40" t="b">
        <v>1</v>
      </c>
      <c r="C11" s="40" t="b">
        <f>COUNTIFS(Fixtures[stadium], Stadiums[[#This Row],[name]], Fixtures[APP], TRUE) &gt; 0</f>
        <v>0</v>
      </c>
    </row>
    <row r="12" spans="1:3">
      <c r="A12" s="45" t="s">
        <v>332</v>
      </c>
      <c r="B12" s="40" t="b">
        <v>1</v>
      </c>
      <c r="C12" s="40" t="b">
        <f>COUNTIFS(Fixtures[stadium], Stadiums[[#This Row],[name]], Fixtures[APP], TRUE) &gt; 0</f>
        <v>1</v>
      </c>
    </row>
    <row r="13" spans="1:3">
      <c r="A13" s="45" t="s">
        <v>241</v>
      </c>
      <c r="B13" s="40" t="b">
        <v>1</v>
      </c>
      <c r="C13" s="40" t="b">
        <f>COUNTIFS(Fixtures[stadium], Stadiums[[#This Row],[name]], Fixtures[APP], TRUE) &gt; 0</f>
        <v>1</v>
      </c>
    </row>
    <row r="14" spans="1:3">
      <c r="A14" s="45" t="s">
        <v>236</v>
      </c>
      <c r="B14" s="40" t="b">
        <v>1</v>
      </c>
      <c r="C14" s="40" t="b">
        <f>COUNTIFS(Fixtures[stadium], Stadiums[[#This Row],[name]], Fixtures[APP], TRUE) &gt; 0</f>
        <v>1</v>
      </c>
    </row>
    <row r="15" spans="1:3">
      <c r="A15" s="45" t="s">
        <v>1467</v>
      </c>
      <c r="B15" s="40" t="b">
        <v>1</v>
      </c>
      <c r="C15" s="40" t="b">
        <f>COUNTIFS(Fixtures[stadium], Stadiums[[#This Row],[name]], Fixtures[APP], TRUE) &gt; 0</f>
        <v>0</v>
      </c>
    </row>
    <row r="16" spans="1:3">
      <c r="A16" s="45" t="s">
        <v>1468</v>
      </c>
      <c r="B16" s="40" t="b">
        <v>1</v>
      </c>
      <c r="C16" s="40" t="b">
        <f>COUNTIFS(Fixtures[stadium], Stadiums[[#This Row],[name]], Fixtures[APP], TRUE) &gt; 0</f>
        <v>0</v>
      </c>
    </row>
    <row r="17" spans="1:3">
      <c r="A17" s="45" t="s">
        <v>1469</v>
      </c>
      <c r="B17" s="40" t="b">
        <v>1</v>
      </c>
      <c r="C17" s="40" t="b">
        <f>COUNTIFS(Fixtures[stadium], Stadiums[[#This Row],[name]], Fixtures[APP], TRUE) &gt; 0</f>
        <v>0</v>
      </c>
    </row>
    <row r="18" spans="1:3">
      <c r="A18" s="45" t="s">
        <v>158</v>
      </c>
      <c r="B18" s="40" t="b">
        <v>0</v>
      </c>
      <c r="C18" s="40" t="b">
        <f>COUNTIFS(Fixtures[stadium], Stadiums[[#This Row],[name]], Fixtures[APP], TRUE) &gt; 0</f>
        <v>1</v>
      </c>
    </row>
    <row r="19" spans="1:3">
      <c r="A19" s="45" t="s">
        <v>1470</v>
      </c>
      <c r="B19" s="40" t="b">
        <v>1</v>
      </c>
      <c r="C19" s="40" t="b">
        <f>COUNTIFS(Fixtures[stadium], Stadiums[[#This Row],[name]], Fixtures[APP], TRUE) &gt; 0</f>
        <v>0</v>
      </c>
    </row>
    <row r="20" spans="1:3">
      <c r="A20" s="45" t="s">
        <v>1471</v>
      </c>
      <c r="B20" s="40" t="b">
        <v>0</v>
      </c>
      <c r="C20" s="40" t="b">
        <f>COUNTIFS(Fixtures[stadium], Stadiums[[#This Row],[name]], Fixtures[APP], TRUE) &gt; 0</f>
        <v>0</v>
      </c>
    </row>
    <row r="21" spans="1:3">
      <c r="A21" s="45" t="s">
        <v>326</v>
      </c>
      <c r="B21" s="40" t="b">
        <v>1</v>
      </c>
      <c r="C21" s="40" t="b">
        <f>COUNTIFS(Fixtures[stadium], Stadiums[[#This Row],[name]], Fixtures[APP], TRUE) &gt; 0</f>
        <v>1</v>
      </c>
    </row>
    <row r="22" spans="1:3">
      <c r="A22" s="45" t="s">
        <v>127</v>
      </c>
      <c r="B22" s="40" t="b">
        <v>1</v>
      </c>
      <c r="C22" s="40" t="b">
        <f>COUNTIFS(Fixtures[stadium], Stadiums[[#This Row],[name]], Fixtures[APP], TRUE) &gt; 0</f>
        <v>1</v>
      </c>
    </row>
    <row r="23" spans="1:3">
      <c r="A23" s="45" t="s">
        <v>288</v>
      </c>
      <c r="B23" s="40" t="b">
        <v>1</v>
      </c>
      <c r="C23" s="40" t="b">
        <f>COUNTIFS(Fixtures[stadium], Stadiums[[#This Row],[name]], Fixtures[APP], TRUE) &gt; 0</f>
        <v>1</v>
      </c>
    </row>
    <row r="24" spans="1:3">
      <c r="A24" s="45" t="s">
        <v>356</v>
      </c>
      <c r="B24" s="40" t="b">
        <v>1</v>
      </c>
      <c r="C24" s="40" t="b">
        <f>COUNTIFS(Fixtures[stadium], Stadiums[[#This Row],[name]], Fixtures[APP], TRUE) &gt; 0</f>
        <v>0</v>
      </c>
    </row>
    <row r="25" spans="1:3">
      <c r="A25" s="45" t="s">
        <v>285</v>
      </c>
      <c r="B25" s="40" t="b">
        <v>0</v>
      </c>
      <c r="C25" s="40" t="b">
        <f>COUNTIFS(Fixtures[stadium], Stadiums[[#This Row],[name]], Fixtures[APP], TRUE) &gt; 0</f>
        <v>1</v>
      </c>
    </row>
    <row r="26" spans="1:3">
      <c r="A26" s="45" t="s">
        <v>1472</v>
      </c>
      <c r="B26" s="40" t="b">
        <v>1</v>
      </c>
      <c r="C26" s="40" t="b">
        <f>COUNTIFS(Fixtures[stadium], Stadiums[[#This Row],[name]], Fixtures[APP], TRUE) &gt; 0</f>
        <v>0</v>
      </c>
    </row>
    <row r="27" spans="1:3">
      <c r="A27" s="40" t="s">
        <v>1473</v>
      </c>
      <c r="B27" s="40" t="b">
        <v>0</v>
      </c>
      <c r="C27" s="40" t="b">
        <f>COUNTIFS(Fixtures[stadium], Stadiums[[#This Row],[name]], Fixtures[APP], TRUE) &gt; 0</f>
        <v>0</v>
      </c>
    </row>
    <row r="28" spans="1:3">
      <c r="A28" s="40" t="s">
        <v>336</v>
      </c>
      <c r="B28" s="40" t="b">
        <v>0</v>
      </c>
      <c r="C28" s="40" t="b">
        <f>COUNTIFS(Fixtures[stadium], Stadiums[[#This Row],[name]], Fixtures[APP], TRUE) &gt; 0</f>
        <v>1</v>
      </c>
    </row>
    <row r="29" spans="1:3">
      <c r="A29" s="40" t="s">
        <v>1474</v>
      </c>
      <c r="B29" s="40" t="b">
        <v>1</v>
      </c>
      <c r="C29" s="40" t="b">
        <f>COUNTIFS(Fixtures[stadium], Stadiums[[#This Row],[name]], Fixtures[APP], TRUE) &gt; 0</f>
        <v>0</v>
      </c>
    </row>
    <row r="30" spans="1:3">
      <c r="A30" s="40" t="s">
        <v>1475</v>
      </c>
      <c r="B30" s="40" t="b">
        <v>1</v>
      </c>
      <c r="C30" s="40" t="b">
        <f>COUNTIFS(Fixtures[stadium], Stadiums[[#This Row],[name]], Fixtures[APP], TRUE) &gt; 0</f>
        <v>0</v>
      </c>
    </row>
    <row r="31" spans="1:3">
      <c r="A31" s="40" t="s">
        <v>1476</v>
      </c>
      <c r="B31" s="40" t="b">
        <v>1</v>
      </c>
      <c r="C31" s="40" t="b">
        <f>COUNTIFS(Fixtures[stadium], Stadiums[[#This Row],[name]], Fixtures[APP], TRUE) &gt; 0</f>
        <v>0</v>
      </c>
    </row>
    <row r="32" spans="1:3">
      <c r="A32" s="40" t="s">
        <v>1477</v>
      </c>
      <c r="B32" s="40" t="b">
        <v>1</v>
      </c>
      <c r="C32" s="40" t="b">
        <f>COUNTIFS(Fixtures[stadium], Stadiums[[#This Row],[name]], Fixtures[APP], TRUE) &gt; 0</f>
        <v>0</v>
      </c>
    </row>
    <row r="33" spans="1:3">
      <c r="A33" s="40" t="s">
        <v>1478</v>
      </c>
      <c r="B33" s="40" t="b">
        <v>1</v>
      </c>
      <c r="C33" s="40" t="b">
        <f>COUNTIFS(Fixtures[stadium], Stadiums[[#This Row],[name]], Fixtures[APP], TRUE) &gt; 0</f>
        <v>0</v>
      </c>
    </row>
    <row r="34" spans="1:3">
      <c r="A34" s="40" t="s">
        <v>1479</v>
      </c>
      <c r="B34" s="40" t="b">
        <v>1</v>
      </c>
      <c r="C34" s="40" t="b">
        <f>COUNTIFS(Fixtures[stadium], Stadiums[[#This Row],[name]], Fixtures[APP], TRUE) &gt; 0</f>
        <v>0</v>
      </c>
    </row>
    <row r="35" spans="1:3">
      <c r="A35" s="40" t="s">
        <v>1480</v>
      </c>
      <c r="B35" s="40" t="b">
        <v>1</v>
      </c>
      <c r="C35" s="40" t="b">
        <f>COUNTIFS(Fixtures[stadium], Stadiums[[#This Row],[name]], Fixtures[APP], TRUE) &gt; 0</f>
        <v>0</v>
      </c>
    </row>
    <row r="36" spans="1:3">
      <c r="A36" s="40" t="s">
        <v>1481</v>
      </c>
      <c r="B36" s="40" t="b">
        <v>0</v>
      </c>
      <c r="C36" s="40" t="b">
        <f>COUNTIFS(Fixtures[stadium], Stadiums[[#This Row],[name]], Fixtures[APP], TRUE) &gt; 0</f>
        <v>0</v>
      </c>
    </row>
    <row r="37" spans="1:3">
      <c r="A37" s="40" t="s">
        <v>1482</v>
      </c>
      <c r="B37" s="40" t="b">
        <v>1</v>
      </c>
      <c r="C37" s="40" t="b">
        <f>COUNTIFS(Fixtures[stadium], Stadiums[[#This Row],[name]], Fixtures[APP], TRUE) &gt; 0</f>
        <v>0</v>
      </c>
    </row>
    <row r="38" spans="1:3">
      <c r="A38" s="40" t="s">
        <v>1483</v>
      </c>
      <c r="B38" s="40" t="b">
        <v>1</v>
      </c>
      <c r="C38" s="40" t="b">
        <f>COUNTIFS(Fixtures[stadium], Stadiums[[#This Row],[name]], Fixtures[APP], TRUE) &gt; 0</f>
        <v>0</v>
      </c>
    </row>
    <row r="39" spans="1:3">
      <c r="A39" s="40" t="s">
        <v>1484</v>
      </c>
      <c r="B39" s="40" t="b">
        <v>1</v>
      </c>
      <c r="C39" s="40" t="b">
        <f>COUNTIFS(Fixtures[stadium], Stadiums[[#This Row],[name]], Fixtures[APP], TRUE) &gt; 0</f>
        <v>0</v>
      </c>
    </row>
    <row r="40" spans="1:3">
      <c r="A40" s="40" t="s">
        <v>1485</v>
      </c>
      <c r="B40" s="40" t="b">
        <v>1</v>
      </c>
      <c r="C40" s="40" t="b">
        <f>COUNTIFS(Fixtures[stadium], Stadiums[[#This Row],[name]], Fixtures[APP], TRUE) &gt; 0</f>
        <v>0</v>
      </c>
    </row>
    <row r="41" spans="1:3">
      <c r="A41" s="40" t="s">
        <v>1486</v>
      </c>
      <c r="B41" s="40" t="b">
        <v>1</v>
      </c>
      <c r="C41" s="40" t="b">
        <f>COUNTIFS(Fixtures[stadium], Stadiums[[#This Row],[name]], Fixtures[APP], TRUE) &gt; 0</f>
        <v>0</v>
      </c>
    </row>
    <row r="42" spans="1:3">
      <c r="A42" s="40" t="s">
        <v>1487</v>
      </c>
      <c r="B42" s="40" t="b">
        <v>0</v>
      </c>
      <c r="C42" s="40" t="b">
        <f>COUNTIFS(Fixtures[stadium], Stadiums[[#This Row],[name]], Fixtures[APP], TRUE) &gt; 0</f>
        <v>0</v>
      </c>
    </row>
    <row r="43" spans="1:3">
      <c r="A43" s="40" t="s">
        <v>1488</v>
      </c>
      <c r="B43" s="40" t="b">
        <v>1</v>
      </c>
      <c r="C43" s="40" t="b">
        <f>COUNTIFS(Fixtures[stadium], Stadiums[[#This Row],[name]], Fixtures[APP], TRUE) &gt; 0</f>
        <v>0</v>
      </c>
    </row>
    <row r="44" spans="1:3">
      <c r="A44" s="40" t="s">
        <v>1489</v>
      </c>
      <c r="B44" s="40" t="b">
        <v>1</v>
      </c>
      <c r="C44" s="40" t="b">
        <f>COUNTIFS(Fixtures[stadium], Stadiums[[#This Row],[name]], Fixtures[APP], TRUE) &gt; 0</f>
        <v>0</v>
      </c>
    </row>
    <row r="45" spans="1:3">
      <c r="A45" s="40" t="s">
        <v>1490</v>
      </c>
      <c r="B45" s="40" t="b">
        <v>1</v>
      </c>
      <c r="C45" s="40" t="b">
        <f>COUNTIFS(Fixtures[stadium], Stadiums[[#This Row],[name]], Fixtures[APP], TRUE) &gt; 0</f>
        <v>0</v>
      </c>
    </row>
    <row r="46" spans="1:3">
      <c r="A46" s="40" t="s">
        <v>1491</v>
      </c>
      <c r="B46" s="40" t="b">
        <v>1</v>
      </c>
      <c r="C46" s="40" t="b">
        <f>COUNTIFS(Fixtures[stadium], Stadiums[[#This Row],[name]], Fixtures[APP], TRUE) &gt; 0</f>
        <v>0</v>
      </c>
    </row>
    <row r="47" spans="1:3">
      <c r="A47" s="40" t="s">
        <v>1492</v>
      </c>
      <c r="B47" s="40" t="b">
        <v>1</v>
      </c>
      <c r="C47" s="40" t="b">
        <f>COUNTIFS(Fixtures[stadium], Stadiums[[#This Row],[name]], Fixtures[APP], TRUE) &gt; 0</f>
        <v>0</v>
      </c>
    </row>
    <row r="48" spans="1:3">
      <c r="A48" s="40" t="s">
        <v>1493</v>
      </c>
      <c r="B48" s="40" t="b">
        <v>1</v>
      </c>
      <c r="C48" s="40" t="b">
        <f>COUNTIFS(Fixtures[stadium], Stadiums[[#This Row],[name]], Fixtures[APP], TRUE) &gt; 0</f>
        <v>0</v>
      </c>
    </row>
    <row r="49" spans="1:3">
      <c r="A49" s="40" t="s">
        <v>1494</v>
      </c>
      <c r="B49" s="40" t="b">
        <v>0</v>
      </c>
      <c r="C49" s="40" t="b">
        <f>COUNTIFS(Fixtures[stadium], Stadiums[[#This Row],[name]], Fixtures[APP], TRUE) &gt; 0</f>
        <v>0</v>
      </c>
    </row>
    <row r="50" spans="1:3">
      <c r="A50" s="40" t="s">
        <v>1495</v>
      </c>
      <c r="B50" s="40" t="b">
        <v>1</v>
      </c>
      <c r="C50" s="40" t="b">
        <f>COUNTIFS(Fixtures[stadium], Stadiums[[#This Row],[name]], Fixtures[APP], TRUE) &gt; 0</f>
        <v>0</v>
      </c>
    </row>
    <row r="51" spans="1:3">
      <c r="A51" s="40" t="s">
        <v>1496</v>
      </c>
      <c r="B51" s="40" t="b">
        <v>1</v>
      </c>
      <c r="C51" s="40" t="b">
        <f>COUNTIFS(Fixtures[stadium], Stadiums[[#This Row],[name]], Fixtures[APP], TRUE) &gt; 0</f>
        <v>0</v>
      </c>
    </row>
    <row r="52" spans="1:3">
      <c r="A52" s="40" t="s">
        <v>340</v>
      </c>
      <c r="B52" s="40" t="b">
        <v>1</v>
      </c>
      <c r="C52" s="40" t="b">
        <f>COUNTIFS(Fixtures[stadium], Stadiums[[#This Row],[name]], Fixtures[APP], TRUE) &gt; 0</f>
        <v>0</v>
      </c>
    </row>
    <row r="53" spans="1:3">
      <c r="A53" s="40" t="s">
        <v>273</v>
      </c>
      <c r="B53" s="40" t="b">
        <v>1</v>
      </c>
      <c r="C53" s="40" t="b">
        <f>COUNTIFS(Fixtures[stadium], Stadiums[[#This Row],[name]], Fixtures[APP], TRUE) &gt; 0</f>
        <v>1</v>
      </c>
    </row>
    <row r="54" spans="1:3">
      <c r="A54" s="40" t="s">
        <v>1497</v>
      </c>
      <c r="B54" s="40" t="b">
        <v>0</v>
      </c>
      <c r="C54" s="40" t="b">
        <f>COUNTIFS(Fixtures[stadium], Stadiums[[#This Row],[name]], Fixtures[APP], TRUE) &gt; 0</f>
        <v>0</v>
      </c>
    </row>
    <row r="55" spans="1:3">
      <c r="A55" s="40" t="s">
        <v>314</v>
      </c>
      <c r="B55" s="40" t="b">
        <v>1</v>
      </c>
      <c r="C55" s="40" t="b">
        <f>COUNTIFS(Fixtures[stadium], Stadiums[[#This Row],[name]], Fixtures[APP], TRUE) &gt; 0</f>
        <v>1</v>
      </c>
    </row>
    <row r="56" spans="1:3">
      <c r="A56" s="40" t="s">
        <v>1498</v>
      </c>
      <c r="B56" s="40" t="b">
        <v>0</v>
      </c>
      <c r="C56" s="40" t="b">
        <f>COUNTIFS(Fixtures[stadium], Stadiums[[#This Row],[name]], Fixtures[APP], TRUE) &gt; 0</f>
        <v>0</v>
      </c>
    </row>
    <row r="57" spans="1:3">
      <c r="A57" s="40" t="s">
        <v>156</v>
      </c>
      <c r="B57" s="40" t="b">
        <v>0</v>
      </c>
      <c r="C57" s="40" t="b">
        <f>COUNTIFS(Fixtures[stadium], Stadiums[[#This Row],[name]], Fixtures[APP], TRUE) &gt; 0</f>
        <v>1</v>
      </c>
    </row>
    <row r="58" spans="1:3">
      <c r="A58" s="39" t="s">
        <v>1499</v>
      </c>
      <c r="B58" s="40" t="b">
        <v>1</v>
      </c>
      <c r="C58" s="40" t="b">
        <f>COUNTIFS(Fixtures[stadium], Stadiums[[#This Row],[name]], Fixtures[APP], TRUE) &gt; 0</f>
        <v>0</v>
      </c>
    </row>
    <row r="59" spans="1:3">
      <c r="A59" s="40" t="s">
        <v>1500</v>
      </c>
      <c r="B59" s="40" t="b">
        <v>0</v>
      </c>
      <c r="C59" s="40" t="b">
        <f>COUNTIFS(Fixtures[stadium], Stadiums[[#This Row],[name]], Fixtures[APP], TRUE) &gt; 0</f>
        <v>0</v>
      </c>
    </row>
    <row r="60" spans="1:3">
      <c r="A60" s="40" t="s">
        <v>1501</v>
      </c>
      <c r="B60" s="40" t="b">
        <v>1</v>
      </c>
      <c r="C60" s="40" t="b">
        <f>COUNTIFS(Fixtures[stadium], Stadiums[[#This Row],[name]], Fixtures[APP], TRUE) &gt; 0</f>
        <v>0</v>
      </c>
    </row>
    <row r="61" spans="1:3">
      <c r="A61" s="40" t="s">
        <v>1502</v>
      </c>
      <c r="B61" s="40" t="b">
        <v>1</v>
      </c>
      <c r="C61" s="40" t="b">
        <f>COUNTIFS(Fixtures[stadium], Stadiums[[#This Row],[name]], Fixtures[APP], TRUE) &gt; 0</f>
        <v>0</v>
      </c>
    </row>
    <row r="62" spans="1:3">
      <c r="A62" s="40" t="s">
        <v>1503</v>
      </c>
      <c r="B62" s="40" t="b">
        <v>1</v>
      </c>
      <c r="C62" s="40" t="b">
        <f>COUNTIFS(Fixtures[stadium], Stadiums[[#This Row],[name]], Fixtures[APP], TRUE) &gt; 0</f>
        <v>0</v>
      </c>
    </row>
    <row r="63" spans="1:3">
      <c r="A63" s="40" t="s">
        <v>1504</v>
      </c>
      <c r="B63" s="40" t="b">
        <v>1</v>
      </c>
      <c r="C63" s="40" t="b">
        <f>COUNTIFS(Fixtures[stadium], Stadiums[[#This Row],[name]], Fixtures[APP], TRUE) &gt; 0</f>
        <v>0</v>
      </c>
    </row>
    <row r="64" spans="1:3">
      <c r="A64" s="40" t="s">
        <v>1505</v>
      </c>
      <c r="B64" s="40" t="b">
        <v>1</v>
      </c>
      <c r="C64" s="40" t="b">
        <f>COUNTIFS(Fixtures[stadium], Stadiums[[#This Row],[name]], Fixtures[APP], TRUE) &gt; 0</f>
        <v>0</v>
      </c>
    </row>
    <row r="65" spans="1:3">
      <c r="A65" s="40" t="s">
        <v>234</v>
      </c>
      <c r="B65" s="40" t="b">
        <v>0</v>
      </c>
      <c r="C65" s="40" t="b">
        <f>COUNTIFS(Fixtures[stadium], Stadiums[[#This Row],[name]], Fixtures[APP], TRUE) &gt; 0</f>
        <v>1</v>
      </c>
    </row>
    <row r="66" spans="1:3">
      <c r="A66" s="40" t="s">
        <v>1506</v>
      </c>
      <c r="B66" s="40" t="b">
        <v>1</v>
      </c>
      <c r="C66" s="40" t="b">
        <f>COUNTIFS(Fixtures[stadium], Stadiums[[#This Row],[name]], Fixtures[APP], TRUE) &gt; 0</f>
        <v>0</v>
      </c>
    </row>
    <row r="67" spans="1:3">
      <c r="A67" s="40" t="s">
        <v>1507</v>
      </c>
      <c r="B67" s="40" t="b">
        <v>1</v>
      </c>
      <c r="C67" s="40" t="b">
        <f>COUNTIFS(Fixtures[stadium], Stadiums[[#This Row],[name]], Fixtures[APP], TRUE) &gt; 0</f>
        <v>0</v>
      </c>
    </row>
    <row r="68" spans="1:3">
      <c r="A68" s="40" t="s">
        <v>1508</v>
      </c>
      <c r="B68" s="40" t="b">
        <v>1</v>
      </c>
      <c r="C68" s="40" t="b">
        <f>COUNTIFS(Fixtures[stadium], Stadiums[[#This Row],[name]], Fixtures[APP], TRUE) &gt; 0</f>
        <v>0</v>
      </c>
    </row>
    <row r="69" spans="1:3">
      <c r="A69" s="40" t="s">
        <v>1509</v>
      </c>
      <c r="B69" s="40" t="b">
        <v>1</v>
      </c>
      <c r="C69" s="40" t="b">
        <f>COUNTIFS(Fixtures[stadium], Stadiums[[#This Row],[name]], Fixtures[APP], TRUE) &gt; 0</f>
        <v>0</v>
      </c>
    </row>
    <row r="70" spans="1:3">
      <c r="A70" s="39" t="s">
        <v>231</v>
      </c>
      <c r="B70" s="40" t="b">
        <v>1</v>
      </c>
      <c r="C70" s="40" t="b">
        <f>COUNTIFS(Fixtures[stadium], Stadiums[[#This Row],[name]], Fixtures[APP], TRUE) &gt; 0</f>
        <v>1</v>
      </c>
    </row>
    <row r="71" spans="1:3">
      <c r="A71" s="40" t="s">
        <v>302</v>
      </c>
      <c r="B71" s="40" t="b">
        <v>1</v>
      </c>
      <c r="C71" s="40" t="b">
        <f>COUNTIFS(Fixtures[stadium], Stadiums[[#This Row],[name]], Fixtures[APP], TRUE) &gt; 0</f>
        <v>1</v>
      </c>
    </row>
    <row r="72" spans="1:3">
      <c r="A72" s="39" t="s">
        <v>256</v>
      </c>
      <c r="B72" s="40" t="b">
        <v>1</v>
      </c>
      <c r="C72" s="40" t="b">
        <f>COUNTIFS(Fixtures[stadium], Stadiums[[#This Row],[name]], Fixtures[APP], TRUE) &gt; 0</f>
        <v>1</v>
      </c>
    </row>
    <row r="73" spans="1:3">
      <c r="A73" s="40" t="s">
        <v>1510</v>
      </c>
      <c r="B73" s="40" t="b">
        <v>1</v>
      </c>
      <c r="C73" s="40" t="b">
        <f>COUNTIFS(Fixtures[stadium], Stadiums[[#This Row],[name]], Fixtures[APP], TRUE) &gt; 0</f>
        <v>0</v>
      </c>
    </row>
    <row r="74" spans="1:3">
      <c r="A74" s="40" t="s">
        <v>1511</v>
      </c>
      <c r="B74" s="40" t="b">
        <v>0</v>
      </c>
      <c r="C74" s="40" t="b">
        <f>COUNTIFS(Fixtures[stadium], Stadiums[[#This Row],[name]], Fixtures[APP], TRUE) &gt; 0</f>
        <v>0</v>
      </c>
    </row>
    <row r="75" spans="1:3">
      <c r="A75" s="40" t="s">
        <v>1512</v>
      </c>
      <c r="B75" s="40" t="b">
        <v>1</v>
      </c>
      <c r="C75" s="40" t="b">
        <f>COUNTIFS(Fixtures[stadium], Stadiums[[#This Row],[name]], Fixtures[APP], TRUE) &gt; 0</f>
        <v>0</v>
      </c>
    </row>
    <row r="76" spans="1:3">
      <c r="A76" s="40" t="s">
        <v>1513</v>
      </c>
      <c r="B76" s="40" t="b">
        <v>1</v>
      </c>
      <c r="C76" s="40" t="b">
        <f>COUNTIFS(Fixtures[stadium], Stadiums[[#This Row],[name]], Fixtures[APP], TRUE) &gt; 0</f>
        <v>0</v>
      </c>
    </row>
    <row r="77" spans="1:3">
      <c r="A77" s="40" t="s">
        <v>1514</v>
      </c>
      <c r="B77" s="40" t="b">
        <v>1</v>
      </c>
      <c r="C77" s="40" t="b">
        <f>COUNTIFS(Fixtures[stadium], Stadiums[[#This Row],[name]], Fixtures[APP], TRUE) &gt; 0</f>
        <v>0</v>
      </c>
    </row>
    <row r="78" spans="1:3">
      <c r="A78" s="40" t="s">
        <v>1515</v>
      </c>
      <c r="B78" s="40" t="b">
        <v>1</v>
      </c>
      <c r="C78" s="40" t="b">
        <f>COUNTIFS(Fixtures[stadium], Stadiums[[#This Row],[name]], Fixtures[APP], TRUE) &gt; 0</f>
        <v>0</v>
      </c>
    </row>
    <row r="79" spans="1:3">
      <c r="A79" s="40" t="s">
        <v>264</v>
      </c>
      <c r="B79" s="40" t="b">
        <v>1</v>
      </c>
      <c r="C79" s="40" t="b">
        <f>COUNTIFS(Fixtures[stadium], Stadiums[[#This Row],[name]], Fixtures[APP], TRUE) &gt; 0</f>
        <v>1</v>
      </c>
    </row>
    <row r="80" spans="1:3">
      <c r="A80" s="40" t="s">
        <v>293</v>
      </c>
      <c r="B80" s="40" t="b">
        <v>1</v>
      </c>
      <c r="C80" s="40" t="b">
        <f>COUNTIFS(Fixtures[stadium], Stadiums[[#This Row],[name]], Fixtures[APP], TRUE) &gt; 0</f>
        <v>1</v>
      </c>
    </row>
    <row r="81" spans="1:3">
      <c r="A81" s="40" t="s">
        <v>196</v>
      </c>
      <c r="B81" s="40" t="b">
        <v>1</v>
      </c>
      <c r="C81" s="40" t="b">
        <f>COUNTIFS(Fixtures[stadium], Stadiums[[#This Row],[name]], Fixtures[APP], TRUE) &gt; 0</f>
        <v>1</v>
      </c>
    </row>
    <row r="82" spans="1:3">
      <c r="A82" s="40" t="s">
        <v>1516</v>
      </c>
      <c r="B82" s="40" t="b">
        <v>1</v>
      </c>
      <c r="C82" s="40" t="b">
        <f>COUNTIFS(Fixtures[stadium], Stadiums[[#This Row],[name]], Fixtures[APP], TRUE) &gt; 0</f>
        <v>0</v>
      </c>
    </row>
    <row r="83" spans="1:3">
      <c r="A83" s="40" t="s">
        <v>190</v>
      </c>
      <c r="B83" s="40" t="b">
        <v>0</v>
      </c>
      <c r="C83" s="40" t="b">
        <f>COUNTIFS(Fixtures[stadium], Stadiums[[#This Row],[name]], Fixtures[APP], TRUE) &gt; 0</f>
        <v>1</v>
      </c>
    </row>
    <row r="84" spans="1:3">
      <c r="A84" s="40" t="s">
        <v>1517</v>
      </c>
      <c r="B84" s="40" t="b">
        <v>1</v>
      </c>
      <c r="C84" s="40" t="b">
        <f>COUNTIFS(Fixtures[stadium], Stadiums[[#This Row],[name]], Fixtures[APP], TRUE) &gt; 0</f>
        <v>0</v>
      </c>
    </row>
    <row r="85" spans="1:3">
      <c r="A85" s="40" t="s">
        <v>1518</v>
      </c>
      <c r="B85" s="40" t="b">
        <v>1</v>
      </c>
      <c r="C85" s="40" t="b">
        <f>COUNTIFS(Fixtures[stadium], Stadiums[[#This Row],[name]], Fixtures[APP], TRUE) &gt; 0</f>
        <v>0</v>
      </c>
    </row>
    <row r="86" spans="1:3">
      <c r="A86" s="40" t="s">
        <v>108</v>
      </c>
      <c r="B86" s="40" t="b">
        <v>0</v>
      </c>
      <c r="C86" s="40" t="b">
        <f>COUNTIFS(Fixtures[stadium], Stadiums[[#This Row],[name]], Fixtures[APP], TRUE) &gt; 0</f>
        <v>1</v>
      </c>
    </row>
    <row r="87" spans="1:3">
      <c r="A87" s="40" t="s">
        <v>1519</v>
      </c>
      <c r="B87" s="40" t="b">
        <v>1</v>
      </c>
      <c r="C87" s="40" t="b">
        <f>COUNTIFS(Fixtures[stadium], Stadiums[[#This Row],[name]], Fixtures[APP], TRUE) &gt; 0</f>
        <v>0</v>
      </c>
    </row>
    <row r="88" spans="1:3">
      <c r="A88" s="40" t="s">
        <v>333</v>
      </c>
      <c r="B88" s="40" t="b">
        <v>0</v>
      </c>
      <c r="C88" s="40" t="b">
        <f>COUNTIFS(Fixtures[stadium], Stadiums[[#This Row],[name]], Fixtures[APP], TRUE) &gt; 0</f>
        <v>1</v>
      </c>
    </row>
    <row r="89" spans="1:3">
      <c r="A89" s="40" t="s">
        <v>1520</v>
      </c>
      <c r="B89" s="40" t="b">
        <v>0</v>
      </c>
      <c r="C89" s="40" t="b">
        <f>COUNTIFS(Fixtures[stadium], Stadiums[[#This Row],[name]], Fixtures[APP], TRUE) &gt; 0</f>
        <v>0</v>
      </c>
    </row>
    <row r="90" spans="1:3">
      <c r="A90" s="40" t="s">
        <v>1521</v>
      </c>
      <c r="B90" s="40" t="b">
        <v>1</v>
      </c>
      <c r="C90" s="40" t="b">
        <f>COUNTIFS(Fixtures[stadium], Stadiums[[#This Row],[name]], Fixtures[APP], TRUE) &gt; 0</f>
        <v>0</v>
      </c>
    </row>
    <row r="91" spans="1:3">
      <c r="A91" s="40" t="s">
        <v>331</v>
      </c>
      <c r="B91" s="40" t="b">
        <v>1</v>
      </c>
      <c r="C91" s="40" t="b">
        <f>COUNTIFS(Fixtures[stadium], Stadiums[[#This Row],[name]], Fixtures[APP], TRUE) &gt; 0</f>
        <v>1</v>
      </c>
    </row>
    <row r="92" spans="1:3">
      <c r="A92" s="40" t="s">
        <v>307</v>
      </c>
      <c r="B92" s="40" t="b">
        <v>1</v>
      </c>
      <c r="C92" s="40" t="b">
        <f>COUNTIFS(Fixtures[stadium], Stadiums[[#This Row],[name]], Fixtures[APP], TRUE) &gt; 0</f>
        <v>1</v>
      </c>
    </row>
    <row r="93" spans="1:3">
      <c r="A93" s="40" t="s">
        <v>329</v>
      </c>
      <c r="B93" s="40" t="b">
        <v>1</v>
      </c>
      <c r="C93" s="40" t="b">
        <f>COUNTIFS(Fixtures[stadium], Stadiums[[#This Row],[name]], Fixtures[APP], TRUE) &gt; 0</f>
        <v>1</v>
      </c>
    </row>
    <row r="94" spans="1:3">
      <c r="A94" s="40" t="s">
        <v>167</v>
      </c>
      <c r="B94" s="40" t="b">
        <v>1</v>
      </c>
      <c r="C94" s="40" t="b">
        <f>COUNTIFS(Fixtures[stadium], Stadiums[[#This Row],[name]], Fixtures[APP], TRUE) &gt; 0</f>
        <v>1</v>
      </c>
    </row>
    <row r="95" spans="1:3">
      <c r="A95" s="40" t="s">
        <v>312</v>
      </c>
      <c r="B95" s="40" t="b">
        <v>1</v>
      </c>
      <c r="C95" s="40" t="b">
        <f>COUNTIFS(Fixtures[stadium], Stadiums[[#This Row],[name]], Fixtures[APP], TRUE) &gt; 0</f>
        <v>1</v>
      </c>
    </row>
    <row r="96" spans="1:3">
      <c r="A96" s="40" t="s">
        <v>1522</v>
      </c>
      <c r="B96" s="40" t="b">
        <v>1</v>
      </c>
      <c r="C96" s="40" t="b">
        <f>COUNTIFS(Fixtures[stadium], Stadiums[[#This Row],[name]], Fixtures[APP], TRUE) &gt; 0</f>
        <v>0</v>
      </c>
    </row>
    <row r="97" spans="1:3">
      <c r="A97" s="40" t="s">
        <v>1523</v>
      </c>
      <c r="B97" s="40" t="b">
        <v>1</v>
      </c>
      <c r="C97" s="40" t="b">
        <f>COUNTIFS(Fixtures[stadium], Stadiums[[#This Row],[name]], Fixtures[APP], TRUE) &gt; 0</f>
        <v>0</v>
      </c>
    </row>
    <row r="98" spans="1:3">
      <c r="A98" s="40" t="s">
        <v>1524</v>
      </c>
      <c r="B98" s="40" t="b">
        <v>1</v>
      </c>
      <c r="C98" s="40" t="b">
        <f>COUNTIFS(Fixtures[stadium], Stadiums[[#This Row],[name]], Fixtures[APP], TRUE) &gt; 0</f>
        <v>0</v>
      </c>
    </row>
    <row r="99" spans="1:3">
      <c r="A99" s="40" t="s">
        <v>1525</v>
      </c>
      <c r="B99" s="40" t="b">
        <v>1</v>
      </c>
      <c r="C99" s="40" t="b">
        <f>COUNTIFS(Fixtures[stadium], Stadiums[[#This Row],[name]], Fixtures[APP], TRUE) &gt; 0</f>
        <v>0</v>
      </c>
    </row>
    <row r="100" spans="1:3">
      <c r="A100" s="40" t="s">
        <v>259</v>
      </c>
      <c r="B100" s="40" t="b">
        <v>1</v>
      </c>
      <c r="C100" s="40" t="b">
        <f>COUNTIFS(Fixtures[stadium], Stadiums[[#This Row],[name]], Fixtures[APP], TRUE) &gt; 0</f>
        <v>1</v>
      </c>
    </row>
    <row r="101" spans="1:3">
      <c r="A101" s="40" t="s">
        <v>308</v>
      </c>
      <c r="B101" s="40" t="b">
        <v>1</v>
      </c>
      <c r="C101" s="40" t="b">
        <f>COUNTIFS(Fixtures[stadium], Stadiums[[#This Row],[name]], Fixtures[APP], TRUE) &gt; 0</f>
        <v>1</v>
      </c>
    </row>
    <row r="102" spans="1:3">
      <c r="A102" s="40" t="s">
        <v>221</v>
      </c>
      <c r="B102" s="40" t="b">
        <v>1</v>
      </c>
      <c r="C102" s="40" t="b">
        <f>COUNTIFS(Fixtures[stadium], Stadiums[[#This Row],[name]], Fixtures[APP], TRUE) &gt; 0</f>
        <v>1</v>
      </c>
    </row>
    <row r="103" spans="1:3">
      <c r="A103" s="40" t="s">
        <v>1526</v>
      </c>
      <c r="B103" s="40" t="b">
        <v>1</v>
      </c>
      <c r="C103" s="40" t="b">
        <f>COUNTIFS(Fixtures[stadium], Stadiums[[#This Row],[name]], Fixtures[APP], TRUE) &gt; 0</f>
        <v>0</v>
      </c>
    </row>
    <row r="104" spans="1:3">
      <c r="A104" s="40" t="s">
        <v>245</v>
      </c>
      <c r="B104" s="40" t="b">
        <v>0</v>
      </c>
      <c r="C104" s="40" t="b">
        <f>COUNTIFS(Fixtures[stadium], Stadiums[[#This Row],[name]], Fixtures[APP], TRUE) &gt; 0</f>
        <v>1</v>
      </c>
    </row>
    <row r="105" spans="1:3">
      <c r="A105" s="40" t="s">
        <v>1527</v>
      </c>
      <c r="B105" s="40" t="b">
        <v>1</v>
      </c>
      <c r="C105" s="40" t="b">
        <f>COUNTIFS(Fixtures[stadium], Stadiums[[#This Row],[name]], Fixtures[APP], TRUE) &gt; 0</f>
        <v>0</v>
      </c>
    </row>
    <row r="106" spans="1:3">
      <c r="A106" s="40" t="s">
        <v>1528</v>
      </c>
      <c r="B106" s="40" t="b">
        <v>1</v>
      </c>
      <c r="C106" s="40" t="b">
        <f>COUNTIFS(Fixtures[stadium], Stadiums[[#This Row],[name]], Fixtures[APP], TRUE) &gt; 0</f>
        <v>0</v>
      </c>
    </row>
    <row r="107" spans="1:3">
      <c r="A107" s="40" t="s">
        <v>322</v>
      </c>
      <c r="B107" s="40" t="b">
        <v>1</v>
      </c>
      <c r="C107" s="40" t="b">
        <f>COUNTIFS(Fixtures[stadium], Stadiums[[#This Row],[name]], Fixtures[APP], TRUE) &gt; 0</f>
        <v>1</v>
      </c>
    </row>
    <row r="108" spans="1:3">
      <c r="A108" s="40" t="s">
        <v>1529</v>
      </c>
      <c r="B108" s="40" t="b">
        <v>1</v>
      </c>
      <c r="C108" s="40" t="b">
        <f>COUNTIFS(Fixtures[stadium], Stadiums[[#This Row],[name]], Fixtures[APP], TRUE) &gt; 0</f>
        <v>0</v>
      </c>
    </row>
    <row r="109" spans="1:3">
      <c r="A109" s="40" t="s">
        <v>228</v>
      </c>
      <c r="B109" s="40" t="b">
        <v>1</v>
      </c>
      <c r="C109" s="40" t="b">
        <f>COUNTIFS(Fixtures[stadium], Stadiums[[#This Row],[name]], Fixtures[APP], TRUE) &gt; 0</f>
        <v>1</v>
      </c>
    </row>
    <row r="110" spans="1:3">
      <c r="A110" s="40" t="s">
        <v>147</v>
      </c>
      <c r="B110" s="40" t="b">
        <v>0</v>
      </c>
      <c r="C110" s="40" t="b">
        <f>COUNTIFS(Fixtures[stadium], Stadiums[[#This Row],[name]], Fixtures[APP], TRUE) &gt; 0</f>
        <v>1</v>
      </c>
    </row>
    <row r="111" spans="1:3">
      <c r="A111" s="40" t="s">
        <v>1530</v>
      </c>
      <c r="B111" s="40" t="b">
        <v>0</v>
      </c>
      <c r="C111" s="40" t="b">
        <f>COUNTIFS(Fixtures[stadium], Stadiums[[#This Row],[name]], Fixtures[APP], TRUE) &gt; 0</f>
        <v>0</v>
      </c>
    </row>
    <row r="112" spans="1:3">
      <c r="A112" s="40" t="s">
        <v>1531</v>
      </c>
      <c r="B112" s="40" t="b">
        <v>0</v>
      </c>
      <c r="C112" s="40" t="b">
        <f>COUNTIFS(Fixtures[stadium], Stadiums[[#This Row],[name]], Fixtures[APP], TRUE) &gt; 0</f>
        <v>0</v>
      </c>
    </row>
    <row r="113" spans="1:3">
      <c r="A113" s="40" t="s">
        <v>320</v>
      </c>
      <c r="B113" s="40" t="b">
        <v>1</v>
      </c>
      <c r="C113" s="40" t="b">
        <f>COUNTIFS(Fixtures[stadium], Stadiums[[#This Row],[name]], Fixtures[APP], TRUE) &gt; 0</f>
        <v>1</v>
      </c>
    </row>
    <row r="114" spans="1:3">
      <c r="A114" s="40" t="s">
        <v>1532</v>
      </c>
      <c r="B114" s="40" t="b">
        <v>0</v>
      </c>
      <c r="C114" s="40" t="b">
        <f>COUNTIFS(Fixtures[stadium], Stadiums[[#This Row],[name]], Fixtures[APP], TRUE) &gt; 0</f>
        <v>0</v>
      </c>
    </row>
    <row r="115" spans="1:3">
      <c r="A115" s="40" t="s">
        <v>355</v>
      </c>
      <c r="B115" s="40" t="b">
        <v>0</v>
      </c>
      <c r="C115" s="40" t="b">
        <f>COUNTIFS(Fixtures[stadium], Stadiums[[#This Row],[name]], Fixtures[APP], TRUE) &gt; 0</f>
        <v>0</v>
      </c>
    </row>
    <row r="116" spans="1:3">
      <c r="A116" s="40" t="s">
        <v>157</v>
      </c>
      <c r="B116" s="40" t="b">
        <v>0</v>
      </c>
      <c r="C116" s="40" t="b">
        <f>COUNTIFS(Fixtures[stadium], Stadiums[[#This Row],[name]], Fixtures[APP], TRUE) &gt; 0</f>
        <v>1</v>
      </c>
    </row>
    <row r="117" spans="1:3">
      <c r="A117" s="40" t="s">
        <v>352</v>
      </c>
      <c r="B117" s="40" t="b">
        <v>0</v>
      </c>
      <c r="C117" s="40" t="b">
        <f>COUNTIFS(Fixtures[stadium], Stadiums[[#This Row],[name]], Fixtures[APP], TRUE) &gt; 0</f>
        <v>0</v>
      </c>
    </row>
    <row r="118" spans="1:3">
      <c r="A118" s="40" t="s">
        <v>1533</v>
      </c>
      <c r="B118" s="40" t="b">
        <v>1</v>
      </c>
      <c r="C118" s="40" t="b">
        <f>COUNTIFS(Fixtures[stadium], Stadiums[[#This Row],[name]], Fixtures[APP], TRUE) &gt; 0</f>
        <v>0</v>
      </c>
    </row>
    <row r="119" spans="1:3">
      <c r="A119" s="40" t="s">
        <v>1534</v>
      </c>
      <c r="B119" s="40" t="b">
        <v>1</v>
      </c>
      <c r="C119" s="40" t="b">
        <f>COUNTIFS(Fixtures[stadium], Stadiums[[#This Row],[name]], Fixtures[APP], TRUE) &gt; 0</f>
        <v>0</v>
      </c>
    </row>
    <row r="120" spans="1:3">
      <c r="A120" s="40" t="s">
        <v>204</v>
      </c>
      <c r="B120" s="40" t="b">
        <v>1</v>
      </c>
      <c r="C120" s="40" t="b">
        <f>COUNTIFS(Fixtures[stadium], Stadiums[[#This Row],[name]], Fixtures[APP], TRUE) &gt; 0</f>
        <v>1</v>
      </c>
    </row>
    <row r="121" spans="1:3">
      <c r="A121" s="40" t="s">
        <v>255</v>
      </c>
      <c r="B121" s="40" t="b">
        <v>1</v>
      </c>
      <c r="C121" s="40" t="b">
        <f>COUNTIFS(Fixtures[stadium], Stadiums[[#This Row],[name]], Fixtures[APP], TRUE) &gt; 0</f>
        <v>0</v>
      </c>
    </row>
    <row r="122" spans="1:3">
      <c r="A122" s="40" t="s">
        <v>1535</v>
      </c>
      <c r="B122" s="40" t="b">
        <v>1</v>
      </c>
      <c r="C122" s="40" t="b">
        <f>COUNTIFS(Fixtures[stadium], Stadiums[[#This Row],[name]], Fixtures[APP], TRUE) &gt; 0</f>
        <v>0</v>
      </c>
    </row>
    <row r="123" spans="1:3">
      <c r="A123" s="40" t="s">
        <v>1536</v>
      </c>
      <c r="B123" s="40" t="b">
        <v>1</v>
      </c>
      <c r="C123" s="40" t="b">
        <f>COUNTIFS(Fixtures[stadium], Stadiums[[#This Row],[name]], Fixtures[APP], TRUE) &gt; 0</f>
        <v>0</v>
      </c>
    </row>
    <row r="124" spans="1:3">
      <c r="A124" s="40" t="s">
        <v>185</v>
      </c>
      <c r="B124" s="40" t="b">
        <v>1</v>
      </c>
      <c r="C124" s="40" t="b">
        <f>COUNTIFS(Fixtures[stadium], Stadiums[[#This Row],[name]], Fixtures[APP], TRUE) &gt; 0</f>
        <v>1</v>
      </c>
    </row>
    <row r="125" spans="1:3">
      <c r="A125" s="40" t="s">
        <v>1537</v>
      </c>
      <c r="B125" s="40" t="b">
        <v>1</v>
      </c>
      <c r="C125" s="40" t="b">
        <f>COUNTIFS(Fixtures[stadium], Stadiums[[#This Row],[name]], Fixtures[APP], TRUE) &gt; 0</f>
        <v>0</v>
      </c>
    </row>
    <row r="126" spans="1:3">
      <c r="A126" s="40" t="s">
        <v>119</v>
      </c>
      <c r="B126" s="40" t="b">
        <v>0</v>
      </c>
      <c r="C126" s="40" t="b">
        <f>COUNTIFS(Fixtures[stadium], Stadiums[[#This Row],[name]], Fixtures[APP], TRUE) &gt; 0</f>
        <v>1</v>
      </c>
    </row>
    <row r="127" spans="1:3">
      <c r="A127" s="40" t="s">
        <v>175</v>
      </c>
      <c r="B127" s="40" t="b">
        <v>1</v>
      </c>
      <c r="C127" s="40" t="b">
        <f>COUNTIFS(Fixtures[stadium], Stadiums[[#This Row],[name]], Fixtures[APP], TRUE) &gt; 0</f>
        <v>1</v>
      </c>
    </row>
    <row r="128" spans="1:3">
      <c r="A128" s="40" t="s">
        <v>141</v>
      </c>
      <c r="B128" s="40" t="b">
        <v>0</v>
      </c>
      <c r="C128" s="40" t="b">
        <f>COUNTIFS(Fixtures[stadium], Stadiums[[#This Row],[name]], Fixtures[APP], TRUE) &gt; 0</f>
        <v>1</v>
      </c>
    </row>
    <row r="129" spans="1:3">
      <c r="A129" s="40" t="s">
        <v>353</v>
      </c>
      <c r="B129" s="40" t="b">
        <v>1</v>
      </c>
      <c r="C129" s="40" t="b">
        <f>COUNTIFS(Fixtures[stadium], Stadiums[[#This Row],[name]], Fixtures[APP], TRUE) &gt; 0</f>
        <v>0</v>
      </c>
    </row>
    <row r="130" spans="1:3">
      <c r="A130" s="46" t="s">
        <v>214</v>
      </c>
      <c r="B130" s="40" t="b">
        <v>1</v>
      </c>
      <c r="C130" s="40" t="b">
        <f>COUNTIFS(Fixtures[stadium], Stadiums[[#This Row],[name]], Fixtures[APP], TRUE) &gt; 0</f>
        <v>0</v>
      </c>
    </row>
    <row r="131" spans="1:3">
      <c r="A131" s="40" t="s">
        <v>1538</v>
      </c>
      <c r="B131" s="40" t="b">
        <v>1</v>
      </c>
      <c r="C131" s="40" t="b">
        <f>COUNTIFS(Fixtures[stadium], Stadiums[[#This Row],[name]], Fixtures[APP], TRUE) &gt; 0</f>
        <v>0</v>
      </c>
    </row>
    <row r="132" spans="1:3">
      <c r="A132" s="40" t="s">
        <v>1539</v>
      </c>
      <c r="B132" s="40" t="b">
        <v>1</v>
      </c>
      <c r="C132" s="40" t="b">
        <f>COUNTIFS(Fixtures[stadium], Stadiums[[#This Row],[name]], Fixtures[APP], TRUE) &gt; 0</f>
        <v>0</v>
      </c>
    </row>
    <row r="133" spans="1:3">
      <c r="A133" s="40" t="s">
        <v>1540</v>
      </c>
      <c r="B133" s="40" t="b">
        <v>1</v>
      </c>
      <c r="C133" s="40" t="b">
        <f>COUNTIFS(Fixtures[stadium], Stadiums[[#This Row],[name]], Fixtures[APP], TRUE) &gt; 0</f>
        <v>0</v>
      </c>
    </row>
    <row r="134" spans="1:3">
      <c r="A134" s="40" t="s">
        <v>324</v>
      </c>
      <c r="B134" s="40" t="b">
        <v>1</v>
      </c>
      <c r="C134" s="40" t="b">
        <f>COUNTIFS(Fixtures[stadium], Stadiums[[#This Row],[name]], Fixtures[APP], TRUE) &gt; 0</f>
        <v>1</v>
      </c>
    </row>
    <row r="135" spans="1:3">
      <c r="A135" s="40" t="s">
        <v>271</v>
      </c>
      <c r="B135" s="40" t="b">
        <v>1</v>
      </c>
      <c r="C135" s="40" t="b">
        <f>COUNTIFS(Fixtures[stadium], Stadiums[[#This Row],[name]], Fixtures[APP], TRUE) &gt; 0</f>
        <v>1</v>
      </c>
    </row>
    <row r="136" spans="1:3">
      <c r="A136" s="40" t="s">
        <v>282</v>
      </c>
      <c r="B136" s="40" t="b">
        <v>1</v>
      </c>
      <c r="C136" s="40" t="b">
        <f>COUNTIFS(Fixtures[stadium], Stadiums[[#This Row],[name]], Fixtures[APP], TRUE) &gt; 0</f>
        <v>1</v>
      </c>
    </row>
    <row r="137" spans="1:3">
      <c r="A137" s="40" t="s">
        <v>115</v>
      </c>
      <c r="B137" s="40" t="b">
        <v>0</v>
      </c>
      <c r="C137" s="40" t="b">
        <f>COUNTIFS(Fixtures[stadium], Stadiums[[#This Row],[name]], Fixtures[APP], TRUE) &gt; 0</f>
        <v>1</v>
      </c>
    </row>
    <row r="138" spans="1:3">
      <c r="A138" s="40" t="s">
        <v>151</v>
      </c>
      <c r="B138" s="40" t="b">
        <v>1</v>
      </c>
      <c r="C138" s="40" t="b">
        <f>COUNTIFS(Fixtures[stadium], Stadiums[[#This Row],[name]], Fixtures[APP], TRUE) &gt; 0</f>
        <v>1</v>
      </c>
    </row>
    <row r="139" spans="1:3">
      <c r="A139" s="40" t="s">
        <v>300</v>
      </c>
      <c r="B139" s="40" t="b">
        <v>1</v>
      </c>
      <c r="C139" s="40" t="b">
        <f>COUNTIFS(Fixtures[stadium], Stadiums[[#This Row],[name]], Fixtures[APP], TRUE) &gt; 0</f>
        <v>1</v>
      </c>
    </row>
    <row r="140" spans="1:3">
      <c r="A140" s="40" t="s">
        <v>319</v>
      </c>
      <c r="B140" s="40" t="b">
        <v>1</v>
      </c>
      <c r="C140" s="40" t="b">
        <f>COUNTIFS(Fixtures[stadium], Stadiums[[#This Row],[name]], Fixtures[APP], TRUE) &gt; 0</f>
        <v>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5EA9-9294-4F3C-8388-43EEFB894E9D}">
  <dimension ref="A1:A11"/>
  <sheetViews>
    <sheetView workbookViewId="0">
      <selection activeCell="G45" sqref="G45"/>
    </sheetView>
  </sheetViews>
  <sheetFormatPr baseColWidth="10" defaultColWidth="8.85546875" defaultRowHeight="13"/>
  <cols>
    <col min="1" max="1" width="11.42578125" style="36" bestFit="1" customWidth="1"/>
    <col min="2" max="16384" width="8.85546875" style="36"/>
  </cols>
  <sheetData>
    <row r="1" spans="1:1" ht="14" thickBot="1">
      <c r="A1" s="35" t="s">
        <v>1541</v>
      </c>
    </row>
    <row r="2" spans="1:1">
      <c r="A2" s="47" t="s">
        <v>161</v>
      </c>
    </row>
    <row r="3" spans="1:1">
      <c r="A3" s="48" t="s">
        <v>1542</v>
      </c>
    </row>
    <row r="4" spans="1:1">
      <c r="A4" s="48" t="s">
        <v>1543</v>
      </c>
    </row>
    <row r="5" spans="1:1">
      <c r="A5" s="48" t="s">
        <v>108</v>
      </c>
    </row>
    <row r="6" spans="1:1">
      <c r="A6" s="49" t="s">
        <v>183</v>
      </c>
    </row>
    <row r="7" spans="1:1">
      <c r="A7" s="49" t="s">
        <v>195</v>
      </c>
    </row>
    <row r="8" spans="1:1">
      <c r="A8" s="49" t="s">
        <v>203</v>
      </c>
    </row>
    <row r="9" spans="1:1">
      <c r="A9" s="49" t="s">
        <v>299</v>
      </c>
    </row>
    <row r="10" spans="1:1">
      <c r="A10" s="49" t="s">
        <v>1544</v>
      </c>
    </row>
    <row r="11" spans="1:1">
      <c r="A11" s="49" t="s">
        <v>1545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642A38-2B2F-4B24-8869-25DCC61F341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19</vt:i4>
      </vt:variant>
    </vt:vector>
  </HeadingPairs>
  <TitlesOfParts>
    <vt:vector size="30" baseType="lpstr">
      <vt:lpstr>(1) Bio</vt:lpstr>
      <vt:lpstr>(2) Vitals</vt:lpstr>
      <vt:lpstr>(3) Fixtures</vt:lpstr>
      <vt:lpstr>(4) Stats</vt:lpstr>
      <vt:lpstr>(5) Seasons</vt:lpstr>
      <vt:lpstr>(6) Accomplishments</vt:lpstr>
      <vt:lpstr>(7) Teams</vt:lpstr>
      <vt:lpstr>(8) Competitions</vt:lpstr>
      <vt:lpstr>(9) Referees</vt:lpstr>
      <vt:lpstr>(10) Stadiums</vt:lpstr>
      <vt:lpstr>(11) Weather</vt:lpstr>
      <vt:lpstr>age</vt:lpstr>
      <vt:lpstr>asOfDate</vt:lpstr>
      <vt:lpstr>attackRate</vt:lpstr>
      <vt:lpstr>birthDate</vt:lpstr>
      <vt:lpstr>club</vt:lpstr>
      <vt:lpstr>defenseRate</vt:lpstr>
      <vt:lpstr>firstName</vt:lpstr>
      <vt:lpstr>height</vt:lpstr>
      <vt:lpstr>kitNumber</vt:lpstr>
      <vt:lpstr>knownAs</vt:lpstr>
      <vt:lpstr>lastName</vt:lpstr>
      <vt:lpstr>nationality</vt:lpstr>
      <vt:lpstr>playerValue</vt:lpstr>
      <vt:lpstr>position</vt:lpstr>
      <vt:lpstr>skillMoves</vt:lpstr>
      <vt:lpstr>strongFoot</vt:lpstr>
      <vt:lpstr>weakFoot</vt:lpstr>
      <vt:lpstr>weeklyWage</vt:lpstr>
      <vt:lpstr>weight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Okeke, Chiagoziem</dc:creator>
  <cp:keywords/>
  <dc:description/>
  <cp:lastModifiedBy>Ndu Okeke</cp:lastModifiedBy>
  <cp:revision/>
  <dcterms:created xsi:type="dcterms:W3CDTF">2023-06-05T15:29:16Z</dcterms:created>
  <dcterms:modified xsi:type="dcterms:W3CDTF">2024-03-12T03:30:37Z</dcterms:modified>
  <cp:category/>
  <cp:contentStatus/>
</cp:coreProperties>
</file>